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y/Desktop/Repository/"/>
    </mc:Choice>
  </mc:AlternateContent>
  <xr:revisionPtr revIDLastSave="0" documentId="13_ncr:1_{FE87E996-C3BA-6342-850A-B2DDA5C0960E}" xr6:coauthVersionLast="47" xr6:coauthVersionMax="47" xr10:uidLastSave="{00000000-0000-0000-0000-000000000000}"/>
  <bookViews>
    <workbookView xWindow="0" yWindow="500" windowWidth="33600" windowHeight="18920" xr2:uid="{AFE329BD-1E20-1C48-8089-2EBD86999B77}"/>
  </bookViews>
  <sheets>
    <sheet name="py" sheetId="7" r:id="rId1"/>
    <sheet name="NOT filtered- raw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5" i="7" l="1"/>
  <c r="G547" i="7"/>
  <c r="G545" i="7"/>
  <c r="H543" i="7"/>
  <c r="I596" i="8"/>
  <c r="G587" i="8"/>
  <c r="G585" i="8"/>
  <c r="H583" i="8"/>
  <c r="I572" i="8" l="1"/>
  <c r="I563" i="8"/>
  <c r="I560" i="8"/>
  <c r="I552" i="8"/>
  <c r="J552" i="8" s="1"/>
  <c r="J535" i="8"/>
  <c r="I534" i="8"/>
  <c r="I533" i="8"/>
  <c r="I529" i="8"/>
  <c r="I528" i="8"/>
  <c r="J527" i="8"/>
  <c r="I516" i="8"/>
  <c r="I504" i="8"/>
  <c r="J503" i="8"/>
  <c r="I503" i="8"/>
  <c r="J489" i="8"/>
  <c r="I487" i="8"/>
  <c r="I480" i="8"/>
  <c r="J476" i="8"/>
  <c r="I474" i="8"/>
  <c r="I466" i="8"/>
  <c r="I455" i="8"/>
  <c r="J454" i="8"/>
  <c r="I443" i="8"/>
  <c r="J435" i="8"/>
  <c r="I424" i="8"/>
  <c r="J421" i="8"/>
  <c r="I419" i="8"/>
  <c r="I416" i="8"/>
  <c r="I412" i="8"/>
  <c r="I408" i="8"/>
  <c r="I407" i="8"/>
  <c r="I404" i="8"/>
  <c r="I403" i="8"/>
  <c r="I401" i="8"/>
  <c r="I400" i="8"/>
  <c r="I398" i="8"/>
  <c r="G392" i="8"/>
  <c r="I387" i="8"/>
  <c r="I381" i="8"/>
  <c r="I378" i="8"/>
  <c r="J374" i="8"/>
  <c r="I373" i="8"/>
  <c r="J372" i="8"/>
  <c r="I368" i="8"/>
  <c r="G368" i="8"/>
  <c r="I365" i="8"/>
  <c r="I364" i="8"/>
  <c r="J362" i="8"/>
  <c r="I362" i="8"/>
  <c r="J360" i="8"/>
  <c r="I357" i="8"/>
  <c r="I356" i="8"/>
  <c r="I347" i="8"/>
  <c r="J345" i="8"/>
  <c r="I345" i="8"/>
  <c r="I344" i="8"/>
  <c r="I343" i="8"/>
  <c r="J341" i="8"/>
  <c r="J340" i="8"/>
  <c r="J338" i="8"/>
  <c r="I338" i="8"/>
  <c r="I337" i="8"/>
  <c r="J336" i="8"/>
  <c r="J335" i="8"/>
  <c r="J334" i="8"/>
  <c r="I327" i="8"/>
  <c r="I324" i="8"/>
  <c r="J321" i="8"/>
  <c r="J319" i="8"/>
  <c r="I319" i="8"/>
  <c r="I318" i="8"/>
  <c r="J316" i="8"/>
  <c r="I313" i="8"/>
  <c r="I307" i="8"/>
  <c r="I306" i="8"/>
  <c r="I305" i="8"/>
  <c r="I304" i="8"/>
  <c r="J302" i="8"/>
  <c r="I302" i="8"/>
  <c r="I301" i="8"/>
  <c r="J298" i="8"/>
  <c r="I292" i="8"/>
  <c r="I287" i="8"/>
  <c r="J286" i="8"/>
  <c r="I284" i="8"/>
  <c r="I282" i="8"/>
  <c r="I280" i="8"/>
  <c r="J277" i="8"/>
  <c r="I277" i="8"/>
  <c r="I272" i="8"/>
  <c r="I271" i="8"/>
  <c r="I262" i="8"/>
  <c r="J260" i="8"/>
  <c r="I258" i="8"/>
  <c r="I257" i="8"/>
  <c r="J255" i="8"/>
  <c r="I255" i="8"/>
  <c r="J251" i="8"/>
  <c r="I251" i="8"/>
  <c r="J244" i="8"/>
  <c r="J243" i="8"/>
  <c r="G225" i="8"/>
  <c r="J224" i="8"/>
  <c r="I219" i="8"/>
  <c r="I216" i="8"/>
  <c r="I215" i="8"/>
  <c r="J214" i="8"/>
  <c r="J208" i="8"/>
  <c r="I202" i="8"/>
  <c r="I201" i="8"/>
  <c r="J199" i="8"/>
  <c r="J198" i="8"/>
  <c r="J197" i="8"/>
  <c r="J196" i="8"/>
  <c r="I195" i="8"/>
  <c r="J192" i="8"/>
  <c r="I192" i="8"/>
  <c r="I189" i="8"/>
  <c r="J188" i="8"/>
  <c r="I172" i="8"/>
  <c r="J169" i="8"/>
  <c r="I169" i="8"/>
  <c r="J168" i="8"/>
  <c r="J166" i="8"/>
  <c r="I166" i="8"/>
  <c r="I162" i="8"/>
  <c r="I157" i="8"/>
  <c r="G152" i="8"/>
  <c r="J151" i="8"/>
  <c r="J150" i="8"/>
  <c r="I147" i="8"/>
  <c r="J146" i="8"/>
  <c r="I146" i="8"/>
  <c r="I139" i="8"/>
  <c r="J138" i="8"/>
  <c r="I138" i="8"/>
  <c r="I130" i="8"/>
  <c r="G130" i="8"/>
  <c r="I129" i="8"/>
  <c r="J128" i="8"/>
  <c r="I128" i="8"/>
  <c r="J119" i="8"/>
  <c r="J114" i="8"/>
  <c r="I114" i="8"/>
  <c r="I112" i="8"/>
  <c r="I111" i="8"/>
  <c r="I108" i="8"/>
  <c r="I103" i="8"/>
  <c r="J102" i="8"/>
  <c r="I102" i="8"/>
  <c r="I98" i="8"/>
  <c r="I97" i="8"/>
  <c r="I96" i="8"/>
  <c r="I95" i="8"/>
  <c r="I93" i="8"/>
  <c r="I92" i="8"/>
  <c r="I91" i="8"/>
  <c r="I89" i="8"/>
  <c r="G89" i="8"/>
  <c r="I73" i="8"/>
  <c r="I66" i="8"/>
  <c r="J64" i="8"/>
  <c r="I59" i="8"/>
  <c r="I58" i="8"/>
  <c r="G58" i="8"/>
  <c r="I57" i="8"/>
  <c r="I56" i="8"/>
  <c r="I52" i="8"/>
  <c r="G50" i="8"/>
  <c r="J49" i="8"/>
  <c r="I49" i="8"/>
  <c r="H43" i="8"/>
  <c r="H42" i="8"/>
  <c r="G42" i="8"/>
  <c r="H41" i="8"/>
  <c r="G41" i="8"/>
  <c r="I40" i="8"/>
  <c r="J39" i="8"/>
  <c r="I39" i="8"/>
  <c r="I38" i="8"/>
  <c r="H36" i="8"/>
  <c r="G36" i="8"/>
  <c r="H35" i="8"/>
  <c r="H34" i="8"/>
  <c r="I33" i="8"/>
  <c r="J19" i="8"/>
  <c r="I18" i="8"/>
  <c r="J13" i="8"/>
  <c r="I7" i="8"/>
  <c r="I6" i="8"/>
  <c r="I533" i="7"/>
  <c r="I524" i="7"/>
  <c r="I521" i="7"/>
  <c r="I513" i="7"/>
  <c r="J513" i="7" s="1"/>
  <c r="J496" i="7"/>
  <c r="I495" i="7"/>
  <c r="I494" i="7"/>
  <c r="I490" i="7"/>
  <c r="I489" i="7"/>
  <c r="J488" i="7"/>
  <c r="I480" i="7"/>
  <c r="I472" i="7"/>
  <c r="J471" i="7"/>
  <c r="I471" i="7"/>
  <c r="J460" i="7"/>
  <c r="I458" i="7"/>
  <c r="I451" i="7"/>
  <c r="J448" i="7"/>
  <c r="I446" i="7"/>
  <c r="I438" i="7"/>
  <c r="I427" i="7"/>
  <c r="J426" i="7"/>
  <c r="I415" i="7"/>
  <c r="J407" i="7"/>
  <c r="I396" i="7"/>
  <c r="J393" i="7"/>
  <c r="I391" i="7"/>
  <c r="I388" i="7"/>
  <c r="I384" i="7"/>
  <c r="I381" i="7"/>
  <c r="I380" i="7"/>
  <c r="I377" i="7"/>
  <c r="I376" i="7"/>
  <c r="I374" i="7"/>
  <c r="I373" i="7"/>
  <c r="I371" i="7"/>
  <c r="G365" i="7"/>
  <c r="I355" i="7"/>
  <c r="I352" i="7"/>
  <c r="J348" i="7"/>
  <c r="I347" i="7"/>
  <c r="J346" i="7"/>
  <c r="I342" i="7"/>
  <c r="G342" i="7"/>
  <c r="I339" i="7"/>
  <c r="I338" i="7"/>
  <c r="J336" i="7"/>
  <c r="I336" i="7"/>
  <c r="J334" i="7"/>
  <c r="I331" i="7"/>
  <c r="I330" i="7"/>
  <c r="I322" i="7"/>
  <c r="J320" i="7"/>
  <c r="I320" i="7"/>
  <c r="I319" i="7"/>
  <c r="I318" i="7"/>
  <c r="J315" i="7"/>
  <c r="I315" i="7"/>
  <c r="I314" i="7"/>
  <c r="J313" i="7"/>
  <c r="J312" i="7"/>
  <c r="J311" i="7"/>
  <c r="I304" i="7"/>
  <c r="I301" i="7"/>
  <c r="J298" i="7"/>
  <c r="J296" i="7"/>
  <c r="I296" i="7"/>
  <c r="I295" i="7"/>
  <c r="J293" i="7"/>
  <c r="I290" i="7"/>
  <c r="I284" i="7"/>
  <c r="I283" i="7"/>
  <c r="I282" i="7"/>
  <c r="I281" i="7"/>
  <c r="J279" i="7"/>
  <c r="I279" i="7"/>
  <c r="I278" i="7"/>
  <c r="I270" i="7"/>
  <c r="I265" i="7"/>
  <c r="J264" i="7"/>
  <c r="I262" i="7"/>
  <c r="I260" i="7"/>
  <c r="I258" i="7"/>
  <c r="J255" i="7"/>
  <c r="I255" i="7"/>
  <c r="I250" i="7"/>
  <c r="I249" i="7"/>
  <c r="I240" i="7"/>
  <c r="J238" i="7"/>
  <c r="I236" i="7"/>
  <c r="J235" i="7"/>
  <c r="I235" i="7"/>
  <c r="J231" i="7"/>
  <c r="I231" i="7"/>
  <c r="J224" i="7"/>
  <c r="J223" i="7"/>
  <c r="G205" i="7"/>
  <c r="J204" i="7"/>
  <c r="I199" i="7"/>
  <c r="I196" i="7"/>
  <c r="I195" i="7"/>
  <c r="J194" i="7"/>
  <c r="J188" i="7"/>
  <c r="I183" i="7"/>
  <c r="I182" i="7"/>
  <c r="J180" i="7"/>
  <c r="J179" i="7"/>
  <c r="J178" i="7"/>
  <c r="J177" i="7"/>
  <c r="I176" i="7"/>
  <c r="J173" i="7"/>
  <c r="I173" i="7"/>
  <c r="I170" i="7"/>
  <c r="J169" i="7"/>
  <c r="I155" i="7"/>
  <c r="J152" i="7"/>
  <c r="I152" i="7"/>
  <c r="J151" i="7"/>
  <c r="J149" i="7"/>
  <c r="I149" i="7"/>
  <c r="I145" i="7"/>
  <c r="I140" i="7"/>
  <c r="J135" i="7"/>
  <c r="J134" i="7"/>
  <c r="I131" i="7"/>
  <c r="J130" i="7"/>
  <c r="I130" i="7"/>
  <c r="I123" i="7"/>
  <c r="J122" i="7"/>
  <c r="I122" i="7"/>
  <c r="I115" i="7"/>
  <c r="G115" i="7"/>
  <c r="I114" i="7"/>
  <c r="J113" i="7"/>
  <c r="I113" i="7"/>
  <c r="J104" i="7"/>
  <c r="I98" i="7"/>
  <c r="I96" i="7"/>
  <c r="I91" i="7"/>
  <c r="J90" i="7"/>
  <c r="I90" i="7"/>
  <c r="I86" i="7"/>
  <c r="I85" i="7"/>
  <c r="I84" i="7"/>
  <c r="I83" i="7"/>
  <c r="I81" i="7"/>
  <c r="I80" i="7"/>
  <c r="I79" i="7"/>
  <c r="I77" i="7"/>
  <c r="G77" i="7"/>
  <c r="I62" i="7"/>
  <c r="I55" i="7"/>
  <c r="J53" i="7"/>
  <c r="I48" i="7"/>
  <c r="I47" i="7"/>
  <c r="G47" i="7"/>
  <c r="I44" i="7"/>
  <c r="J42" i="7"/>
  <c r="I42" i="7"/>
  <c r="I37" i="7"/>
  <c r="J36" i="7"/>
  <c r="I36" i="7"/>
  <c r="I35" i="7"/>
  <c r="H33" i="7"/>
  <c r="G33" i="7"/>
  <c r="H32" i="7"/>
  <c r="H31" i="7"/>
  <c r="I30" i="7"/>
  <c r="J18" i="7"/>
  <c r="I17" i="7"/>
  <c r="J12" i="7"/>
  <c r="I6" i="7"/>
  <c r="I5" i="7"/>
</calcChain>
</file>

<file path=xl/sharedStrings.xml><?xml version="1.0" encoding="utf-8"?>
<sst xmlns="http://schemas.openxmlformats.org/spreadsheetml/2006/main" count="5168" uniqueCount="825">
  <si>
    <t>ticker</t>
  </si>
  <si>
    <t>lenght</t>
  </si>
  <si>
    <t>ETH</t>
  </si>
  <si>
    <t>NEO</t>
  </si>
  <si>
    <t>TIME</t>
  </si>
  <si>
    <t>CFI</t>
  </si>
  <si>
    <t>ALPHA</t>
  </si>
  <si>
    <t>WOO</t>
  </si>
  <si>
    <t>GRT</t>
  </si>
  <si>
    <t>INJ</t>
  </si>
  <si>
    <t>AKT</t>
  </si>
  <si>
    <t>GHST</t>
  </si>
  <si>
    <t>UFT</t>
  </si>
  <si>
    <t>RAMP</t>
  </si>
  <si>
    <t>JGN</t>
  </si>
  <si>
    <t>FLOW</t>
  </si>
  <si>
    <t>CNTR</t>
  </si>
  <si>
    <t>MBX</t>
  </si>
  <si>
    <t>FIN</t>
  </si>
  <si>
    <t>CRU</t>
  </si>
  <si>
    <t>LINA</t>
  </si>
  <si>
    <t>FRONT</t>
  </si>
  <si>
    <t>LIEN</t>
  </si>
  <si>
    <t>PERP</t>
  </si>
  <si>
    <t>SKL</t>
  </si>
  <si>
    <t>BID</t>
  </si>
  <si>
    <t>OIN</t>
  </si>
  <si>
    <t>SPA</t>
  </si>
  <si>
    <t>OPT</t>
  </si>
  <si>
    <t>AXIS</t>
  </si>
  <si>
    <t>KEN</t>
  </si>
  <si>
    <t>SAND</t>
  </si>
  <si>
    <t>SRM</t>
  </si>
  <si>
    <t>BNS</t>
  </si>
  <si>
    <t>PLT</t>
  </si>
  <si>
    <t>ATTN</t>
  </si>
  <si>
    <t>DSM</t>
  </si>
  <si>
    <t>SWINGBY</t>
  </si>
  <si>
    <t>AAB</t>
  </si>
  <si>
    <t>ANY</t>
  </si>
  <si>
    <t>AVAX</t>
  </si>
  <si>
    <t>MTRG</t>
  </si>
  <si>
    <t>ORN</t>
  </si>
  <si>
    <t>WGRT</t>
  </si>
  <si>
    <t>FNX</t>
  </si>
  <si>
    <t>JST</t>
  </si>
  <si>
    <t>CTSI</t>
  </si>
  <si>
    <t>SOL</t>
  </si>
  <si>
    <t>BDK</t>
  </si>
  <si>
    <t>HDAO</t>
  </si>
  <si>
    <t>WRX</t>
  </si>
  <si>
    <t>TROY</t>
  </si>
  <si>
    <t>KDA</t>
  </si>
  <si>
    <t>ROAD</t>
  </si>
  <si>
    <t>KAVA</t>
  </si>
  <si>
    <t>ROOBEE</t>
  </si>
  <si>
    <t>BAND</t>
  </si>
  <si>
    <t>NODE</t>
  </si>
  <si>
    <t>XPO</t>
  </si>
  <si>
    <t>CERE</t>
  </si>
  <si>
    <t>PERL</t>
  </si>
  <si>
    <t>RES</t>
  </si>
  <si>
    <t>TOKO</t>
  </si>
  <si>
    <t>PLG</t>
  </si>
  <si>
    <t>BEST</t>
  </si>
  <si>
    <t>AUDT</t>
  </si>
  <si>
    <t>WIN</t>
  </si>
  <si>
    <t>DEEP</t>
  </si>
  <si>
    <t>ZUC</t>
  </si>
  <si>
    <t>PDATA</t>
  </si>
  <si>
    <t>ALGO</t>
  </si>
  <si>
    <t>UNC</t>
  </si>
  <si>
    <t>PVT</t>
  </si>
  <si>
    <t>BQQQ</t>
  </si>
  <si>
    <t>COTI</t>
  </si>
  <si>
    <t>RSR</t>
  </si>
  <si>
    <t>ALV</t>
  </si>
  <si>
    <t>LEO</t>
  </si>
  <si>
    <t>CNTM</t>
  </si>
  <si>
    <t>WEB</t>
  </si>
  <si>
    <t>TT</t>
  </si>
  <si>
    <t>ARPA</t>
  </si>
  <si>
    <t>FOR</t>
  </si>
  <si>
    <t>GT</t>
  </si>
  <si>
    <t>AIV</t>
  </si>
  <si>
    <t>IOEX</t>
  </si>
  <si>
    <t>OATH</t>
  </si>
  <si>
    <t>BLOC</t>
  </si>
  <si>
    <t>VELT</t>
  </si>
  <si>
    <t>FET</t>
  </si>
  <si>
    <t>FYS</t>
  </si>
  <si>
    <t>CTK</t>
  </si>
  <si>
    <t>BTT</t>
  </si>
  <si>
    <t>SKYM</t>
  </si>
  <si>
    <t>COVA</t>
  </si>
  <si>
    <t>BTMX</t>
  </si>
  <si>
    <t>MM</t>
  </si>
  <si>
    <t>OCE</t>
  </si>
  <si>
    <t>EFIC</t>
  </si>
  <si>
    <t>GMB</t>
  </si>
  <si>
    <t>LAMB</t>
  </si>
  <si>
    <t>TUT</t>
  </si>
  <si>
    <t>BOLT</t>
  </si>
  <si>
    <t>ANKR</t>
  </si>
  <si>
    <t>NEX</t>
  </si>
  <si>
    <t>CRE</t>
  </si>
  <si>
    <t>ICP</t>
  </si>
  <si>
    <t>DX</t>
  </si>
  <si>
    <t>ASA</t>
  </si>
  <si>
    <t>FTT</t>
  </si>
  <si>
    <t>EQUAD</t>
  </si>
  <si>
    <t>MDX</t>
  </si>
  <si>
    <t>MAS</t>
  </si>
  <si>
    <t>DTX</t>
  </si>
  <si>
    <t>INCX</t>
  </si>
  <si>
    <t>T2T</t>
  </si>
  <si>
    <t>ELY</t>
  </si>
  <si>
    <t>ABL</t>
  </si>
  <si>
    <t>SDT</t>
  </si>
  <si>
    <t>IMT</t>
  </si>
  <si>
    <t>CUZ</t>
  </si>
  <si>
    <t>RMESH</t>
  </si>
  <si>
    <t>BBO</t>
  </si>
  <si>
    <t>ISR</t>
  </si>
  <si>
    <t>CAR</t>
  </si>
  <si>
    <t>UPP</t>
  </si>
  <si>
    <t>LEMO</t>
  </si>
  <si>
    <t>ABYSS</t>
  </si>
  <si>
    <t>VPP</t>
  </si>
  <si>
    <t>HOLD</t>
  </si>
  <si>
    <t>CAN</t>
  </si>
  <si>
    <t>XMOO</t>
  </si>
  <si>
    <t>HOT</t>
  </si>
  <si>
    <t>LND</t>
  </si>
  <si>
    <t>NEXO</t>
  </si>
  <si>
    <t>EFX</t>
  </si>
  <si>
    <t>CEL</t>
  </si>
  <si>
    <t>SWTH</t>
  </si>
  <si>
    <t>DRG</t>
  </si>
  <si>
    <t>DATX</t>
  </si>
  <si>
    <t>IPSX</t>
  </si>
  <si>
    <t>PAL</t>
  </si>
  <si>
    <t>CTXC</t>
  </si>
  <si>
    <t>MAD</t>
  </si>
  <si>
    <t>BERRY</t>
  </si>
  <si>
    <t>BNK</t>
  </si>
  <si>
    <t>CGCOIN</t>
  </si>
  <si>
    <t>FTX</t>
  </si>
  <si>
    <t>ADH</t>
  </si>
  <si>
    <t>NPX</t>
  </si>
  <si>
    <t>LYM</t>
  </si>
  <si>
    <t>SNX</t>
  </si>
  <si>
    <t>HT</t>
  </si>
  <si>
    <t>DEB</t>
  </si>
  <si>
    <t>ELEC</t>
  </si>
  <si>
    <t>BAX</t>
  </si>
  <si>
    <t>DOCK</t>
  </si>
  <si>
    <t>EBC</t>
  </si>
  <si>
    <t>GBX</t>
  </si>
  <si>
    <t>FSN</t>
  </si>
  <si>
    <t>RFR</t>
  </si>
  <si>
    <t>DXT</t>
  </si>
  <si>
    <t>REN</t>
  </si>
  <si>
    <t>BEE</t>
  </si>
  <si>
    <t>DADI</t>
  </si>
  <si>
    <t>MWAT</t>
  </si>
  <si>
    <t>BLZ</t>
  </si>
  <si>
    <t>EVN</t>
  </si>
  <si>
    <t>GAT</t>
  </si>
  <si>
    <t>KEY</t>
  </si>
  <si>
    <t>ADB</t>
  </si>
  <si>
    <t>LALA</t>
  </si>
  <si>
    <t>LATX</t>
  </si>
  <si>
    <t>CHSB</t>
  </si>
  <si>
    <t>NTK</t>
  </si>
  <si>
    <t>CRPT</t>
  </si>
  <si>
    <t>BLT</t>
  </si>
  <si>
    <t>SIG</t>
  </si>
  <si>
    <t>COV</t>
  </si>
  <si>
    <t>STK</t>
  </si>
  <si>
    <t>BDG</t>
  </si>
  <si>
    <t>GLA</t>
  </si>
  <si>
    <t>BKX</t>
  </si>
  <si>
    <t>public sale</t>
  </si>
  <si>
    <t>dutch auction</t>
  </si>
  <si>
    <t>?</t>
  </si>
  <si>
    <t>auction</t>
  </si>
  <si>
    <t>duch action</t>
  </si>
  <si>
    <t>private sale</t>
  </si>
  <si>
    <t>JNT</t>
  </si>
  <si>
    <t>TPAY</t>
  </si>
  <si>
    <t>SRN</t>
  </si>
  <si>
    <t>AGI</t>
  </si>
  <si>
    <t>QLC</t>
  </si>
  <si>
    <t>PROPS</t>
  </si>
  <si>
    <t>APPC</t>
  </si>
  <si>
    <t>ADI</t>
  </si>
  <si>
    <t>CBT</t>
  </si>
  <si>
    <t>BRD</t>
  </si>
  <si>
    <t>NEU</t>
  </si>
  <si>
    <t>BNTY</t>
  </si>
  <si>
    <t>NGC</t>
  </si>
  <si>
    <t>DBC</t>
  </si>
  <si>
    <t>GTO</t>
  </si>
  <si>
    <t>GET</t>
  </si>
  <si>
    <t>STORM</t>
  </si>
  <si>
    <t>LEV</t>
  </si>
  <si>
    <t>FDX</t>
  </si>
  <si>
    <t>C20</t>
  </si>
  <si>
    <t>GNX</t>
  </si>
  <si>
    <t>ERT</t>
  </si>
  <si>
    <t>LEND</t>
  </si>
  <si>
    <t>SNOV</t>
  </si>
  <si>
    <t>DAT</t>
  </si>
  <si>
    <t>GMT</t>
  </si>
  <si>
    <t>STAR</t>
  </si>
  <si>
    <t>FLIXX</t>
  </si>
  <si>
    <t>SCI</t>
  </si>
  <si>
    <t>TNB</t>
  </si>
  <si>
    <t>UTRUST</t>
  </si>
  <si>
    <t>QSP</t>
  </si>
  <si>
    <t>AMM</t>
  </si>
  <si>
    <t>MTX</t>
  </si>
  <si>
    <t>PBL</t>
  </si>
  <si>
    <t>QASH</t>
  </si>
  <si>
    <t>RCN</t>
  </si>
  <si>
    <t>DCN</t>
  </si>
  <si>
    <t>CPAY</t>
  </si>
  <si>
    <t>FUEL</t>
  </si>
  <si>
    <t>UKG</t>
  </si>
  <si>
    <t>ETN</t>
  </si>
  <si>
    <t>DOV</t>
  </si>
  <si>
    <t>CAG</t>
  </si>
  <si>
    <t>REQ</t>
  </si>
  <si>
    <t>NRN</t>
  </si>
  <si>
    <t>TIE</t>
  </si>
  <si>
    <t>AST</t>
  </si>
  <si>
    <t>LAT</t>
  </si>
  <si>
    <t>ART</t>
  </si>
  <si>
    <t>PPP</t>
  </si>
  <si>
    <t>AIR</t>
  </si>
  <si>
    <t>REAL</t>
  </si>
  <si>
    <t>ALIS</t>
  </si>
  <si>
    <t>INXT</t>
  </si>
  <si>
    <t>KIN</t>
  </si>
  <si>
    <t>CND</t>
  </si>
  <si>
    <t>KICK</t>
  </si>
  <si>
    <t>CSNO</t>
  </si>
  <si>
    <t>ENG</t>
  </si>
  <si>
    <t>RVT</t>
  </si>
  <si>
    <t>VIB</t>
  </si>
  <si>
    <t>MTH</t>
  </si>
  <si>
    <t>DIM</t>
  </si>
  <si>
    <t>MANA</t>
  </si>
  <si>
    <t>SALT</t>
  </si>
  <si>
    <t>POE</t>
  </si>
  <si>
    <t>PLBT</t>
  </si>
  <si>
    <t>OMG</t>
  </si>
  <si>
    <t>MCO</t>
  </si>
  <si>
    <t>USD</t>
  </si>
  <si>
    <t>start_date</t>
  </si>
  <si>
    <t>end_date</t>
  </si>
  <si>
    <t>BOND</t>
  </si>
  <si>
    <t>event</t>
  </si>
  <si>
    <t>total_num_of_tokens</t>
  </si>
  <si>
    <t>num_token_single_event</t>
  </si>
  <si>
    <t>token_price_event</t>
  </si>
  <si>
    <t>currency_event</t>
  </si>
  <si>
    <t>seed round</t>
  </si>
  <si>
    <t>method</t>
  </si>
  <si>
    <t>lottery</t>
  </si>
  <si>
    <t>AXS</t>
  </si>
  <si>
    <t>link</t>
  </si>
  <si>
    <t>https://www.binance.com/en/support/announcement/1c097191f01345b090018ffcd30e445c</t>
  </si>
  <si>
    <t>https://research.binance.com/en/projects/axie-infinity</t>
  </si>
  <si>
    <t>LTX</t>
  </si>
  <si>
    <t>https://sale.thegraph.com/</t>
  </si>
  <si>
    <t>standard auction</t>
  </si>
  <si>
    <t>token sale</t>
  </si>
  <si>
    <t>uncapped auction</t>
  </si>
  <si>
    <t>https://cryptorank.io/ico/unilend</t>
  </si>
  <si>
    <t>https://cryptorank.io/ico/the-graph</t>
  </si>
  <si>
    <t>problem with 13M and 12M I think 12 is correct</t>
  </si>
  <si>
    <t>https://ibb.co/51xms2h</t>
  </si>
  <si>
    <t>EXRD</t>
  </si>
  <si>
    <t>https://cryptorank.io/ico/mobiecoin</t>
  </si>
  <si>
    <t>EUR</t>
  </si>
  <si>
    <t>is_presale</t>
  </si>
  <si>
    <t>https://icorating.com/ico/bankera/</t>
  </si>
  <si>
    <t>https://criptovaluteweb.com/ico-bankera/?cn-reloaded=1</t>
  </si>
  <si>
    <t>https://swissborg.com/buy-chsb</t>
  </si>
  <si>
    <t>ATRO</t>
  </si>
  <si>
    <t>https://www.stellerro.com/</t>
  </si>
  <si>
    <t>BTC</t>
  </si>
  <si>
    <t>https://icodrops.com/crypterium/</t>
  </si>
  <si>
    <t>USDT</t>
  </si>
  <si>
    <t>https://medium.com/crustnetwork/crust-token-metrics-economics-84592efc6d1f</t>
  </si>
  <si>
    <t>https://icoholder.com/files/img/upload/832/8323519cd7a7cb24bb9c8606cb6cb095.png</t>
  </si>
  <si>
    <t>https://icodrops.com/x-power-chain/</t>
  </si>
  <si>
    <t>TKO</t>
  </si>
  <si>
    <t>https://cryptorank.io/ico/tokocrypto</t>
  </si>
  <si>
    <t>private pre sale</t>
  </si>
  <si>
    <t>https://cryptorank.io/ico/cartesi</t>
  </si>
  <si>
    <t>https://cryptorank.io/ico/cere-network</t>
  </si>
  <si>
    <t>https://icodrops.com/lambda/</t>
  </si>
  <si>
    <t>https://icodrops.com/juggernaut/</t>
  </si>
  <si>
    <t>https://medium.com/astronaut-capital/ieo-ico-review-centaur-cntr-2d076c8ec3ee</t>
  </si>
  <si>
    <t>https://cryptorank.io/ico/frontier</t>
  </si>
  <si>
    <t>https://www.bidaochain.com/static/docs/tokenoffer.pdf</t>
  </si>
  <si>
    <t>https://oin.finance/file/OINWhitePaper.pdf?utm_source=coincodex&amp;utm_medium=referral</t>
  </si>
  <si>
    <t>tokensale</t>
  </si>
  <si>
    <t>https://sperax.io/?utm_source=coincodex&amp;utm_medium=referral</t>
  </si>
  <si>
    <t>https://icodrops.com/axis-defi/</t>
  </si>
  <si>
    <t>cere</t>
  </si>
  <si>
    <t>https://icodrops.com/anyswap/</t>
  </si>
  <si>
    <t>https://icodrops.com/meter/</t>
  </si>
  <si>
    <t>https://www.okex.com/support/hc/en-us/articles/360043824132-OKEx-Jumpstart-x-WGRT-WaykiChain-Governance-Coin-Token-Sale-Details</t>
  </si>
  <si>
    <t>https://launchpad.binancezh.com/en/lottery/d240049b2e1d42e1a4df39d0e6567e6f</t>
  </si>
  <si>
    <t>https://icodrops.com/serum/</t>
  </si>
  <si>
    <t>https://icodrops.com/bitbns/</t>
  </si>
  <si>
    <t>https://icodrops.com/bidesk/</t>
  </si>
  <si>
    <t>https://icodrops.com/wazirx/</t>
  </si>
  <si>
    <t>https://download.wazirx.com/wrx/wrx-whitepaper.pdf?utm_source=coincodex&amp;utm_medium=referral</t>
  </si>
  <si>
    <t>https://icodrops.com/troy-network/</t>
  </si>
  <si>
    <t>https://research.binance.com/en/projects/troy</t>
  </si>
  <si>
    <t>https://icodrops.com/resistance/</t>
  </si>
  <si>
    <t>https://icodrops.com/gate-io/</t>
  </si>
  <si>
    <t>https://icodrops.com/velic/</t>
  </si>
  <si>
    <t>https://icodrops.com/neonexchange/</t>
  </si>
  <si>
    <t>https://icodrops.com/finnexus/</t>
  </si>
  <si>
    <t>https://icodrops.com/hyperdao/</t>
  </si>
  <si>
    <t>https://icodrops.com/kava/</t>
  </si>
  <si>
    <t>https://icodrops.com/roobee/</t>
  </si>
  <si>
    <t>https://icodrops.com/attn-token/</t>
  </si>
  <si>
    <t>https://about.soar.earth/soar_whitepaper.pdf</t>
  </si>
  <si>
    <t>https://icodrops.com/whole-network/</t>
  </si>
  <si>
    <t>https://www.woo.network/Litepaper.pdf</t>
  </si>
  <si>
    <t>https://icodrops.com/helis/</t>
  </si>
  <si>
    <t>https://info.avax.network/</t>
  </si>
  <si>
    <t>https://icodrops.com/linear-finance/</t>
  </si>
  <si>
    <t>https://icodrops.com/lien/</t>
  </si>
  <si>
    <t>https://icodrops.com/perpetual-protocol/</t>
  </si>
  <si>
    <t>https://icodrops.com/skale-network/</t>
  </si>
  <si>
    <t>https://icodrops.com/openpredict/</t>
  </si>
  <si>
    <t>https://icodrops.com/swingby/</t>
  </si>
  <si>
    <t>https://icodrops.com/orion-protocol/</t>
  </si>
  <si>
    <t>https://icodrops.com/band-protocol/</t>
  </si>
  <si>
    <t>https://icodrops.com/perlin/</t>
  </si>
  <si>
    <t>https://icodrops.com/fetch-ai/</t>
  </si>
  <si>
    <t>https://icodrops.com/uncloak/</t>
  </si>
  <si>
    <t>https://icodrops.com/sentinel-protocol/</t>
  </si>
  <si>
    <t>https://icodrops.com/remme/</t>
  </si>
  <si>
    <t>https://icodrops.com/gladius/</t>
  </si>
  <si>
    <t>https://icodrops.com/fic-network/</t>
  </si>
  <si>
    <t>https://icodrops.com/carblock/</t>
  </si>
  <si>
    <t>https://icomarks.com/ico/rentberry</t>
  </si>
  <si>
    <t>https://icodrops.com/the-bee-token/</t>
  </si>
  <si>
    <t>https://icodrops.com/quantstamp/</t>
  </si>
  <si>
    <t>https://coinexpert.one/coins/quantstamp/</t>
  </si>
  <si>
    <t>pe pre sale</t>
  </si>
  <si>
    <t>https://icodrops.com/kadena/</t>
  </si>
  <si>
    <t>https://icodrops.com/asura-coin/</t>
  </si>
  <si>
    <t>Token sale</t>
  </si>
  <si>
    <t>https://icodrops.com/theabyss/</t>
  </si>
  <si>
    <t>https://icodrops.com/refereum/</t>
  </si>
  <si>
    <t>https://icodrops.com/esports/</t>
  </si>
  <si>
    <t>https://icodrops.com/solve-care/</t>
  </si>
  <si>
    <t>MEDTOKEN</t>
  </si>
  <si>
    <t>https://icodrops.com/medicalchain/</t>
  </si>
  <si>
    <t>https://icodrops.com/insureum/</t>
  </si>
  <si>
    <t>https://etherparty.io/Etherparty_White_Paper_EN.pdf</t>
  </si>
  <si>
    <t>https://icodrops.com/etherparty/</t>
  </si>
  <si>
    <t>https://docs.wixstatic.com/ugd/2e67e5_29748b4fdd17454f8fbe0ee6730be9f2.pdf</t>
  </si>
  <si>
    <t>25/98/17</t>
  </si>
  <si>
    <t>https://icodrops.com/pallycoin/</t>
  </si>
  <si>
    <t>https://icodrops.com/sola/</t>
  </si>
  <si>
    <t>https://flixxo.medium.com/presale-4262bbde0225</t>
  </si>
  <si>
    <t>https://icodrops.com/flixxo/</t>
  </si>
  <si>
    <t>https://guts.tickets/files/GET-Whitepaper-GUTS-Tickets-latest.pdf</t>
  </si>
  <si>
    <t>https://icodrops.com/guts-tickets/</t>
  </si>
  <si>
    <t>https://icodrops.com/maecenas/</t>
  </si>
  <si>
    <t>https://icodrops.com/viberate/</t>
  </si>
  <si>
    <t>29/02/17</t>
  </si>
  <si>
    <t>https://icodrops.com/dadi/</t>
  </si>
  <si>
    <t>RLC</t>
  </si>
  <si>
    <t>https://icomarks.com/ico/iexec</t>
  </si>
  <si>
    <t>https://icomarks.com/ico/adbank</t>
  </si>
  <si>
    <t>https://icodrops.com/adhive/</t>
  </si>
  <si>
    <t>19/12/171</t>
  </si>
  <si>
    <t>https://icomarks.com/ico/aditus - ico</t>
  </si>
  <si>
    <t>https://datum.org/assets/Datum-WhitePaper.pdf</t>
  </si>
  <si>
    <t>https://icodrops.com/gatcoin/</t>
  </si>
  <si>
    <t>https://drive.google.com/file/d/0B2_BLkYG_TdGRGE2MGpyWE1oWkk/view</t>
  </si>
  <si>
    <t>https://icodrops.com/mercury-protocol/</t>
  </si>
  <si>
    <t>ING</t>
  </si>
  <si>
    <t>https://icodrops.com/iungo/</t>
  </si>
  <si>
    <t>https://icodrops.com/qlink/</t>
  </si>
  <si>
    <t>https://icodrops.com/sirin-labs/</t>
  </si>
  <si>
    <t>https://icomarks.com/ico/publica</t>
  </si>
  <si>
    <t>https://icodrops.com/po-et/</t>
  </si>
  <si>
    <t>https://icodrops.com/envion/</t>
  </si>
  <si>
    <t>https://blog.bluzelle.com/bluzelle-token-sale-caps-and-other-info-2a3b3adc9118</t>
  </si>
  <si>
    <t xml:space="preserve">token sale </t>
  </si>
  <si>
    <t>https://gnosis.io/wp-content/uploads/2020/12/TOS_Gnosis.pdf</t>
  </si>
  <si>
    <t>GNO</t>
  </si>
  <si>
    <t>https://neuromation.io/neuromation_white_paper_eng.pdf</t>
  </si>
  <si>
    <t>https://neuromation.io/en/neuromation-pre-sale-results/</t>
  </si>
  <si>
    <t>https://www.airtoken.com/paper/AirFoxICO_WhitePaper_v3.0.pdf</t>
  </si>
  <si>
    <t>https://icotokennews.com/icos/axpire/</t>
  </si>
  <si>
    <t>AXPR</t>
  </si>
  <si>
    <t>https://icodrops.com/crypto20/</t>
  </si>
  <si>
    <t>https://icodrops.com/commerceblock/</t>
  </si>
  <si>
    <t>https://cointelegraph.com/news/cofoundit-completes-worlds-biggest-presale-with-15-mln</t>
  </si>
  <si>
    <t>https://whitepaper.io/document/593/swissborg-whitepaper</t>
  </si>
  <si>
    <t>https://icomarks.com/ico/cindicator</t>
  </si>
  <si>
    <t>https://icodrops.com/covesting/</t>
  </si>
  <si>
    <t>30-1217</t>
  </si>
  <si>
    <t>https://icodrops.com/debitum/</t>
  </si>
  <si>
    <t>https://icomarks.com/ico/fintrux</t>
  </si>
  <si>
    <t>HERO</t>
  </si>
  <si>
    <t>https://icodrops.com/hero/</t>
  </si>
  <si>
    <t>HVN</t>
  </si>
  <si>
    <t>https://icomarks.com/ico/hive-project</t>
  </si>
  <si>
    <t>https://icodrops.com/jibrel-network/</t>
  </si>
  <si>
    <t>https://icodrops.com/latoken/</t>
  </si>
  <si>
    <t>MLN</t>
  </si>
  <si>
    <t>https://icomarks.com/ico/melonport</t>
  </si>
  <si>
    <t>https://icomarks.com/ico/napoleon-x</t>
  </si>
  <si>
    <t>https://cryptorank.io/ico/polybius</t>
  </si>
  <si>
    <t>https://icodrops.com/qash/</t>
  </si>
  <si>
    <t>https://icodrops.com/ripio-credit-network/</t>
  </si>
  <si>
    <t>https://icodrops.com/starbase/</t>
  </si>
  <si>
    <t>https://icodrops.com/time-new-bank/</t>
  </si>
  <si>
    <t>https://icodrops.com/bitdice/</t>
  </si>
  <si>
    <t>https://icodrops.com/unikoingold/</t>
  </si>
  <si>
    <t>https://icodrops.com/lympo/</t>
  </si>
  <si>
    <t>token salte</t>
  </si>
  <si>
    <t>https://icodrops.com/selfkey/</t>
  </si>
  <si>
    <t>https://appcoins.medium.com/appcoins-pre-sale-is-now-open-e2c8168df07d</t>
  </si>
  <si>
    <t>https://icodrops.com/appcoins/</t>
  </si>
  <si>
    <t>https://district0x.io/docs/district0x-whitepaper.pdf</t>
  </si>
  <si>
    <t>DNT</t>
  </si>
  <si>
    <t>https://icomarks.com/ico/dock-io</t>
  </si>
  <si>
    <t>https://icodrops.com/dovu/</t>
  </si>
  <si>
    <t>https://icodrops.com/electrify-asia/</t>
  </si>
  <si>
    <t>https://icodrops.com/enigma/</t>
  </si>
  <si>
    <t>https://icodrops.com/ip-exchange/</t>
  </si>
  <si>
    <t>https://icodrops.com/latium/</t>
  </si>
  <si>
    <t>https://icodrops.com/bitdegree/</t>
  </si>
  <si>
    <t>https://icodrops.com/bread/</t>
  </si>
  <si>
    <t>https://icodrops.com/gifto/</t>
  </si>
  <si>
    <t>https://icodrops.com/monetha/</t>
  </si>
  <si>
    <t>https://icodrops.com/naga/</t>
  </si>
  <si>
    <t>https://icomarks.com/ico/gladius</t>
  </si>
  <si>
    <t>https://icodrops.com/rivetz/</t>
  </si>
  <si>
    <t>https://icodrops.com/atlant/</t>
  </si>
  <si>
    <t>ATL</t>
  </si>
  <si>
    <t>tokn sale</t>
  </si>
  <si>
    <t>https://icodrops.com/real/</t>
  </si>
  <si>
    <t>https://blog.bounty0x.io/what-is-bounty0x-8f59565aea05</t>
  </si>
  <si>
    <t>https://icodrops.com/bounty0x/</t>
  </si>
  <si>
    <t>https://icodrops.com/alis/</t>
  </si>
  <si>
    <t>https://icodrops.com/airswap/</t>
  </si>
  <si>
    <t>https://icodrops.com/leverj/</t>
  </si>
  <si>
    <t>SXUT</t>
  </si>
  <si>
    <t>10-1217</t>
  </si>
  <si>
    <t>https://icodrops.com/spectre/</t>
  </si>
  <si>
    <t>https://www.ebcoin.io/docs/EBCoin_Sale_Policy_EN.pdf</t>
  </si>
  <si>
    <t>FLP</t>
  </si>
  <si>
    <t>https://icomarks.com/ico/gameflip</t>
  </si>
  <si>
    <t>https://icodrops.com/decentraland/</t>
  </si>
  <si>
    <t>https://icodrops.com/matryx/</t>
  </si>
  <si>
    <t>14-1117</t>
  </si>
  <si>
    <t>https://medium.com/etherflair/storm-ico-analysis-8c2d4b83ac9f</t>
  </si>
  <si>
    <t>https://icodrops.com/uos-network/</t>
  </si>
  <si>
    <t>https://icodrops.com/auditchain/</t>
  </si>
  <si>
    <t>https://www.kucoin.com/news/en-announcement-of-coti-token-sale-on-on-kucoin-spotlight</t>
  </si>
  <si>
    <t>https://www.coinspeaker.com/ieo/force-protocol/</t>
  </si>
  <si>
    <t>https://icodrops.com/force-protocol/</t>
  </si>
  <si>
    <t>https://icodrops.com/oath-protocol/</t>
  </si>
  <si>
    <t>https://icodrops.com/connectome/</t>
  </si>
  <si>
    <t>ALLEY</t>
  </si>
  <si>
    <t>https://icodrops.com/nft-alley/</t>
  </si>
  <si>
    <t>https://cryptorank.io/ico/nft-alley</t>
  </si>
  <si>
    <t>https://kickpad.medium.com/kickpad-x-nft-alley-whitelist-is-live-5a19ff8f8442</t>
  </si>
  <si>
    <t>ITGR</t>
  </si>
  <si>
    <t>https://cryptorank.io/ico/integral</t>
  </si>
  <si>
    <t>https://icodrops.com/integral/</t>
  </si>
  <si>
    <t>STARS</t>
  </si>
  <si>
    <t>https://icodrops.com/mogul-productions/</t>
  </si>
  <si>
    <t>https://coinlist.co/mina</t>
  </si>
  <si>
    <t>MINA</t>
  </si>
  <si>
    <t>*</t>
  </si>
  <si>
    <t>https://icodrops.com/findora/</t>
  </si>
  <si>
    <t>https://cryptorank.io/ico/findora</t>
  </si>
  <si>
    <t>FRA</t>
  </si>
  <si>
    <t>https://icodrops.com/unore/</t>
  </si>
  <si>
    <t>UNO</t>
  </si>
  <si>
    <t>LOCG</t>
  </si>
  <si>
    <t>https://cryptorank.io/ico/legends-of-crypto</t>
  </si>
  <si>
    <t>https://cryptorank.io/ico/smoothy</t>
  </si>
  <si>
    <t>SMTY</t>
  </si>
  <si>
    <t>https://smoothy-finance.medium.com/upcoming-ido-schedule-and-token-economics-d670a22162d</t>
  </si>
  <si>
    <t>https://icodrops.com/blockswap/</t>
  </si>
  <si>
    <t>cBSN</t>
  </si>
  <si>
    <t>FINE</t>
  </si>
  <si>
    <t>https://cryptorank.io/ico/refinable</t>
  </si>
  <si>
    <t>MEL</t>
  </si>
  <si>
    <t>0;055</t>
  </si>
  <si>
    <t>https://icodrops.com/melalie/</t>
  </si>
  <si>
    <t>https://medium.com/dehive/dehive-pre-sale-details-de145474ba3b</t>
  </si>
  <si>
    <t>DHV</t>
  </si>
  <si>
    <t>https://cryptorank.io/ico/dehive</t>
  </si>
  <si>
    <t>MOAR</t>
  </si>
  <si>
    <t>https://cryptorank.io/ico/moar-finance</t>
  </si>
  <si>
    <t>https://docs.google.com/presentation/d/1qZaIsB4DhlHAACEONjUiuBSBsrPrObOv0koikadXMwg/edit - slide=id.gbfae7c9dc1_0_60</t>
  </si>
  <si>
    <t>https://cryptorank.io/ico/kattana</t>
  </si>
  <si>
    <t>KTN</t>
  </si>
  <si>
    <t>https://docsend.com/view/pimr5znxhc5g6vah</t>
  </si>
  <si>
    <t>LKR</t>
  </si>
  <si>
    <t>https://cryptorank.io/ico/polkalokr</t>
  </si>
  <si>
    <t>https://cryptorank.io/ico/totemfi</t>
  </si>
  <si>
    <t>TOTM</t>
  </si>
  <si>
    <t>https://medium.com/illuvium/9-tokenomics-launchpad-and-reward-details-5894c3b356be</t>
  </si>
  <si>
    <t>ILV</t>
  </si>
  <si>
    <t>https://cryptorank.io/ico/illuvium</t>
  </si>
  <si>
    <t>RAGE</t>
  </si>
  <si>
    <t>https://cryptorank.io/ico/rage-fan</t>
  </si>
  <si>
    <t>https://cryptorank.io/ico/polkamon</t>
  </si>
  <si>
    <t>PMON</t>
  </si>
  <si>
    <t>TIL</t>
  </si>
  <si>
    <t>https://icodrops.com/tidal-finance/</t>
  </si>
  <si>
    <t>https://yfdaifinance.medium.com/impulseven-public-sale-details-21e3c130a759</t>
  </si>
  <si>
    <t>https://cryptorank.io/ico/impulse-ven</t>
  </si>
  <si>
    <t>VEN</t>
  </si>
  <si>
    <t>CATE</t>
  </si>
  <si>
    <t>https://icodrops.com/cash-tech/</t>
  </si>
  <si>
    <t>STR</t>
  </si>
  <si>
    <t>https://icodrops.com/stater/</t>
  </si>
  <si>
    <t>ODDZ</t>
  </si>
  <si>
    <t>https://cryptorank.io/ico/oddz-finance</t>
  </si>
  <si>
    <t>KONO</t>
  </si>
  <si>
    <t>https://cryptorank.io/ico/konomi-network</t>
  </si>
  <si>
    <t>BCUG</t>
  </si>
  <si>
    <t>ALN</t>
  </si>
  <si>
    <t>https://cryptorank.io/ico/aluna</t>
  </si>
  <si>
    <t>PCNT</t>
  </si>
  <si>
    <t>https://token.playcent.com/</t>
  </si>
  <si>
    <t>KYL</t>
  </si>
  <si>
    <t>https://cryptorank.io/ico/kylinnetwork</t>
  </si>
  <si>
    <t>BLANK</t>
  </si>
  <si>
    <t>https://cryptorank.io/ico/blankwallet</t>
  </si>
  <si>
    <t>RAD</t>
  </si>
  <si>
    <t>https://icodrops.com/radicle/</t>
  </si>
  <si>
    <t>MASK</t>
  </si>
  <si>
    <t>https://icodrops.com/mask-network/</t>
  </si>
  <si>
    <t>VSP</t>
  </si>
  <si>
    <t>https://docs.vesper.finance/vsp-economics/supply-dynamics</t>
  </si>
  <si>
    <t>https://docsend.com/view/mbhvi379crhagtwp</t>
  </si>
  <si>
    <t>SOV</t>
  </si>
  <si>
    <t>VAI</t>
  </si>
  <si>
    <t>https://cryptorank.io/ico/vaiot</t>
  </si>
  <si>
    <t>https://medium.com/peanut-trade/peanut-tokenomics-4ac94c1328d7</t>
  </si>
  <si>
    <t>NUX</t>
  </si>
  <si>
    <t>02-02-.21</t>
  </si>
  <si>
    <t>https://research.binance.com/en/projects/safepal</t>
  </si>
  <si>
    <t>SFP</t>
  </si>
  <si>
    <t>https://medium.com/razor-network/razor-network-tokenomics-476933cfaaf9</t>
  </si>
  <si>
    <t>RAZOR</t>
  </si>
  <si>
    <t>ALICE</t>
  </si>
  <si>
    <t>https://icodrops.com/my-neighbor-alice/</t>
  </si>
  <si>
    <t>MAPS</t>
  </si>
  <si>
    <t>https://icodrops.com/maps-me/</t>
  </si>
  <si>
    <t>BMI</t>
  </si>
  <si>
    <t>https://cryptorank.io/ico/bridge-mutual</t>
  </si>
  <si>
    <t>YOP</t>
  </si>
  <si>
    <t>https://icodrops.com/cudos/</t>
  </si>
  <si>
    <t>CUDOS</t>
  </si>
  <si>
    <t>https://research.blackdragon.io/portfolio/snapshot/cudos/</t>
  </si>
  <si>
    <t>https://yop.finance/wp-content/uploads/2021/01/Yoponomics_Jan_2021.pdf</t>
  </si>
  <si>
    <t>BIFI</t>
  </si>
  <si>
    <t>https://icodrops.com/bifi/</t>
  </si>
  <si>
    <t>https://research.binance.com/en/projects/unifi-protocol-dao</t>
  </si>
  <si>
    <t>UNIFI</t>
  </si>
  <si>
    <t>https://icodrops.com/unifi-protocol-dao/</t>
  </si>
  <si>
    <t>https://medium.com/terravirtua/introducing-terra-virtua-tokenomics-aeb8a86f9dd7</t>
  </si>
  <si>
    <t>TVK</t>
  </si>
  <si>
    <t>PPAY</t>
  </si>
  <si>
    <t>https://icodrops.com/plasmapay/</t>
  </si>
  <si>
    <t>YLD</t>
  </si>
  <si>
    <t>https://icodrops.com/yield/</t>
  </si>
  <si>
    <t>BFC</t>
  </si>
  <si>
    <t>https://cryptorank.io/ico/bifrost</t>
  </si>
  <si>
    <t>REEF</t>
  </si>
  <si>
    <t>https://cryptorank.io/ico/reef</t>
  </si>
  <si>
    <t>https://research.binance.com/en/projects/reef-finance</t>
  </si>
  <si>
    <t>HGET</t>
  </si>
  <si>
    <t>https://icodrops.com/hedget/</t>
  </si>
  <si>
    <t>https://cryptorank.io/ico/sandbox</t>
  </si>
  <si>
    <t>o</t>
  </si>
  <si>
    <t>https://icodrops.com/desmos/</t>
  </si>
  <si>
    <t>AAX</t>
  </si>
  <si>
    <t>https://cryptorank.io/ico/aax-token</t>
  </si>
  <si>
    <t>DMM</t>
  </si>
  <si>
    <t>https://icodrops.com/dmm-governance-token/</t>
  </si>
  <si>
    <t>0.00300</t>
  </si>
  <si>
    <t>https://cryptorank.io/ico/just</t>
  </si>
  <si>
    <t>https://icodrops.com/tokoin/</t>
  </si>
  <si>
    <t>https://icodrops.com/pledgecamp/</t>
  </si>
  <si>
    <t>https://cryptorank.io/ico/wink-token</t>
  </si>
  <si>
    <t>https://icodrops.com/deepcloud-ai/</t>
  </si>
  <si>
    <t>https://icomarks.com/ico/zeux</t>
  </si>
  <si>
    <t>https://icodrops.com/opiria/</t>
  </si>
  <si>
    <t>https://www.coindesk.com/algorand-raises-60-million-in-token-sale</t>
  </si>
  <si>
    <t>https://icodrops.com/pivot/</t>
  </si>
  <si>
    <t>https://icodrops.com/reserve/</t>
  </si>
  <si>
    <t>https://icohigh.net/healthcare/169-allive.html</t>
  </si>
  <si>
    <t>https://medium.com/@webloc/notice-webloc-presale-notice-a77f5595ef36</t>
  </si>
  <si>
    <t>https://cryptopotato.com/ico/thunder-core/</t>
  </si>
  <si>
    <t>https://icodrops.com/thunder-token/</t>
  </si>
  <si>
    <t>https://icodrops.com/aivia/</t>
  </si>
  <si>
    <t>https://icodrops.com/ioex/</t>
  </si>
  <si>
    <t>https://icohigh.net/iot/1-blockcloud.html</t>
  </si>
  <si>
    <t>https://www.cryptyk.io/files/Cryptyk-Information-Memorandum_Mar_2018.pdf</t>
  </si>
  <si>
    <t>https://cryptorank.io/ico/covalent</t>
  </si>
  <si>
    <t>https://icodrops.com/moonx/</t>
  </si>
  <si>
    <t>https://gamb.io/terms-conditions/</t>
  </si>
  <si>
    <t>https://lib.tutellus.com/ico/pdf/tutellus.io_one_pager_v3.4.1_en.pdf</t>
  </si>
  <si>
    <t>https://icodrops.com/carry-protocol/</t>
  </si>
  <si>
    <t>https://icodrops.com/verasity/</t>
  </si>
  <si>
    <t>VER</t>
  </si>
  <si>
    <t>https://cryptorank.io/ico/dxchain</t>
  </si>
  <si>
    <t>https://icodrops.com/farmatrust/</t>
  </si>
  <si>
    <t>https://medium.com/quadrantprotocol/quadrant-protocol-public-sale-instructions-4138a242b0f7</t>
  </si>
  <si>
    <t>OBOT</t>
  </si>
  <si>
    <t>https://icodrops.com/quadrant-protocol/</t>
  </si>
  <si>
    <t>https://www.probit.com/en-us/ieo/obot-round1/0</t>
  </si>
  <si>
    <t>https://icodrops.com/incx/</t>
  </si>
  <si>
    <t>https://icodrops.com/traceto/</t>
  </si>
  <si>
    <t xml:space="preserve">MAS </t>
  </si>
  <si>
    <t>https://icodrops.com/midas-protocol/</t>
  </si>
  <si>
    <t>https://icodrops.com/databroker-dao/</t>
  </si>
  <si>
    <t>https://icodrops.com/cool-cousin/</t>
  </si>
  <si>
    <t>https://icodrops.com/rightmesh/</t>
  </si>
  <si>
    <t>DFYN</t>
  </si>
  <si>
    <t>https://twitter.com/_dfyn</t>
  </si>
  <si>
    <t>https://dfyn-network.medium.com/dfyn-whitelist-for-polkastarter-ido-is-now-open-round-1-82241ce5220</t>
  </si>
  <si>
    <t>https://busy.technology/attachments/busy-pitch-deck.pdf</t>
  </si>
  <si>
    <t>BUSY</t>
  </si>
  <si>
    <t>https://icodrops.com/busy/</t>
  </si>
  <si>
    <t>https://cryptorank.io/ico/busy</t>
  </si>
  <si>
    <t>CLV</t>
  </si>
  <si>
    <t>https://cryptorank.io/ico/clover</t>
  </si>
  <si>
    <t>https://icodrops.com/clover/</t>
  </si>
  <si>
    <t>https://blog.coinlist.co/announcing-the-clover-token-sale-on-coinlist/</t>
  </si>
  <si>
    <t>https://coinlist.co/clover</t>
  </si>
  <si>
    <t>NAOS</t>
  </si>
  <si>
    <t>https://medium.com/naos-finance/fasten-your-seatbelts-for-naos-finances-polkastarter-ido-whitelist-now-open-edf0fce2803b</t>
  </si>
  <si>
    <t>https://cryptorank.io/ico/blackhole-protocol</t>
  </si>
  <si>
    <t>BLACK</t>
  </si>
  <si>
    <t>TCP</t>
  </si>
  <si>
    <t>https://cryptorank.io/ico/crypto-prophecies</t>
  </si>
  <si>
    <t>KEL</t>
  </si>
  <si>
    <t>https://icodrops.com/kelvpn/</t>
  </si>
  <si>
    <t>https://hackenclub.medium.com/meet-disbalancer-tokenomics-a9bdf22fb9cd</t>
  </si>
  <si>
    <t>https://icodrops.com/disbalancer/</t>
  </si>
  <si>
    <t>DDOS</t>
  </si>
  <si>
    <t>TWIT MESS DEL 11 APR E FINE MARZ</t>
  </si>
  <si>
    <t>https://cryptorank.io/ico/yellow-road</t>
  </si>
  <si>
    <t>https://icodrops.com/yellowroad/</t>
  </si>
  <si>
    <t>PKF</t>
  </si>
  <si>
    <t>https://cryptorank.io/ico/polka-foundry</t>
  </si>
  <si>
    <t>https://icodrops.com/polkafoundry/</t>
  </si>
  <si>
    <t>EROWAN</t>
  </si>
  <si>
    <t>https://sifchain.finance/tokensale/ - instructions</t>
  </si>
  <si>
    <t>https://icodrops.com/sifchain-finance/</t>
  </si>
  <si>
    <t>https://cryptorank.io/ico/sifchain</t>
  </si>
  <si>
    <t>https://www.cudos.org/wp-content/uploads/sites/17/2020/10/CUDOS-LITEPAPER.pdf</t>
  </si>
  <si>
    <t>XED</t>
  </si>
  <si>
    <t>https://exeedme.medium.com/exeedme-is-raising-on-polkastarter-and-listing-on-uniswap-on-the-30th-december-6c2ec28fa9ab</t>
  </si>
  <si>
    <t>https://icodrops.com/exeedme/</t>
  </si>
  <si>
    <t>https://aavegotchi.medium.com/aavegotchi-ghst-token-distribution-pre-launch-primer-58f0c06ab045</t>
  </si>
  <si>
    <t>https://aavegotchi.medium.com/aavegotchi-community-update-6-ecece9ba73de</t>
  </si>
  <si>
    <t>https://docs.google.com/document/d/186zOapKeHNNJ9y8LIByQQ64rs0eJUlEF/edit</t>
  </si>
  <si>
    <t>DAI</t>
  </si>
  <si>
    <t>https://unilend.medium.com/announcing-the-unilend-uft-public-sale-interest-form-is-now-live-17e0cc6d7ad7</t>
  </si>
  <si>
    <t>https://icodrops.com/datx/</t>
  </si>
  <si>
    <t>https://icodrops.com/mad-network/</t>
  </si>
  <si>
    <t>https://icomarks.com/ico/effect-ai</t>
  </si>
  <si>
    <t>https://cryptorank.io/ico/cortex</t>
  </si>
  <si>
    <t>https://icodrops.com/singularitynet/</t>
  </si>
  <si>
    <t>https://icodrops.com/deepbrain-chain/</t>
  </si>
  <si>
    <t>https://icodrops.com/doc-ai/</t>
  </si>
  <si>
    <t>https://icodrops.com/change-bank/</t>
  </si>
  <si>
    <t>https://icodrops.com/finom/</t>
  </si>
  <si>
    <t>https://neironix.io/documents/whitepaper/5806/WhitePaperEn.pdf</t>
  </si>
  <si>
    <t>https://icodrops.com/dentacoin/</t>
  </si>
  <si>
    <t>https://cpayfoundation.com/ico_cpay_wp.pdf</t>
  </si>
  <si>
    <t>https://icodrops.com/cryptopay/</t>
  </si>
  <si>
    <t>https://icodrops.com/cro/</t>
  </si>
  <si>
    <t>https://medium.com/dfinity/announcing-the-dfinity-presale-fundraise-and-public-airdrop-cdea19892ef6</t>
  </si>
  <si>
    <t>CHF</t>
  </si>
  <si>
    <t>CONTROLLARE I VALORI DEI PREZZI</t>
  </si>
  <si>
    <t>https://cryptorank.io/ico/genaro-network</t>
  </si>
  <si>
    <t>https://icodrops.com/internxt/</t>
  </si>
  <si>
    <t>STPRJ</t>
  </si>
  <si>
    <t>https://icodrops.com/storj/</t>
  </si>
  <si>
    <t>https://icodrops.com/coinlancer/</t>
  </si>
  <si>
    <t>https://icodrops.com/ties-network/</t>
  </si>
  <si>
    <t>https://icorating.com/ico/holo-hot/</t>
  </si>
  <si>
    <t>https://icofinch.com/neufund-ico/</t>
  </si>
  <si>
    <t>https://icodrops.com/science/</t>
  </si>
  <si>
    <t>https://icodrops.com/kickico/</t>
  </si>
  <si>
    <t>https://icofinch.com/astronaut-ico/</t>
  </si>
  <si>
    <t>NAUT</t>
  </si>
  <si>
    <t>MET</t>
  </si>
  <si>
    <t>https://icodrops.com/metronome/</t>
  </si>
  <si>
    <t>https://medium.com/coinsolidation/alchemint-review-stablecoin-management-system-932db61b579e</t>
  </si>
  <si>
    <t>https://icoexaminer.com/ico-news/dragon-coin-token-sale-reels-407m-floating-casino/</t>
  </si>
  <si>
    <t>https://icodrops.com/synthetix/</t>
  </si>
  <si>
    <t>https://icodrops.com/stack/</t>
  </si>
  <si>
    <t>https://www.coinfi.com/coins/tokenpay</t>
  </si>
  <si>
    <t>https://icodrops.com/props/</t>
  </si>
  <si>
    <t>https://icofinch.com/electroneum-ico/</t>
  </si>
  <si>
    <t>https://cryptorank.io/ico/kin</t>
  </si>
  <si>
    <t>https://medium.com/crypt-bytes-tech/ico-review-dimcoin-4e0de96d0d59</t>
  </si>
  <si>
    <t>https://blog.chronobank.io/all-about-the-chronobank-ecosystem-c965de6fdc5</t>
  </si>
  <si>
    <t>https://medium.com/bolt-global/details-on-bolt-tokenomics-148e66554a0f</t>
  </si>
  <si>
    <t>https://icodrops.com/fysical/</t>
  </si>
  <si>
    <t>https://icohigh.net/data-service/121-bittorrent.html</t>
  </si>
  <si>
    <t>https://cryptorank.io/ico/airbloc</t>
  </si>
  <si>
    <t>https://icodrops.com/airbloc-protocol/</t>
  </si>
  <si>
    <t>AR</t>
  </si>
  <si>
    <t>https://cryptorank.io/ico/arweave</t>
  </si>
  <si>
    <t>https://icodrops.com/elysian/</t>
  </si>
  <si>
    <t>https://medium.com/@Elysian_Ely/elysian-pre-tge-sold-out-and-tge-launched-on-qryptos-on-june-20th-f4d2dc5af27d</t>
  </si>
  <si>
    <t>ci sono molti articoli su medium</t>
  </si>
  <si>
    <t>https://twitter.com/electrifyasia</t>
  </si>
  <si>
    <t>VPR</t>
  </si>
  <si>
    <t>https://drive.google.com/file/d/0B_OW_EddXO5RWWFVQjJGZXpQT3c/view?resourcekey=0-2TRpYfdTsBKEb_9DPI8RgA</t>
  </si>
  <si>
    <t>https://coingape.com/after-a-successful-presale-wepower-ico-becomes-investors-first-choice/</t>
  </si>
  <si>
    <t>https://blog.restartenergy.io/hedge-your-cryptocurrencies-in-energy-with-mwat-your-crypto-safety-net-1dda06b90a37</t>
  </si>
  <si>
    <t>https://icodrops.com/aax-token/</t>
  </si>
  <si>
    <t>https://icodrops.com/bitpanda/</t>
  </si>
  <si>
    <t>https://cryptopotato.com/ico/bitsdaq/</t>
  </si>
  <si>
    <t>https://icodrops.com/bitfinex/</t>
  </si>
  <si>
    <t>https://static.coinpaprika.com/storage/cdn/whitepapers/10583549.pdf</t>
  </si>
  <si>
    <t>https://cryptorank.io/ico/moonx</t>
  </si>
  <si>
    <t>https://cute766.info/vet-oceanex-oce-coin-offering-announced/</t>
  </si>
  <si>
    <t>https://www.cryptoground.com/ico/mandala</t>
  </si>
  <si>
    <t>https://icodrops.com/switcheo-network/</t>
  </si>
  <si>
    <t>https://icodrops.com/huobi-token/</t>
  </si>
  <si>
    <t>https://medium.com/@globitex/how-to-participate-in-the-globitex-gbx-token-sale-70caf4bcf80e</t>
  </si>
  <si>
    <t>https://finanza.primeconsult.it/cose-omisego-omg-come-funziona-il-token-e-dove-comprarlo/</t>
  </si>
  <si>
    <t>https://medium.com/@moneytoken/the-moneytoken-pre-sale-has-almost-ended-with-only-2-days-left-for-contributions-and-the-chance-2fdf81f9abec</t>
  </si>
  <si>
    <t>https://cryptorank.io/ico/hold</t>
  </si>
  <si>
    <t>https://cryptorank.io/ico/libra-credit</t>
  </si>
  <si>
    <t>https://icodrops.com/lendingblock/</t>
  </si>
  <si>
    <t>https://icodrops.com/celsius/</t>
  </si>
  <si>
    <t>https://bitrazzi.com/crowd-genie-pre-ico/</t>
  </si>
  <si>
    <t>https://icodrops.com/babb/</t>
  </si>
  <si>
    <t>https://medium.com/@MyLaLaWorld/lala-world-ico-pre-sale-is-now-live-42c334120c36</t>
  </si>
  <si>
    <t>https://cryptorank.io/ico/bloomtoken</t>
  </si>
  <si>
    <t>https://blog.bankex.org/bankex-announces-public-token-sale-770c72303680</t>
  </si>
  <si>
    <t>https://icodrops.com/ethlend/</t>
  </si>
  <si>
    <t>https://icodrops.com/utrust/</t>
  </si>
  <si>
    <t>https://icodrops.com/micromoney/</t>
  </si>
  <si>
    <t>https://blog.request.network/request-networks-token-sale-terms-overview-ca4278606c3</t>
  </si>
  <si>
    <t>https://icodrops.com/paypie/</t>
  </si>
  <si>
    <t>https://icodrops.com/salt/</t>
  </si>
  <si>
    <t>https://cryptopotato.com/ico/virtue-poker/</t>
  </si>
  <si>
    <t>https://icofinch.com/cloudmoolah-ico/</t>
  </si>
  <si>
    <t>https://cryptototem.com/cloudmoolah-xmoo-ico/</t>
  </si>
  <si>
    <t>REM</t>
  </si>
  <si>
    <t>CBSN</t>
  </si>
  <si>
    <t>GOL</t>
  </si>
  <si>
    <t>telegram</t>
  </si>
  <si>
    <t>LSV1</t>
  </si>
  <si>
    <t>https://kapilendo-public.imgix.net/files/projects/fr-losteria-se/35a339de-6273-4383-9c0c-643af7c1e3a9_Schuldverschreibungbedingungen-WP-10071.pdf</t>
  </si>
  <si>
    <t>PCT</t>
  </si>
  <si>
    <t>RKX</t>
  </si>
  <si>
    <t>CHAINEUM</t>
  </si>
  <si>
    <t>https://www.coinspeaker.com/sto/chaineum/</t>
  </si>
  <si>
    <t>BKN</t>
  </si>
  <si>
    <t>KRTEX</t>
  </si>
  <si>
    <t>TMLS</t>
  </si>
  <si>
    <t>BWT</t>
  </si>
  <si>
    <t>https://s3.amazonaws.com/stm-public-local/sto/manualsync/5fcdf67cf47a-bitwhale_whitepaper_specimen.pdf</t>
  </si>
  <si>
    <t>SPO8</t>
  </si>
  <si>
    <t>https://www.sec.gov/Archives/edgar/data/1771719/000177171919000001/xslFormDX01/primary_doc.xml</t>
  </si>
  <si>
    <t>INDX</t>
  </si>
  <si>
    <t>DIGI</t>
  </si>
  <si>
    <t>TMMA</t>
  </si>
  <si>
    <t>PCOM</t>
  </si>
  <si>
    <t>https://d19j0qt0x55bap.cloudfront.net/production/startups/popcom/documents/offering_details/Popcom_Amended_Offering_Details.pdf</t>
  </si>
  <si>
    <t>AAPL</t>
  </si>
  <si>
    <t>BB1</t>
  </si>
  <si>
    <t>https://icorating.com/ico/bitbond/</t>
  </si>
  <si>
    <t>BPS</t>
  </si>
  <si>
    <t>SEF</t>
  </si>
  <si>
    <t>MBTX</t>
  </si>
  <si>
    <t>https://coincodex.com/sto/minedblock/</t>
  </si>
  <si>
    <t>BCAP</t>
  </si>
  <si>
    <t>MPS</t>
  </si>
  <si>
    <t>https://www.mtpelerin.com/blog/token-sale-round-up.html</t>
  </si>
  <si>
    <t>LAEST</t>
  </si>
  <si>
    <t>EDE</t>
  </si>
  <si>
    <t>HBE</t>
  </si>
  <si>
    <t>MHST</t>
  </si>
  <si>
    <t>https://df6qdu189jtsc.cloudfront.net/sto/manualsync/f6c7c13a08b5-MH_WHITEPAPER_04.18.pdf</t>
  </si>
  <si>
    <t>MOBU</t>
  </si>
  <si>
    <t>SPICE</t>
  </si>
  <si>
    <t>ELOC</t>
  </si>
  <si>
    <t>ORBS</t>
  </si>
  <si>
    <t>https://stomarket.com/sto/orbis-orbis</t>
  </si>
  <si>
    <t>STRO</t>
  </si>
  <si>
    <t>RSE</t>
  </si>
  <si>
    <t>RRT</t>
  </si>
  <si>
    <t>PCX</t>
  </si>
  <si>
    <t>NLS</t>
  </si>
  <si>
    <t>H30</t>
  </si>
  <si>
    <t>77G</t>
  </si>
  <si>
    <t>GAIN</t>
  </si>
  <si>
    <t>SGT</t>
  </si>
  <si>
    <t>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</si>
</sst>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.0000"/>
    <numFmt numFmtId="166" formatCode="#,##0.000000"/>
    <numFmt numFmtId="167" formatCode="#,##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3" fontId="0" fillId="0" borderId="0" xfId="1" applyFont="1" applyAlignment="1">
      <alignment horizontal="right"/>
    </xf>
    <xf numFmtId="14" fontId="0" fillId="0" borderId="0" xfId="0" applyNumberFormat="1" applyAlignment="1">
      <alignment horizontal="left"/>
    </xf>
    <xf numFmtId="165" fontId="0" fillId="0" borderId="0" xfId="1" applyNumberFormat="1" applyFont="1" applyAlignment="1">
      <alignment horizontal="right"/>
    </xf>
    <xf numFmtId="3" fontId="0" fillId="0" borderId="0" xfId="1" applyFont="1" applyFill="1" applyAlignment="1">
      <alignment horizontal="right"/>
    </xf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3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0" borderId="0" xfId="1" applyNumberFormat="1" applyFont="1" applyFill="1" applyBorder="1" applyAlignment="1">
      <alignment horizontal="right"/>
    </xf>
    <xf numFmtId="0" fontId="0" fillId="0" borderId="0" xfId="0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0" fillId="0" borderId="0" xfId="0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left"/>
    </xf>
    <xf numFmtId="3" fontId="4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 applyAlignment="1">
      <alignment horizontal="right"/>
    </xf>
    <xf numFmtId="0" fontId="5" fillId="0" borderId="0" xfId="3" applyFont="1" applyFill="1" applyBorder="1"/>
    <xf numFmtId="0" fontId="5" fillId="0" borderId="0" xfId="3" quotePrefix="1" applyFont="1" applyFill="1" applyBorder="1" applyAlignment="1"/>
    <xf numFmtId="0" fontId="5" fillId="0" borderId="0" xfId="3" applyFont="1" applyFill="1" applyBorder="1" applyAlignment="1"/>
    <xf numFmtId="166" fontId="4" fillId="0" borderId="0" xfId="1" applyNumberFormat="1" applyFont="1" applyFill="1" applyBorder="1" applyAlignment="1">
      <alignment horizontal="right"/>
    </xf>
    <xf numFmtId="167" fontId="4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left"/>
    </xf>
    <xf numFmtId="0" fontId="4" fillId="0" borderId="1" xfId="0" applyFont="1" applyBorder="1"/>
    <xf numFmtId="0" fontId="5" fillId="0" borderId="1" xfId="3" applyFont="1" applyBorder="1"/>
    <xf numFmtId="3" fontId="0" fillId="0" borderId="0" xfId="0" applyNumberFormat="1" applyFill="1" applyBorder="1"/>
  </cellXfs>
  <cellStyles count="4">
    <cellStyle name="Comma" xfId="1" builtinId="3" customBuiltin="1"/>
    <cellStyle name="Comma 2" xfId="2" xr:uid="{04AABD58-985F-2D44-B88D-6957AB5A7AF9}"/>
    <cellStyle name="Hyperlink" xfId="3" builtinId="8"/>
    <cellStyle name="Normal" xfId="0" builtinId="0"/>
  </cellStyles>
  <dxfs count="13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9" formatCode="dd/mm/yy"/>
      <alignment horizontal="left" vertical="bottom" textRotation="0" wrapText="0" indent="0" justifyLastLine="0" shrinkToFit="0" readingOrder="0"/>
    </dxf>
    <dxf>
      <numFmt numFmtId="19" formatCode="dd/mm/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3DE5A2-9EB4-2643-B8DC-F595F600DD63}" name="Table1" displayName="Table1" ref="A1:K573" totalsRowShown="0" headerRowDxfId="12" dataDxfId="11" dataCellStyle="Comma">
  <autoFilter ref="A1:K573" xr:uid="{E18BB8FD-2B62-9648-B675-4C2C3BD1F3F5}"/>
  <tableColumns count="11">
    <tableColumn id="1" xr3:uid="{56F876EB-5FEB-C74A-A626-4A3DAEC93762}" name="ticker" dataDxfId="10"/>
    <tableColumn id="2" xr3:uid="{BD434A70-AC5F-1A45-B2CE-41D1BF7A31AE}" name="is_presale" dataDxfId="9"/>
    <tableColumn id="3" xr3:uid="{980472DD-45DF-4546-80EF-C9BA1259E580}" name="event" dataDxfId="8"/>
    <tableColumn id="4" xr3:uid="{C27651A7-8402-A441-86AF-CC313416D872}" name="method" dataDxfId="7"/>
    <tableColumn id="5" xr3:uid="{A4077BE1-140C-F448-8F20-5A45F0341CFA}" name="start_date" dataDxfId="6"/>
    <tableColumn id="6" xr3:uid="{984A4BD0-E9F4-E14D-8962-0460FF28DA62}" name="end_date" dataDxfId="5"/>
    <tableColumn id="7" xr3:uid="{26790C20-2D2A-C54C-A593-6367A05A706B}" name="lenght" dataDxfId="4" dataCellStyle="Comma"/>
    <tableColumn id="8" xr3:uid="{8743D9F4-9E4B-A14D-80AB-ECDA32117DD1}" name="total_num_of_tokens" dataDxfId="3" dataCellStyle="Comma"/>
    <tableColumn id="9" xr3:uid="{AD5C0650-DF95-8E4F-9977-CFC25E505D52}" name="num_token_single_event" dataDxfId="2" dataCellStyle="Comma"/>
    <tableColumn id="10" xr3:uid="{F1FC9C4A-E623-5040-9CEF-E4C047DC50C1}" name="token_price_event" dataDxfId="1" dataCellStyle="Comma"/>
    <tableColumn id="11" xr3:uid="{4A627FB0-E68C-824A-A522-B1091B9A21D1}" name="currency_ev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icomarks.com/ico/publica" TargetMode="External"/><Relationship Id="rId299" Type="http://schemas.openxmlformats.org/officeDocument/2006/relationships/hyperlink" Target="https://blog.coinlist.co/announcing-the-clover-token-sale-on-coinlist/" TargetMode="External"/><Relationship Id="rId21" Type="http://schemas.openxmlformats.org/officeDocument/2006/relationships/hyperlink" Target="https://cryptorank.io/ico/cere-network" TargetMode="External"/><Relationship Id="rId63" Type="http://schemas.openxmlformats.org/officeDocument/2006/relationships/hyperlink" Target="https://icodrops.com/perpetual-protocol/" TargetMode="External"/><Relationship Id="rId159" Type="http://schemas.openxmlformats.org/officeDocument/2006/relationships/hyperlink" Target="https://icodrops.com/bitdegree/" TargetMode="External"/><Relationship Id="rId324" Type="http://schemas.openxmlformats.org/officeDocument/2006/relationships/hyperlink" Target="https://icomarks.com/ico/effect-ai" TargetMode="External"/><Relationship Id="rId366" Type="http://schemas.openxmlformats.org/officeDocument/2006/relationships/hyperlink" Target="https://cryptorank.io/ico/arweave" TargetMode="External"/><Relationship Id="rId170" Type="http://schemas.openxmlformats.org/officeDocument/2006/relationships/hyperlink" Target="https://blog.bounty0x.io/what-is-bounty0x-8f59565aea05" TargetMode="External"/><Relationship Id="rId226" Type="http://schemas.openxmlformats.org/officeDocument/2006/relationships/hyperlink" Target="https://cryptorank.io/ico/kylinnetwork" TargetMode="External"/><Relationship Id="rId268" Type="http://schemas.openxmlformats.org/officeDocument/2006/relationships/hyperlink" Target="https://cryptopotato.com/ico/thunder-core/" TargetMode="External"/><Relationship Id="rId32" Type="http://schemas.openxmlformats.org/officeDocument/2006/relationships/hyperlink" Target="https://icodrops.com/keysians/" TargetMode="External"/><Relationship Id="rId74" Type="http://schemas.openxmlformats.org/officeDocument/2006/relationships/hyperlink" Target="https://icodrops.com/remme/" TargetMode="External"/><Relationship Id="rId128" Type="http://schemas.openxmlformats.org/officeDocument/2006/relationships/hyperlink" Target="https://icodrops.com/commerceblock/" TargetMode="External"/><Relationship Id="rId335" Type="http://schemas.openxmlformats.org/officeDocument/2006/relationships/hyperlink" Target="https://icodrops.com/cro/" TargetMode="External"/><Relationship Id="rId377" Type="http://schemas.openxmlformats.org/officeDocument/2006/relationships/hyperlink" Target="https://static.coinpaprika.com/storage/cdn/whitepapers/10583549.pdf" TargetMode="External"/><Relationship Id="rId5" Type="http://schemas.openxmlformats.org/officeDocument/2006/relationships/hyperlink" Target="https://cryptorank.io/ico/the-graph" TargetMode="External"/><Relationship Id="rId181" Type="http://schemas.openxmlformats.org/officeDocument/2006/relationships/hyperlink" Target="https://icodrops.com/uos-network/" TargetMode="External"/><Relationship Id="rId237" Type="http://schemas.openxmlformats.org/officeDocument/2006/relationships/hyperlink" Target="https://icodrops.com/maps-me/" TargetMode="External"/><Relationship Id="rId402" Type="http://schemas.openxmlformats.org/officeDocument/2006/relationships/hyperlink" Target="https://icofinch.com/cloudmoolah-ico/" TargetMode="External"/><Relationship Id="rId279" Type="http://schemas.openxmlformats.org/officeDocument/2006/relationships/hyperlink" Target="https://cryptorank.io/ico/dxchain" TargetMode="External"/><Relationship Id="rId43" Type="http://schemas.openxmlformats.org/officeDocument/2006/relationships/hyperlink" Target="https://research.binance.com/en/projects/troy" TargetMode="External"/><Relationship Id="rId139" Type="http://schemas.openxmlformats.org/officeDocument/2006/relationships/hyperlink" Target="https://icomarks.com/ico/melonport" TargetMode="External"/><Relationship Id="rId290" Type="http://schemas.openxmlformats.org/officeDocument/2006/relationships/hyperlink" Target="https://icodrops.com/carblock/" TargetMode="External"/><Relationship Id="rId304" Type="http://schemas.openxmlformats.org/officeDocument/2006/relationships/hyperlink" Target="https://icodrops.com/kelvpn/" TargetMode="External"/><Relationship Id="rId346" Type="http://schemas.openxmlformats.org/officeDocument/2006/relationships/hyperlink" Target="https://icodrops.com/kickico/" TargetMode="External"/><Relationship Id="rId388" Type="http://schemas.openxmlformats.org/officeDocument/2006/relationships/hyperlink" Target="https://icodrops.com/lendingblock/" TargetMode="External"/><Relationship Id="rId85" Type="http://schemas.openxmlformats.org/officeDocument/2006/relationships/hyperlink" Target="https://coinexpert.one/coins/quantstamp/" TargetMode="External"/><Relationship Id="rId150" Type="http://schemas.openxmlformats.org/officeDocument/2006/relationships/hyperlink" Target="https://appcoins.medium.com/appcoins-pre-sale-is-now-open-e2c8168df07d" TargetMode="External"/><Relationship Id="rId192" Type="http://schemas.openxmlformats.org/officeDocument/2006/relationships/hyperlink" Target="https://icodrops.com/integral/" TargetMode="External"/><Relationship Id="rId206" Type="http://schemas.openxmlformats.org/officeDocument/2006/relationships/hyperlink" Target="https://docs.google.com/presentation/d/1qZaIsB4DhlHAACEONjUiuBSBsrPrObOv0koikadXMwg/edit" TargetMode="External"/><Relationship Id="rId413" Type="http://schemas.openxmlformats.org/officeDocument/2006/relationships/hyperlink" Target="https://kapilendo-public.imgix.net/files/projects/fr-losteria-se/35a339de-6273-4383-9c0c-643af7c1e3a9_Schuldverschreibungbedingungen-WP-10071.pdf" TargetMode="External"/><Relationship Id="rId248" Type="http://schemas.openxmlformats.org/officeDocument/2006/relationships/hyperlink" Target="https://cryptorank.io/ico/bifrost" TargetMode="External"/><Relationship Id="rId12" Type="http://schemas.openxmlformats.org/officeDocument/2006/relationships/hyperlink" Target="https://icodrops.com/crypterium/" TargetMode="External"/><Relationship Id="rId108" Type="http://schemas.openxmlformats.org/officeDocument/2006/relationships/hyperlink" Target="https://icomarks.com/ico/aditus" TargetMode="External"/><Relationship Id="rId315" Type="http://schemas.openxmlformats.org/officeDocument/2006/relationships/hyperlink" Target="https://www.cudos.org/wp-content/uploads/sites/17/2020/10/CUDOS-LITEPAPER.pdf" TargetMode="External"/><Relationship Id="rId357" Type="http://schemas.openxmlformats.org/officeDocument/2006/relationships/hyperlink" Target="https://cryptorank.io/ico/kin" TargetMode="External"/><Relationship Id="rId54" Type="http://schemas.openxmlformats.org/officeDocument/2006/relationships/hyperlink" Target="https://about.soar.earth/soar_whitepaper.pdf" TargetMode="External"/><Relationship Id="rId96" Type="http://schemas.openxmlformats.org/officeDocument/2006/relationships/hyperlink" Target="https://docs.wixstatic.com/ugd/2e67e5_29748b4fdd17454f8fbe0ee6730be9f2.pdf" TargetMode="External"/><Relationship Id="rId161" Type="http://schemas.openxmlformats.org/officeDocument/2006/relationships/hyperlink" Target="https://icodrops.com/crypterium/" TargetMode="External"/><Relationship Id="rId217" Type="http://schemas.openxmlformats.org/officeDocument/2006/relationships/hyperlink" Target="https://yfdaifinance.medium.com/impulseven-public-sale-details-21e3c130a759" TargetMode="External"/><Relationship Id="rId399" Type="http://schemas.openxmlformats.org/officeDocument/2006/relationships/hyperlink" Target="https://icodrops.com/paypie/" TargetMode="External"/><Relationship Id="rId259" Type="http://schemas.openxmlformats.org/officeDocument/2006/relationships/hyperlink" Target="https://cryptorank.io/ico/wink-token" TargetMode="External"/><Relationship Id="rId23" Type="http://schemas.openxmlformats.org/officeDocument/2006/relationships/hyperlink" Target="https://icodrops.com/lambda/" TargetMode="External"/><Relationship Id="rId119" Type="http://schemas.openxmlformats.org/officeDocument/2006/relationships/hyperlink" Target="https://icodrops.com/envion/" TargetMode="External"/><Relationship Id="rId270" Type="http://schemas.openxmlformats.org/officeDocument/2006/relationships/hyperlink" Target="https://icodrops.com/aivia/" TargetMode="External"/><Relationship Id="rId326" Type="http://schemas.openxmlformats.org/officeDocument/2006/relationships/hyperlink" Target="https://icodrops.com/singularitynet/" TargetMode="External"/><Relationship Id="rId65" Type="http://schemas.openxmlformats.org/officeDocument/2006/relationships/hyperlink" Target="https://icodrops.com/openpredict/" TargetMode="External"/><Relationship Id="rId130" Type="http://schemas.openxmlformats.org/officeDocument/2006/relationships/hyperlink" Target="https://whitepaper.io/document/593/swissborg-whitepaper" TargetMode="External"/><Relationship Id="rId368" Type="http://schemas.openxmlformats.org/officeDocument/2006/relationships/hyperlink" Target="https://medium.com/@Elysian_Ely/elysian-pre-tge-sold-out-and-tge-launched-on-qryptos-on-june-20th-f4d2dc5af27d" TargetMode="External"/><Relationship Id="rId172" Type="http://schemas.openxmlformats.org/officeDocument/2006/relationships/hyperlink" Target="https://icodrops.com/alis/" TargetMode="External"/><Relationship Id="rId228" Type="http://schemas.openxmlformats.org/officeDocument/2006/relationships/hyperlink" Target="https://icodrops.com/radicle/" TargetMode="External"/><Relationship Id="rId281" Type="http://schemas.openxmlformats.org/officeDocument/2006/relationships/hyperlink" Target="https://medium.com/quadrantprotocol/quadrant-protocol-public-sale-instructions-4138a242b0f7" TargetMode="External"/><Relationship Id="rId337" Type="http://schemas.openxmlformats.org/officeDocument/2006/relationships/hyperlink" Target="https://www.cryptyk.io/files/Cryptyk-Information-Memorandum_Mar_2018.pdf" TargetMode="External"/><Relationship Id="rId34" Type="http://schemas.openxmlformats.org/officeDocument/2006/relationships/hyperlink" Target="https://icodrops.com/meter/" TargetMode="External"/><Relationship Id="rId76" Type="http://schemas.openxmlformats.org/officeDocument/2006/relationships/hyperlink" Target="https://icodrops.com/gladius/" TargetMode="External"/><Relationship Id="rId141" Type="http://schemas.openxmlformats.org/officeDocument/2006/relationships/hyperlink" Target="https://cryptorank.io/ico/polybius" TargetMode="External"/><Relationship Id="rId379" Type="http://schemas.openxmlformats.org/officeDocument/2006/relationships/hyperlink" Target="https://cute766.info/vet-oceanex-oce-coin-offering-announced/" TargetMode="External"/><Relationship Id="rId7" Type="http://schemas.openxmlformats.org/officeDocument/2006/relationships/hyperlink" Target="https://cryptorank.io/ico/mobiecoin" TargetMode="External"/><Relationship Id="rId183" Type="http://schemas.openxmlformats.org/officeDocument/2006/relationships/hyperlink" Target="https://www.kucoin.com/news/en-announcement-of-coti-token-sale-on-on-kucoin-spotlight" TargetMode="External"/><Relationship Id="rId239" Type="http://schemas.openxmlformats.org/officeDocument/2006/relationships/hyperlink" Target="https://icodrops.com/cudos/" TargetMode="External"/><Relationship Id="rId390" Type="http://schemas.openxmlformats.org/officeDocument/2006/relationships/hyperlink" Target="https://bitrazzi.com/crowd-genie-pre-ico/" TargetMode="External"/><Relationship Id="rId404" Type="http://schemas.openxmlformats.org/officeDocument/2006/relationships/hyperlink" Target="https://guts.tickets/files/GET-Whitepaper-GUTS-Tickets-latest.pdf" TargetMode="External"/><Relationship Id="rId250" Type="http://schemas.openxmlformats.org/officeDocument/2006/relationships/hyperlink" Target="https://research.binance.com/en/projects/reef-finance" TargetMode="External"/><Relationship Id="rId292" Type="http://schemas.openxmlformats.org/officeDocument/2006/relationships/hyperlink" Target="https://dfyn-network.medium.com/dfyn-whitelist-for-polkastarter-ido-is-now-open-round-1-82241ce5220" TargetMode="External"/><Relationship Id="rId306" Type="http://schemas.openxmlformats.org/officeDocument/2006/relationships/hyperlink" Target="https://icodrops.com/disbalancer/" TargetMode="External"/><Relationship Id="rId45" Type="http://schemas.openxmlformats.org/officeDocument/2006/relationships/hyperlink" Target="https://icodrops.com/resistance/" TargetMode="External"/><Relationship Id="rId87" Type="http://schemas.openxmlformats.org/officeDocument/2006/relationships/hyperlink" Target="https://icodrops.com/asura-coin/" TargetMode="External"/><Relationship Id="rId110" Type="http://schemas.openxmlformats.org/officeDocument/2006/relationships/hyperlink" Target="https://datum.org/assets/Datum-WhitePaper.pdf" TargetMode="External"/><Relationship Id="rId348" Type="http://schemas.openxmlformats.org/officeDocument/2006/relationships/hyperlink" Target="https://icofinch.com/astronaut-ico/" TargetMode="External"/><Relationship Id="rId152" Type="http://schemas.openxmlformats.org/officeDocument/2006/relationships/hyperlink" Target="https://district0x.io/docs/district0x-whitepaper.pdf" TargetMode="External"/><Relationship Id="rId194" Type="http://schemas.openxmlformats.org/officeDocument/2006/relationships/hyperlink" Target="https://coinlist.co/mina" TargetMode="External"/><Relationship Id="rId208" Type="http://schemas.openxmlformats.org/officeDocument/2006/relationships/hyperlink" Target="https://docsend.com/view/pimr5znxhc5g6vah" TargetMode="External"/><Relationship Id="rId261" Type="http://schemas.openxmlformats.org/officeDocument/2006/relationships/hyperlink" Target="https://icomarks.com/ico/zeux" TargetMode="External"/><Relationship Id="rId14" Type="http://schemas.openxmlformats.org/officeDocument/2006/relationships/hyperlink" Target="https://icodrops.com/x-power-chain/" TargetMode="External"/><Relationship Id="rId56" Type="http://schemas.openxmlformats.org/officeDocument/2006/relationships/hyperlink" Target="https://www.woo.network/Litepaper.pdf" TargetMode="External"/><Relationship Id="rId317" Type="http://schemas.openxmlformats.org/officeDocument/2006/relationships/hyperlink" Target="https://icodrops.com/exeedme/" TargetMode="External"/><Relationship Id="rId359" Type="http://schemas.openxmlformats.org/officeDocument/2006/relationships/hyperlink" Target="https://blog.chronobank.io/all-about-the-chronobank-ecosystem-c965de6fdc5" TargetMode="External"/><Relationship Id="rId98" Type="http://schemas.openxmlformats.org/officeDocument/2006/relationships/hyperlink" Target="https://icodrops.com/sola/" TargetMode="External"/><Relationship Id="rId121" Type="http://schemas.openxmlformats.org/officeDocument/2006/relationships/hyperlink" Target="https://blog.bluzelle.com/bluzelle-token-sale-caps-and-other-info-2a3b3adc9118" TargetMode="External"/><Relationship Id="rId163" Type="http://schemas.openxmlformats.org/officeDocument/2006/relationships/hyperlink" Target="https://icodrops.com/monetha/" TargetMode="External"/><Relationship Id="rId219" Type="http://schemas.openxmlformats.org/officeDocument/2006/relationships/hyperlink" Target="https://icodrops.com/cash-tech/" TargetMode="External"/><Relationship Id="rId370" Type="http://schemas.openxmlformats.org/officeDocument/2006/relationships/hyperlink" Target="https://drive.google.com/file/d/0B_OW_EddXO5RWWFVQjJGZXpQT3c/view?resourcekey=0-2TRpYfdTsBKEb_9DPI8RgA" TargetMode="External"/><Relationship Id="rId230" Type="http://schemas.openxmlformats.org/officeDocument/2006/relationships/hyperlink" Target="https://docs.vesper.finance/vsp-economics/supply-dynamics" TargetMode="External"/><Relationship Id="rId25" Type="http://schemas.openxmlformats.org/officeDocument/2006/relationships/hyperlink" Target="https://medium.com/astronaut-capital/ieo-ico-review-centaur-cntr-2d076c8ec3ee" TargetMode="External"/><Relationship Id="rId67" Type="http://schemas.openxmlformats.org/officeDocument/2006/relationships/hyperlink" Target="https://icodrops.com/orion-protocol/" TargetMode="External"/><Relationship Id="rId272" Type="http://schemas.openxmlformats.org/officeDocument/2006/relationships/hyperlink" Target="https://icohigh.net/iot/1-blockcloud.html" TargetMode="External"/><Relationship Id="rId328" Type="http://schemas.openxmlformats.org/officeDocument/2006/relationships/hyperlink" Target="https://icodrops.com/doc-ai/" TargetMode="External"/><Relationship Id="rId132" Type="http://schemas.openxmlformats.org/officeDocument/2006/relationships/hyperlink" Target="https://icodrops.com/covesting/" TargetMode="External"/><Relationship Id="rId174" Type="http://schemas.openxmlformats.org/officeDocument/2006/relationships/hyperlink" Target="https://icodrops.com/leverj/" TargetMode="External"/><Relationship Id="rId381" Type="http://schemas.openxmlformats.org/officeDocument/2006/relationships/hyperlink" Target="https://icodrops.com/switcheo-network/" TargetMode="External"/><Relationship Id="rId241" Type="http://schemas.openxmlformats.org/officeDocument/2006/relationships/hyperlink" Target="https://yop.finance/wp-content/uploads/2021/01/Yoponomics_Jan_2021.pdf" TargetMode="External"/><Relationship Id="rId36" Type="http://schemas.openxmlformats.org/officeDocument/2006/relationships/hyperlink" Target="https://launchpad.binancezh.com/en/lottery/d240049b2e1d42e1a4df39d0e6567e6f" TargetMode="External"/><Relationship Id="rId283" Type="http://schemas.openxmlformats.org/officeDocument/2006/relationships/hyperlink" Target="https://www.probit.com/en-us/ieo/obot-round1/0" TargetMode="External"/><Relationship Id="rId339" Type="http://schemas.openxmlformats.org/officeDocument/2006/relationships/hyperlink" Target="https://icodrops.com/internxt/" TargetMode="External"/><Relationship Id="rId78" Type="http://schemas.openxmlformats.org/officeDocument/2006/relationships/hyperlink" Target="https://icodrops.com/fic-network/" TargetMode="External"/><Relationship Id="rId101" Type="http://schemas.openxmlformats.org/officeDocument/2006/relationships/hyperlink" Target="https://icodrops.com/guts-tickets/" TargetMode="External"/><Relationship Id="rId143" Type="http://schemas.openxmlformats.org/officeDocument/2006/relationships/hyperlink" Target="https://icodrops.com/ripio-credit-network/" TargetMode="External"/><Relationship Id="rId185" Type="http://schemas.openxmlformats.org/officeDocument/2006/relationships/hyperlink" Target="https://icodrops.com/force-protocol/" TargetMode="External"/><Relationship Id="rId350" Type="http://schemas.openxmlformats.org/officeDocument/2006/relationships/hyperlink" Target="https://medium.com/coinsolidation/alchemint-review-stablecoin-management-system-932db61b579e" TargetMode="External"/><Relationship Id="rId406" Type="http://schemas.openxmlformats.org/officeDocument/2006/relationships/hyperlink" Target="https://www.sec.gov/Archives/edgar/data/1771719/000177171919000001/xslFormDX01/primary_doc.xml" TargetMode="External"/><Relationship Id="rId9" Type="http://schemas.openxmlformats.org/officeDocument/2006/relationships/hyperlink" Target="https://criptovaluteweb.com/ico-bankera/?cn-reloaded=1" TargetMode="External"/><Relationship Id="rId210" Type="http://schemas.openxmlformats.org/officeDocument/2006/relationships/hyperlink" Target="https://cryptorank.io/ico/totemfi" TargetMode="External"/><Relationship Id="rId392" Type="http://schemas.openxmlformats.org/officeDocument/2006/relationships/hyperlink" Target="https://medium.com/@MyLaLaWorld/lala-world-ico-pre-sale-is-now-live-42c334120c36" TargetMode="External"/><Relationship Id="rId252" Type="http://schemas.openxmlformats.org/officeDocument/2006/relationships/hyperlink" Target="https://cryptorank.io/ico/sandbox" TargetMode="External"/><Relationship Id="rId294" Type="http://schemas.openxmlformats.org/officeDocument/2006/relationships/hyperlink" Target="https://busy.technology/attachments/busy-pitch-deck.pdf" TargetMode="External"/><Relationship Id="rId308" Type="http://schemas.openxmlformats.org/officeDocument/2006/relationships/hyperlink" Target="https://icodrops.com/yellowroad/" TargetMode="External"/><Relationship Id="rId47" Type="http://schemas.openxmlformats.org/officeDocument/2006/relationships/hyperlink" Target="https://icodrops.com/velic/" TargetMode="External"/><Relationship Id="rId89" Type="http://schemas.openxmlformats.org/officeDocument/2006/relationships/hyperlink" Target="https://icodrops.com/refereum/" TargetMode="External"/><Relationship Id="rId112" Type="http://schemas.openxmlformats.org/officeDocument/2006/relationships/hyperlink" Target="https://drive.google.com/file/d/0B2_BLkYG_TdGRGE2MGpyWE1oWkk/view" TargetMode="External"/><Relationship Id="rId154" Type="http://schemas.openxmlformats.org/officeDocument/2006/relationships/hyperlink" Target="https://icodrops.com/dovu/" TargetMode="External"/><Relationship Id="rId361" Type="http://schemas.openxmlformats.org/officeDocument/2006/relationships/hyperlink" Target="https://icodrops.com/fysical/" TargetMode="External"/><Relationship Id="rId196" Type="http://schemas.openxmlformats.org/officeDocument/2006/relationships/hyperlink" Target="https://icodrops.com/unore/" TargetMode="External"/><Relationship Id="rId16" Type="http://schemas.openxmlformats.org/officeDocument/2006/relationships/hyperlink" Target="https://cryptorank.io/ico/tokocrypto" TargetMode="External"/><Relationship Id="rId221" Type="http://schemas.openxmlformats.org/officeDocument/2006/relationships/hyperlink" Target="https://cryptorank.io/ico/oddz-finance" TargetMode="External"/><Relationship Id="rId263" Type="http://schemas.openxmlformats.org/officeDocument/2006/relationships/hyperlink" Target="https://www.coindesk.com/algorand-raises-60-million-in-token-sale" TargetMode="External"/><Relationship Id="rId319" Type="http://schemas.openxmlformats.org/officeDocument/2006/relationships/hyperlink" Target="https://aavegotchi.medium.com/aavegotchi-community-update-6-ecece9ba73de" TargetMode="External"/><Relationship Id="rId58" Type="http://schemas.openxmlformats.org/officeDocument/2006/relationships/hyperlink" Target="https://info.avax.network/" TargetMode="External"/><Relationship Id="rId123" Type="http://schemas.openxmlformats.org/officeDocument/2006/relationships/hyperlink" Target="https://neuromation.io/neuromation_white_paper_eng.pdf" TargetMode="External"/><Relationship Id="rId330" Type="http://schemas.openxmlformats.org/officeDocument/2006/relationships/hyperlink" Target="https://icodrops.com/finom/" TargetMode="External"/><Relationship Id="rId165" Type="http://schemas.openxmlformats.org/officeDocument/2006/relationships/hyperlink" Target="https://icodrops.com/naga/" TargetMode="External"/><Relationship Id="rId372" Type="http://schemas.openxmlformats.org/officeDocument/2006/relationships/hyperlink" Target="https://blog.restartenergy.io/hedge-your-cryptocurrencies-in-energy-with-mwat-your-crypto-safety-net-1dda06b90a37" TargetMode="External"/><Relationship Id="rId232" Type="http://schemas.openxmlformats.org/officeDocument/2006/relationships/hyperlink" Target="https://cryptorank.io/ico/vaiot" TargetMode="External"/><Relationship Id="rId274" Type="http://schemas.openxmlformats.org/officeDocument/2006/relationships/hyperlink" Target="https://icodrops.com/moonx/" TargetMode="External"/><Relationship Id="rId27" Type="http://schemas.openxmlformats.org/officeDocument/2006/relationships/hyperlink" Target="https://cryptorank.io/ico/frontier" TargetMode="External"/><Relationship Id="rId69" Type="http://schemas.openxmlformats.org/officeDocument/2006/relationships/hyperlink" Target="https://icodrops.com/perlin/" TargetMode="External"/><Relationship Id="rId134" Type="http://schemas.openxmlformats.org/officeDocument/2006/relationships/hyperlink" Target="https://icomarks.com/ico/fintrux" TargetMode="External"/><Relationship Id="rId80" Type="http://schemas.openxmlformats.org/officeDocument/2006/relationships/hyperlink" Target="https://icomarks.com/ico/rentberry" TargetMode="External"/><Relationship Id="rId155" Type="http://schemas.openxmlformats.org/officeDocument/2006/relationships/hyperlink" Target="https://icodrops.com/electrify-asia/" TargetMode="External"/><Relationship Id="rId176" Type="http://schemas.openxmlformats.org/officeDocument/2006/relationships/hyperlink" Target="https://www.ebcoin.io/docs/EBCoin_Sale_Policy_EN.pdf" TargetMode="External"/><Relationship Id="rId197" Type="http://schemas.openxmlformats.org/officeDocument/2006/relationships/hyperlink" Target="https://cryptorank.io/ico/legends-of-crypto" TargetMode="External"/><Relationship Id="rId341" Type="http://schemas.openxmlformats.org/officeDocument/2006/relationships/hyperlink" Target="https://icodrops.com/coinlancer/" TargetMode="External"/><Relationship Id="rId362" Type="http://schemas.openxmlformats.org/officeDocument/2006/relationships/hyperlink" Target="https://icohigh.net/data-service/121-bittorrent.html" TargetMode="External"/><Relationship Id="rId383" Type="http://schemas.openxmlformats.org/officeDocument/2006/relationships/hyperlink" Target="https://medium.com/@globitex/how-to-participate-in-the-globitex-gbx-token-sale-70caf4bcf80e" TargetMode="External"/><Relationship Id="rId201" Type="http://schemas.openxmlformats.org/officeDocument/2006/relationships/hyperlink" Target="https://cryptorank.io/ico/refinable" TargetMode="External"/><Relationship Id="rId222" Type="http://schemas.openxmlformats.org/officeDocument/2006/relationships/hyperlink" Target="https://cryptorank.io/ico/konomi-network" TargetMode="External"/><Relationship Id="rId243" Type="http://schemas.openxmlformats.org/officeDocument/2006/relationships/hyperlink" Target="https://research.binance.com/en/projects/unifi-protocol-dao" TargetMode="External"/><Relationship Id="rId264" Type="http://schemas.openxmlformats.org/officeDocument/2006/relationships/hyperlink" Target="https://icodrops.com/pivot/" TargetMode="External"/><Relationship Id="rId285" Type="http://schemas.openxmlformats.org/officeDocument/2006/relationships/hyperlink" Target="https://icodrops.com/traceto/" TargetMode="External"/><Relationship Id="rId17" Type="http://schemas.openxmlformats.org/officeDocument/2006/relationships/hyperlink" Target="https://cryptorank.io/ico/cartesi" TargetMode="External"/><Relationship Id="rId38" Type="http://schemas.openxmlformats.org/officeDocument/2006/relationships/hyperlink" Target="https://icodrops.com/bitbns/" TargetMode="External"/><Relationship Id="rId59" Type="http://schemas.openxmlformats.org/officeDocument/2006/relationships/hyperlink" Target="https://info.avax.network/" TargetMode="External"/><Relationship Id="rId103" Type="http://schemas.openxmlformats.org/officeDocument/2006/relationships/hyperlink" Target="https://icodrops.com/viberate/" TargetMode="External"/><Relationship Id="rId124" Type="http://schemas.openxmlformats.org/officeDocument/2006/relationships/hyperlink" Target="https://neuromation.io/en/neuromation-pre-sale-results/" TargetMode="External"/><Relationship Id="rId310" Type="http://schemas.openxmlformats.org/officeDocument/2006/relationships/hyperlink" Target="https://icodrops.com/polkafoundry/" TargetMode="External"/><Relationship Id="rId70" Type="http://schemas.openxmlformats.org/officeDocument/2006/relationships/hyperlink" Target="https://icodrops.com/fetch-ai/" TargetMode="External"/><Relationship Id="rId91" Type="http://schemas.openxmlformats.org/officeDocument/2006/relationships/hyperlink" Target="https://icodrops.com/solve-care/" TargetMode="External"/><Relationship Id="rId145" Type="http://schemas.openxmlformats.org/officeDocument/2006/relationships/hyperlink" Target="https://icodrops.com/time-new-bank/" TargetMode="External"/><Relationship Id="rId166" Type="http://schemas.openxmlformats.org/officeDocument/2006/relationships/hyperlink" Target="https://icomarks.com/ico/gladius" TargetMode="External"/><Relationship Id="rId187" Type="http://schemas.openxmlformats.org/officeDocument/2006/relationships/hyperlink" Target="https://icodrops.com/connectome/" TargetMode="External"/><Relationship Id="rId331" Type="http://schemas.openxmlformats.org/officeDocument/2006/relationships/hyperlink" Target="https://neironix.io/documents/whitepaper/5806/WhitePaperEn.pdf" TargetMode="External"/><Relationship Id="rId352" Type="http://schemas.openxmlformats.org/officeDocument/2006/relationships/hyperlink" Target="https://icodrops.com/synthetix/" TargetMode="External"/><Relationship Id="rId373" Type="http://schemas.openxmlformats.org/officeDocument/2006/relationships/hyperlink" Target="https://icodrops.com/aax-token/" TargetMode="External"/><Relationship Id="rId394" Type="http://schemas.openxmlformats.org/officeDocument/2006/relationships/hyperlink" Target="https://blog.bankex.org/bankex-announces-public-token-sale-770c72303680" TargetMode="External"/><Relationship Id="rId408" Type="http://schemas.openxmlformats.org/officeDocument/2006/relationships/hyperlink" Target="https://icorating.com/ico/bitbond/" TargetMode="External"/><Relationship Id="rId1" Type="http://schemas.openxmlformats.org/officeDocument/2006/relationships/hyperlink" Target="https://www.binance.com/en/support/announcement/1c097191f01345b090018ffcd30e445c" TargetMode="External"/><Relationship Id="rId212" Type="http://schemas.openxmlformats.org/officeDocument/2006/relationships/hyperlink" Target="https://medium.com/illuvium/9-tokenomics-launchpad-and-reward-details-5894c3b356be" TargetMode="External"/><Relationship Id="rId233" Type="http://schemas.openxmlformats.org/officeDocument/2006/relationships/hyperlink" Target="https://medium.com/peanut-trade/peanut-tokenomics-4ac94c1328d7" TargetMode="External"/><Relationship Id="rId254" Type="http://schemas.openxmlformats.org/officeDocument/2006/relationships/hyperlink" Target="https://cryptorank.io/ico/aax-token" TargetMode="External"/><Relationship Id="rId28" Type="http://schemas.openxmlformats.org/officeDocument/2006/relationships/hyperlink" Target="https://www.bidaochain.com/static/docs/tokenoffer.pdf" TargetMode="External"/><Relationship Id="rId49" Type="http://schemas.openxmlformats.org/officeDocument/2006/relationships/hyperlink" Target="https://icodrops.com/finnexus/" TargetMode="External"/><Relationship Id="rId114" Type="http://schemas.openxmlformats.org/officeDocument/2006/relationships/hyperlink" Target="https://icodrops.com/iungo/" TargetMode="External"/><Relationship Id="rId275" Type="http://schemas.openxmlformats.org/officeDocument/2006/relationships/hyperlink" Target="https://gamb.io/terms-conditions/" TargetMode="External"/><Relationship Id="rId296" Type="http://schemas.openxmlformats.org/officeDocument/2006/relationships/hyperlink" Target="https://cryptorank.io/ico/busy" TargetMode="External"/><Relationship Id="rId300" Type="http://schemas.openxmlformats.org/officeDocument/2006/relationships/hyperlink" Target="https://coinlist.co/clover" TargetMode="External"/><Relationship Id="rId60" Type="http://schemas.openxmlformats.org/officeDocument/2006/relationships/hyperlink" Target="https://icodrops.com/linear-finance/" TargetMode="External"/><Relationship Id="rId81" Type="http://schemas.openxmlformats.org/officeDocument/2006/relationships/hyperlink" Target="https://icodrops.com/the-bee-token/" TargetMode="External"/><Relationship Id="rId135" Type="http://schemas.openxmlformats.org/officeDocument/2006/relationships/hyperlink" Target="https://icodrops.com/hero/" TargetMode="External"/><Relationship Id="rId156" Type="http://schemas.openxmlformats.org/officeDocument/2006/relationships/hyperlink" Target="https://icodrops.com/enigma/" TargetMode="External"/><Relationship Id="rId177" Type="http://schemas.openxmlformats.org/officeDocument/2006/relationships/hyperlink" Target="https://icomarks.com/ico/gameflip" TargetMode="External"/><Relationship Id="rId198" Type="http://schemas.openxmlformats.org/officeDocument/2006/relationships/hyperlink" Target="https://cryptorank.io/ico/smoothy" TargetMode="External"/><Relationship Id="rId321" Type="http://schemas.openxmlformats.org/officeDocument/2006/relationships/hyperlink" Target="https://unilend.medium.com/announcing-the-unilend-uft-public-sale-interest-form-is-now-live-17e0cc6d7ad7" TargetMode="External"/><Relationship Id="rId342" Type="http://schemas.openxmlformats.org/officeDocument/2006/relationships/hyperlink" Target="https://icodrops.com/ties-network/" TargetMode="External"/><Relationship Id="rId363" Type="http://schemas.openxmlformats.org/officeDocument/2006/relationships/hyperlink" Target="https://cryptorank.io/ico/airbloc" TargetMode="External"/><Relationship Id="rId384" Type="http://schemas.openxmlformats.org/officeDocument/2006/relationships/hyperlink" Target="https://finanza.primeconsult.it/cose-omisego-omg-come-funziona-il-token-e-dove-comprarlo/" TargetMode="External"/><Relationship Id="rId202" Type="http://schemas.openxmlformats.org/officeDocument/2006/relationships/hyperlink" Target="https://icodrops.com/melalie/" TargetMode="External"/><Relationship Id="rId223" Type="http://schemas.openxmlformats.org/officeDocument/2006/relationships/hyperlink" Target="https://cryptorank.io/ico/konomi-network" TargetMode="External"/><Relationship Id="rId244" Type="http://schemas.openxmlformats.org/officeDocument/2006/relationships/hyperlink" Target="https://icodrops.com/unifi-protocol-dao/" TargetMode="External"/><Relationship Id="rId18" Type="http://schemas.openxmlformats.org/officeDocument/2006/relationships/hyperlink" Target="https://cryptorank.io/ico/cartesi" TargetMode="External"/><Relationship Id="rId39" Type="http://schemas.openxmlformats.org/officeDocument/2006/relationships/hyperlink" Target="https://icodrops.com/bidesk/" TargetMode="External"/><Relationship Id="rId265" Type="http://schemas.openxmlformats.org/officeDocument/2006/relationships/hyperlink" Target="https://icodrops.com/reserve/" TargetMode="External"/><Relationship Id="rId286" Type="http://schemas.openxmlformats.org/officeDocument/2006/relationships/hyperlink" Target="https://icodrops.com/midas-protocol/" TargetMode="External"/><Relationship Id="rId50" Type="http://schemas.openxmlformats.org/officeDocument/2006/relationships/hyperlink" Target="https://icodrops.com/hyperdao/" TargetMode="External"/><Relationship Id="rId104" Type="http://schemas.openxmlformats.org/officeDocument/2006/relationships/hyperlink" Target="https://icodrops.com/dadi/" TargetMode="External"/><Relationship Id="rId125" Type="http://schemas.openxmlformats.org/officeDocument/2006/relationships/hyperlink" Target="https://www.airtoken.com/paper/AirFoxICO_WhitePaper_v3.0.pdf" TargetMode="External"/><Relationship Id="rId146" Type="http://schemas.openxmlformats.org/officeDocument/2006/relationships/hyperlink" Target="https://icodrops.com/bitdice/" TargetMode="External"/><Relationship Id="rId167" Type="http://schemas.openxmlformats.org/officeDocument/2006/relationships/hyperlink" Target="https://icodrops.com/rivetz/" TargetMode="External"/><Relationship Id="rId188" Type="http://schemas.openxmlformats.org/officeDocument/2006/relationships/hyperlink" Target="https://icodrops.com/nft-alley/" TargetMode="External"/><Relationship Id="rId311" Type="http://schemas.openxmlformats.org/officeDocument/2006/relationships/hyperlink" Target="https://sifchain.finance/tokensale/" TargetMode="External"/><Relationship Id="rId332" Type="http://schemas.openxmlformats.org/officeDocument/2006/relationships/hyperlink" Target="https://icodrops.com/dentacoin/" TargetMode="External"/><Relationship Id="rId353" Type="http://schemas.openxmlformats.org/officeDocument/2006/relationships/hyperlink" Target="https://icodrops.com/stack/" TargetMode="External"/><Relationship Id="rId374" Type="http://schemas.openxmlformats.org/officeDocument/2006/relationships/hyperlink" Target="https://icodrops.com/bitpanda/" TargetMode="External"/><Relationship Id="rId395" Type="http://schemas.openxmlformats.org/officeDocument/2006/relationships/hyperlink" Target="https://icodrops.com/ethlend/" TargetMode="External"/><Relationship Id="rId409" Type="http://schemas.openxmlformats.org/officeDocument/2006/relationships/hyperlink" Target="https://coincodex.com/sto/minedblock/" TargetMode="External"/><Relationship Id="rId71" Type="http://schemas.openxmlformats.org/officeDocument/2006/relationships/hyperlink" Target="https://icodrops.com/uncloak/" TargetMode="External"/><Relationship Id="rId92" Type="http://schemas.openxmlformats.org/officeDocument/2006/relationships/hyperlink" Target="https://icodrops.com/medicalchain/" TargetMode="External"/><Relationship Id="rId213" Type="http://schemas.openxmlformats.org/officeDocument/2006/relationships/hyperlink" Target="https://cryptorank.io/ico/illuvium" TargetMode="External"/><Relationship Id="rId234" Type="http://schemas.openxmlformats.org/officeDocument/2006/relationships/hyperlink" Target="https://research.binance.com/en/projects/safepal" TargetMode="External"/><Relationship Id="rId2" Type="http://schemas.openxmlformats.org/officeDocument/2006/relationships/hyperlink" Target="https://research.binance.com/en/projects/axie-infinity" TargetMode="External"/><Relationship Id="rId29" Type="http://schemas.openxmlformats.org/officeDocument/2006/relationships/hyperlink" Target="https://oin.finance/file/OINWhitePaper.pdf?utm_source=coincodex&amp;utm_medium=referral" TargetMode="External"/><Relationship Id="rId255" Type="http://schemas.openxmlformats.org/officeDocument/2006/relationships/hyperlink" Target="https://icodrops.com/dmm-governance-token/" TargetMode="External"/><Relationship Id="rId276" Type="http://schemas.openxmlformats.org/officeDocument/2006/relationships/hyperlink" Target="https://lib.tutellus.com/ico/pdf/tutellus.io_one_pager_v3.4.1_en.pdf" TargetMode="External"/><Relationship Id="rId297" Type="http://schemas.openxmlformats.org/officeDocument/2006/relationships/hyperlink" Target="https://cryptorank.io/ico/clover" TargetMode="External"/><Relationship Id="rId40" Type="http://schemas.openxmlformats.org/officeDocument/2006/relationships/hyperlink" Target="https://icodrops.com/wazirx/" TargetMode="External"/><Relationship Id="rId115" Type="http://schemas.openxmlformats.org/officeDocument/2006/relationships/hyperlink" Target="https://icodrops.com/qlink/" TargetMode="External"/><Relationship Id="rId136" Type="http://schemas.openxmlformats.org/officeDocument/2006/relationships/hyperlink" Target="https://icomarks.com/ico/hive-project" TargetMode="External"/><Relationship Id="rId157" Type="http://schemas.openxmlformats.org/officeDocument/2006/relationships/hyperlink" Target="https://icodrops.com/ip-exchange/" TargetMode="External"/><Relationship Id="rId178" Type="http://schemas.openxmlformats.org/officeDocument/2006/relationships/hyperlink" Target="https://icodrops.com/decentraland/" TargetMode="External"/><Relationship Id="rId301" Type="http://schemas.openxmlformats.org/officeDocument/2006/relationships/hyperlink" Target="https://medium.com/naos-finance/fasten-your-seatbelts-for-naos-finances-polkastarter-ido-whitelist-now-open-edf0fce2803b" TargetMode="External"/><Relationship Id="rId322" Type="http://schemas.openxmlformats.org/officeDocument/2006/relationships/hyperlink" Target="https://icodrops.com/datx/" TargetMode="External"/><Relationship Id="rId343" Type="http://schemas.openxmlformats.org/officeDocument/2006/relationships/hyperlink" Target="https://icorating.com/ico/holo-hot/" TargetMode="External"/><Relationship Id="rId364" Type="http://schemas.openxmlformats.org/officeDocument/2006/relationships/hyperlink" Target="https://icodrops.com/airbloc-protocol/" TargetMode="External"/><Relationship Id="rId61" Type="http://schemas.openxmlformats.org/officeDocument/2006/relationships/hyperlink" Target="https://icodrops.com/lien/" TargetMode="External"/><Relationship Id="rId82" Type="http://schemas.openxmlformats.org/officeDocument/2006/relationships/hyperlink" Target="https://icodrops.com/the-bee-token/" TargetMode="External"/><Relationship Id="rId199" Type="http://schemas.openxmlformats.org/officeDocument/2006/relationships/hyperlink" Target="https://smoothy-finance.medium.com/upcoming-ido-schedule-and-token-economics-d670a22162d" TargetMode="External"/><Relationship Id="rId203" Type="http://schemas.openxmlformats.org/officeDocument/2006/relationships/hyperlink" Target="https://medium.com/dehive/dehive-pre-sale-details-de145474ba3b" TargetMode="External"/><Relationship Id="rId385" Type="http://schemas.openxmlformats.org/officeDocument/2006/relationships/hyperlink" Target="https://medium.com/@moneytoken/the-moneytoken-pre-sale-has-almost-ended-with-only-2-days-left-for-contributions-and-the-chance-2fdf81f9abec" TargetMode="External"/><Relationship Id="rId19" Type="http://schemas.openxmlformats.org/officeDocument/2006/relationships/hyperlink" Target="https://cryptorank.io/ico/cartesi" TargetMode="External"/><Relationship Id="rId224" Type="http://schemas.openxmlformats.org/officeDocument/2006/relationships/hyperlink" Target="https://cryptorank.io/ico/aluna" TargetMode="External"/><Relationship Id="rId245" Type="http://schemas.openxmlformats.org/officeDocument/2006/relationships/hyperlink" Target="https://medium.com/terravirtua/introducing-terra-virtua-tokenomics-aeb8a86f9dd7" TargetMode="External"/><Relationship Id="rId266" Type="http://schemas.openxmlformats.org/officeDocument/2006/relationships/hyperlink" Target="https://icohigh.net/healthcare/169-allive.html" TargetMode="External"/><Relationship Id="rId287" Type="http://schemas.openxmlformats.org/officeDocument/2006/relationships/hyperlink" Target="https://icodrops.com/databroker-dao/" TargetMode="External"/><Relationship Id="rId410" Type="http://schemas.openxmlformats.org/officeDocument/2006/relationships/hyperlink" Target="https://www.mtpelerin.com/blog/token-sale-round-up.html" TargetMode="External"/><Relationship Id="rId30" Type="http://schemas.openxmlformats.org/officeDocument/2006/relationships/hyperlink" Target="https://sperax.io/?utm_source=coincodex&amp;utm_medium=referral" TargetMode="External"/><Relationship Id="rId105" Type="http://schemas.openxmlformats.org/officeDocument/2006/relationships/hyperlink" Target="https://icomarks.com/ico/iexec" TargetMode="External"/><Relationship Id="rId126" Type="http://schemas.openxmlformats.org/officeDocument/2006/relationships/hyperlink" Target="https://icotokennews.com/icos/axpire/" TargetMode="External"/><Relationship Id="rId147" Type="http://schemas.openxmlformats.org/officeDocument/2006/relationships/hyperlink" Target="https://icodrops.com/unikoingold/" TargetMode="External"/><Relationship Id="rId168" Type="http://schemas.openxmlformats.org/officeDocument/2006/relationships/hyperlink" Target="https://icodrops.com/atlant/" TargetMode="External"/><Relationship Id="rId312" Type="http://schemas.openxmlformats.org/officeDocument/2006/relationships/hyperlink" Target="https://icodrops.com/sifchain-finance/" TargetMode="External"/><Relationship Id="rId333" Type="http://schemas.openxmlformats.org/officeDocument/2006/relationships/hyperlink" Target="https://cpayfoundation.com/ico_cpay_wp.pdf" TargetMode="External"/><Relationship Id="rId354" Type="http://schemas.openxmlformats.org/officeDocument/2006/relationships/hyperlink" Target="https://www.coinfi.com/coins/tokenpay" TargetMode="External"/><Relationship Id="rId51" Type="http://schemas.openxmlformats.org/officeDocument/2006/relationships/hyperlink" Target="https://icodrops.com/kava/" TargetMode="External"/><Relationship Id="rId72" Type="http://schemas.openxmlformats.org/officeDocument/2006/relationships/hyperlink" Target="https://icodrops.com/sentinel-protocol/" TargetMode="External"/><Relationship Id="rId93" Type="http://schemas.openxmlformats.org/officeDocument/2006/relationships/hyperlink" Target="https://icodrops.com/insureum/" TargetMode="External"/><Relationship Id="rId189" Type="http://schemas.openxmlformats.org/officeDocument/2006/relationships/hyperlink" Target="https://cryptorank.io/ico/nft-alley" TargetMode="External"/><Relationship Id="rId375" Type="http://schemas.openxmlformats.org/officeDocument/2006/relationships/hyperlink" Target="https://cryptopotato.com/ico/bitsdaq/" TargetMode="External"/><Relationship Id="rId396" Type="http://schemas.openxmlformats.org/officeDocument/2006/relationships/hyperlink" Target="https://icodrops.com/utrust/" TargetMode="External"/><Relationship Id="rId3" Type="http://schemas.openxmlformats.org/officeDocument/2006/relationships/hyperlink" Target="https://sale.thegraph.com/" TargetMode="External"/><Relationship Id="rId214" Type="http://schemas.openxmlformats.org/officeDocument/2006/relationships/hyperlink" Target="https://cryptorank.io/ico/rage-fan" TargetMode="External"/><Relationship Id="rId235" Type="http://schemas.openxmlformats.org/officeDocument/2006/relationships/hyperlink" Target="https://medium.com/razor-network/razor-network-tokenomics-476933cfaaf9" TargetMode="External"/><Relationship Id="rId256" Type="http://schemas.openxmlformats.org/officeDocument/2006/relationships/hyperlink" Target="https://cryptorank.io/ico/just" TargetMode="External"/><Relationship Id="rId277" Type="http://schemas.openxmlformats.org/officeDocument/2006/relationships/hyperlink" Target="https://icodrops.com/carry-protocol/" TargetMode="External"/><Relationship Id="rId298" Type="http://schemas.openxmlformats.org/officeDocument/2006/relationships/hyperlink" Target="https://icodrops.com/clover/" TargetMode="External"/><Relationship Id="rId400" Type="http://schemas.openxmlformats.org/officeDocument/2006/relationships/hyperlink" Target="https://icodrops.com/salt/" TargetMode="External"/><Relationship Id="rId116" Type="http://schemas.openxmlformats.org/officeDocument/2006/relationships/hyperlink" Target="https://icodrops.com/sirin-labs/" TargetMode="External"/><Relationship Id="rId137" Type="http://schemas.openxmlformats.org/officeDocument/2006/relationships/hyperlink" Target="https://icodrops.com/jibrel-network/" TargetMode="External"/><Relationship Id="rId158" Type="http://schemas.openxmlformats.org/officeDocument/2006/relationships/hyperlink" Target="https://icodrops.com/latium/" TargetMode="External"/><Relationship Id="rId302" Type="http://schemas.openxmlformats.org/officeDocument/2006/relationships/hyperlink" Target="https://cryptorank.io/ico/blackhole-protocol" TargetMode="External"/><Relationship Id="rId323" Type="http://schemas.openxmlformats.org/officeDocument/2006/relationships/hyperlink" Target="https://icodrops.com/mad-network/" TargetMode="External"/><Relationship Id="rId344" Type="http://schemas.openxmlformats.org/officeDocument/2006/relationships/hyperlink" Target="https://icofinch.com/neufund-ico/" TargetMode="External"/><Relationship Id="rId20" Type="http://schemas.openxmlformats.org/officeDocument/2006/relationships/hyperlink" Target="https://cryptorank.io/ico/cere-network" TargetMode="External"/><Relationship Id="rId41" Type="http://schemas.openxmlformats.org/officeDocument/2006/relationships/hyperlink" Target="https://download.wazirx.com/wrx/wrx-whitepaper.pdf?utm_source=coincodex&amp;utm_medium=referral" TargetMode="External"/><Relationship Id="rId62" Type="http://schemas.openxmlformats.org/officeDocument/2006/relationships/hyperlink" Target="https://icodrops.com/lien/" TargetMode="External"/><Relationship Id="rId83" Type="http://schemas.openxmlformats.org/officeDocument/2006/relationships/hyperlink" Target="https://icodrops.com/the-bee-token/" TargetMode="External"/><Relationship Id="rId179" Type="http://schemas.openxmlformats.org/officeDocument/2006/relationships/hyperlink" Target="https://icodrops.com/matryx/" TargetMode="External"/><Relationship Id="rId365" Type="http://schemas.openxmlformats.org/officeDocument/2006/relationships/hyperlink" Target="https://cryptorank.io/ico/arweave" TargetMode="External"/><Relationship Id="rId386" Type="http://schemas.openxmlformats.org/officeDocument/2006/relationships/hyperlink" Target="https://cryptorank.io/ico/hold" TargetMode="External"/><Relationship Id="rId190" Type="http://schemas.openxmlformats.org/officeDocument/2006/relationships/hyperlink" Target="https://kickpad.medium.com/kickpad-x-nft-alley-whitelist-is-live-5a19ff8f8442" TargetMode="External"/><Relationship Id="rId204" Type="http://schemas.openxmlformats.org/officeDocument/2006/relationships/hyperlink" Target="https://cryptorank.io/ico/dehive" TargetMode="External"/><Relationship Id="rId225" Type="http://schemas.openxmlformats.org/officeDocument/2006/relationships/hyperlink" Target="https://token.playcent.com/" TargetMode="External"/><Relationship Id="rId246" Type="http://schemas.openxmlformats.org/officeDocument/2006/relationships/hyperlink" Target="https://icodrops.com/plasmapay/" TargetMode="External"/><Relationship Id="rId267" Type="http://schemas.openxmlformats.org/officeDocument/2006/relationships/hyperlink" Target="https://medium.com/@webloc/notice-webloc-presale-notice-a77f5595ef36" TargetMode="External"/><Relationship Id="rId288" Type="http://schemas.openxmlformats.org/officeDocument/2006/relationships/hyperlink" Target="https://icodrops.com/cool-cousin/" TargetMode="External"/><Relationship Id="rId411" Type="http://schemas.openxmlformats.org/officeDocument/2006/relationships/hyperlink" Target="https://df6qdu189jtsc.cloudfront.net/sto/manualsync/f6c7c13a08b5-MH_WHITEPAPER_04.18.pdf" TargetMode="External"/><Relationship Id="rId106" Type="http://schemas.openxmlformats.org/officeDocument/2006/relationships/hyperlink" Target="https://icomarks.com/ico/adbank" TargetMode="External"/><Relationship Id="rId127" Type="http://schemas.openxmlformats.org/officeDocument/2006/relationships/hyperlink" Target="https://icodrops.com/crypto20/" TargetMode="External"/><Relationship Id="rId313" Type="http://schemas.openxmlformats.org/officeDocument/2006/relationships/hyperlink" Target="https://cryptorank.io/ico/sifchain" TargetMode="External"/><Relationship Id="rId10" Type="http://schemas.openxmlformats.org/officeDocument/2006/relationships/hyperlink" Target="https://swissborg.com/buy-chsb" TargetMode="External"/><Relationship Id="rId31" Type="http://schemas.openxmlformats.org/officeDocument/2006/relationships/hyperlink" Target="https://icodrops.com/axis-defi/" TargetMode="External"/><Relationship Id="rId52" Type="http://schemas.openxmlformats.org/officeDocument/2006/relationships/hyperlink" Target="https://icodrops.com/roobee/" TargetMode="External"/><Relationship Id="rId73" Type="http://schemas.openxmlformats.org/officeDocument/2006/relationships/hyperlink" Target="https://icodrops.com/sentinel-protocol/" TargetMode="External"/><Relationship Id="rId94" Type="http://schemas.openxmlformats.org/officeDocument/2006/relationships/hyperlink" Target="https://etherparty.io/Etherparty_White_Paper_EN.pdf" TargetMode="External"/><Relationship Id="rId148" Type="http://schemas.openxmlformats.org/officeDocument/2006/relationships/hyperlink" Target="https://icodrops.com/lympo/" TargetMode="External"/><Relationship Id="rId169" Type="http://schemas.openxmlformats.org/officeDocument/2006/relationships/hyperlink" Target="https://icodrops.com/real/" TargetMode="External"/><Relationship Id="rId334" Type="http://schemas.openxmlformats.org/officeDocument/2006/relationships/hyperlink" Target="https://icodrops.com/cryptopay/" TargetMode="External"/><Relationship Id="rId355" Type="http://schemas.openxmlformats.org/officeDocument/2006/relationships/hyperlink" Target="https://icodrops.com/props/" TargetMode="External"/><Relationship Id="rId376" Type="http://schemas.openxmlformats.org/officeDocument/2006/relationships/hyperlink" Target="https://icodrops.com/bitfinex/" TargetMode="External"/><Relationship Id="rId397" Type="http://schemas.openxmlformats.org/officeDocument/2006/relationships/hyperlink" Target="https://icodrops.com/micromoney/" TargetMode="External"/><Relationship Id="rId4" Type="http://schemas.openxmlformats.org/officeDocument/2006/relationships/hyperlink" Target="https://cryptorank.io/ico/unilend" TargetMode="External"/><Relationship Id="rId180" Type="http://schemas.openxmlformats.org/officeDocument/2006/relationships/hyperlink" Target="https://medium.com/etherflair/storm-ico-analysis-8c2d4b83ac9f" TargetMode="External"/><Relationship Id="rId215" Type="http://schemas.openxmlformats.org/officeDocument/2006/relationships/hyperlink" Target="https://cryptorank.io/ico/polkamon" TargetMode="External"/><Relationship Id="rId236" Type="http://schemas.openxmlformats.org/officeDocument/2006/relationships/hyperlink" Target="https://icodrops.com/my-neighbor-alice/" TargetMode="External"/><Relationship Id="rId257" Type="http://schemas.openxmlformats.org/officeDocument/2006/relationships/hyperlink" Target="https://icodrops.com/tokoin/" TargetMode="External"/><Relationship Id="rId278" Type="http://schemas.openxmlformats.org/officeDocument/2006/relationships/hyperlink" Target="https://icodrops.com/verasity/" TargetMode="External"/><Relationship Id="rId401" Type="http://schemas.openxmlformats.org/officeDocument/2006/relationships/hyperlink" Target="https://cryptopotato.com/ico/virtue-poker/" TargetMode="External"/><Relationship Id="rId303" Type="http://schemas.openxmlformats.org/officeDocument/2006/relationships/hyperlink" Target="https://cryptorank.io/ico/crypto-prophecies" TargetMode="External"/><Relationship Id="rId42" Type="http://schemas.openxmlformats.org/officeDocument/2006/relationships/hyperlink" Target="https://icodrops.com/troy-network/" TargetMode="External"/><Relationship Id="rId84" Type="http://schemas.openxmlformats.org/officeDocument/2006/relationships/hyperlink" Target="https://icodrops.com/quantstamp/" TargetMode="External"/><Relationship Id="rId138" Type="http://schemas.openxmlformats.org/officeDocument/2006/relationships/hyperlink" Target="https://icodrops.com/latoken/" TargetMode="External"/><Relationship Id="rId345" Type="http://schemas.openxmlformats.org/officeDocument/2006/relationships/hyperlink" Target="https://icodrops.com/science/" TargetMode="External"/><Relationship Id="rId387" Type="http://schemas.openxmlformats.org/officeDocument/2006/relationships/hyperlink" Target="https://cryptorank.io/ico/libra-credit" TargetMode="External"/><Relationship Id="rId191" Type="http://schemas.openxmlformats.org/officeDocument/2006/relationships/hyperlink" Target="https://cryptorank.io/ico/integral" TargetMode="External"/><Relationship Id="rId205" Type="http://schemas.openxmlformats.org/officeDocument/2006/relationships/hyperlink" Target="https://cryptorank.io/ico/moar-finance" TargetMode="External"/><Relationship Id="rId247" Type="http://schemas.openxmlformats.org/officeDocument/2006/relationships/hyperlink" Target="https://icodrops.com/yield/" TargetMode="External"/><Relationship Id="rId412" Type="http://schemas.openxmlformats.org/officeDocument/2006/relationships/hyperlink" Target="https://stomarket.com/sto/orbis-orbis" TargetMode="External"/><Relationship Id="rId107" Type="http://schemas.openxmlformats.org/officeDocument/2006/relationships/hyperlink" Target="https://icodrops.com/adhive/" TargetMode="External"/><Relationship Id="rId289" Type="http://schemas.openxmlformats.org/officeDocument/2006/relationships/hyperlink" Target="https://icodrops.com/rightmesh/" TargetMode="External"/><Relationship Id="rId11" Type="http://schemas.openxmlformats.org/officeDocument/2006/relationships/hyperlink" Target="https://www.stellerro.com/" TargetMode="External"/><Relationship Id="rId53" Type="http://schemas.openxmlformats.org/officeDocument/2006/relationships/hyperlink" Target="https://icodrops.com/attn-token/" TargetMode="External"/><Relationship Id="rId149" Type="http://schemas.openxmlformats.org/officeDocument/2006/relationships/hyperlink" Target="https://icodrops.com/selfkey/" TargetMode="External"/><Relationship Id="rId314" Type="http://schemas.openxmlformats.org/officeDocument/2006/relationships/hyperlink" Target="https://cryptorank.io/ico/sifchain" TargetMode="External"/><Relationship Id="rId356" Type="http://schemas.openxmlformats.org/officeDocument/2006/relationships/hyperlink" Target="https://icofinch.com/electroneum-ico/" TargetMode="External"/><Relationship Id="rId398" Type="http://schemas.openxmlformats.org/officeDocument/2006/relationships/hyperlink" Target="https://blog.request.network/request-networks-token-sale-terms-overview-ca4278606c3" TargetMode="External"/><Relationship Id="rId95" Type="http://schemas.openxmlformats.org/officeDocument/2006/relationships/hyperlink" Target="https://icodrops.com/etherparty/" TargetMode="External"/><Relationship Id="rId160" Type="http://schemas.openxmlformats.org/officeDocument/2006/relationships/hyperlink" Target="https://icodrops.com/bread/" TargetMode="External"/><Relationship Id="rId216" Type="http://schemas.openxmlformats.org/officeDocument/2006/relationships/hyperlink" Target="https://icodrops.com/tidal-finance/" TargetMode="External"/><Relationship Id="rId258" Type="http://schemas.openxmlformats.org/officeDocument/2006/relationships/hyperlink" Target="https://icodrops.com/pledgecamp/" TargetMode="External"/><Relationship Id="rId22" Type="http://schemas.openxmlformats.org/officeDocument/2006/relationships/hyperlink" Target="https://cryptorank.io/ico/cere-network" TargetMode="External"/><Relationship Id="rId64" Type="http://schemas.openxmlformats.org/officeDocument/2006/relationships/hyperlink" Target="https://icodrops.com/skale-network/" TargetMode="External"/><Relationship Id="rId118" Type="http://schemas.openxmlformats.org/officeDocument/2006/relationships/hyperlink" Target="https://icodrops.com/po-et/" TargetMode="External"/><Relationship Id="rId325" Type="http://schemas.openxmlformats.org/officeDocument/2006/relationships/hyperlink" Target="https://cryptorank.io/ico/cortex" TargetMode="External"/><Relationship Id="rId367" Type="http://schemas.openxmlformats.org/officeDocument/2006/relationships/hyperlink" Target="https://icodrops.com/elysian/" TargetMode="External"/><Relationship Id="rId171" Type="http://schemas.openxmlformats.org/officeDocument/2006/relationships/hyperlink" Target="https://icodrops.com/bounty0x/" TargetMode="External"/><Relationship Id="rId227" Type="http://schemas.openxmlformats.org/officeDocument/2006/relationships/hyperlink" Target="https://cryptorank.io/ico/blankwallet" TargetMode="External"/><Relationship Id="rId269" Type="http://schemas.openxmlformats.org/officeDocument/2006/relationships/hyperlink" Target="https://icodrops.com/thunder-token/" TargetMode="External"/><Relationship Id="rId33" Type="http://schemas.openxmlformats.org/officeDocument/2006/relationships/hyperlink" Target="https://icodrops.com/anyswap/" TargetMode="External"/><Relationship Id="rId129" Type="http://schemas.openxmlformats.org/officeDocument/2006/relationships/hyperlink" Target="https://cointelegraph.com/news/cofoundit-completes-worlds-biggest-presale-with-15-mln" TargetMode="External"/><Relationship Id="rId280" Type="http://schemas.openxmlformats.org/officeDocument/2006/relationships/hyperlink" Target="https://icodrops.com/farmatrust/" TargetMode="External"/><Relationship Id="rId336" Type="http://schemas.openxmlformats.org/officeDocument/2006/relationships/hyperlink" Target="https://medium.com/dfinity/announcing-the-dfinity-presale-fundraise-and-public-airdrop-cdea19892ef6" TargetMode="External"/><Relationship Id="rId75" Type="http://schemas.openxmlformats.org/officeDocument/2006/relationships/hyperlink" Target="https://icodrops.com/gladius/" TargetMode="External"/><Relationship Id="rId140" Type="http://schemas.openxmlformats.org/officeDocument/2006/relationships/hyperlink" Target="https://icomarks.com/ico/napoleon-x" TargetMode="External"/><Relationship Id="rId182" Type="http://schemas.openxmlformats.org/officeDocument/2006/relationships/hyperlink" Target="https://icodrops.com/auditchain/" TargetMode="External"/><Relationship Id="rId378" Type="http://schemas.openxmlformats.org/officeDocument/2006/relationships/hyperlink" Target="https://cryptorank.io/ico/moonx" TargetMode="External"/><Relationship Id="rId403" Type="http://schemas.openxmlformats.org/officeDocument/2006/relationships/hyperlink" Target="https://cryptototem.com/cloudmoolah-xmoo-ico/" TargetMode="External"/><Relationship Id="rId6" Type="http://schemas.openxmlformats.org/officeDocument/2006/relationships/hyperlink" Target="https://ibb.co/51xms2h" TargetMode="External"/><Relationship Id="rId238" Type="http://schemas.openxmlformats.org/officeDocument/2006/relationships/hyperlink" Target="https://cryptorank.io/ico/bridge-mutual" TargetMode="External"/><Relationship Id="rId291" Type="http://schemas.openxmlformats.org/officeDocument/2006/relationships/hyperlink" Target="https://twitter.com/_dfyn" TargetMode="External"/><Relationship Id="rId305" Type="http://schemas.openxmlformats.org/officeDocument/2006/relationships/hyperlink" Target="https://hackenclub.medium.com/meet-disbalancer-tokenomics-a9bdf22fb9cd" TargetMode="External"/><Relationship Id="rId347" Type="http://schemas.openxmlformats.org/officeDocument/2006/relationships/hyperlink" Target="https://icodrops.com/crypto20/" TargetMode="External"/><Relationship Id="rId44" Type="http://schemas.openxmlformats.org/officeDocument/2006/relationships/hyperlink" Target="https://research.binance.com/en/projects/troy" TargetMode="External"/><Relationship Id="rId86" Type="http://schemas.openxmlformats.org/officeDocument/2006/relationships/hyperlink" Target="https://icodrops.com/kadena/" TargetMode="External"/><Relationship Id="rId151" Type="http://schemas.openxmlformats.org/officeDocument/2006/relationships/hyperlink" Target="https://icodrops.com/appcoins/" TargetMode="External"/><Relationship Id="rId389" Type="http://schemas.openxmlformats.org/officeDocument/2006/relationships/hyperlink" Target="https://icodrops.com/celsius/" TargetMode="External"/><Relationship Id="rId193" Type="http://schemas.openxmlformats.org/officeDocument/2006/relationships/hyperlink" Target="https://icodrops.com/mogul-productions/" TargetMode="External"/><Relationship Id="rId207" Type="http://schemas.openxmlformats.org/officeDocument/2006/relationships/hyperlink" Target="https://cryptorank.io/ico/kattana" TargetMode="External"/><Relationship Id="rId249" Type="http://schemas.openxmlformats.org/officeDocument/2006/relationships/hyperlink" Target="https://cryptorank.io/ico/reef" TargetMode="External"/><Relationship Id="rId414" Type="http://schemas.openxmlformats.org/officeDocument/2006/relationships/hyperlink" Target="https://www.coinspeaker.com/sto/chaineum/" TargetMode="External"/><Relationship Id="rId13" Type="http://schemas.openxmlformats.org/officeDocument/2006/relationships/hyperlink" Target="https://icoholder.com/files/img/upload/832/8323519cd7a7cb24bb9c8606cb6cb095.png" TargetMode="External"/><Relationship Id="rId109" Type="http://schemas.openxmlformats.org/officeDocument/2006/relationships/hyperlink" Target="https://datum.org/assets/Datum-WhitePaper.pdf" TargetMode="External"/><Relationship Id="rId260" Type="http://schemas.openxmlformats.org/officeDocument/2006/relationships/hyperlink" Target="https://icodrops.com/deepcloud-ai/" TargetMode="External"/><Relationship Id="rId316" Type="http://schemas.openxmlformats.org/officeDocument/2006/relationships/hyperlink" Target="https://exeedme.medium.com/exeedme-is-raising-on-polkastarter-and-listing-on-uniswap-on-the-30th-december-6c2ec28fa9ab" TargetMode="External"/><Relationship Id="rId55" Type="http://schemas.openxmlformats.org/officeDocument/2006/relationships/hyperlink" Target="https://icodrops.com/whole-network/" TargetMode="External"/><Relationship Id="rId97" Type="http://schemas.openxmlformats.org/officeDocument/2006/relationships/hyperlink" Target="https://icodrops.com/pallycoin/" TargetMode="External"/><Relationship Id="rId120" Type="http://schemas.openxmlformats.org/officeDocument/2006/relationships/hyperlink" Target="https://blog.bluzelle.com/bluzelle-token-sale-caps-and-other-info-2a3b3adc9118" TargetMode="External"/><Relationship Id="rId358" Type="http://schemas.openxmlformats.org/officeDocument/2006/relationships/hyperlink" Target="https://medium.com/crypt-bytes-tech/ico-review-dimcoin-4e0de96d0d59" TargetMode="External"/><Relationship Id="rId162" Type="http://schemas.openxmlformats.org/officeDocument/2006/relationships/hyperlink" Target="https://icodrops.com/gifto/" TargetMode="External"/><Relationship Id="rId218" Type="http://schemas.openxmlformats.org/officeDocument/2006/relationships/hyperlink" Target="https://cryptorank.io/ico/impulse-ven" TargetMode="External"/><Relationship Id="rId271" Type="http://schemas.openxmlformats.org/officeDocument/2006/relationships/hyperlink" Target="https://icodrops.com/ioex/" TargetMode="External"/><Relationship Id="rId24" Type="http://schemas.openxmlformats.org/officeDocument/2006/relationships/hyperlink" Target="https://icodrops.com/juggernaut/" TargetMode="External"/><Relationship Id="rId66" Type="http://schemas.openxmlformats.org/officeDocument/2006/relationships/hyperlink" Target="https://icodrops.com/swingby/" TargetMode="External"/><Relationship Id="rId131" Type="http://schemas.openxmlformats.org/officeDocument/2006/relationships/hyperlink" Target="https://icomarks.com/ico/cindicator" TargetMode="External"/><Relationship Id="rId327" Type="http://schemas.openxmlformats.org/officeDocument/2006/relationships/hyperlink" Target="https://icodrops.com/deepbrain-chain/" TargetMode="External"/><Relationship Id="rId369" Type="http://schemas.openxmlformats.org/officeDocument/2006/relationships/hyperlink" Target="https://twitter.com/electrifyasia" TargetMode="External"/><Relationship Id="rId173" Type="http://schemas.openxmlformats.org/officeDocument/2006/relationships/hyperlink" Target="https://icodrops.com/airswap/" TargetMode="External"/><Relationship Id="rId229" Type="http://schemas.openxmlformats.org/officeDocument/2006/relationships/hyperlink" Target="https://icodrops.com/mask-network/" TargetMode="External"/><Relationship Id="rId380" Type="http://schemas.openxmlformats.org/officeDocument/2006/relationships/hyperlink" Target="https://www.cryptoground.com/ico/mandala" TargetMode="External"/><Relationship Id="rId240" Type="http://schemas.openxmlformats.org/officeDocument/2006/relationships/hyperlink" Target="https://research.blackdragon.io/portfolio/snapshot/cudos/" TargetMode="External"/><Relationship Id="rId35" Type="http://schemas.openxmlformats.org/officeDocument/2006/relationships/hyperlink" Target="https://www.okex.com/support/hc/en-us/articles/360043824132-OKEx-Jumpstart-x-WGRT-WaykiChain-Governance-Coin-Token-Sale-Details" TargetMode="External"/><Relationship Id="rId77" Type="http://schemas.openxmlformats.org/officeDocument/2006/relationships/hyperlink" Target="https://icodrops.com/fic-network/" TargetMode="External"/><Relationship Id="rId100" Type="http://schemas.openxmlformats.org/officeDocument/2006/relationships/hyperlink" Target="https://icodrops.com/flixxo/" TargetMode="External"/><Relationship Id="rId282" Type="http://schemas.openxmlformats.org/officeDocument/2006/relationships/hyperlink" Target="https://icodrops.com/quadrant-protocol/" TargetMode="External"/><Relationship Id="rId338" Type="http://schemas.openxmlformats.org/officeDocument/2006/relationships/hyperlink" Target="https://cryptorank.io/ico/genaro-network" TargetMode="External"/><Relationship Id="rId8" Type="http://schemas.openxmlformats.org/officeDocument/2006/relationships/hyperlink" Target="https://icorating.com/ico/bankera/" TargetMode="External"/><Relationship Id="rId142" Type="http://schemas.openxmlformats.org/officeDocument/2006/relationships/hyperlink" Target="https://icodrops.com/qash/" TargetMode="External"/><Relationship Id="rId184" Type="http://schemas.openxmlformats.org/officeDocument/2006/relationships/hyperlink" Target="https://www.coinspeaker.com/ieo/force-protocol/" TargetMode="External"/><Relationship Id="rId391" Type="http://schemas.openxmlformats.org/officeDocument/2006/relationships/hyperlink" Target="https://icodrops.com/babb/" TargetMode="External"/><Relationship Id="rId405" Type="http://schemas.openxmlformats.org/officeDocument/2006/relationships/hyperlink" Target="https://s3.amazonaws.com/stm-public-local/sto/manualsync/5fcdf67cf47a-bitwhale_whitepaper_specimen.pdf" TargetMode="External"/><Relationship Id="rId251" Type="http://schemas.openxmlformats.org/officeDocument/2006/relationships/hyperlink" Target="https://icodrops.com/hedget/" TargetMode="External"/><Relationship Id="rId46" Type="http://schemas.openxmlformats.org/officeDocument/2006/relationships/hyperlink" Target="https://icodrops.com/gate-io/" TargetMode="External"/><Relationship Id="rId293" Type="http://schemas.openxmlformats.org/officeDocument/2006/relationships/hyperlink" Target="https://cryptorank.io/ico/dfyn" TargetMode="External"/><Relationship Id="rId307" Type="http://schemas.openxmlformats.org/officeDocument/2006/relationships/hyperlink" Target="https://cryptorank.io/ico/yellow-road" TargetMode="External"/><Relationship Id="rId349" Type="http://schemas.openxmlformats.org/officeDocument/2006/relationships/hyperlink" Target="https://icodrops.com/metronome/" TargetMode="External"/><Relationship Id="rId88" Type="http://schemas.openxmlformats.org/officeDocument/2006/relationships/hyperlink" Target="https://icodrops.com/theabyss/" TargetMode="External"/><Relationship Id="rId111" Type="http://schemas.openxmlformats.org/officeDocument/2006/relationships/hyperlink" Target="https://icodrops.com/gatcoin/" TargetMode="External"/><Relationship Id="rId153" Type="http://schemas.openxmlformats.org/officeDocument/2006/relationships/hyperlink" Target="https://icomarks.com/ico/dock-io" TargetMode="External"/><Relationship Id="rId195" Type="http://schemas.openxmlformats.org/officeDocument/2006/relationships/hyperlink" Target="https://icodrops.com/findora/" TargetMode="External"/><Relationship Id="rId209" Type="http://schemas.openxmlformats.org/officeDocument/2006/relationships/hyperlink" Target="https://cryptorank.io/ico/polkalokr" TargetMode="External"/><Relationship Id="rId360" Type="http://schemas.openxmlformats.org/officeDocument/2006/relationships/hyperlink" Target="https://medium.com/bolt-global/details-on-bolt-tokenomics-148e66554a0f" TargetMode="External"/><Relationship Id="rId220" Type="http://schemas.openxmlformats.org/officeDocument/2006/relationships/hyperlink" Target="https://icodrops.com/stater/" TargetMode="External"/><Relationship Id="rId15" Type="http://schemas.openxmlformats.org/officeDocument/2006/relationships/hyperlink" Target="https://cryptorank.io/ico/tokocrypto" TargetMode="External"/><Relationship Id="rId57" Type="http://schemas.openxmlformats.org/officeDocument/2006/relationships/hyperlink" Target="https://icodrops.com/helis/" TargetMode="External"/><Relationship Id="rId262" Type="http://schemas.openxmlformats.org/officeDocument/2006/relationships/hyperlink" Target="https://icodrops.com/opiria/" TargetMode="External"/><Relationship Id="rId318" Type="http://schemas.openxmlformats.org/officeDocument/2006/relationships/hyperlink" Target="https://aavegotchi.medium.com/aavegotchi-ghst-token-distribution-pre-launch-primer-58f0c06ab045" TargetMode="External"/><Relationship Id="rId99" Type="http://schemas.openxmlformats.org/officeDocument/2006/relationships/hyperlink" Target="https://flixxo.medium.com/presale-4262bbde0225" TargetMode="External"/><Relationship Id="rId122" Type="http://schemas.openxmlformats.org/officeDocument/2006/relationships/hyperlink" Target="https://gnosis.io/wp-content/uploads/2020/12/TOS_Gnosis.pdf" TargetMode="External"/><Relationship Id="rId164" Type="http://schemas.openxmlformats.org/officeDocument/2006/relationships/hyperlink" Target="https://icodrops.com/naga/" TargetMode="External"/><Relationship Id="rId371" Type="http://schemas.openxmlformats.org/officeDocument/2006/relationships/hyperlink" Target="https://coingape.com/after-a-successful-presale-wepower-ico-becomes-investors-first-choice/" TargetMode="External"/><Relationship Id="rId26" Type="http://schemas.openxmlformats.org/officeDocument/2006/relationships/hyperlink" Target="https://medium.com/astronaut-capital/ieo-ico-review-centaur-cntr-2d076c8ec3ee" TargetMode="External"/><Relationship Id="rId231" Type="http://schemas.openxmlformats.org/officeDocument/2006/relationships/hyperlink" Target="https://docsend.com/view/mbhvi379crhagtwp" TargetMode="External"/><Relationship Id="rId273" Type="http://schemas.openxmlformats.org/officeDocument/2006/relationships/hyperlink" Target="https://cryptorank.io/ico/covalent" TargetMode="External"/><Relationship Id="rId329" Type="http://schemas.openxmlformats.org/officeDocument/2006/relationships/hyperlink" Target="https://icodrops.com/change-bank/" TargetMode="External"/><Relationship Id="rId68" Type="http://schemas.openxmlformats.org/officeDocument/2006/relationships/hyperlink" Target="https://icodrops.com/band-protocol/" TargetMode="External"/><Relationship Id="rId133" Type="http://schemas.openxmlformats.org/officeDocument/2006/relationships/hyperlink" Target="https://icodrops.com/debitum/" TargetMode="External"/><Relationship Id="rId175" Type="http://schemas.openxmlformats.org/officeDocument/2006/relationships/hyperlink" Target="https://icodrops.com/spectre/" TargetMode="External"/><Relationship Id="rId340" Type="http://schemas.openxmlformats.org/officeDocument/2006/relationships/hyperlink" Target="https://icodrops.com/storj/" TargetMode="External"/><Relationship Id="rId200" Type="http://schemas.openxmlformats.org/officeDocument/2006/relationships/hyperlink" Target="https://icodrops.com/blockswap/" TargetMode="External"/><Relationship Id="rId382" Type="http://schemas.openxmlformats.org/officeDocument/2006/relationships/hyperlink" Target="https://icodrops.com/huobi-token/" TargetMode="External"/><Relationship Id="rId242" Type="http://schemas.openxmlformats.org/officeDocument/2006/relationships/hyperlink" Target="https://icodrops.com/bifi/" TargetMode="External"/><Relationship Id="rId284" Type="http://schemas.openxmlformats.org/officeDocument/2006/relationships/hyperlink" Target="https://icodrops.com/incx/" TargetMode="External"/><Relationship Id="rId37" Type="http://schemas.openxmlformats.org/officeDocument/2006/relationships/hyperlink" Target="https://icodrops.com/serum/" TargetMode="External"/><Relationship Id="rId79" Type="http://schemas.openxmlformats.org/officeDocument/2006/relationships/hyperlink" Target="https://icodrops.com/carblock/" TargetMode="External"/><Relationship Id="rId102" Type="http://schemas.openxmlformats.org/officeDocument/2006/relationships/hyperlink" Target="https://icodrops.com/maecenas/" TargetMode="External"/><Relationship Id="rId144" Type="http://schemas.openxmlformats.org/officeDocument/2006/relationships/hyperlink" Target="https://icodrops.com/starbase/" TargetMode="External"/><Relationship Id="rId90" Type="http://schemas.openxmlformats.org/officeDocument/2006/relationships/hyperlink" Target="https://icodrops.com/esports/" TargetMode="External"/><Relationship Id="rId186" Type="http://schemas.openxmlformats.org/officeDocument/2006/relationships/hyperlink" Target="https://icodrops.com/oath-protocol/" TargetMode="External"/><Relationship Id="rId351" Type="http://schemas.openxmlformats.org/officeDocument/2006/relationships/hyperlink" Target="https://icoexaminer.com/ico-news/dragon-coin-token-sale-reels-407m-floating-casino/" TargetMode="External"/><Relationship Id="rId393" Type="http://schemas.openxmlformats.org/officeDocument/2006/relationships/hyperlink" Target="https://cryptorank.io/ico/bloomtoken" TargetMode="External"/><Relationship Id="rId407" Type="http://schemas.openxmlformats.org/officeDocument/2006/relationships/hyperlink" Target="https://d19j0qt0x55bap.cloudfront.net/production/startups/popcom/documents/offering_details/Popcom_Amended_Offering_Details.pdf" TargetMode="External"/><Relationship Id="rId211" Type="http://schemas.openxmlformats.org/officeDocument/2006/relationships/hyperlink" Target="https://cryptorank.io/ico/findora" TargetMode="External"/><Relationship Id="rId253" Type="http://schemas.openxmlformats.org/officeDocument/2006/relationships/hyperlink" Target="https://icodrops.com/desmos/" TargetMode="External"/><Relationship Id="rId295" Type="http://schemas.openxmlformats.org/officeDocument/2006/relationships/hyperlink" Target="https://icodrops.com/busy/" TargetMode="External"/><Relationship Id="rId309" Type="http://schemas.openxmlformats.org/officeDocument/2006/relationships/hyperlink" Target="https://cryptorank.io/ico/polka-foundry" TargetMode="External"/><Relationship Id="rId48" Type="http://schemas.openxmlformats.org/officeDocument/2006/relationships/hyperlink" Target="https://icodrops.com/neonexchange/" TargetMode="External"/><Relationship Id="rId113" Type="http://schemas.openxmlformats.org/officeDocument/2006/relationships/hyperlink" Target="https://icodrops.com/mercury-protocol/" TargetMode="External"/><Relationship Id="rId320" Type="http://schemas.openxmlformats.org/officeDocument/2006/relationships/hyperlink" Target="https://docs.google.com/document/d/186zOapKeHNNJ9y8LIByQQ64rs0eJUlEF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0160-F124-B54F-AC27-931257CEA93E}">
  <dimension ref="A1:L576"/>
  <sheetViews>
    <sheetView tabSelected="1" workbookViewId="0">
      <selection activeCell="C40" sqref="C40"/>
    </sheetView>
  </sheetViews>
  <sheetFormatPr baseColWidth="10" defaultRowHeight="16" x14ac:dyDescent="0.2"/>
  <cols>
    <col min="1" max="1" width="10.83203125" style="11"/>
    <col min="2" max="2" width="11.83203125" style="11" customWidth="1"/>
    <col min="3" max="4" width="10.83203125" style="11"/>
    <col min="5" max="5" width="12" style="11" customWidth="1"/>
    <col min="6" max="6" width="11.1640625" style="11" customWidth="1"/>
    <col min="7" max="7" width="10.83203125" style="11"/>
    <col min="8" max="8" width="21.1640625" style="11" customWidth="1"/>
    <col min="9" max="9" width="24.33203125" style="11" customWidth="1"/>
    <col min="10" max="10" width="18.83203125" style="11" customWidth="1"/>
    <col min="11" max="11" width="16.1640625" style="11" customWidth="1"/>
  </cols>
  <sheetData>
    <row r="1" spans="1:12" x14ac:dyDescent="0.2">
      <c r="A1" s="12" t="s">
        <v>0</v>
      </c>
      <c r="B1" s="12" t="s">
        <v>287</v>
      </c>
      <c r="C1" s="12" t="s">
        <v>263</v>
      </c>
      <c r="D1" s="12" t="s">
        <v>269</v>
      </c>
      <c r="E1" s="12" t="s">
        <v>260</v>
      </c>
      <c r="F1" s="12" t="s">
        <v>261</v>
      </c>
      <c r="G1" s="12" t="s">
        <v>1</v>
      </c>
      <c r="H1" s="12" t="s">
        <v>264</v>
      </c>
      <c r="I1" s="13" t="s">
        <v>265</v>
      </c>
      <c r="J1" s="14" t="s">
        <v>266</v>
      </c>
      <c r="K1" s="12" t="s">
        <v>267</v>
      </c>
      <c r="L1" s="15"/>
    </row>
    <row r="2" spans="1:12" x14ac:dyDescent="0.2">
      <c r="A2" s="6" t="s">
        <v>601</v>
      </c>
      <c r="B2" s="6">
        <v>1</v>
      </c>
      <c r="C2" s="6" t="s">
        <v>183</v>
      </c>
      <c r="D2" s="6" t="s">
        <v>278</v>
      </c>
      <c r="E2" s="7">
        <v>43935</v>
      </c>
      <c r="F2" s="7">
        <v>43937</v>
      </c>
      <c r="G2" s="8">
        <v>3</v>
      </c>
      <c r="H2" s="8">
        <v>50000000</v>
      </c>
      <c r="I2" s="8">
        <v>1000000</v>
      </c>
      <c r="J2" s="9">
        <v>0.5</v>
      </c>
      <c r="K2" s="6" t="s">
        <v>259</v>
      </c>
    </row>
    <row r="3" spans="1:12" x14ac:dyDescent="0.2">
      <c r="A3" s="6" t="s">
        <v>601</v>
      </c>
      <c r="B3" s="6">
        <v>0</v>
      </c>
      <c r="C3" s="6" t="s">
        <v>183</v>
      </c>
      <c r="D3" s="6" t="s">
        <v>278</v>
      </c>
      <c r="E3" s="7">
        <v>43937</v>
      </c>
      <c r="F3" s="7">
        <v>43938</v>
      </c>
      <c r="G3" s="8">
        <v>2</v>
      </c>
      <c r="H3" s="8">
        <v>50000000</v>
      </c>
      <c r="I3" s="8">
        <v>9300000</v>
      </c>
      <c r="J3" s="9">
        <v>1</v>
      </c>
      <c r="K3" s="6" t="s">
        <v>259</v>
      </c>
    </row>
    <row r="4" spans="1:12" x14ac:dyDescent="0.2">
      <c r="A4" s="6" t="s">
        <v>117</v>
      </c>
      <c r="B4" s="6">
        <v>1</v>
      </c>
      <c r="C4" s="6" t="s">
        <v>183</v>
      </c>
      <c r="D4" s="6" t="s">
        <v>278</v>
      </c>
      <c r="E4" s="7">
        <v>43241</v>
      </c>
      <c r="F4" s="7">
        <v>43250</v>
      </c>
      <c r="G4" s="8">
        <v>10</v>
      </c>
      <c r="H4" s="8">
        <v>400000000</v>
      </c>
      <c r="I4" s="8">
        <v>38000000</v>
      </c>
      <c r="J4" s="9">
        <v>5.21E-2</v>
      </c>
      <c r="K4" s="6" t="s">
        <v>259</v>
      </c>
    </row>
    <row r="5" spans="1:12" x14ac:dyDescent="0.2">
      <c r="A5" s="6" t="s">
        <v>117</v>
      </c>
      <c r="B5" s="6">
        <v>0</v>
      </c>
      <c r="C5" s="6" t="s">
        <v>183</v>
      </c>
      <c r="D5" s="6" t="s">
        <v>278</v>
      </c>
      <c r="E5" s="7">
        <v>43266</v>
      </c>
      <c r="F5" s="7">
        <v>43270</v>
      </c>
      <c r="G5" s="8">
        <v>5</v>
      </c>
      <c r="H5" s="8">
        <v>400000000</v>
      </c>
      <c r="I5" s="8">
        <f>H5*29.3%</f>
        <v>117200000</v>
      </c>
      <c r="J5" s="9">
        <v>5.21E-2</v>
      </c>
      <c r="K5" s="6" t="s">
        <v>259</v>
      </c>
    </row>
    <row r="6" spans="1:12" x14ac:dyDescent="0.2">
      <c r="A6" s="6" t="s">
        <v>127</v>
      </c>
      <c r="B6" s="6">
        <v>0</v>
      </c>
      <c r="C6" s="6" t="s">
        <v>183</v>
      </c>
      <c r="D6" s="6" t="s">
        <v>362</v>
      </c>
      <c r="E6" s="7">
        <v>43208</v>
      </c>
      <c r="F6" s="7">
        <v>43236</v>
      </c>
      <c r="G6" s="8">
        <v>29</v>
      </c>
      <c r="H6" s="8">
        <v>508628132</v>
      </c>
      <c r="I6" s="8">
        <f>H6*40%</f>
        <v>203451252.80000001</v>
      </c>
      <c r="J6" s="9">
        <v>0.08</v>
      </c>
      <c r="K6" s="6" t="s">
        <v>259</v>
      </c>
    </row>
    <row r="7" spans="1:12" x14ac:dyDescent="0.2">
      <c r="A7" s="6" t="s">
        <v>170</v>
      </c>
      <c r="B7" s="6">
        <v>0</v>
      </c>
      <c r="C7" s="6" t="s">
        <v>183</v>
      </c>
      <c r="D7" s="6" t="s">
        <v>278</v>
      </c>
      <c r="E7" s="7">
        <v>43083</v>
      </c>
      <c r="F7" s="7">
        <v>43114</v>
      </c>
      <c r="G7" s="8">
        <v>31</v>
      </c>
      <c r="H7" s="8">
        <v>1000000000</v>
      </c>
      <c r="I7" s="8">
        <v>510000000</v>
      </c>
      <c r="J7" s="9">
        <v>1.3333E-4</v>
      </c>
      <c r="K7" s="6" t="s">
        <v>2</v>
      </c>
    </row>
    <row r="8" spans="1:12" x14ac:dyDescent="0.2">
      <c r="A8" s="6" t="s">
        <v>148</v>
      </c>
      <c r="B8" s="6">
        <v>1</v>
      </c>
      <c r="C8" s="6" t="s">
        <v>183</v>
      </c>
      <c r="D8" s="6" t="s">
        <v>278</v>
      </c>
      <c r="E8" s="7">
        <v>43131</v>
      </c>
      <c r="F8" s="7">
        <v>43137</v>
      </c>
      <c r="G8" s="8">
        <v>7</v>
      </c>
      <c r="H8" s="8">
        <v>450000000</v>
      </c>
      <c r="I8" s="8">
        <v>3000000</v>
      </c>
      <c r="J8" s="9">
        <v>2.0000000000000001E-4</v>
      </c>
      <c r="K8" s="6" t="s">
        <v>2</v>
      </c>
    </row>
    <row r="9" spans="1:12" x14ac:dyDescent="0.2">
      <c r="A9" s="6" t="s">
        <v>148</v>
      </c>
      <c r="B9" s="6">
        <v>0</v>
      </c>
      <c r="C9" s="6" t="s">
        <v>183</v>
      </c>
      <c r="D9" s="6" t="s">
        <v>278</v>
      </c>
      <c r="E9" s="7">
        <v>43152</v>
      </c>
      <c r="F9" s="7">
        <v>43173</v>
      </c>
      <c r="G9" s="8">
        <v>22</v>
      </c>
      <c r="H9" s="8"/>
      <c r="I9" s="8">
        <v>12000000</v>
      </c>
      <c r="J9" s="9">
        <v>2.0000000000000001E-4</v>
      </c>
      <c r="K9" s="6" t="s">
        <v>2</v>
      </c>
    </row>
    <row r="10" spans="1:12" x14ac:dyDescent="0.2">
      <c r="A10" s="6" t="s">
        <v>196</v>
      </c>
      <c r="B10" s="6">
        <v>0</v>
      </c>
      <c r="C10" s="6" t="s">
        <v>183</v>
      </c>
      <c r="D10" s="6" t="s">
        <v>278</v>
      </c>
      <c r="E10" s="7">
        <v>43069</v>
      </c>
      <c r="F10" s="7" t="s">
        <v>388</v>
      </c>
      <c r="G10" s="8">
        <v>20</v>
      </c>
      <c r="H10" s="8">
        <v>1000000000</v>
      </c>
      <c r="I10" s="8">
        <v>450000000</v>
      </c>
      <c r="J10" s="9">
        <v>0.05</v>
      </c>
      <c r="K10" s="6" t="s">
        <v>259</v>
      </c>
    </row>
    <row r="11" spans="1:12" x14ac:dyDescent="0.2">
      <c r="A11" s="6" t="s">
        <v>192</v>
      </c>
      <c r="B11" s="6">
        <v>0</v>
      </c>
      <c r="C11" s="6" t="s">
        <v>183</v>
      </c>
      <c r="D11" s="6" t="s">
        <v>278</v>
      </c>
      <c r="E11" s="7">
        <v>43090</v>
      </c>
      <c r="F11" s="7">
        <v>43091</v>
      </c>
      <c r="G11" s="8">
        <v>2</v>
      </c>
      <c r="H11" s="8">
        <v>1000000000</v>
      </c>
      <c r="I11" s="8">
        <v>500000000</v>
      </c>
      <c r="J11" s="9">
        <v>0.1</v>
      </c>
      <c r="K11" s="6" t="s">
        <v>259</v>
      </c>
    </row>
    <row r="12" spans="1:12" x14ac:dyDescent="0.2">
      <c r="A12" s="6" t="s">
        <v>240</v>
      </c>
      <c r="B12" s="6">
        <v>0</v>
      </c>
      <c r="C12" s="6" t="s">
        <v>183</v>
      </c>
      <c r="D12" s="6" t="s">
        <v>278</v>
      </c>
      <c r="E12" s="7">
        <v>42997</v>
      </c>
      <c r="F12" s="7">
        <v>43027</v>
      </c>
      <c r="G12" s="8">
        <v>31</v>
      </c>
      <c r="H12" s="8">
        <v>1500000000</v>
      </c>
      <c r="I12" s="8">
        <v>1050000000</v>
      </c>
      <c r="J12" s="9">
        <f>1/50</f>
        <v>0.02</v>
      </c>
      <c r="K12" s="6" t="s">
        <v>259</v>
      </c>
    </row>
    <row r="13" spans="1:12" x14ac:dyDescent="0.2">
      <c r="A13" s="6" t="s">
        <v>84</v>
      </c>
      <c r="B13" s="6">
        <v>0</v>
      </c>
      <c r="C13" s="6" t="s">
        <v>183</v>
      </c>
      <c r="D13" s="6" t="s">
        <v>278</v>
      </c>
      <c r="E13" s="7">
        <v>43574</v>
      </c>
      <c r="F13" s="7">
        <v>43575</v>
      </c>
      <c r="G13" s="8">
        <v>2</v>
      </c>
      <c r="H13" s="8">
        <v>2000000000</v>
      </c>
      <c r="I13" s="8">
        <v>1000000000</v>
      </c>
      <c r="J13" s="9">
        <v>2.06E-2</v>
      </c>
      <c r="K13" s="6" t="s">
        <v>259</v>
      </c>
    </row>
    <row r="14" spans="1:12" x14ac:dyDescent="0.2">
      <c r="A14" s="6" t="s">
        <v>10</v>
      </c>
      <c r="B14" s="6">
        <v>0</v>
      </c>
      <c r="C14" s="6" t="s">
        <v>183</v>
      </c>
      <c r="D14" s="6" t="s">
        <v>277</v>
      </c>
      <c r="E14" s="7">
        <v>44119</v>
      </c>
      <c r="F14" s="7">
        <v>44119</v>
      </c>
      <c r="G14" s="8">
        <v>1</v>
      </c>
      <c r="H14" s="8">
        <v>100000000</v>
      </c>
      <c r="I14" s="8">
        <v>1440000</v>
      </c>
      <c r="J14" s="9">
        <v>0.37730000000000002</v>
      </c>
      <c r="K14" s="6" t="s">
        <v>259</v>
      </c>
    </row>
    <row r="15" spans="1:12" x14ac:dyDescent="0.2">
      <c r="A15" s="6" t="s">
        <v>10</v>
      </c>
      <c r="B15" s="6">
        <v>0</v>
      </c>
      <c r="C15" s="6" t="s">
        <v>183</v>
      </c>
      <c r="D15" s="6" t="s">
        <v>279</v>
      </c>
      <c r="E15" s="7">
        <v>44119</v>
      </c>
      <c r="F15" s="7">
        <v>44119</v>
      </c>
      <c r="G15" s="8">
        <v>1</v>
      </c>
      <c r="H15" s="8">
        <v>100000000</v>
      </c>
      <c r="I15" s="8">
        <v>360000</v>
      </c>
      <c r="J15" s="9">
        <v>0.76729999999999998</v>
      </c>
      <c r="K15" s="6" t="s">
        <v>259</v>
      </c>
    </row>
    <row r="16" spans="1:12" x14ac:dyDescent="0.2">
      <c r="A16" s="6" t="s">
        <v>70</v>
      </c>
      <c r="B16" s="6">
        <v>0</v>
      </c>
      <c r="C16" s="6" t="s">
        <v>183</v>
      </c>
      <c r="D16" s="6" t="s">
        <v>184</v>
      </c>
      <c r="E16" s="7">
        <v>43635</v>
      </c>
      <c r="F16" s="7">
        <v>43635</v>
      </c>
      <c r="G16" s="8">
        <v>1</v>
      </c>
      <c r="H16" s="8">
        <v>10000000000</v>
      </c>
      <c r="I16" s="8">
        <v>250000000</v>
      </c>
      <c r="J16" s="9">
        <v>2.4</v>
      </c>
      <c r="K16" s="6" t="s">
        <v>259</v>
      </c>
    </row>
    <row r="17" spans="1:11" x14ac:dyDescent="0.2">
      <c r="A17" s="6" t="s">
        <v>569</v>
      </c>
      <c r="B17" s="6">
        <v>0</v>
      </c>
      <c r="C17" s="6" t="s">
        <v>183</v>
      </c>
      <c r="D17" s="6" t="s">
        <v>278</v>
      </c>
      <c r="E17" s="7">
        <v>44229</v>
      </c>
      <c r="F17" s="7">
        <v>44231</v>
      </c>
      <c r="G17" s="8">
        <v>3</v>
      </c>
      <c r="H17" s="8">
        <v>100000000</v>
      </c>
      <c r="I17" s="8">
        <f>2200000/0.125</f>
        <v>17600000</v>
      </c>
      <c r="J17" s="9">
        <v>0.125</v>
      </c>
      <c r="K17" s="6" t="s">
        <v>259</v>
      </c>
    </row>
    <row r="18" spans="1:11" x14ac:dyDescent="0.2">
      <c r="A18" s="6" t="s">
        <v>242</v>
      </c>
      <c r="B18" s="6">
        <v>0</v>
      </c>
      <c r="C18" s="6" t="s">
        <v>183</v>
      </c>
      <c r="D18" s="6" t="s">
        <v>278</v>
      </c>
      <c r="E18" s="7">
        <v>42978</v>
      </c>
      <c r="F18" s="7">
        <v>43006</v>
      </c>
      <c r="G18" s="8">
        <v>29</v>
      </c>
      <c r="H18" s="8">
        <v>500000000</v>
      </c>
      <c r="I18" s="8">
        <v>2150000000</v>
      </c>
      <c r="J18" s="9">
        <f>1/2900</f>
        <v>3.4482758620689653E-4</v>
      </c>
      <c r="K18" s="6" t="s">
        <v>2</v>
      </c>
    </row>
    <row r="19" spans="1:11" x14ac:dyDescent="0.2">
      <c r="A19" s="6" t="s">
        <v>481</v>
      </c>
      <c r="B19" s="6">
        <v>1</v>
      </c>
      <c r="C19" s="6" t="s">
        <v>188</v>
      </c>
      <c r="D19" s="6" t="s">
        <v>278</v>
      </c>
      <c r="E19" s="7"/>
      <c r="F19" s="7"/>
      <c r="G19" s="8"/>
      <c r="H19" s="8">
        <v>10000000</v>
      </c>
      <c r="I19" s="8">
        <v>500000</v>
      </c>
      <c r="J19" s="9">
        <v>0.45</v>
      </c>
      <c r="K19" s="6" t="s">
        <v>259</v>
      </c>
    </row>
    <row r="20" spans="1:11" x14ac:dyDescent="0.2">
      <c r="A20" s="6" t="s">
        <v>481</v>
      </c>
      <c r="B20" s="6">
        <v>1</v>
      </c>
      <c r="C20" s="6" t="s">
        <v>188</v>
      </c>
      <c r="D20" s="6" t="s">
        <v>278</v>
      </c>
      <c r="E20" s="7"/>
      <c r="F20" s="7"/>
      <c r="G20" s="8"/>
      <c r="H20" s="8">
        <v>10000000</v>
      </c>
      <c r="I20" s="8">
        <v>1350000</v>
      </c>
      <c r="J20" s="9">
        <v>0.54</v>
      </c>
      <c r="K20" s="6" t="s">
        <v>259</v>
      </c>
    </row>
    <row r="21" spans="1:11" x14ac:dyDescent="0.2">
      <c r="A21" s="6" t="s">
        <v>481</v>
      </c>
      <c r="B21" s="6">
        <v>0</v>
      </c>
      <c r="C21" s="6" t="s">
        <v>183</v>
      </c>
      <c r="D21" s="6" t="s">
        <v>278</v>
      </c>
      <c r="E21" s="7">
        <v>44316</v>
      </c>
      <c r="F21" s="7">
        <v>44316</v>
      </c>
      <c r="G21" s="8">
        <v>1</v>
      </c>
      <c r="H21" s="8">
        <v>10000000</v>
      </c>
      <c r="I21" s="8">
        <v>123457</v>
      </c>
      <c r="J21" s="9">
        <v>0.81</v>
      </c>
      <c r="K21" s="6" t="s">
        <v>259</v>
      </c>
    </row>
    <row r="22" spans="1:11" x14ac:dyDescent="0.2">
      <c r="A22" s="6" t="s">
        <v>544</v>
      </c>
      <c r="B22" s="6">
        <v>0</v>
      </c>
      <c r="C22" s="6" t="s">
        <v>183</v>
      </c>
      <c r="D22" s="6" t="s">
        <v>278</v>
      </c>
      <c r="E22" s="7"/>
      <c r="F22" s="7"/>
      <c r="G22" s="8"/>
      <c r="H22" s="8">
        <v>100000000</v>
      </c>
      <c r="I22" s="8">
        <v>7500000</v>
      </c>
      <c r="J22" s="9">
        <v>4.2999999999999997E-2</v>
      </c>
      <c r="K22" s="6" t="s">
        <v>259</v>
      </c>
    </row>
    <row r="23" spans="1:11" x14ac:dyDescent="0.2">
      <c r="A23" s="6" t="s">
        <v>544</v>
      </c>
      <c r="B23" s="6">
        <v>0</v>
      </c>
      <c r="C23" s="6" t="s">
        <v>188</v>
      </c>
      <c r="D23" s="6" t="s">
        <v>278</v>
      </c>
      <c r="E23" s="7"/>
      <c r="F23" s="7"/>
      <c r="G23" s="8"/>
      <c r="H23" s="8">
        <v>100000000</v>
      </c>
      <c r="I23" s="8">
        <v>3460000</v>
      </c>
      <c r="J23" s="9">
        <v>0.08</v>
      </c>
      <c r="K23" s="6" t="s">
        <v>259</v>
      </c>
    </row>
    <row r="24" spans="1:11" x14ac:dyDescent="0.2">
      <c r="A24" s="6" t="s">
        <v>544</v>
      </c>
      <c r="B24" s="6">
        <v>0</v>
      </c>
      <c r="C24" s="6" t="s">
        <v>188</v>
      </c>
      <c r="D24" s="6" t="s">
        <v>278</v>
      </c>
      <c r="E24" s="7"/>
      <c r="F24" s="7"/>
      <c r="G24" s="8"/>
      <c r="H24" s="8">
        <v>100000000</v>
      </c>
      <c r="I24" s="8">
        <v>2150000</v>
      </c>
      <c r="J24" s="9">
        <v>6.7000000000000004E-2</v>
      </c>
      <c r="K24" s="6" t="s">
        <v>259</v>
      </c>
    </row>
    <row r="25" spans="1:11" x14ac:dyDescent="0.2">
      <c r="A25" s="6" t="s">
        <v>544</v>
      </c>
      <c r="B25" s="6">
        <v>1</v>
      </c>
      <c r="C25" s="6" t="s">
        <v>188</v>
      </c>
      <c r="D25" s="6" t="s">
        <v>278</v>
      </c>
      <c r="E25" s="7"/>
      <c r="F25" s="7"/>
      <c r="G25" s="8"/>
      <c r="H25" s="8">
        <v>100000000</v>
      </c>
      <c r="I25" s="8">
        <v>7000000</v>
      </c>
      <c r="J25" s="9">
        <v>7.4999999999999997E-2</v>
      </c>
      <c r="K25" s="6" t="s">
        <v>259</v>
      </c>
    </row>
    <row r="26" spans="1:11" x14ac:dyDescent="0.2">
      <c r="A26" s="6" t="s">
        <v>544</v>
      </c>
      <c r="B26" s="6">
        <v>0</v>
      </c>
      <c r="C26" s="6" t="s">
        <v>183</v>
      </c>
      <c r="D26" s="6" t="s">
        <v>278</v>
      </c>
      <c r="E26" s="7">
        <v>44256</v>
      </c>
      <c r="F26" s="7">
        <v>44258</v>
      </c>
      <c r="G26" s="8">
        <v>3</v>
      </c>
      <c r="H26" s="8">
        <v>100000000</v>
      </c>
      <c r="I26" s="8">
        <v>1000000</v>
      </c>
      <c r="J26" s="9">
        <v>0.1</v>
      </c>
      <c r="K26" s="6" t="s">
        <v>259</v>
      </c>
    </row>
    <row r="27" spans="1:11" x14ac:dyDescent="0.2">
      <c r="A27" s="6" t="s">
        <v>544</v>
      </c>
      <c r="B27" s="6">
        <v>0</v>
      </c>
      <c r="C27" s="6" t="s">
        <v>183</v>
      </c>
      <c r="D27" s="6" t="s">
        <v>278</v>
      </c>
      <c r="E27" s="7">
        <v>44258</v>
      </c>
      <c r="F27" s="7">
        <v>44262</v>
      </c>
      <c r="G27" s="8">
        <v>5</v>
      </c>
      <c r="H27" s="8">
        <v>100000000</v>
      </c>
      <c r="I27" s="8">
        <v>3000000</v>
      </c>
      <c r="J27" s="9">
        <v>0.12</v>
      </c>
      <c r="K27" s="6" t="s">
        <v>259</v>
      </c>
    </row>
    <row r="28" spans="1:11" x14ac:dyDescent="0.2">
      <c r="A28" s="6" t="s">
        <v>76</v>
      </c>
      <c r="B28" s="6">
        <v>0</v>
      </c>
      <c r="C28" s="6" t="s">
        <v>188</v>
      </c>
      <c r="D28" s="6" t="s">
        <v>278</v>
      </c>
      <c r="E28" s="7"/>
      <c r="F28" s="7"/>
      <c r="G28" s="8"/>
      <c r="H28" s="8">
        <v>6000000000</v>
      </c>
      <c r="I28" s="8">
        <v>600000000</v>
      </c>
      <c r="J28" s="9">
        <v>8.3999999999999995E-3</v>
      </c>
      <c r="K28" s="6" t="s">
        <v>259</v>
      </c>
    </row>
    <row r="29" spans="1:11" x14ac:dyDescent="0.2">
      <c r="A29" s="6" t="s">
        <v>76</v>
      </c>
      <c r="B29" s="6">
        <v>0</v>
      </c>
      <c r="C29" s="6" t="s">
        <v>183</v>
      </c>
      <c r="D29" s="6" t="s">
        <v>278</v>
      </c>
      <c r="E29" s="7">
        <v>43601</v>
      </c>
      <c r="F29" s="7">
        <v>43601</v>
      </c>
      <c r="G29" s="8">
        <v>1</v>
      </c>
      <c r="H29" s="8">
        <v>6000000000</v>
      </c>
      <c r="I29" s="8">
        <v>900000000</v>
      </c>
      <c r="J29" s="9">
        <v>6.0000000000000001E-3</v>
      </c>
      <c r="K29" s="6" t="s">
        <v>259</v>
      </c>
    </row>
    <row r="30" spans="1:11" x14ac:dyDescent="0.2">
      <c r="A30" s="6" t="s">
        <v>221</v>
      </c>
      <c r="B30" s="6">
        <v>0</v>
      </c>
      <c r="C30" s="6" t="s">
        <v>183</v>
      </c>
      <c r="D30" s="6" t="s">
        <v>278</v>
      </c>
      <c r="E30" s="7">
        <v>43026</v>
      </c>
      <c r="F30" s="7">
        <v>43056</v>
      </c>
      <c r="G30" s="8">
        <v>31</v>
      </c>
      <c r="H30" s="8">
        <v>60000000</v>
      </c>
      <c r="I30" s="8">
        <f>H30*84%</f>
        <v>50400000</v>
      </c>
      <c r="J30" s="9">
        <v>1</v>
      </c>
      <c r="K30" s="6" t="s">
        <v>259</v>
      </c>
    </row>
    <row r="31" spans="1:11" x14ac:dyDescent="0.2">
      <c r="A31" s="6" t="s">
        <v>103</v>
      </c>
      <c r="B31" s="6">
        <v>1</v>
      </c>
      <c r="C31" s="6" t="s">
        <v>188</v>
      </c>
      <c r="D31" s="6" t="s">
        <v>278</v>
      </c>
      <c r="E31" s="7"/>
      <c r="F31" s="7"/>
      <c r="G31" s="8"/>
      <c r="H31" s="8">
        <f>500000000/5%</f>
        <v>10000000000</v>
      </c>
      <c r="I31" s="8">
        <v>500000000</v>
      </c>
      <c r="J31" s="9">
        <v>4.4000000000000003E-3</v>
      </c>
      <c r="K31" s="6" t="s">
        <v>259</v>
      </c>
    </row>
    <row r="32" spans="1:11" x14ac:dyDescent="0.2">
      <c r="A32" s="6" t="s">
        <v>103</v>
      </c>
      <c r="B32" s="6">
        <v>1</v>
      </c>
      <c r="C32" s="6" t="s">
        <v>188</v>
      </c>
      <c r="D32" s="6" t="s">
        <v>278</v>
      </c>
      <c r="E32" s="7"/>
      <c r="F32" s="7"/>
      <c r="G32" s="8"/>
      <c r="H32" s="8">
        <f>500000000/5%</f>
        <v>10000000000</v>
      </c>
      <c r="I32" s="8">
        <v>2500000000</v>
      </c>
      <c r="J32" s="9">
        <v>5.4999999999999997E-3</v>
      </c>
      <c r="K32" s="6" t="s">
        <v>259</v>
      </c>
    </row>
    <row r="33" spans="1:11" x14ac:dyDescent="0.2">
      <c r="A33" s="6" t="s">
        <v>103</v>
      </c>
      <c r="B33" s="6">
        <v>0</v>
      </c>
      <c r="C33" s="6" t="s">
        <v>183</v>
      </c>
      <c r="D33" s="6" t="s">
        <v>278</v>
      </c>
      <c r="E33" s="7">
        <v>43359</v>
      </c>
      <c r="F33" s="7">
        <v>43364</v>
      </c>
      <c r="G33" s="8">
        <f>F33-E33</f>
        <v>5</v>
      </c>
      <c r="H33" s="8">
        <f>500000000/5%</f>
        <v>10000000000</v>
      </c>
      <c r="I33" s="8">
        <v>500000000</v>
      </c>
      <c r="J33" s="9">
        <v>6.6E-3</v>
      </c>
      <c r="K33" s="6" t="s">
        <v>259</v>
      </c>
    </row>
    <row r="34" spans="1:11" x14ac:dyDescent="0.2">
      <c r="A34" s="6" t="s">
        <v>39</v>
      </c>
      <c r="B34" s="6">
        <v>0</v>
      </c>
      <c r="C34" s="6" t="s">
        <v>183</v>
      </c>
      <c r="D34" s="6" t="s">
        <v>278</v>
      </c>
      <c r="E34" s="7">
        <v>44032</v>
      </c>
      <c r="F34" s="7">
        <v>44032</v>
      </c>
      <c r="G34" s="8">
        <v>1</v>
      </c>
      <c r="H34" s="8">
        <v>100000000</v>
      </c>
      <c r="I34" s="8">
        <v>5000000</v>
      </c>
      <c r="J34" s="9">
        <v>0.02</v>
      </c>
      <c r="K34" s="6" t="s">
        <v>159</v>
      </c>
    </row>
    <row r="35" spans="1:11" x14ac:dyDescent="0.2">
      <c r="A35" s="6" t="s">
        <v>195</v>
      </c>
      <c r="B35" s="6">
        <v>1</v>
      </c>
      <c r="C35" s="6" t="s">
        <v>183</v>
      </c>
      <c r="D35" s="6" t="s">
        <v>278</v>
      </c>
      <c r="E35" s="7"/>
      <c r="F35" s="7">
        <v>43059</v>
      </c>
      <c r="G35" s="8"/>
      <c r="H35" s="8">
        <v>450000000</v>
      </c>
      <c r="I35" s="8">
        <f>450000000*12%</f>
        <v>54000000</v>
      </c>
      <c r="J35" s="9">
        <v>0.1</v>
      </c>
      <c r="K35" s="6" t="s">
        <v>259</v>
      </c>
    </row>
    <row r="36" spans="1:11" x14ac:dyDescent="0.2">
      <c r="A36" s="6" t="s">
        <v>195</v>
      </c>
      <c r="B36" s="6">
        <v>0</v>
      </c>
      <c r="C36" s="6" t="s">
        <v>183</v>
      </c>
      <c r="D36" s="6" t="s">
        <v>278</v>
      </c>
      <c r="E36" s="7">
        <v>43082</v>
      </c>
      <c r="F36" s="7">
        <v>43089</v>
      </c>
      <c r="G36" s="8">
        <v>8</v>
      </c>
      <c r="H36" s="8">
        <v>450000000</v>
      </c>
      <c r="I36" s="8">
        <f>H36*28%</f>
        <v>126000000.00000001</v>
      </c>
      <c r="J36" s="9">
        <f>1/2995</f>
        <v>3.33889816360601E-4</v>
      </c>
      <c r="K36" s="6" t="s">
        <v>2</v>
      </c>
    </row>
    <row r="37" spans="1:11" x14ac:dyDescent="0.2">
      <c r="A37" s="6" t="s">
        <v>732</v>
      </c>
      <c r="B37" s="6">
        <v>0</v>
      </c>
      <c r="C37" s="6" t="s">
        <v>183</v>
      </c>
      <c r="D37" s="6" t="s">
        <v>278</v>
      </c>
      <c r="E37" s="7">
        <v>43254</v>
      </c>
      <c r="F37" s="7">
        <v>43260</v>
      </c>
      <c r="G37" s="8">
        <v>7</v>
      </c>
      <c r="H37" s="8">
        <v>66000000</v>
      </c>
      <c r="I37" s="8">
        <f>H37*20.6%</f>
        <v>13596000.000000002</v>
      </c>
      <c r="J37" s="9">
        <v>0.73</v>
      </c>
      <c r="K37" s="6" t="s">
        <v>259</v>
      </c>
    </row>
    <row r="38" spans="1:11" x14ac:dyDescent="0.2">
      <c r="A38" s="6" t="s">
        <v>238</v>
      </c>
      <c r="B38" s="6">
        <v>1</v>
      </c>
      <c r="C38" s="6" t="s">
        <v>188</v>
      </c>
      <c r="D38" s="6" t="s">
        <v>278</v>
      </c>
      <c r="E38" s="7">
        <v>42983</v>
      </c>
      <c r="F38" s="7">
        <v>42983</v>
      </c>
      <c r="G38" s="8">
        <v>1</v>
      </c>
      <c r="H38" s="8">
        <v>100000000</v>
      </c>
      <c r="I38" s="8">
        <v>15000000</v>
      </c>
      <c r="J38" s="9">
        <v>0.66</v>
      </c>
      <c r="K38" s="6" t="s">
        <v>259</v>
      </c>
    </row>
    <row r="39" spans="1:11" x14ac:dyDescent="0.2">
      <c r="A39" s="6" t="s">
        <v>238</v>
      </c>
      <c r="B39" s="6">
        <v>1</v>
      </c>
      <c r="C39" s="6" t="s">
        <v>188</v>
      </c>
      <c r="D39" s="6" t="s">
        <v>278</v>
      </c>
      <c r="E39" s="7">
        <v>42984</v>
      </c>
      <c r="F39" s="7">
        <v>42984</v>
      </c>
      <c r="G39" s="8">
        <v>1</v>
      </c>
      <c r="H39" s="8">
        <v>100000000</v>
      </c>
      <c r="I39" s="8">
        <v>15000000</v>
      </c>
      <c r="J39" s="9">
        <v>0.66</v>
      </c>
      <c r="K39" s="6" t="s">
        <v>259</v>
      </c>
    </row>
    <row r="40" spans="1:11" x14ac:dyDescent="0.2">
      <c r="A40" s="6" t="s">
        <v>108</v>
      </c>
      <c r="B40" s="6">
        <v>0</v>
      </c>
      <c r="C40" s="6" t="s">
        <v>183</v>
      </c>
      <c r="D40" s="6" t="s">
        <v>278</v>
      </c>
      <c r="E40" s="7">
        <v>43253</v>
      </c>
      <c r="F40" s="7">
        <v>43313</v>
      </c>
      <c r="G40" s="8">
        <v>60</v>
      </c>
      <c r="H40" s="8">
        <v>1000000000</v>
      </c>
      <c r="I40" s="8">
        <v>650000000</v>
      </c>
      <c r="J40" s="9">
        <v>0.02</v>
      </c>
      <c r="K40" s="6" t="s">
        <v>259</v>
      </c>
    </row>
    <row r="41" spans="1:11" x14ac:dyDescent="0.2">
      <c r="A41" s="6" t="s">
        <v>236</v>
      </c>
      <c r="B41" s="6">
        <v>0</v>
      </c>
      <c r="C41" s="6" t="s">
        <v>183</v>
      </c>
      <c r="D41" s="6" t="s">
        <v>278</v>
      </c>
      <c r="E41" s="7">
        <v>43017</v>
      </c>
      <c r="F41" s="7">
        <v>43018</v>
      </c>
      <c r="G41" s="8">
        <v>2</v>
      </c>
      <c r="H41" s="8">
        <v>500000000</v>
      </c>
      <c r="I41" s="8">
        <v>150000000</v>
      </c>
      <c r="J41" s="9">
        <v>1E-3</v>
      </c>
      <c r="K41" s="6" t="s">
        <v>2</v>
      </c>
    </row>
    <row r="42" spans="1:11" x14ac:dyDescent="0.2">
      <c r="A42" s="6" t="s">
        <v>456</v>
      </c>
      <c r="B42" s="6">
        <v>0</v>
      </c>
      <c r="C42" s="6" t="s">
        <v>183</v>
      </c>
      <c r="D42" s="6" t="s">
        <v>278</v>
      </c>
      <c r="E42" s="7">
        <v>42985</v>
      </c>
      <c r="F42" s="7">
        <v>43040</v>
      </c>
      <c r="G42" s="8">
        <v>56</v>
      </c>
      <c r="H42" s="8">
        <v>150000000</v>
      </c>
      <c r="I42" s="8">
        <f>H42*69%</f>
        <v>103499999.99999999</v>
      </c>
      <c r="J42" s="9">
        <f>1/505</f>
        <v>1.9801980198019802E-3</v>
      </c>
      <c r="K42" s="6" t="s">
        <v>2</v>
      </c>
    </row>
    <row r="43" spans="1:11" x14ac:dyDescent="0.2">
      <c r="A43" s="6" t="s">
        <v>35</v>
      </c>
      <c r="B43" s="6">
        <v>0</v>
      </c>
      <c r="C43" s="6" t="s">
        <v>183</v>
      </c>
      <c r="D43" s="6" t="s">
        <v>278</v>
      </c>
      <c r="E43" s="7">
        <v>43675</v>
      </c>
      <c r="F43" s="7">
        <v>43675</v>
      </c>
      <c r="G43" s="8">
        <v>1</v>
      </c>
      <c r="H43" s="8">
        <v>1000000000</v>
      </c>
      <c r="I43" s="8">
        <v>50000000</v>
      </c>
      <c r="J43" s="9">
        <v>0.04</v>
      </c>
      <c r="K43" s="6" t="s">
        <v>259</v>
      </c>
    </row>
    <row r="44" spans="1:11" x14ac:dyDescent="0.2">
      <c r="A44" s="6" t="s">
        <v>65</v>
      </c>
      <c r="B44" s="6">
        <v>0</v>
      </c>
      <c r="C44" s="6" t="s">
        <v>183</v>
      </c>
      <c r="D44" s="6" t="s">
        <v>278</v>
      </c>
      <c r="E44" s="7">
        <v>43669</v>
      </c>
      <c r="F44" s="7">
        <v>43686</v>
      </c>
      <c r="G44" s="8">
        <v>17</v>
      </c>
      <c r="H44" s="8">
        <v>250000000</v>
      </c>
      <c r="I44" s="8">
        <f>H44*40%</f>
        <v>100000000</v>
      </c>
      <c r="J44" s="9">
        <v>0.2</v>
      </c>
      <c r="K44" s="6" t="s">
        <v>259</v>
      </c>
    </row>
    <row r="45" spans="1:11" x14ac:dyDescent="0.2">
      <c r="A45" s="6" t="s">
        <v>40</v>
      </c>
      <c r="B45" s="6">
        <v>0</v>
      </c>
      <c r="C45" s="6" t="s">
        <v>183</v>
      </c>
      <c r="D45" s="6" t="s">
        <v>278</v>
      </c>
      <c r="E45" s="7">
        <v>44027</v>
      </c>
      <c r="F45" s="7">
        <v>44027</v>
      </c>
      <c r="G45" s="8">
        <v>1</v>
      </c>
      <c r="H45" s="8">
        <v>720000000</v>
      </c>
      <c r="I45" s="8">
        <v>33984000</v>
      </c>
      <c r="J45" s="9">
        <v>0.5</v>
      </c>
      <c r="K45" s="6" t="s">
        <v>259</v>
      </c>
    </row>
    <row r="46" spans="1:11" x14ac:dyDescent="0.2">
      <c r="A46" s="6" t="s">
        <v>29</v>
      </c>
      <c r="B46" s="6">
        <v>0</v>
      </c>
      <c r="C46" s="6" t="s">
        <v>183</v>
      </c>
      <c r="D46" s="6" t="s">
        <v>278</v>
      </c>
      <c r="E46" s="7">
        <v>44061</v>
      </c>
      <c r="F46" s="7">
        <v>44062</v>
      </c>
      <c r="G46" s="8">
        <v>1</v>
      </c>
      <c r="H46" s="8">
        <v>24000000</v>
      </c>
      <c r="I46" s="8">
        <v>1920000</v>
      </c>
      <c r="J46" s="9">
        <v>2.5</v>
      </c>
      <c r="K46" s="6" t="s">
        <v>259</v>
      </c>
    </row>
    <row r="47" spans="1:11" x14ac:dyDescent="0.2">
      <c r="A47" s="6" t="s">
        <v>271</v>
      </c>
      <c r="B47" s="6">
        <v>0</v>
      </c>
      <c r="C47" s="6" t="s">
        <v>183</v>
      </c>
      <c r="D47" s="6" t="s">
        <v>270</v>
      </c>
      <c r="E47" s="7">
        <v>44131</v>
      </c>
      <c r="F47" s="7">
        <v>44138</v>
      </c>
      <c r="G47" s="8">
        <f>F47-E47</f>
        <v>7</v>
      </c>
      <c r="H47" s="8">
        <v>270000000</v>
      </c>
      <c r="I47" s="8">
        <f>11%*H47</f>
        <v>29700000</v>
      </c>
      <c r="J47" s="9">
        <v>0.1</v>
      </c>
      <c r="K47" s="6" t="s">
        <v>259</v>
      </c>
    </row>
    <row r="48" spans="1:11" x14ac:dyDescent="0.2">
      <c r="A48" s="6" t="s">
        <v>271</v>
      </c>
      <c r="B48" s="6">
        <v>0</v>
      </c>
      <c r="C48" s="6" t="s">
        <v>188</v>
      </c>
      <c r="D48" s="6" t="s">
        <v>278</v>
      </c>
      <c r="E48" s="7"/>
      <c r="F48" s="7"/>
      <c r="G48" s="8"/>
      <c r="H48" s="8">
        <v>270000000</v>
      </c>
      <c r="I48" s="8">
        <f>4%*H48</f>
        <v>10800000</v>
      </c>
      <c r="J48" s="9">
        <v>0.08</v>
      </c>
      <c r="K48" s="6" t="s">
        <v>259</v>
      </c>
    </row>
    <row r="49" spans="1:11" x14ac:dyDescent="0.2">
      <c r="A49" s="6" t="s">
        <v>271</v>
      </c>
      <c r="B49" s="6">
        <v>0</v>
      </c>
      <c r="C49" s="6" t="s">
        <v>188</v>
      </c>
      <c r="D49" s="6" t="s">
        <v>278</v>
      </c>
      <c r="E49" s="7"/>
      <c r="F49" s="7"/>
      <c r="G49" s="8"/>
      <c r="H49" s="8">
        <v>270000000</v>
      </c>
      <c r="I49" s="8">
        <v>10800000</v>
      </c>
      <c r="J49" s="9">
        <v>0.08</v>
      </c>
      <c r="K49" s="6" t="s">
        <v>259</v>
      </c>
    </row>
    <row r="50" spans="1:11" x14ac:dyDescent="0.2">
      <c r="A50" s="6" t="s">
        <v>271</v>
      </c>
      <c r="B50" s="6">
        <v>0</v>
      </c>
      <c r="C50" s="6" t="s">
        <v>183</v>
      </c>
      <c r="D50" s="6" t="s">
        <v>278</v>
      </c>
      <c r="E50" s="7">
        <v>44138</v>
      </c>
      <c r="F50" s="7">
        <v>44139</v>
      </c>
      <c r="G50" s="8">
        <v>2</v>
      </c>
      <c r="H50" s="8">
        <v>270000000</v>
      </c>
      <c r="I50" s="8">
        <v>29700000</v>
      </c>
      <c r="J50" s="9">
        <v>0.1</v>
      </c>
      <c r="K50" s="6" t="s">
        <v>259</v>
      </c>
    </row>
    <row r="51" spans="1:11" x14ac:dyDescent="0.2">
      <c r="A51" s="6" t="s">
        <v>56</v>
      </c>
      <c r="B51" s="6">
        <v>0</v>
      </c>
      <c r="C51" s="6" t="s">
        <v>183</v>
      </c>
      <c r="D51" s="6" t="s">
        <v>278</v>
      </c>
      <c r="E51" s="7">
        <v>44028</v>
      </c>
      <c r="F51" s="7">
        <v>44029</v>
      </c>
      <c r="G51" s="8">
        <v>2</v>
      </c>
      <c r="H51" s="8">
        <v>100000000</v>
      </c>
      <c r="I51" s="8">
        <v>27370000</v>
      </c>
      <c r="J51" s="9">
        <v>0.47299999999999998</v>
      </c>
      <c r="K51" s="6" t="s">
        <v>259</v>
      </c>
    </row>
    <row r="52" spans="1:11" x14ac:dyDescent="0.2">
      <c r="A52" s="6" t="s">
        <v>155</v>
      </c>
      <c r="B52" s="6">
        <v>0</v>
      </c>
      <c r="C52" s="6" t="s">
        <v>183</v>
      </c>
      <c r="D52" s="6" t="s">
        <v>278</v>
      </c>
      <c r="E52" s="7">
        <v>43137</v>
      </c>
      <c r="F52" s="7">
        <v>43152</v>
      </c>
      <c r="G52" s="8">
        <v>16</v>
      </c>
      <c r="H52" s="8">
        <v>50000000000</v>
      </c>
      <c r="I52" s="8">
        <v>20000000000</v>
      </c>
      <c r="J52" s="9">
        <v>1.1999999999999999E-3</v>
      </c>
      <c r="K52" s="6" t="s">
        <v>259</v>
      </c>
    </row>
    <row r="53" spans="1:11" x14ac:dyDescent="0.2">
      <c r="A53" s="6" t="s">
        <v>122</v>
      </c>
      <c r="B53" s="6">
        <v>0</v>
      </c>
      <c r="C53" s="6"/>
      <c r="D53" s="6" t="s">
        <v>278</v>
      </c>
      <c r="E53" s="7">
        <v>43248</v>
      </c>
      <c r="F53" s="7">
        <v>43261</v>
      </c>
      <c r="G53" s="8">
        <v>13</v>
      </c>
      <c r="H53" s="8">
        <v>2000000000</v>
      </c>
      <c r="I53" s="8">
        <v>325000000</v>
      </c>
      <c r="J53" s="10">
        <f>1/20000</f>
        <v>5.0000000000000002E-5</v>
      </c>
      <c r="K53" s="6" t="s">
        <v>2</v>
      </c>
    </row>
    <row r="54" spans="1:11" x14ac:dyDescent="0.2">
      <c r="A54" s="6" t="s">
        <v>543</v>
      </c>
      <c r="B54" s="6">
        <v>0</v>
      </c>
      <c r="C54" s="6" t="s">
        <v>183</v>
      </c>
      <c r="D54" s="6" t="s">
        <v>278</v>
      </c>
      <c r="E54" s="7">
        <v>44270</v>
      </c>
      <c r="F54" s="7">
        <v>44271</v>
      </c>
      <c r="G54" s="8">
        <v>2</v>
      </c>
      <c r="H54" s="8">
        <v>10000000</v>
      </c>
      <c r="I54" s="8">
        <v>100000</v>
      </c>
      <c r="J54" s="9">
        <v>2.2000000000000002</v>
      </c>
      <c r="K54" s="6" t="s">
        <v>259</v>
      </c>
    </row>
    <row r="55" spans="1:11" x14ac:dyDescent="0.2">
      <c r="A55" s="6" t="s">
        <v>180</v>
      </c>
      <c r="B55" s="6">
        <v>0</v>
      </c>
      <c r="C55" s="6" t="s">
        <v>183</v>
      </c>
      <c r="D55" s="6" t="s">
        <v>402</v>
      </c>
      <c r="E55" s="7">
        <v>43070</v>
      </c>
      <c r="F55" s="7">
        <v>43097</v>
      </c>
      <c r="G55" s="8">
        <v>28</v>
      </c>
      <c r="H55" s="8">
        <v>660000000</v>
      </c>
      <c r="I55" s="8">
        <f>H55*51%</f>
        <v>336600000</v>
      </c>
      <c r="J55" s="9">
        <v>1E-4</v>
      </c>
      <c r="K55" s="6" t="s">
        <v>2</v>
      </c>
    </row>
    <row r="56" spans="1:11" x14ac:dyDescent="0.2">
      <c r="A56" s="6" t="s">
        <v>48</v>
      </c>
      <c r="B56" s="6">
        <v>0</v>
      </c>
      <c r="C56" s="6" t="s">
        <v>183</v>
      </c>
      <c r="D56" s="6" t="s">
        <v>278</v>
      </c>
      <c r="E56" s="7">
        <v>43888</v>
      </c>
      <c r="F56" s="7">
        <v>43889</v>
      </c>
      <c r="G56" s="8">
        <v>1</v>
      </c>
      <c r="H56" s="8">
        <v>100000000</v>
      </c>
      <c r="I56" s="8">
        <v>3000000</v>
      </c>
      <c r="J56" s="9">
        <v>0.08</v>
      </c>
      <c r="K56" s="6" t="s">
        <v>259</v>
      </c>
    </row>
    <row r="57" spans="1:11" x14ac:dyDescent="0.2">
      <c r="A57" s="6" t="s">
        <v>163</v>
      </c>
      <c r="B57" s="6">
        <v>0</v>
      </c>
      <c r="C57" s="6" t="s">
        <v>183</v>
      </c>
      <c r="D57" s="6" t="s">
        <v>278</v>
      </c>
      <c r="E57" s="7">
        <v>43131</v>
      </c>
      <c r="F57" s="7">
        <v>43133</v>
      </c>
      <c r="G57" s="8">
        <v>3</v>
      </c>
      <c r="H57" s="8">
        <v>500000000</v>
      </c>
      <c r="I57" s="8">
        <v>150000000</v>
      </c>
      <c r="J57" s="9">
        <v>2.2471910112359551E-4</v>
      </c>
      <c r="K57" s="6" t="s">
        <v>2</v>
      </c>
    </row>
    <row r="58" spans="1:11" x14ac:dyDescent="0.2">
      <c r="A58" s="6" t="s">
        <v>163</v>
      </c>
      <c r="B58" s="6">
        <v>1</v>
      </c>
      <c r="C58" s="6" t="s">
        <v>188</v>
      </c>
      <c r="D58" s="6" t="s">
        <v>278</v>
      </c>
      <c r="E58" s="7">
        <v>43075</v>
      </c>
      <c r="F58" s="7">
        <v>43084</v>
      </c>
      <c r="G58" s="8">
        <v>10</v>
      </c>
      <c r="H58" s="8">
        <v>500000000</v>
      </c>
      <c r="I58" s="8">
        <v>5000000</v>
      </c>
      <c r="J58" s="9"/>
      <c r="K58" s="6"/>
    </row>
    <row r="59" spans="1:11" x14ac:dyDescent="0.2">
      <c r="A59" s="6" t="s">
        <v>163</v>
      </c>
      <c r="B59" s="6">
        <v>1</v>
      </c>
      <c r="C59" s="6" t="s">
        <v>183</v>
      </c>
      <c r="D59" s="6" t="s">
        <v>278</v>
      </c>
      <c r="E59" s="7">
        <v>43102</v>
      </c>
      <c r="F59" s="7">
        <v>43119</v>
      </c>
      <c r="G59" s="8">
        <v>18</v>
      </c>
      <c r="H59" s="8">
        <v>500000000</v>
      </c>
      <c r="I59" s="8">
        <v>5000000</v>
      </c>
      <c r="J59" s="9"/>
      <c r="K59" s="6"/>
    </row>
    <row r="60" spans="1:11" x14ac:dyDescent="0.2">
      <c r="A60" s="6" t="s">
        <v>144</v>
      </c>
      <c r="B60" s="6">
        <v>0</v>
      </c>
      <c r="C60" s="6" t="s">
        <v>183</v>
      </c>
      <c r="D60" s="6" t="s">
        <v>278</v>
      </c>
      <c r="E60" s="7">
        <v>43074</v>
      </c>
      <c r="F60" s="7">
        <v>43164</v>
      </c>
      <c r="G60" s="8">
        <v>91</v>
      </c>
      <c r="H60" s="8">
        <v>400000000</v>
      </c>
      <c r="I60" s="8">
        <v>280000000</v>
      </c>
      <c r="J60" s="9">
        <v>4.0000000000000002E-4</v>
      </c>
      <c r="K60" s="6" t="s">
        <v>2</v>
      </c>
    </row>
    <row r="61" spans="1:11" x14ac:dyDescent="0.2">
      <c r="A61" s="6" t="s">
        <v>64</v>
      </c>
      <c r="B61" s="6">
        <v>0</v>
      </c>
      <c r="C61" s="6" t="s">
        <v>183</v>
      </c>
      <c r="D61" s="6" t="s">
        <v>278</v>
      </c>
      <c r="E61" s="7">
        <v>43655</v>
      </c>
      <c r="F61" s="7">
        <v>43683</v>
      </c>
      <c r="G61" s="8">
        <v>29</v>
      </c>
      <c r="H61" s="8">
        <v>1000000000</v>
      </c>
      <c r="I61" s="8">
        <v>500000000</v>
      </c>
      <c r="J61" s="9">
        <v>0.1</v>
      </c>
      <c r="K61" s="6" t="s">
        <v>286</v>
      </c>
    </row>
    <row r="62" spans="1:11" x14ac:dyDescent="0.2">
      <c r="A62" s="6" t="s">
        <v>591</v>
      </c>
      <c r="B62" s="6">
        <v>0</v>
      </c>
      <c r="C62" s="6" t="s">
        <v>188</v>
      </c>
      <c r="D62" s="6" t="s">
        <v>278</v>
      </c>
      <c r="E62" s="7"/>
      <c r="F62" s="7"/>
      <c r="G62" s="8"/>
      <c r="H62" s="8">
        <v>3968584074</v>
      </c>
      <c r="I62" s="8">
        <f>H62*25%</f>
        <v>992146018.5</v>
      </c>
      <c r="J62" s="9">
        <v>8.0000000000000002E-3</v>
      </c>
      <c r="K62" s="6" t="s">
        <v>259</v>
      </c>
    </row>
    <row r="63" spans="1:11" x14ac:dyDescent="0.2">
      <c r="A63" s="6" t="s">
        <v>580</v>
      </c>
      <c r="B63" s="6">
        <v>0</v>
      </c>
      <c r="C63" s="6" t="s">
        <v>183</v>
      </c>
      <c r="D63" s="6" t="s">
        <v>278</v>
      </c>
      <c r="E63" s="7">
        <v>44196</v>
      </c>
      <c r="F63" s="7">
        <v>44196</v>
      </c>
      <c r="G63" s="8">
        <v>1</v>
      </c>
      <c r="H63" s="8">
        <v>1000000000</v>
      </c>
      <c r="I63" s="8">
        <v>50000000</v>
      </c>
      <c r="J63" s="9">
        <v>8.0000000000000002E-3</v>
      </c>
      <c r="K63" s="6" t="s">
        <v>259</v>
      </c>
    </row>
    <row r="64" spans="1:11" x14ac:dyDescent="0.2">
      <c r="A64" s="6" t="s">
        <v>182</v>
      </c>
      <c r="B64" s="6">
        <v>0</v>
      </c>
      <c r="C64" s="6" t="s">
        <v>183</v>
      </c>
      <c r="D64" s="6" t="s">
        <v>278</v>
      </c>
      <c r="E64" s="7">
        <v>43067</v>
      </c>
      <c r="F64" s="7">
        <v>43097</v>
      </c>
      <c r="G64" s="8">
        <v>31</v>
      </c>
      <c r="H64" s="8">
        <v>400000000</v>
      </c>
      <c r="I64" s="8">
        <v>80000000</v>
      </c>
      <c r="J64" s="9">
        <v>1.48</v>
      </c>
      <c r="K64" s="6" t="s">
        <v>259</v>
      </c>
    </row>
    <row r="65" spans="1:11" x14ac:dyDescent="0.2">
      <c r="A65" s="6" t="s">
        <v>659</v>
      </c>
      <c r="B65" s="6">
        <v>0</v>
      </c>
      <c r="C65" s="6" t="s">
        <v>183</v>
      </c>
      <c r="D65" s="6" t="s">
        <v>278</v>
      </c>
      <c r="E65" s="7">
        <v>44314</v>
      </c>
      <c r="F65" s="7">
        <v>44314</v>
      </c>
      <c r="G65" s="8">
        <v>1</v>
      </c>
      <c r="H65" s="8">
        <v>100000000</v>
      </c>
      <c r="I65" s="8">
        <v>2000000</v>
      </c>
      <c r="J65" s="9">
        <v>0.05</v>
      </c>
      <c r="K65" s="6" t="s">
        <v>259</v>
      </c>
    </row>
    <row r="66" spans="1:11" x14ac:dyDescent="0.2">
      <c r="A66" s="6" t="s">
        <v>550</v>
      </c>
      <c r="B66" s="6">
        <v>0</v>
      </c>
      <c r="C66" s="6" t="s">
        <v>188</v>
      </c>
      <c r="D66" s="6" t="s">
        <v>278</v>
      </c>
      <c r="E66" s="7"/>
      <c r="F66" s="7"/>
      <c r="G66" s="8"/>
      <c r="H66" s="8">
        <v>125000000</v>
      </c>
      <c r="I66" s="8">
        <v>35000000</v>
      </c>
      <c r="J66" s="9">
        <v>5.1499999999999997E-2</v>
      </c>
      <c r="K66" s="6" t="s">
        <v>259</v>
      </c>
    </row>
    <row r="67" spans="1:11" x14ac:dyDescent="0.2">
      <c r="A67" s="6" t="s">
        <v>550</v>
      </c>
      <c r="B67" s="6">
        <v>0</v>
      </c>
      <c r="C67" s="6" t="s">
        <v>183</v>
      </c>
      <c r="D67" s="6" t="s">
        <v>278</v>
      </c>
      <c r="E67" s="7">
        <v>44260</v>
      </c>
      <c r="F67" s="7">
        <v>44260</v>
      </c>
      <c r="G67" s="8">
        <v>1</v>
      </c>
      <c r="H67" s="8">
        <v>125000000</v>
      </c>
      <c r="I67" s="8">
        <v>120000</v>
      </c>
      <c r="J67" s="9">
        <v>6.4000000000000001E-2</v>
      </c>
      <c r="K67" s="6" t="s">
        <v>259</v>
      </c>
    </row>
    <row r="68" spans="1:11" x14ac:dyDescent="0.2">
      <c r="A68" s="6" t="s">
        <v>87</v>
      </c>
      <c r="B68" s="6">
        <v>1</v>
      </c>
      <c r="C68" s="6" t="s">
        <v>188</v>
      </c>
      <c r="D68" s="6" t="s">
        <v>278</v>
      </c>
      <c r="E68" s="7"/>
      <c r="F68" s="7"/>
      <c r="G68" s="8"/>
      <c r="H68" s="8">
        <v>10000000000</v>
      </c>
      <c r="I68" s="8">
        <v>1500000000</v>
      </c>
      <c r="J68" s="9">
        <v>8.0000000000000002E-3</v>
      </c>
      <c r="K68" s="6" t="s">
        <v>259</v>
      </c>
    </row>
    <row r="69" spans="1:11" x14ac:dyDescent="0.2">
      <c r="A69" s="6" t="s">
        <v>87</v>
      </c>
      <c r="B69" s="6">
        <v>0</v>
      </c>
      <c r="C69" s="6" t="s">
        <v>183</v>
      </c>
      <c r="D69" s="6" t="s">
        <v>278</v>
      </c>
      <c r="E69" s="7">
        <v>43565</v>
      </c>
      <c r="F69" s="7">
        <v>43565</v>
      </c>
      <c r="G69" s="8">
        <v>1</v>
      </c>
      <c r="H69" s="8">
        <v>10000000000</v>
      </c>
      <c r="I69" s="8">
        <v>500000000</v>
      </c>
      <c r="J69" s="9">
        <v>5.0000000000000001E-3</v>
      </c>
      <c r="K69" s="6" t="s">
        <v>259</v>
      </c>
    </row>
    <row r="70" spans="1:11" x14ac:dyDescent="0.2">
      <c r="A70" s="6" t="s">
        <v>176</v>
      </c>
      <c r="B70" s="6">
        <v>0</v>
      </c>
      <c r="C70" s="6" t="s">
        <v>183</v>
      </c>
      <c r="D70" s="6" t="s">
        <v>278</v>
      </c>
      <c r="E70" s="7">
        <v>43069</v>
      </c>
      <c r="F70" s="7">
        <v>43101</v>
      </c>
      <c r="G70" s="8">
        <v>33</v>
      </c>
      <c r="H70" s="8">
        <v>250000000</v>
      </c>
      <c r="I70" s="8">
        <v>150000000</v>
      </c>
      <c r="J70" s="9">
        <v>1.1599999999999999</v>
      </c>
      <c r="K70" s="6" t="s">
        <v>259</v>
      </c>
    </row>
    <row r="71" spans="1:11" x14ac:dyDescent="0.2">
      <c r="A71" s="6" t="s">
        <v>166</v>
      </c>
      <c r="B71" s="6">
        <v>1</v>
      </c>
      <c r="C71" s="6" t="s">
        <v>188</v>
      </c>
      <c r="D71" s="6" t="s">
        <v>278</v>
      </c>
      <c r="E71" s="7">
        <v>43116</v>
      </c>
      <c r="F71" s="7">
        <v>43117</v>
      </c>
      <c r="G71" s="8">
        <v>2</v>
      </c>
      <c r="H71" s="8">
        <v>500000000</v>
      </c>
      <c r="I71" s="8">
        <v>127243330</v>
      </c>
      <c r="J71" s="9">
        <v>9.4307500000000002E-2</v>
      </c>
      <c r="K71" s="6" t="s">
        <v>259</v>
      </c>
    </row>
    <row r="72" spans="1:11" x14ac:dyDescent="0.2">
      <c r="A72" s="6" t="s">
        <v>166</v>
      </c>
      <c r="B72" s="6">
        <v>0</v>
      </c>
      <c r="C72" s="6" t="s">
        <v>183</v>
      </c>
      <c r="D72" s="6" t="s">
        <v>278</v>
      </c>
      <c r="E72" s="7">
        <v>43118</v>
      </c>
      <c r="F72" s="7">
        <v>43120</v>
      </c>
      <c r="G72" s="8">
        <v>3</v>
      </c>
      <c r="H72" s="8">
        <v>500000000</v>
      </c>
      <c r="I72" s="8">
        <v>37756670</v>
      </c>
      <c r="J72" s="9">
        <v>0.12</v>
      </c>
      <c r="K72" s="6" t="s">
        <v>259</v>
      </c>
    </row>
    <row r="73" spans="1:11" x14ac:dyDescent="0.2">
      <c r="A73" s="6" t="s">
        <v>573</v>
      </c>
      <c r="B73" s="6">
        <v>0</v>
      </c>
      <c r="C73" s="6" t="s">
        <v>188</v>
      </c>
      <c r="D73" s="6" t="s">
        <v>278</v>
      </c>
      <c r="E73" s="7"/>
      <c r="F73" s="7"/>
      <c r="G73" s="8"/>
      <c r="H73" s="8">
        <v>160000000</v>
      </c>
      <c r="I73" s="8">
        <v>2240000</v>
      </c>
      <c r="J73" s="9">
        <v>9.3799999999999994E-2</v>
      </c>
      <c r="K73" s="6" t="s">
        <v>259</v>
      </c>
    </row>
    <row r="74" spans="1:11" x14ac:dyDescent="0.2">
      <c r="A74" s="6" t="s">
        <v>573</v>
      </c>
      <c r="B74" s="6">
        <v>0</v>
      </c>
      <c r="C74" s="6" t="s">
        <v>188</v>
      </c>
      <c r="D74" s="6" t="s">
        <v>278</v>
      </c>
      <c r="E74" s="7"/>
      <c r="F74" s="7"/>
      <c r="G74" s="8"/>
      <c r="H74" s="8">
        <v>160000000</v>
      </c>
      <c r="I74" s="8">
        <v>800000</v>
      </c>
      <c r="J74" s="9">
        <v>6.25E-2</v>
      </c>
      <c r="K74" s="6" t="s">
        <v>259</v>
      </c>
    </row>
    <row r="75" spans="1:11" x14ac:dyDescent="0.2">
      <c r="A75" s="6" t="s">
        <v>573</v>
      </c>
      <c r="B75" s="6">
        <v>0</v>
      </c>
      <c r="C75" s="6" t="s">
        <v>188</v>
      </c>
      <c r="D75" s="6" t="s">
        <v>278</v>
      </c>
      <c r="E75" s="7"/>
      <c r="F75" s="7"/>
      <c r="G75" s="8"/>
      <c r="H75" s="8">
        <v>160000000</v>
      </c>
      <c r="I75" s="8">
        <v>10800000</v>
      </c>
      <c r="J75" s="9">
        <v>0.125</v>
      </c>
      <c r="K75" s="6" t="s">
        <v>259</v>
      </c>
    </row>
    <row r="76" spans="1:11" x14ac:dyDescent="0.2">
      <c r="A76" s="6" t="s">
        <v>573</v>
      </c>
      <c r="B76" s="6">
        <v>0</v>
      </c>
      <c r="C76" s="6" t="s">
        <v>183</v>
      </c>
      <c r="D76" s="6" t="s">
        <v>278</v>
      </c>
      <c r="E76" s="7">
        <v>44228</v>
      </c>
      <c r="F76" s="7">
        <v>44228</v>
      </c>
      <c r="G76" s="8">
        <v>1</v>
      </c>
      <c r="H76" s="8">
        <v>160000000</v>
      </c>
      <c r="I76" s="8">
        <v>120000</v>
      </c>
      <c r="J76" s="9">
        <v>0.125</v>
      </c>
      <c r="K76" s="6" t="s">
        <v>259</v>
      </c>
    </row>
    <row r="77" spans="1:11" x14ac:dyDescent="0.2">
      <c r="A77" s="6" t="s">
        <v>145</v>
      </c>
      <c r="B77" s="6">
        <v>1</v>
      </c>
      <c r="C77" s="6" t="s">
        <v>188</v>
      </c>
      <c r="D77" s="6" t="s">
        <v>278</v>
      </c>
      <c r="E77" s="7">
        <v>43065</v>
      </c>
      <c r="F77" s="7">
        <v>43160</v>
      </c>
      <c r="G77" s="8">
        <f>F77-E77</f>
        <v>95</v>
      </c>
      <c r="H77" s="8">
        <v>25000000000</v>
      </c>
      <c r="I77" s="8">
        <f>10%*H77</f>
        <v>2500000000</v>
      </c>
      <c r="J77" s="9">
        <v>0.01</v>
      </c>
      <c r="K77" s="6" t="s">
        <v>259</v>
      </c>
    </row>
    <row r="78" spans="1:11" x14ac:dyDescent="0.2">
      <c r="A78" s="6" t="s">
        <v>145</v>
      </c>
      <c r="B78" s="6">
        <v>0</v>
      </c>
      <c r="C78" s="6" t="s">
        <v>183</v>
      </c>
      <c r="D78" s="6" t="s">
        <v>278</v>
      </c>
      <c r="E78" s="7">
        <v>43160</v>
      </c>
      <c r="F78" s="7">
        <v>43160</v>
      </c>
      <c r="G78" s="8">
        <v>1</v>
      </c>
      <c r="H78" s="8">
        <v>25000000000</v>
      </c>
      <c r="I78" s="8">
        <v>5770000000</v>
      </c>
      <c r="J78" s="9">
        <v>2.1999999999999999E-2</v>
      </c>
      <c r="K78" s="6" t="s">
        <v>259</v>
      </c>
    </row>
    <row r="79" spans="1:11" x14ac:dyDescent="0.2">
      <c r="A79" s="6" t="s">
        <v>33</v>
      </c>
      <c r="B79" s="6">
        <v>0</v>
      </c>
      <c r="C79" s="6" t="s">
        <v>183</v>
      </c>
      <c r="D79" s="6" t="s">
        <v>278</v>
      </c>
      <c r="E79" s="7">
        <v>44042</v>
      </c>
      <c r="F79" s="7">
        <v>44043</v>
      </c>
      <c r="G79" s="8">
        <v>1</v>
      </c>
      <c r="H79" s="8">
        <v>2500000000</v>
      </c>
      <c r="I79" s="8">
        <f>1000000/0.024</f>
        <v>41666666.666666664</v>
      </c>
      <c r="J79" s="9">
        <v>2.4E-2</v>
      </c>
      <c r="K79" s="6" t="s">
        <v>259</v>
      </c>
    </row>
    <row r="80" spans="1:11" x14ac:dyDescent="0.2">
      <c r="A80" s="6" t="s">
        <v>200</v>
      </c>
      <c r="B80" s="6">
        <v>1</v>
      </c>
      <c r="C80" s="6" t="s">
        <v>183</v>
      </c>
      <c r="D80" s="6" t="s">
        <v>278</v>
      </c>
      <c r="E80" s="7">
        <v>43059</v>
      </c>
      <c r="F80" s="7">
        <v>43072</v>
      </c>
      <c r="G80" s="8">
        <v>14</v>
      </c>
      <c r="H80" s="8">
        <v>500000000</v>
      </c>
      <c r="I80" s="8">
        <f>H80*3.8%</f>
        <v>19000000</v>
      </c>
      <c r="J80" s="9">
        <v>1.6500000000000001E-2</v>
      </c>
      <c r="K80" s="6" t="s">
        <v>259</v>
      </c>
    </row>
    <row r="81" spans="1:11" x14ac:dyDescent="0.2">
      <c r="A81" s="6" t="s">
        <v>200</v>
      </c>
      <c r="B81" s="6">
        <v>0</v>
      </c>
      <c r="C81" s="6" t="s">
        <v>183</v>
      </c>
      <c r="D81" s="6" t="s">
        <v>278</v>
      </c>
      <c r="E81" s="7">
        <v>43085</v>
      </c>
      <c r="F81" s="7">
        <v>43085</v>
      </c>
      <c r="G81" s="8">
        <v>1</v>
      </c>
      <c r="H81" s="8">
        <v>500000000</v>
      </c>
      <c r="I81" s="8">
        <f>H81*18.2%</f>
        <v>91000000</v>
      </c>
      <c r="J81" s="9">
        <v>1.6500000000000001E-2</v>
      </c>
      <c r="K81" s="6" t="s">
        <v>259</v>
      </c>
    </row>
    <row r="82" spans="1:11" x14ac:dyDescent="0.2">
      <c r="A82" s="6" t="s">
        <v>102</v>
      </c>
      <c r="B82" s="6">
        <v>0</v>
      </c>
      <c r="C82" s="6" t="s">
        <v>188</v>
      </c>
      <c r="D82" s="6" t="s">
        <v>278</v>
      </c>
      <c r="E82" s="7">
        <v>43361</v>
      </c>
      <c r="F82" s="7">
        <v>43365</v>
      </c>
      <c r="G82" s="8">
        <v>5</v>
      </c>
      <c r="H82" s="8">
        <v>1000000000</v>
      </c>
      <c r="I82" s="8">
        <v>400000000</v>
      </c>
      <c r="J82" s="9">
        <v>2.3699999999999999E-2</v>
      </c>
      <c r="K82" s="6" t="s">
        <v>259</v>
      </c>
    </row>
    <row r="83" spans="1:11" x14ac:dyDescent="0.2">
      <c r="A83" s="6" t="s">
        <v>262</v>
      </c>
      <c r="B83" s="6">
        <v>0</v>
      </c>
      <c r="C83" s="6" t="s">
        <v>183</v>
      </c>
      <c r="D83" s="6" t="s">
        <v>278</v>
      </c>
      <c r="E83" s="7">
        <v>44150</v>
      </c>
      <c r="F83" s="7">
        <v>44157</v>
      </c>
      <c r="G83" s="8">
        <v>8</v>
      </c>
      <c r="H83" s="8">
        <v>1000000000</v>
      </c>
      <c r="I83" s="8">
        <f>H83*13%</f>
        <v>130000000</v>
      </c>
      <c r="J83" s="9">
        <v>0.03</v>
      </c>
      <c r="K83" s="6" t="s">
        <v>259</v>
      </c>
    </row>
    <row r="84" spans="1:11" x14ac:dyDescent="0.2">
      <c r="A84" s="6" t="s">
        <v>262</v>
      </c>
      <c r="B84" s="6">
        <v>0</v>
      </c>
      <c r="C84" s="6" t="s">
        <v>188</v>
      </c>
      <c r="D84" s="6" t="s">
        <v>278</v>
      </c>
      <c r="E84" s="7"/>
      <c r="F84" s="7"/>
      <c r="G84" s="8"/>
      <c r="H84" s="8">
        <v>1000000000</v>
      </c>
      <c r="I84" s="8">
        <f>H84*20%</f>
        <v>200000000</v>
      </c>
      <c r="J84" s="9">
        <v>8.0000000000000002E-3</v>
      </c>
      <c r="K84" s="6" t="s">
        <v>259</v>
      </c>
    </row>
    <row r="85" spans="1:11" x14ac:dyDescent="0.2">
      <c r="A85" s="6" t="s">
        <v>262</v>
      </c>
      <c r="B85" s="6">
        <v>0</v>
      </c>
      <c r="C85" s="6" t="s">
        <v>188</v>
      </c>
      <c r="D85" s="6" t="s">
        <v>278</v>
      </c>
      <c r="E85" s="7"/>
      <c r="F85" s="7"/>
      <c r="G85" s="8"/>
      <c r="H85" s="8">
        <v>1000000000</v>
      </c>
      <c r="I85" s="8">
        <f>H85*2%</f>
        <v>20000000</v>
      </c>
      <c r="J85" s="9">
        <v>0.02</v>
      </c>
      <c r="K85" s="6" t="s">
        <v>259</v>
      </c>
    </row>
    <row r="86" spans="1:11" x14ac:dyDescent="0.2">
      <c r="A86" s="6" t="s">
        <v>262</v>
      </c>
      <c r="B86" s="6">
        <v>0</v>
      </c>
      <c r="C86" s="6" t="s">
        <v>268</v>
      </c>
      <c r="D86" s="6" t="s">
        <v>278</v>
      </c>
      <c r="E86" s="7"/>
      <c r="F86" s="7"/>
      <c r="G86" s="8"/>
      <c r="H86" s="8">
        <v>1000000000</v>
      </c>
      <c r="I86" s="8">
        <f>H86*5%</f>
        <v>50000000</v>
      </c>
      <c r="J86" s="9">
        <v>5.0000000000000001E-3</v>
      </c>
      <c r="K86" s="6" t="s">
        <v>259</v>
      </c>
    </row>
    <row r="87" spans="1:11" x14ac:dyDescent="0.2">
      <c r="A87" s="6" t="s">
        <v>73</v>
      </c>
      <c r="B87" s="6">
        <v>0</v>
      </c>
      <c r="C87" s="6" t="s">
        <v>188</v>
      </c>
      <c r="D87" s="6" t="s">
        <v>278</v>
      </c>
      <c r="E87" s="7"/>
      <c r="F87" s="7"/>
      <c r="G87" s="8"/>
      <c r="H87" s="8">
        <v>10000000000</v>
      </c>
      <c r="I87" s="8">
        <v>961538462</v>
      </c>
      <c r="J87" s="9">
        <v>5.0000000000000001E-3</v>
      </c>
      <c r="K87" s="6" t="s">
        <v>259</v>
      </c>
    </row>
    <row r="88" spans="1:11" x14ac:dyDescent="0.2">
      <c r="A88" s="6" t="s">
        <v>73</v>
      </c>
      <c r="B88" s="6">
        <v>0</v>
      </c>
      <c r="C88" s="6" t="s">
        <v>188</v>
      </c>
      <c r="D88" s="6" t="s">
        <v>278</v>
      </c>
      <c r="E88" s="7"/>
      <c r="F88" s="7"/>
      <c r="G88" s="8"/>
      <c r="H88" s="8">
        <v>10000000000</v>
      </c>
      <c r="I88" s="8">
        <v>169230769</v>
      </c>
      <c r="J88" s="9">
        <v>5.8999999999999999E-3</v>
      </c>
      <c r="K88" s="6" t="s">
        <v>259</v>
      </c>
    </row>
    <row r="89" spans="1:11" x14ac:dyDescent="0.2">
      <c r="A89" s="6" t="s">
        <v>73</v>
      </c>
      <c r="B89" s="6">
        <v>0</v>
      </c>
      <c r="C89" s="6" t="s">
        <v>183</v>
      </c>
      <c r="D89" s="6" t="s">
        <v>278</v>
      </c>
      <c r="E89" s="7">
        <v>43625</v>
      </c>
      <c r="F89" s="7">
        <v>43627</v>
      </c>
      <c r="G89" s="8">
        <v>3</v>
      </c>
      <c r="H89" s="8">
        <v>10000000000</v>
      </c>
      <c r="I89" s="8">
        <v>58823529</v>
      </c>
      <c r="J89" s="9">
        <v>8.5000000000000006E-3</v>
      </c>
      <c r="K89" s="6" t="s">
        <v>259</v>
      </c>
    </row>
    <row r="90" spans="1:11" x14ac:dyDescent="0.2">
      <c r="A90" s="6" t="s">
        <v>198</v>
      </c>
      <c r="B90" s="6">
        <v>0</v>
      </c>
      <c r="C90" s="6" t="s">
        <v>183</v>
      </c>
      <c r="D90" s="6" t="s">
        <v>278</v>
      </c>
      <c r="E90" s="7">
        <v>43088</v>
      </c>
      <c r="F90" s="7">
        <v>43088</v>
      </c>
      <c r="G90" s="8">
        <v>1</v>
      </c>
      <c r="H90" s="8">
        <v>160000000</v>
      </c>
      <c r="I90" s="8">
        <f>H90*72.5%</f>
        <v>116000000</v>
      </c>
      <c r="J90" s="9">
        <f>1/900</f>
        <v>1.1111111111111111E-3</v>
      </c>
      <c r="K90" s="6" t="s">
        <v>2</v>
      </c>
    </row>
    <row r="91" spans="1:11" x14ac:dyDescent="0.2">
      <c r="A91" s="6" t="s">
        <v>95</v>
      </c>
      <c r="B91" s="6">
        <v>0</v>
      </c>
      <c r="C91" s="6" t="s">
        <v>188</v>
      </c>
      <c r="D91" s="6" t="s">
        <v>278</v>
      </c>
      <c r="E91" s="7">
        <v>43415</v>
      </c>
      <c r="F91" s="7">
        <v>43425</v>
      </c>
      <c r="G91" s="8">
        <v>11</v>
      </c>
      <c r="H91" s="8">
        <v>10000000000</v>
      </c>
      <c r="I91" s="8">
        <f>H91*9%</f>
        <v>900000000</v>
      </c>
      <c r="J91" s="9">
        <v>1.8200000000000001E-2</v>
      </c>
      <c r="K91" s="6" t="s">
        <v>259</v>
      </c>
    </row>
    <row r="92" spans="1:11" x14ac:dyDescent="0.2">
      <c r="A92" s="6" t="s">
        <v>92</v>
      </c>
      <c r="B92" s="6">
        <v>0</v>
      </c>
      <c r="C92" s="6" t="s">
        <v>183</v>
      </c>
      <c r="D92" s="6" t="s">
        <v>278</v>
      </c>
      <c r="E92" s="7">
        <v>43493</v>
      </c>
      <c r="F92" s="7">
        <v>43493</v>
      </c>
      <c r="G92" s="8">
        <v>1</v>
      </c>
      <c r="H92" s="8">
        <v>990000000000</v>
      </c>
      <c r="I92" s="8">
        <v>59400000000</v>
      </c>
      <c r="J92" s="9">
        <v>1.2E-4</v>
      </c>
      <c r="K92" s="6" t="s">
        <v>259</v>
      </c>
    </row>
    <row r="93" spans="1:11" x14ac:dyDescent="0.2">
      <c r="A93" s="6" t="s">
        <v>648</v>
      </c>
      <c r="B93" s="6">
        <v>0</v>
      </c>
      <c r="C93" s="6" t="s">
        <v>188</v>
      </c>
      <c r="D93" s="6" t="s">
        <v>278</v>
      </c>
      <c r="E93" s="7"/>
      <c r="F93" s="7">
        <v>44295</v>
      </c>
      <c r="G93" s="8"/>
      <c r="H93" s="8">
        <v>255000000</v>
      </c>
      <c r="I93" s="8">
        <v>35000000</v>
      </c>
      <c r="J93" s="9">
        <v>0.02</v>
      </c>
      <c r="K93" s="6" t="s">
        <v>259</v>
      </c>
    </row>
    <row r="94" spans="1:11" x14ac:dyDescent="0.2">
      <c r="A94" s="6" t="s">
        <v>648</v>
      </c>
      <c r="B94" s="6">
        <v>0</v>
      </c>
      <c r="C94" s="6" t="s">
        <v>188</v>
      </c>
      <c r="D94" s="6" t="s">
        <v>278</v>
      </c>
      <c r="E94" s="7"/>
      <c r="F94" s="7">
        <v>44295</v>
      </c>
      <c r="G94" s="8"/>
      <c r="H94" s="8">
        <v>255000000</v>
      </c>
      <c r="I94" s="8">
        <v>30000000</v>
      </c>
      <c r="J94" s="9">
        <v>0.04</v>
      </c>
      <c r="K94" s="6" t="s">
        <v>259</v>
      </c>
    </row>
    <row r="95" spans="1:11" x14ac:dyDescent="0.2">
      <c r="A95" s="6" t="s">
        <v>648</v>
      </c>
      <c r="B95" s="6">
        <v>0</v>
      </c>
      <c r="C95" s="6" t="s">
        <v>183</v>
      </c>
      <c r="D95" s="6" t="s">
        <v>278</v>
      </c>
      <c r="E95" s="7">
        <v>44307</v>
      </c>
      <c r="F95" s="7">
        <v>44308</v>
      </c>
      <c r="G95" s="8">
        <v>2</v>
      </c>
      <c r="H95" s="8">
        <v>255000000</v>
      </c>
      <c r="I95" s="8">
        <v>3333330</v>
      </c>
      <c r="J95" s="9">
        <v>0.06</v>
      </c>
      <c r="K95" s="6" t="s">
        <v>259</v>
      </c>
    </row>
    <row r="96" spans="1:11" x14ac:dyDescent="0.2">
      <c r="A96" s="6" t="s">
        <v>208</v>
      </c>
      <c r="B96" s="6">
        <v>1</v>
      </c>
      <c r="C96" s="6" t="s">
        <v>183</v>
      </c>
      <c r="D96" s="6" t="s">
        <v>278</v>
      </c>
      <c r="E96" s="7">
        <v>43015</v>
      </c>
      <c r="F96" s="7">
        <v>43022</v>
      </c>
      <c r="G96" s="8">
        <v>8</v>
      </c>
      <c r="H96" s="8">
        <v>86206896</v>
      </c>
      <c r="I96" s="8">
        <f>H96-I97</f>
        <v>11206896</v>
      </c>
      <c r="J96" s="9">
        <v>0.95</v>
      </c>
      <c r="K96" s="6" t="s">
        <v>259</v>
      </c>
    </row>
    <row r="97" spans="1:11" x14ac:dyDescent="0.2">
      <c r="A97" s="6" t="s">
        <v>208</v>
      </c>
      <c r="B97" s="6">
        <v>0</v>
      </c>
      <c r="C97" s="6" t="s">
        <v>183</v>
      </c>
      <c r="D97" s="6" t="s">
        <v>278</v>
      </c>
      <c r="E97" s="7">
        <v>43024</v>
      </c>
      <c r="F97" s="7">
        <v>43069</v>
      </c>
      <c r="G97" s="8">
        <v>46</v>
      </c>
      <c r="H97" s="8">
        <v>86206896</v>
      </c>
      <c r="I97" s="8">
        <v>75000000</v>
      </c>
      <c r="J97" s="9">
        <v>1</v>
      </c>
      <c r="K97" s="6" t="s">
        <v>259</v>
      </c>
    </row>
    <row r="98" spans="1:11" x14ac:dyDescent="0.2">
      <c r="A98" s="6" t="s">
        <v>232</v>
      </c>
      <c r="B98" s="6">
        <v>0</v>
      </c>
      <c r="C98" s="6" t="s">
        <v>183</v>
      </c>
      <c r="D98" s="6" t="s">
        <v>278</v>
      </c>
      <c r="E98" s="7">
        <v>43024</v>
      </c>
      <c r="F98" s="7">
        <v>43025</v>
      </c>
      <c r="G98" s="8">
        <v>2</v>
      </c>
      <c r="H98" s="8">
        <v>306250000</v>
      </c>
      <c r="I98" s="8">
        <f>H98*40%</f>
        <v>122500000</v>
      </c>
      <c r="J98" s="9">
        <v>0.44</v>
      </c>
      <c r="K98" s="6" t="s">
        <v>259</v>
      </c>
    </row>
    <row r="99" spans="1:11" x14ac:dyDescent="0.2">
      <c r="A99" s="6" t="s">
        <v>130</v>
      </c>
      <c r="B99" s="6">
        <v>0</v>
      </c>
      <c r="C99" s="6" t="s">
        <v>183</v>
      </c>
      <c r="D99" s="6" t="s">
        <v>278</v>
      </c>
      <c r="E99" s="7">
        <v>43190</v>
      </c>
      <c r="F99" s="7">
        <v>43221</v>
      </c>
      <c r="G99" s="8">
        <v>32</v>
      </c>
      <c r="H99" s="8">
        <v>1000000000</v>
      </c>
      <c r="I99" s="8">
        <v>350000000</v>
      </c>
      <c r="J99" s="9">
        <v>0.01</v>
      </c>
      <c r="K99" s="6" t="s">
        <v>259</v>
      </c>
    </row>
    <row r="100" spans="1:11" x14ac:dyDescent="0.2">
      <c r="A100" s="6" t="s">
        <v>124</v>
      </c>
      <c r="B100" s="6">
        <v>0</v>
      </c>
      <c r="C100" s="6" t="s">
        <v>183</v>
      </c>
      <c r="D100" s="6" t="s">
        <v>278</v>
      </c>
      <c r="E100" s="7"/>
      <c r="F100" s="7">
        <v>43247</v>
      </c>
      <c r="G100" s="8"/>
      <c r="H100" s="8">
        <v>1800000000</v>
      </c>
      <c r="I100" s="8">
        <v>720000000</v>
      </c>
      <c r="J100" s="9">
        <v>3.8199999999999998E-2</v>
      </c>
      <c r="K100" s="6" t="s">
        <v>259</v>
      </c>
    </row>
    <row r="101" spans="1:11" x14ac:dyDescent="0.2">
      <c r="A101" s="6" t="s">
        <v>535</v>
      </c>
      <c r="B101" s="6">
        <v>0</v>
      </c>
      <c r="C101" s="6" t="s">
        <v>183</v>
      </c>
      <c r="D101" s="6" t="s">
        <v>278</v>
      </c>
      <c r="E101" s="7">
        <v>44278</v>
      </c>
      <c r="F101" s="7">
        <v>44278</v>
      </c>
      <c r="G101" s="8">
        <v>1</v>
      </c>
      <c r="H101" s="8">
        <v>155000000</v>
      </c>
      <c r="I101" s="8">
        <v>1000000</v>
      </c>
      <c r="J101" s="9">
        <v>0.1</v>
      </c>
      <c r="K101" s="6" t="s">
        <v>259</v>
      </c>
    </row>
    <row r="102" spans="1:11" x14ac:dyDescent="0.2">
      <c r="A102" s="6" t="s">
        <v>774</v>
      </c>
      <c r="B102" s="6">
        <v>1</v>
      </c>
      <c r="C102" s="6" t="s">
        <v>188</v>
      </c>
      <c r="D102" s="6" t="s">
        <v>278</v>
      </c>
      <c r="E102" s="7">
        <v>44305</v>
      </c>
      <c r="F102" s="7">
        <v>44313</v>
      </c>
      <c r="G102" s="8">
        <v>9</v>
      </c>
      <c r="H102" s="8">
        <v>500000000</v>
      </c>
      <c r="I102" s="8">
        <v>100000000</v>
      </c>
      <c r="J102" s="9">
        <v>3.2000000000000001E-2</v>
      </c>
      <c r="K102" s="6" t="s">
        <v>259</v>
      </c>
    </row>
    <row r="103" spans="1:11" x14ac:dyDescent="0.2">
      <c r="A103" s="6" t="s">
        <v>774</v>
      </c>
      <c r="B103" s="6">
        <v>0</v>
      </c>
      <c r="C103" s="6" t="s">
        <v>183</v>
      </c>
      <c r="D103" s="6" t="s">
        <v>278</v>
      </c>
      <c r="E103" s="7"/>
      <c r="F103" s="7"/>
      <c r="G103" s="8"/>
      <c r="H103" s="8">
        <v>500000000</v>
      </c>
      <c r="I103" s="8">
        <v>150000000</v>
      </c>
      <c r="J103" s="9">
        <v>1.6E-2</v>
      </c>
      <c r="K103" s="6" t="s">
        <v>259</v>
      </c>
    </row>
    <row r="104" spans="1:11" x14ac:dyDescent="0.2">
      <c r="A104" s="6" t="s">
        <v>197</v>
      </c>
      <c r="B104" s="6">
        <v>0</v>
      </c>
      <c r="C104" s="6" t="s">
        <v>183</v>
      </c>
      <c r="D104" s="6" t="s">
        <v>278</v>
      </c>
      <c r="E104" s="7">
        <v>43067</v>
      </c>
      <c r="F104" s="7">
        <v>43088</v>
      </c>
      <c r="G104" s="8">
        <v>22</v>
      </c>
      <c r="H104" s="8">
        <v>1000000000</v>
      </c>
      <c r="I104" s="8">
        <v>400000000</v>
      </c>
      <c r="J104" s="9">
        <f>1/16</f>
        <v>6.25E-2</v>
      </c>
      <c r="K104" s="6" t="s">
        <v>259</v>
      </c>
    </row>
    <row r="105" spans="1:11" x14ac:dyDescent="0.2">
      <c r="A105" s="6" t="s">
        <v>136</v>
      </c>
      <c r="B105" s="6">
        <v>0</v>
      </c>
      <c r="C105" s="6" t="s">
        <v>183</v>
      </c>
      <c r="D105" s="6" t="s">
        <v>278</v>
      </c>
      <c r="E105" s="7">
        <v>43175</v>
      </c>
      <c r="F105" s="7">
        <v>43181</v>
      </c>
      <c r="G105" s="8">
        <v>7</v>
      </c>
      <c r="H105" s="8">
        <v>650000000</v>
      </c>
      <c r="I105" s="8">
        <v>325000000</v>
      </c>
      <c r="J105" s="9">
        <v>3</v>
      </c>
      <c r="K105" s="6" t="s">
        <v>259</v>
      </c>
    </row>
    <row r="106" spans="1:11" x14ac:dyDescent="0.2">
      <c r="A106" s="6" t="s">
        <v>59</v>
      </c>
      <c r="B106" s="6">
        <v>1</v>
      </c>
      <c r="C106" s="6" t="s">
        <v>301</v>
      </c>
      <c r="D106" s="6" t="s">
        <v>278</v>
      </c>
      <c r="E106" s="7"/>
      <c r="F106" s="7"/>
      <c r="G106" s="8"/>
      <c r="H106" s="8">
        <v>1100000000000</v>
      </c>
      <c r="I106" s="8"/>
      <c r="J106" s="9"/>
      <c r="K106" s="6"/>
    </row>
    <row r="107" spans="1:11" x14ac:dyDescent="0.2">
      <c r="A107" s="6" t="s">
        <v>59</v>
      </c>
      <c r="B107" s="6">
        <v>0</v>
      </c>
      <c r="C107" s="6" t="s">
        <v>188</v>
      </c>
      <c r="D107" s="6" t="s">
        <v>278</v>
      </c>
      <c r="E107" s="7">
        <v>43717</v>
      </c>
      <c r="F107" s="7">
        <v>43718</v>
      </c>
      <c r="G107" s="8">
        <v>1</v>
      </c>
      <c r="H107" s="8">
        <v>1100000000000</v>
      </c>
      <c r="I107" s="8">
        <v>333333333</v>
      </c>
      <c r="J107" s="9">
        <v>3.0000000000000001E-3</v>
      </c>
      <c r="K107" s="6" t="s">
        <v>259</v>
      </c>
    </row>
    <row r="108" spans="1:11" x14ac:dyDescent="0.2">
      <c r="A108" s="6" t="s">
        <v>59</v>
      </c>
      <c r="B108" s="6">
        <v>0</v>
      </c>
      <c r="C108" s="6" t="s">
        <v>183</v>
      </c>
      <c r="D108" s="6" t="s">
        <v>278</v>
      </c>
      <c r="E108" s="7">
        <v>44299</v>
      </c>
      <c r="F108" s="7">
        <v>44299</v>
      </c>
      <c r="G108" s="8">
        <v>1</v>
      </c>
      <c r="H108" s="8">
        <v>1100000000000</v>
      </c>
      <c r="I108" s="8">
        <v>200000000</v>
      </c>
      <c r="J108" s="9">
        <v>3.5000000000000003E-2</v>
      </c>
      <c r="K108" s="6" t="s">
        <v>259</v>
      </c>
    </row>
    <row r="109" spans="1:11" x14ac:dyDescent="0.2">
      <c r="A109" s="6" t="s">
        <v>59</v>
      </c>
      <c r="B109" s="6">
        <v>0</v>
      </c>
      <c r="C109" s="6"/>
      <c r="D109" s="6" t="s">
        <v>278</v>
      </c>
      <c r="E109" s="7">
        <v>44299</v>
      </c>
      <c r="F109" s="7">
        <v>44299</v>
      </c>
      <c r="G109" s="8">
        <v>1</v>
      </c>
      <c r="H109" s="8">
        <v>1100000000000</v>
      </c>
      <c r="I109" s="8">
        <v>125000000</v>
      </c>
      <c r="J109" s="9">
        <v>0.02</v>
      </c>
      <c r="K109" s="6" t="s">
        <v>259</v>
      </c>
    </row>
    <row r="110" spans="1:11" x14ac:dyDescent="0.2">
      <c r="A110" s="6" t="s">
        <v>59</v>
      </c>
      <c r="B110" s="6">
        <v>0</v>
      </c>
      <c r="C110" s="6"/>
      <c r="D110" s="6" t="s">
        <v>278</v>
      </c>
      <c r="E110" s="7">
        <v>44299</v>
      </c>
      <c r="F110" s="7">
        <v>44299</v>
      </c>
      <c r="G110" s="8">
        <v>1</v>
      </c>
      <c r="H110" s="8">
        <v>1100000000000</v>
      </c>
      <c r="I110" s="8">
        <v>700000000</v>
      </c>
      <c r="J110" s="9">
        <v>2.4E-2</v>
      </c>
      <c r="K110" s="6" t="s">
        <v>259</v>
      </c>
    </row>
    <row r="111" spans="1:11" x14ac:dyDescent="0.2">
      <c r="A111" s="6" t="s">
        <v>59</v>
      </c>
      <c r="B111" s="6">
        <v>0</v>
      </c>
      <c r="C111" s="6"/>
      <c r="D111" s="6" t="s">
        <v>278</v>
      </c>
      <c r="E111" s="7"/>
      <c r="F111" s="7">
        <v>44307</v>
      </c>
      <c r="G111" s="8"/>
      <c r="H111" s="8">
        <v>1100000000000</v>
      </c>
      <c r="I111" s="8">
        <v>50000000</v>
      </c>
      <c r="J111" s="9">
        <v>0.02</v>
      </c>
      <c r="K111" s="6" t="s">
        <v>259</v>
      </c>
    </row>
    <row r="112" spans="1:11" x14ac:dyDescent="0.2">
      <c r="A112" s="6" t="s">
        <v>59</v>
      </c>
      <c r="B112" s="6">
        <v>0</v>
      </c>
      <c r="C112" s="6"/>
      <c r="D112" s="6" t="s">
        <v>278</v>
      </c>
      <c r="E112" s="7"/>
      <c r="F112" s="7">
        <v>44342</v>
      </c>
      <c r="G112" s="8"/>
      <c r="H112" s="8">
        <v>1100000000000</v>
      </c>
      <c r="I112" s="8"/>
      <c r="J112" s="9">
        <v>0.02</v>
      </c>
      <c r="K112" s="6" t="s">
        <v>259</v>
      </c>
    </row>
    <row r="113" spans="1:11" x14ac:dyDescent="0.2">
      <c r="A113" s="6" t="s">
        <v>5</v>
      </c>
      <c r="B113" s="6">
        <v>1</v>
      </c>
      <c r="C113" s="6" t="s">
        <v>183</v>
      </c>
      <c r="D113" s="6" t="s">
        <v>278</v>
      </c>
      <c r="E113" s="7">
        <v>42893</v>
      </c>
      <c r="F113" s="7">
        <v>42893</v>
      </c>
      <c r="G113" s="8">
        <v>1</v>
      </c>
      <c r="H113" s="8">
        <v>500000000</v>
      </c>
      <c r="I113" s="8">
        <f>H113*25%</f>
        <v>125000000</v>
      </c>
      <c r="J113" s="9">
        <f>1/2210</f>
        <v>4.5248868778280545E-4</v>
      </c>
      <c r="K113" s="6" t="s">
        <v>2</v>
      </c>
    </row>
    <row r="114" spans="1:11" x14ac:dyDescent="0.2">
      <c r="A114" s="6" t="s">
        <v>146</v>
      </c>
      <c r="B114" s="6">
        <v>0</v>
      </c>
      <c r="C114" s="6" t="s">
        <v>183</v>
      </c>
      <c r="D114" s="6" t="s">
        <v>278</v>
      </c>
      <c r="E114" s="7">
        <v>43093</v>
      </c>
      <c r="F114" s="7">
        <v>43159</v>
      </c>
      <c r="G114" s="8">
        <v>67</v>
      </c>
      <c r="H114" s="8">
        <v>60000000</v>
      </c>
      <c r="I114" s="8">
        <f>H114*83%</f>
        <v>49800000</v>
      </c>
      <c r="J114" s="9">
        <v>2.5000000000000001E-3</v>
      </c>
      <c r="K114" s="6" t="s">
        <v>2</v>
      </c>
    </row>
    <row r="115" spans="1:11" x14ac:dyDescent="0.2">
      <c r="A115" s="6" t="s">
        <v>173</v>
      </c>
      <c r="B115" s="6">
        <v>0</v>
      </c>
      <c r="C115" s="6" t="s">
        <v>183</v>
      </c>
      <c r="D115" s="6" t="s">
        <v>278</v>
      </c>
      <c r="E115" s="7">
        <v>43076</v>
      </c>
      <c r="F115" s="7">
        <v>43110</v>
      </c>
      <c r="G115" s="8">
        <f>F115-E115</f>
        <v>34</v>
      </c>
      <c r="H115" s="8">
        <v>1000000000</v>
      </c>
      <c r="I115" s="8">
        <f>H115*53.5%</f>
        <v>535000000.00000006</v>
      </c>
      <c r="J115" s="9">
        <v>0.1</v>
      </c>
      <c r="K115" s="6" t="s">
        <v>259</v>
      </c>
    </row>
    <row r="116" spans="1:11" x14ac:dyDescent="0.2">
      <c r="A116" s="6" t="s">
        <v>651</v>
      </c>
      <c r="B116" s="6">
        <v>0</v>
      </c>
      <c r="C116" s="6" t="s">
        <v>188</v>
      </c>
      <c r="D116" s="6" t="s">
        <v>278</v>
      </c>
      <c r="E116" s="7"/>
      <c r="F116" s="7"/>
      <c r="G116" s="8"/>
      <c r="H116" s="8">
        <v>1000000000</v>
      </c>
      <c r="I116" s="8">
        <v>199999999</v>
      </c>
      <c r="J116" s="9">
        <v>0.06</v>
      </c>
      <c r="K116" s="6" t="s">
        <v>259</v>
      </c>
    </row>
    <row r="117" spans="1:11" x14ac:dyDescent="0.2">
      <c r="A117" s="6" t="s">
        <v>651</v>
      </c>
      <c r="B117" s="6">
        <v>1</v>
      </c>
      <c r="C117" s="6" t="s">
        <v>188</v>
      </c>
      <c r="D117" s="6" t="s">
        <v>278</v>
      </c>
      <c r="E117" s="7"/>
      <c r="F117" s="7"/>
      <c r="G117" s="8"/>
      <c r="H117" s="8">
        <v>1000000000</v>
      </c>
      <c r="I117" s="8">
        <v>25000000</v>
      </c>
      <c r="J117" s="9">
        <v>0.2</v>
      </c>
      <c r="K117" s="6" t="s">
        <v>259</v>
      </c>
    </row>
    <row r="118" spans="1:11" x14ac:dyDescent="0.2">
      <c r="A118" s="6" t="s">
        <v>651</v>
      </c>
      <c r="B118" s="6">
        <v>0</v>
      </c>
      <c r="C118" s="6" t="s">
        <v>183</v>
      </c>
      <c r="D118" s="6" t="s">
        <v>278</v>
      </c>
      <c r="E118" s="7">
        <v>44306</v>
      </c>
      <c r="F118" s="7">
        <v>44307</v>
      </c>
      <c r="G118" s="8">
        <v>2</v>
      </c>
      <c r="H118" s="8">
        <v>1000000000</v>
      </c>
      <c r="I118" s="8">
        <v>75000000</v>
      </c>
      <c r="J118" s="9">
        <v>0.2</v>
      </c>
      <c r="K118" s="6" t="s">
        <v>259</v>
      </c>
    </row>
    <row r="119" spans="1:11" x14ac:dyDescent="0.2">
      <c r="A119" s="6" t="s">
        <v>651</v>
      </c>
      <c r="B119" s="6">
        <v>0</v>
      </c>
      <c r="C119" s="6" t="s">
        <v>183</v>
      </c>
      <c r="D119" s="6" t="s">
        <v>402</v>
      </c>
      <c r="E119" s="7">
        <v>44307</v>
      </c>
      <c r="F119" s="7">
        <v>44308</v>
      </c>
      <c r="G119" s="8">
        <v>2</v>
      </c>
      <c r="H119" s="8">
        <v>1000000000</v>
      </c>
      <c r="I119" s="8">
        <v>35000000</v>
      </c>
      <c r="J119" s="9">
        <v>0.35</v>
      </c>
      <c r="K119" s="6" t="s">
        <v>259</v>
      </c>
    </row>
    <row r="120" spans="1:11" x14ac:dyDescent="0.2">
      <c r="A120" s="6" t="s">
        <v>651</v>
      </c>
      <c r="B120" s="6">
        <v>0</v>
      </c>
      <c r="C120" s="6" t="s">
        <v>183</v>
      </c>
      <c r="D120" s="6" t="s">
        <v>278</v>
      </c>
      <c r="E120" s="7">
        <v>44307</v>
      </c>
      <c r="F120" s="7">
        <v>44308</v>
      </c>
      <c r="G120" s="8">
        <v>2</v>
      </c>
      <c r="H120" s="8">
        <v>1000000000</v>
      </c>
      <c r="I120" s="8">
        <v>40000000</v>
      </c>
      <c r="J120" s="9">
        <v>0.28999999999999998</v>
      </c>
      <c r="K120" s="6" t="s">
        <v>259</v>
      </c>
    </row>
    <row r="121" spans="1:11" x14ac:dyDescent="0.2">
      <c r="A121" s="6" t="s">
        <v>651</v>
      </c>
      <c r="B121" s="6">
        <v>0</v>
      </c>
      <c r="C121" s="6" t="s">
        <v>183</v>
      </c>
      <c r="D121" s="6" t="s">
        <v>278</v>
      </c>
      <c r="E121" s="7">
        <v>44320</v>
      </c>
      <c r="F121" s="7">
        <v>44320</v>
      </c>
      <c r="G121" s="8">
        <v>1</v>
      </c>
      <c r="H121" s="8">
        <v>1000000000</v>
      </c>
      <c r="I121" s="8">
        <v>37727469</v>
      </c>
      <c r="J121" s="9">
        <v>0.2</v>
      </c>
      <c r="K121" s="6" t="s">
        <v>259</v>
      </c>
    </row>
    <row r="122" spans="1:11" x14ac:dyDescent="0.2">
      <c r="A122" s="6" t="s">
        <v>651</v>
      </c>
      <c r="B122" s="6">
        <v>0</v>
      </c>
      <c r="C122" s="6" t="s">
        <v>183</v>
      </c>
      <c r="D122" s="6" t="s">
        <v>402</v>
      </c>
      <c r="E122" s="7">
        <v>43012</v>
      </c>
      <c r="F122" s="7">
        <v>43085</v>
      </c>
      <c r="G122" s="8">
        <v>74</v>
      </c>
      <c r="H122" s="8">
        <v>300000000</v>
      </c>
      <c r="I122" s="8">
        <f>H122*93%</f>
        <v>279000000</v>
      </c>
      <c r="J122" s="9">
        <f>1/4</f>
        <v>0.25</v>
      </c>
      <c r="K122" s="6" t="s">
        <v>259</v>
      </c>
    </row>
    <row r="123" spans="1:11" x14ac:dyDescent="0.2">
      <c r="A123" s="6" t="s">
        <v>245</v>
      </c>
      <c r="B123" s="6">
        <v>1</v>
      </c>
      <c r="C123" s="6" t="s">
        <v>183</v>
      </c>
      <c r="D123" s="6" t="s">
        <v>278</v>
      </c>
      <c r="E123" s="7">
        <v>42989</v>
      </c>
      <c r="F123" s="7">
        <v>43001</v>
      </c>
      <c r="G123" s="8">
        <v>13</v>
      </c>
      <c r="H123" s="8">
        <v>2000000005</v>
      </c>
      <c r="I123" s="8">
        <f>H123*75%</f>
        <v>1500000003.75</v>
      </c>
      <c r="J123" s="9">
        <v>0.01</v>
      </c>
      <c r="K123" s="6" t="s">
        <v>259</v>
      </c>
    </row>
    <row r="124" spans="1:11" x14ac:dyDescent="0.2">
      <c r="A124" s="6" t="s">
        <v>78</v>
      </c>
      <c r="B124" s="6">
        <v>1</v>
      </c>
      <c r="C124" s="6" t="s">
        <v>188</v>
      </c>
      <c r="D124" s="6" t="s">
        <v>278</v>
      </c>
      <c r="E124" s="7"/>
      <c r="F124" s="7"/>
      <c r="G124" s="8"/>
      <c r="H124" s="8">
        <v>1000000000</v>
      </c>
      <c r="I124" s="8">
        <v>100000000</v>
      </c>
      <c r="J124" s="9">
        <v>0.02</v>
      </c>
      <c r="K124" s="6" t="s">
        <v>259</v>
      </c>
    </row>
    <row r="125" spans="1:11" x14ac:dyDescent="0.2">
      <c r="A125" s="6" t="s">
        <v>78</v>
      </c>
      <c r="B125" s="6">
        <v>0</v>
      </c>
      <c r="C125" s="6" t="s">
        <v>183</v>
      </c>
      <c r="D125" s="6" t="s">
        <v>278</v>
      </c>
      <c r="E125" s="7">
        <v>43590</v>
      </c>
      <c r="F125" s="7">
        <v>43595</v>
      </c>
      <c r="G125" s="8">
        <v>6</v>
      </c>
      <c r="H125" s="8">
        <v>1000000000</v>
      </c>
      <c r="I125" s="8">
        <v>150000000</v>
      </c>
      <c r="J125" s="9">
        <v>1.4999999999999999E-2</v>
      </c>
      <c r="K125" s="6" t="s">
        <v>259</v>
      </c>
    </row>
    <row r="126" spans="1:11" x14ac:dyDescent="0.2">
      <c r="A126" s="6" t="s">
        <v>16</v>
      </c>
      <c r="B126" s="6">
        <v>0</v>
      </c>
      <c r="C126" s="6" t="s">
        <v>183</v>
      </c>
      <c r="D126" s="6" t="s">
        <v>278</v>
      </c>
      <c r="E126" s="7">
        <v>44107</v>
      </c>
      <c r="F126" s="7">
        <v>44109</v>
      </c>
      <c r="G126" s="8">
        <v>2</v>
      </c>
      <c r="H126" s="8">
        <v>6000000000</v>
      </c>
      <c r="I126" s="8">
        <v>83333333</v>
      </c>
      <c r="J126" s="9">
        <v>6.0000000000000001E-3</v>
      </c>
      <c r="K126" s="6" t="s">
        <v>259</v>
      </c>
    </row>
    <row r="127" spans="1:11" x14ac:dyDescent="0.2">
      <c r="A127" s="6" t="s">
        <v>16</v>
      </c>
      <c r="B127" s="6">
        <v>0</v>
      </c>
      <c r="C127" s="6" t="s">
        <v>188</v>
      </c>
      <c r="D127" s="6" t="s">
        <v>278</v>
      </c>
      <c r="E127" s="7"/>
      <c r="F127" s="7"/>
      <c r="G127" s="8">
        <v>300</v>
      </c>
      <c r="H127" s="8">
        <v>6000000000</v>
      </c>
      <c r="I127" s="8">
        <v>862500000</v>
      </c>
      <c r="J127" s="9">
        <v>5.1999999999999998E-3</v>
      </c>
      <c r="K127" s="6" t="s">
        <v>259</v>
      </c>
    </row>
    <row r="128" spans="1:11" x14ac:dyDescent="0.2">
      <c r="A128" s="6" t="s">
        <v>74</v>
      </c>
      <c r="B128" s="6">
        <v>1</v>
      </c>
      <c r="C128" s="6" t="s">
        <v>188</v>
      </c>
      <c r="D128" s="6" t="s">
        <v>278</v>
      </c>
      <c r="E128" s="7"/>
      <c r="F128" s="7">
        <v>43257</v>
      </c>
      <c r="G128" s="8"/>
      <c r="H128" s="8">
        <v>2000000000</v>
      </c>
      <c r="I128" s="8">
        <v>200200000</v>
      </c>
      <c r="J128" s="9">
        <v>8.0000000000000002E-3</v>
      </c>
      <c r="K128" s="6" t="s">
        <v>259</v>
      </c>
    </row>
    <row r="129" spans="1:11" x14ac:dyDescent="0.2">
      <c r="A129" s="6" t="s">
        <v>74</v>
      </c>
      <c r="B129" s="6">
        <v>0</v>
      </c>
      <c r="C129" s="6" t="s">
        <v>183</v>
      </c>
      <c r="D129" s="6" t="s">
        <v>278</v>
      </c>
      <c r="E129" s="7">
        <v>43620</v>
      </c>
      <c r="F129" s="7">
        <v>43620</v>
      </c>
      <c r="G129" s="8">
        <v>1</v>
      </c>
      <c r="H129" s="8">
        <v>2000000000</v>
      </c>
      <c r="I129" s="8">
        <v>600000000</v>
      </c>
      <c r="J129" s="9">
        <v>0.08</v>
      </c>
      <c r="K129" s="6" t="s">
        <v>259</v>
      </c>
    </row>
    <row r="130" spans="1:11" x14ac:dyDescent="0.2">
      <c r="A130" s="6" t="s">
        <v>178</v>
      </c>
      <c r="B130" s="6">
        <v>1</v>
      </c>
      <c r="C130" s="6" t="s">
        <v>183</v>
      </c>
      <c r="D130" s="6" t="s">
        <v>278</v>
      </c>
      <c r="E130" s="7">
        <v>43062</v>
      </c>
      <c r="F130" s="7" t="s">
        <v>416</v>
      </c>
      <c r="G130" s="8">
        <v>37</v>
      </c>
      <c r="H130" s="8">
        <v>20000000</v>
      </c>
      <c r="I130" s="8">
        <f>H130*82%</f>
        <v>16399999.999999998</v>
      </c>
      <c r="J130" s="9">
        <f>1/520</f>
        <v>1.9230769230769232E-3</v>
      </c>
      <c r="K130" s="6" t="s">
        <v>259</v>
      </c>
    </row>
    <row r="131" spans="1:11" x14ac:dyDescent="0.2">
      <c r="A131" s="6" t="s">
        <v>94</v>
      </c>
      <c r="B131" s="6">
        <v>1</v>
      </c>
      <c r="C131" s="6" t="s">
        <v>188</v>
      </c>
      <c r="D131" s="6" t="s">
        <v>278</v>
      </c>
      <c r="E131" s="7">
        <v>43291</v>
      </c>
      <c r="F131" s="7">
        <v>43297</v>
      </c>
      <c r="G131" s="8">
        <v>7</v>
      </c>
      <c r="H131" s="8">
        <v>6500000000</v>
      </c>
      <c r="I131" s="8">
        <f>H131*20%</f>
        <v>1300000000</v>
      </c>
      <c r="J131" s="9">
        <v>1.8700000000000001E-2</v>
      </c>
      <c r="K131" s="6" t="s">
        <v>259</v>
      </c>
    </row>
    <row r="132" spans="1:11" x14ac:dyDescent="0.2">
      <c r="A132" s="6" t="s">
        <v>227</v>
      </c>
      <c r="B132" s="6">
        <v>1</v>
      </c>
      <c r="C132" s="6" t="s">
        <v>183</v>
      </c>
      <c r="D132" s="6" t="s">
        <v>278</v>
      </c>
      <c r="E132" s="7">
        <v>43003</v>
      </c>
      <c r="F132" s="7">
        <v>42980</v>
      </c>
      <c r="G132" s="8">
        <v>8</v>
      </c>
      <c r="H132" s="8">
        <v>1800000000</v>
      </c>
      <c r="I132" s="8">
        <v>50000000</v>
      </c>
      <c r="J132" s="9">
        <v>1E-3</v>
      </c>
      <c r="K132" s="6" t="s">
        <v>2</v>
      </c>
    </row>
    <row r="133" spans="1:11" x14ac:dyDescent="0.2">
      <c r="A133" s="6" t="s">
        <v>227</v>
      </c>
      <c r="B133" s="6">
        <v>0</v>
      </c>
      <c r="C133" s="6" t="s">
        <v>183</v>
      </c>
      <c r="D133" s="6" t="s">
        <v>278</v>
      </c>
      <c r="E133" s="7">
        <v>43010</v>
      </c>
      <c r="F133" s="7">
        <v>43038</v>
      </c>
      <c r="G133" s="8">
        <v>29</v>
      </c>
      <c r="H133" s="8">
        <v>1800000000</v>
      </c>
      <c r="I133" s="8">
        <v>150000000</v>
      </c>
      <c r="J133" s="9">
        <v>1E-3</v>
      </c>
      <c r="K133" s="6" t="s">
        <v>2</v>
      </c>
    </row>
    <row r="134" spans="1:11" x14ac:dyDescent="0.2">
      <c r="A134" s="6" t="s">
        <v>105</v>
      </c>
      <c r="B134" s="6">
        <v>1</v>
      </c>
      <c r="C134" s="6" t="s">
        <v>188</v>
      </c>
      <c r="D134" s="6" t="s">
        <v>278</v>
      </c>
      <c r="E134" s="7"/>
      <c r="F134" s="7"/>
      <c r="G134" s="8"/>
      <c r="H134" s="8">
        <v>10000000000</v>
      </c>
      <c r="I134" s="8">
        <v>373500000</v>
      </c>
      <c r="J134" s="9">
        <f>1/74750</f>
        <v>1.3377926421404682E-5</v>
      </c>
      <c r="K134" s="6" t="s">
        <v>2</v>
      </c>
    </row>
    <row r="135" spans="1:11" x14ac:dyDescent="0.2">
      <c r="A135" s="6" t="s">
        <v>105</v>
      </c>
      <c r="B135" s="6">
        <v>0</v>
      </c>
      <c r="C135" s="6" t="s">
        <v>183</v>
      </c>
      <c r="D135" s="6" t="s">
        <v>278</v>
      </c>
      <c r="E135" s="7">
        <v>43338</v>
      </c>
      <c r="F135" s="7">
        <v>43347</v>
      </c>
      <c r="G135" s="8">
        <v>10</v>
      </c>
      <c r="H135" s="8">
        <v>10000000000</v>
      </c>
      <c r="I135" s="8">
        <v>325000000</v>
      </c>
      <c r="J135" s="9">
        <f>1/65000</f>
        <v>1.5384615384615384E-5</v>
      </c>
      <c r="K135" s="6" t="s">
        <v>2</v>
      </c>
    </row>
    <row r="136" spans="1:11" x14ac:dyDescent="0.2">
      <c r="A136" s="6" t="s">
        <v>175</v>
      </c>
      <c r="B136" s="6">
        <v>0</v>
      </c>
      <c r="C136" s="6" t="s">
        <v>183</v>
      </c>
      <c r="D136" s="6" t="s">
        <v>278</v>
      </c>
      <c r="E136" s="7">
        <v>43039</v>
      </c>
      <c r="F136" s="7">
        <v>43101</v>
      </c>
      <c r="G136" s="8">
        <v>67</v>
      </c>
      <c r="H136" s="8">
        <v>300000000</v>
      </c>
      <c r="I136" s="8">
        <v>210000000</v>
      </c>
      <c r="J136" s="9">
        <v>1E-4</v>
      </c>
      <c r="K136" s="6" t="s">
        <v>293</v>
      </c>
    </row>
    <row r="137" spans="1:11" x14ac:dyDescent="0.2">
      <c r="A137" s="6" t="s">
        <v>19</v>
      </c>
      <c r="B137" s="6">
        <v>1</v>
      </c>
      <c r="C137" s="6" t="s">
        <v>188</v>
      </c>
      <c r="D137" s="6" t="s">
        <v>278</v>
      </c>
      <c r="E137" s="7"/>
      <c r="F137" s="7"/>
      <c r="G137" s="8"/>
      <c r="H137" s="8">
        <v>20000000</v>
      </c>
      <c r="I137" s="8">
        <v>1000000</v>
      </c>
      <c r="J137" s="9">
        <v>0.5</v>
      </c>
      <c r="K137" s="6" t="s">
        <v>259</v>
      </c>
    </row>
    <row r="138" spans="1:11" x14ac:dyDescent="0.2">
      <c r="A138" s="6" t="s">
        <v>19</v>
      </c>
      <c r="B138" s="6">
        <v>1</v>
      </c>
      <c r="C138" s="6" t="s">
        <v>188</v>
      </c>
      <c r="D138" s="6" t="s">
        <v>278</v>
      </c>
      <c r="E138" s="7"/>
      <c r="F138" s="7"/>
      <c r="G138" s="8"/>
      <c r="H138" s="8">
        <v>20000000</v>
      </c>
      <c r="I138" s="8">
        <v>2000000</v>
      </c>
      <c r="J138" s="9">
        <v>1</v>
      </c>
      <c r="K138" s="6" t="s">
        <v>259</v>
      </c>
    </row>
    <row r="139" spans="1:11" x14ac:dyDescent="0.2">
      <c r="A139" s="6" t="s">
        <v>19</v>
      </c>
      <c r="B139" s="6">
        <v>0</v>
      </c>
      <c r="C139" s="6" t="s">
        <v>183</v>
      </c>
      <c r="D139" s="6" t="s">
        <v>186</v>
      </c>
      <c r="E139" s="7">
        <v>44092</v>
      </c>
      <c r="F139" s="7">
        <v>44092</v>
      </c>
      <c r="G139" s="8">
        <v>1</v>
      </c>
      <c r="H139" s="8">
        <v>20000000</v>
      </c>
      <c r="I139" s="8">
        <v>100000</v>
      </c>
      <c r="J139" s="9">
        <v>2</v>
      </c>
      <c r="K139" s="6" t="s">
        <v>259</v>
      </c>
    </row>
    <row r="140" spans="1:11" x14ac:dyDescent="0.2">
      <c r="A140" s="6" t="s">
        <v>247</v>
      </c>
      <c r="B140" s="6">
        <v>0</v>
      </c>
      <c r="C140" s="6" t="s">
        <v>183</v>
      </c>
      <c r="D140" s="6" t="s">
        <v>278</v>
      </c>
      <c r="E140" s="7">
        <v>42962</v>
      </c>
      <c r="F140" s="7">
        <v>42993</v>
      </c>
      <c r="G140" s="8">
        <v>32</v>
      </c>
      <c r="H140" s="8">
        <v>100000000</v>
      </c>
      <c r="I140" s="8">
        <f>H140*68%</f>
        <v>68000000</v>
      </c>
      <c r="J140" s="9">
        <v>8.7480000000000002E-2</v>
      </c>
      <c r="K140" s="6" t="s">
        <v>259</v>
      </c>
    </row>
    <row r="141" spans="1:11" x14ac:dyDescent="0.2">
      <c r="A141" s="6" t="s">
        <v>91</v>
      </c>
      <c r="B141" s="6">
        <v>1</v>
      </c>
      <c r="C141" s="6" t="s">
        <v>188</v>
      </c>
      <c r="D141" s="6" t="s">
        <v>278</v>
      </c>
      <c r="E141" s="7">
        <v>43133</v>
      </c>
      <c r="F141" s="7">
        <v>43182</v>
      </c>
      <c r="G141" s="8">
        <v>43</v>
      </c>
      <c r="H141" s="8">
        <v>750000000</v>
      </c>
      <c r="I141" s="8">
        <v>250000000</v>
      </c>
      <c r="J141" s="9">
        <v>0.125</v>
      </c>
      <c r="K141" s="6" t="s">
        <v>259</v>
      </c>
    </row>
    <row r="142" spans="1:11" x14ac:dyDescent="0.2">
      <c r="A142" s="6" t="s">
        <v>46</v>
      </c>
      <c r="B142" s="6">
        <v>1</v>
      </c>
      <c r="C142" s="6" t="s">
        <v>188</v>
      </c>
      <c r="D142" s="6" t="s">
        <v>278</v>
      </c>
      <c r="E142" s="7">
        <v>42948</v>
      </c>
      <c r="F142" s="7">
        <v>42949</v>
      </c>
      <c r="G142" s="8">
        <v>1</v>
      </c>
      <c r="H142" s="8">
        <v>1000000000</v>
      </c>
      <c r="I142" s="8">
        <v>20000000</v>
      </c>
      <c r="J142" s="9">
        <v>5.0000000000000001E-3</v>
      </c>
      <c r="K142" s="6" t="s">
        <v>259</v>
      </c>
    </row>
    <row r="143" spans="1:11" x14ac:dyDescent="0.2">
      <c r="A143" s="6" t="s">
        <v>46</v>
      </c>
      <c r="B143" s="6">
        <v>1</v>
      </c>
      <c r="C143" s="6" t="s">
        <v>359</v>
      </c>
      <c r="D143" s="6" t="s">
        <v>278</v>
      </c>
      <c r="E143" s="7">
        <v>43561</v>
      </c>
      <c r="F143" s="7">
        <v>43607</v>
      </c>
      <c r="G143" s="8">
        <v>46</v>
      </c>
      <c r="H143" s="8">
        <v>1000000000</v>
      </c>
      <c r="I143" s="8">
        <v>50000000</v>
      </c>
      <c r="J143" s="9">
        <v>0.01</v>
      </c>
      <c r="K143" s="6" t="s">
        <v>259</v>
      </c>
    </row>
    <row r="144" spans="1:11" x14ac:dyDescent="0.2">
      <c r="A144" s="6" t="s">
        <v>46</v>
      </c>
      <c r="B144" s="6">
        <v>0</v>
      </c>
      <c r="C144" s="6" t="s">
        <v>188</v>
      </c>
      <c r="D144" s="6" t="s">
        <v>278</v>
      </c>
      <c r="E144" s="7">
        <v>43943</v>
      </c>
      <c r="F144" s="7">
        <v>43944</v>
      </c>
      <c r="G144" s="8">
        <v>1</v>
      </c>
      <c r="H144" s="8">
        <v>1000000000</v>
      </c>
      <c r="I144" s="8">
        <v>100000000</v>
      </c>
      <c r="J144" s="9">
        <v>1.4999999999999999E-2</v>
      </c>
      <c r="K144" s="6" t="s">
        <v>259</v>
      </c>
    </row>
    <row r="145" spans="1:11" x14ac:dyDescent="0.2">
      <c r="A145" s="6" t="s">
        <v>142</v>
      </c>
      <c r="B145" s="6">
        <v>0</v>
      </c>
      <c r="C145" s="6" t="s">
        <v>188</v>
      </c>
      <c r="D145" s="6" t="s">
        <v>278</v>
      </c>
      <c r="E145" s="7">
        <v>43137</v>
      </c>
      <c r="F145" s="7">
        <v>43160</v>
      </c>
      <c r="G145" s="8">
        <v>24</v>
      </c>
      <c r="H145" s="8">
        <v>299792458</v>
      </c>
      <c r="I145" s="8">
        <f>H145*50%</f>
        <v>149896229</v>
      </c>
      <c r="J145" s="9">
        <v>0.57999999999999996</v>
      </c>
      <c r="K145" s="6" t="s">
        <v>259</v>
      </c>
    </row>
    <row r="146" spans="1:11" x14ac:dyDescent="0.2">
      <c r="A146" s="6" t="s">
        <v>577</v>
      </c>
      <c r="B146" s="6">
        <v>0</v>
      </c>
      <c r="C146" s="6" t="s">
        <v>188</v>
      </c>
      <c r="D146" s="6" t="s">
        <v>278</v>
      </c>
      <c r="E146" s="7"/>
      <c r="F146" s="7"/>
      <c r="G146" s="8"/>
      <c r="H146" s="8">
        <v>10000000000</v>
      </c>
      <c r="I146" s="8">
        <v>333333333</v>
      </c>
      <c r="J146" s="9">
        <v>3.0000000000000001E-3</v>
      </c>
      <c r="K146" s="6" t="s">
        <v>259</v>
      </c>
    </row>
    <row r="147" spans="1:11" x14ac:dyDescent="0.2">
      <c r="A147" s="6" t="s">
        <v>577</v>
      </c>
      <c r="B147" s="6">
        <v>0</v>
      </c>
      <c r="C147" s="6" t="s">
        <v>188</v>
      </c>
      <c r="D147" s="6" t="s">
        <v>278</v>
      </c>
      <c r="E147" s="7"/>
      <c r="F147" s="7"/>
      <c r="G147" s="8"/>
      <c r="H147" s="8">
        <v>10000000000</v>
      </c>
      <c r="I147" s="8">
        <v>222222222</v>
      </c>
      <c r="J147" s="9">
        <v>4.4999999999999997E-3</v>
      </c>
      <c r="K147" s="6" t="s">
        <v>259</v>
      </c>
    </row>
    <row r="148" spans="1:11" x14ac:dyDescent="0.2">
      <c r="A148" s="6" t="s">
        <v>577</v>
      </c>
      <c r="B148" s="6">
        <v>0</v>
      </c>
      <c r="C148" s="6" t="s">
        <v>183</v>
      </c>
      <c r="D148" s="6" t="s">
        <v>278</v>
      </c>
      <c r="E148" s="7">
        <v>44208</v>
      </c>
      <c r="F148" s="7">
        <v>44208</v>
      </c>
      <c r="G148" s="8">
        <v>1</v>
      </c>
      <c r="H148" s="8">
        <v>10000000000</v>
      </c>
      <c r="I148" s="8">
        <v>166666667</v>
      </c>
      <c r="J148" s="9">
        <v>6.0000000000000001E-3</v>
      </c>
      <c r="K148" s="6" t="s">
        <v>259</v>
      </c>
    </row>
    <row r="149" spans="1:11" x14ac:dyDescent="0.2">
      <c r="A149" s="6" t="s">
        <v>120</v>
      </c>
      <c r="B149" s="6">
        <v>0</v>
      </c>
      <c r="C149" s="6" t="s">
        <v>183</v>
      </c>
      <c r="D149" s="6" t="s">
        <v>278</v>
      </c>
      <c r="E149" s="7">
        <v>43235</v>
      </c>
      <c r="F149" s="7">
        <v>43256</v>
      </c>
      <c r="G149" s="8">
        <v>22</v>
      </c>
      <c r="H149" s="8">
        <v>300000000</v>
      </c>
      <c r="I149" s="8">
        <f>H149*33%</f>
        <v>99000000</v>
      </c>
      <c r="J149" s="9">
        <f>1/3770</f>
        <v>2.652519893899204E-4</v>
      </c>
      <c r="K149" s="6" t="s">
        <v>2</v>
      </c>
    </row>
    <row r="150" spans="1:11" x14ac:dyDescent="0.2">
      <c r="A150" s="6" t="s">
        <v>164</v>
      </c>
      <c r="B150" s="6">
        <v>0</v>
      </c>
      <c r="C150" s="6" t="s">
        <v>183</v>
      </c>
      <c r="D150" s="6" t="s">
        <v>278</v>
      </c>
      <c r="E150" s="7" t="s">
        <v>382</v>
      </c>
      <c r="F150" s="7">
        <v>42764</v>
      </c>
      <c r="G150" s="8">
        <v>1</v>
      </c>
      <c r="H150" s="8">
        <v>100000000</v>
      </c>
      <c r="I150" s="8">
        <v>50000000</v>
      </c>
      <c r="J150" s="9">
        <v>0.5</v>
      </c>
      <c r="K150" s="6" t="s">
        <v>259</v>
      </c>
    </row>
    <row r="151" spans="1:11" x14ac:dyDescent="0.2">
      <c r="A151" s="6" t="s">
        <v>213</v>
      </c>
      <c r="B151" s="6">
        <v>1</v>
      </c>
      <c r="C151" s="6" t="s">
        <v>188</v>
      </c>
      <c r="D151" s="6" t="s">
        <v>278</v>
      </c>
      <c r="E151" s="7">
        <v>42958</v>
      </c>
      <c r="F151" s="7">
        <v>46638</v>
      </c>
      <c r="G151" s="8">
        <v>29</v>
      </c>
      <c r="H151" s="8">
        <v>3000000000</v>
      </c>
      <c r="I151" s="8">
        <v>25000000</v>
      </c>
      <c r="J151" s="9">
        <f>1/25000</f>
        <v>4.0000000000000003E-5</v>
      </c>
      <c r="K151" s="6" t="s">
        <v>2</v>
      </c>
    </row>
    <row r="152" spans="1:11" x14ac:dyDescent="0.2">
      <c r="A152" s="6" t="s">
        <v>213</v>
      </c>
      <c r="B152" s="6">
        <v>0</v>
      </c>
      <c r="C152" s="6" t="s">
        <v>183</v>
      </c>
      <c r="D152" s="6" t="s">
        <v>278</v>
      </c>
      <c r="E152" s="7">
        <v>43037</v>
      </c>
      <c r="F152" s="7">
        <v>43068</v>
      </c>
      <c r="G152" s="8">
        <v>30</v>
      </c>
      <c r="H152" s="8">
        <v>3000000000</v>
      </c>
      <c r="I152" s="8">
        <f>H152*51%</f>
        <v>1530000000</v>
      </c>
      <c r="J152" s="9">
        <f>1/10000</f>
        <v>1E-4</v>
      </c>
      <c r="K152" s="6" t="s">
        <v>2</v>
      </c>
    </row>
    <row r="153" spans="1:11" x14ac:dyDescent="0.2">
      <c r="A153" s="6" t="s">
        <v>139</v>
      </c>
      <c r="B153" s="6">
        <v>1</v>
      </c>
      <c r="C153" s="6" t="s">
        <v>183</v>
      </c>
      <c r="D153" s="6" t="s">
        <v>278</v>
      </c>
      <c r="E153" s="7">
        <v>43142</v>
      </c>
      <c r="F153" s="7">
        <v>43170</v>
      </c>
      <c r="G153" s="8">
        <v>30</v>
      </c>
      <c r="H153" s="8">
        <v>10000000000</v>
      </c>
      <c r="I153" s="8">
        <v>1250000000</v>
      </c>
      <c r="J153" s="9">
        <v>0.04</v>
      </c>
      <c r="K153" s="6" t="s">
        <v>259</v>
      </c>
    </row>
    <row r="154" spans="1:11" x14ac:dyDescent="0.2">
      <c r="A154" s="6" t="s">
        <v>202</v>
      </c>
      <c r="B154" s="6">
        <v>0</v>
      </c>
      <c r="C154" s="6" t="s">
        <v>183</v>
      </c>
      <c r="D154" s="6" t="s">
        <v>278</v>
      </c>
      <c r="E154" s="7">
        <v>43084</v>
      </c>
      <c r="F154" s="7">
        <v>43085</v>
      </c>
      <c r="G154" s="8">
        <v>2</v>
      </c>
      <c r="H154" s="8">
        <v>10000000000</v>
      </c>
      <c r="I154" s="8">
        <v>1500000000</v>
      </c>
      <c r="J154" s="9">
        <v>1.5800000000000002E-2</v>
      </c>
      <c r="K154" s="6" t="s">
        <v>259</v>
      </c>
    </row>
    <row r="155" spans="1:11" x14ac:dyDescent="0.2">
      <c r="A155" s="6" t="s">
        <v>226</v>
      </c>
      <c r="B155" s="6">
        <v>0</v>
      </c>
      <c r="C155" s="6" t="s">
        <v>183</v>
      </c>
      <c r="D155" s="6" t="s">
        <v>278</v>
      </c>
      <c r="E155" s="7">
        <v>43009</v>
      </c>
      <c r="F155" s="7">
        <v>43040</v>
      </c>
      <c r="G155" s="8">
        <v>31</v>
      </c>
      <c r="H155" s="8">
        <v>8000000000000</v>
      </c>
      <c r="I155" s="8">
        <f>H155*3%</f>
        <v>240000000000</v>
      </c>
      <c r="J155" s="9">
        <v>1E-4</v>
      </c>
      <c r="K155" s="6" t="s">
        <v>259</v>
      </c>
    </row>
    <row r="156" spans="1:11" x14ac:dyDescent="0.2">
      <c r="A156" s="6" t="s">
        <v>666</v>
      </c>
      <c r="B156" s="6">
        <v>1</v>
      </c>
      <c r="C156" s="6" t="s">
        <v>188</v>
      </c>
      <c r="D156" s="6" t="s">
        <v>278</v>
      </c>
      <c r="E156" s="7">
        <v>44287</v>
      </c>
      <c r="F156" s="7">
        <v>44300</v>
      </c>
      <c r="G156" s="8">
        <v>14</v>
      </c>
      <c r="H156" s="8">
        <v>10000000</v>
      </c>
      <c r="I156" s="8">
        <v>2000000</v>
      </c>
      <c r="J156" s="9">
        <v>0.35</v>
      </c>
      <c r="K156" s="6" t="s">
        <v>259</v>
      </c>
    </row>
    <row r="157" spans="1:11" x14ac:dyDescent="0.2">
      <c r="A157" s="6" t="s">
        <v>666</v>
      </c>
      <c r="B157" s="6">
        <v>0</v>
      </c>
      <c r="C157" s="6" t="s">
        <v>188</v>
      </c>
      <c r="D157" s="6" t="s">
        <v>278</v>
      </c>
      <c r="E157" s="7">
        <v>44281</v>
      </c>
      <c r="F157" s="7">
        <v>44284</v>
      </c>
      <c r="G157" s="8">
        <v>4</v>
      </c>
      <c r="H157" s="8">
        <v>10000000</v>
      </c>
      <c r="I157" s="8">
        <v>1600000</v>
      </c>
      <c r="J157" s="9">
        <v>0.25</v>
      </c>
      <c r="K157" s="6" t="s">
        <v>259</v>
      </c>
    </row>
    <row r="158" spans="1:11" x14ac:dyDescent="0.2">
      <c r="A158" s="6" t="s">
        <v>666</v>
      </c>
      <c r="B158" s="6">
        <v>0</v>
      </c>
      <c r="C158" s="6" t="s">
        <v>183</v>
      </c>
      <c r="D158" s="6" t="s">
        <v>278</v>
      </c>
      <c r="E158" s="7">
        <v>44300</v>
      </c>
      <c r="F158" s="7">
        <v>44303</v>
      </c>
      <c r="G158" s="8">
        <v>4</v>
      </c>
      <c r="H158" s="8">
        <v>10000000</v>
      </c>
      <c r="I158" s="8">
        <v>195000</v>
      </c>
      <c r="J158" s="9">
        <v>0.5</v>
      </c>
      <c r="K158" s="6" t="s">
        <v>259</v>
      </c>
    </row>
    <row r="159" spans="1:11" x14ac:dyDescent="0.2">
      <c r="A159" s="6" t="s">
        <v>153</v>
      </c>
      <c r="B159" s="6">
        <v>0</v>
      </c>
      <c r="C159" s="6" t="s">
        <v>183</v>
      </c>
      <c r="D159" s="6" t="s">
        <v>278</v>
      </c>
      <c r="E159" s="7">
        <v>43125</v>
      </c>
      <c r="F159" s="7">
        <v>43156</v>
      </c>
      <c r="G159" s="8">
        <v>32</v>
      </c>
      <c r="H159" s="8">
        <v>400000000</v>
      </c>
      <c r="I159" s="8">
        <v>240000000</v>
      </c>
      <c r="J159" s="9">
        <v>1.5384599999999999E-4</v>
      </c>
      <c r="K159" s="6" t="s">
        <v>2</v>
      </c>
    </row>
    <row r="160" spans="1:11" x14ac:dyDescent="0.2">
      <c r="A160" s="6" t="s">
        <v>67</v>
      </c>
      <c r="B160" s="6">
        <v>0</v>
      </c>
      <c r="C160" s="6" t="s">
        <v>183</v>
      </c>
      <c r="D160" s="6" t="s">
        <v>278</v>
      </c>
      <c r="E160" s="7">
        <v>43664</v>
      </c>
      <c r="F160" s="7">
        <v>43654</v>
      </c>
      <c r="G160" s="8">
        <v>1</v>
      </c>
      <c r="H160" s="8">
        <v>200000000</v>
      </c>
      <c r="I160" s="8">
        <v>30000000</v>
      </c>
      <c r="J160" s="9">
        <v>0.1</v>
      </c>
      <c r="K160" s="6" t="s">
        <v>259</v>
      </c>
    </row>
    <row r="161" spans="1:11" x14ac:dyDescent="0.2">
      <c r="A161" s="6" t="s">
        <v>644</v>
      </c>
      <c r="B161" s="6">
        <v>0</v>
      </c>
      <c r="C161" s="6" t="s">
        <v>188</v>
      </c>
      <c r="D161" s="6" t="s">
        <v>278</v>
      </c>
      <c r="E161" s="7"/>
      <c r="F161" s="7">
        <v>44312</v>
      </c>
      <c r="G161" s="8"/>
      <c r="H161" s="8">
        <v>250000000</v>
      </c>
      <c r="I161" s="8">
        <v>18600000</v>
      </c>
      <c r="J161" s="9">
        <v>4.8000000000000001E-2</v>
      </c>
      <c r="K161" s="6" t="s">
        <v>259</v>
      </c>
    </row>
    <row r="162" spans="1:11" x14ac:dyDescent="0.2">
      <c r="A162" s="6" t="s">
        <v>644</v>
      </c>
      <c r="B162" s="6">
        <v>0</v>
      </c>
      <c r="C162" s="6" t="s">
        <v>188</v>
      </c>
      <c r="D162" s="6" t="s">
        <v>278</v>
      </c>
      <c r="E162" s="7"/>
      <c r="F162" s="7">
        <v>44312</v>
      </c>
      <c r="G162" s="8"/>
      <c r="H162" s="8">
        <v>250000000</v>
      </c>
      <c r="I162" s="8">
        <v>18600000</v>
      </c>
      <c r="J162" s="9">
        <v>0.08</v>
      </c>
      <c r="K162" s="6" t="s">
        <v>259</v>
      </c>
    </row>
    <row r="163" spans="1:11" x14ac:dyDescent="0.2">
      <c r="A163" s="6" t="s">
        <v>644</v>
      </c>
      <c r="B163" s="6">
        <v>0</v>
      </c>
      <c r="C163" s="6" t="s">
        <v>183</v>
      </c>
      <c r="D163" s="6" t="s">
        <v>278</v>
      </c>
      <c r="E163" s="7">
        <v>44317</v>
      </c>
      <c r="F163" s="7">
        <v>44326</v>
      </c>
      <c r="G163" s="8">
        <v>10</v>
      </c>
      <c r="H163" s="8">
        <v>250000000</v>
      </c>
      <c r="I163" s="8">
        <v>3250000</v>
      </c>
      <c r="J163" s="9">
        <v>9.4E-2</v>
      </c>
      <c r="K163" s="6" t="s">
        <v>259</v>
      </c>
    </row>
    <row r="164" spans="1:11" x14ac:dyDescent="0.2">
      <c r="A164" s="6" t="s">
        <v>511</v>
      </c>
      <c r="B164" s="6">
        <v>1</v>
      </c>
      <c r="C164" s="6" t="s">
        <v>188</v>
      </c>
      <c r="D164" s="6" t="s">
        <v>278</v>
      </c>
      <c r="E164" s="7"/>
      <c r="F164" s="7"/>
      <c r="G164" s="8"/>
      <c r="H164" s="8">
        <v>10000000</v>
      </c>
      <c r="I164" s="8">
        <v>1400000</v>
      </c>
      <c r="J164" s="9">
        <v>0.75</v>
      </c>
      <c r="K164" s="6" t="s">
        <v>259</v>
      </c>
    </row>
    <row r="165" spans="1:11" x14ac:dyDescent="0.2">
      <c r="A165" s="6" t="s">
        <v>511</v>
      </c>
      <c r="B165" s="6">
        <v>1</v>
      </c>
      <c r="C165" s="6" t="s">
        <v>188</v>
      </c>
      <c r="D165" s="6" t="s">
        <v>278</v>
      </c>
      <c r="E165" s="7">
        <v>44279</v>
      </c>
      <c r="F165" s="7">
        <v>44281</v>
      </c>
      <c r="G165" s="8">
        <v>3</v>
      </c>
      <c r="H165" s="8">
        <v>10000000</v>
      </c>
      <c r="I165" s="8">
        <v>500000</v>
      </c>
      <c r="J165" s="9">
        <v>1.8</v>
      </c>
      <c r="K165" s="6" t="s">
        <v>259</v>
      </c>
    </row>
    <row r="166" spans="1:11" x14ac:dyDescent="0.2">
      <c r="A166" s="6" t="s">
        <v>511</v>
      </c>
      <c r="B166" s="6">
        <v>0</v>
      </c>
      <c r="C166" s="6" t="s">
        <v>183</v>
      </c>
      <c r="D166" s="6" t="s">
        <v>278</v>
      </c>
      <c r="E166" s="7">
        <v>44300</v>
      </c>
      <c r="F166" s="7">
        <v>44300</v>
      </c>
      <c r="G166" s="8">
        <v>1</v>
      </c>
      <c r="H166" s="8">
        <v>10000000</v>
      </c>
      <c r="I166" s="8">
        <v>1000000</v>
      </c>
      <c r="J166" s="9">
        <v>2.5</v>
      </c>
      <c r="K166" s="6" t="s">
        <v>259</v>
      </c>
    </row>
    <row r="167" spans="1:11" x14ac:dyDescent="0.2">
      <c r="A167" s="6" t="s">
        <v>511</v>
      </c>
      <c r="B167" s="6">
        <v>0</v>
      </c>
      <c r="C167" s="6" t="s">
        <v>183</v>
      </c>
      <c r="D167" s="6" t="s">
        <v>278</v>
      </c>
      <c r="E167" s="7">
        <v>44305</v>
      </c>
      <c r="F167" s="7">
        <v>44306</v>
      </c>
      <c r="G167" s="8">
        <v>2</v>
      </c>
      <c r="H167" s="8">
        <v>10000000</v>
      </c>
      <c r="I167" s="8">
        <v>150000</v>
      </c>
      <c r="J167" s="9">
        <v>3</v>
      </c>
      <c r="K167" s="6" t="s">
        <v>259</v>
      </c>
    </row>
    <row r="168" spans="1:11" x14ac:dyDescent="0.2">
      <c r="A168" s="6" t="s">
        <v>252</v>
      </c>
      <c r="B168" s="6">
        <v>0</v>
      </c>
      <c r="C168" s="6" t="s">
        <v>183</v>
      </c>
      <c r="D168" s="6" t="s">
        <v>278</v>
      </c>
      <c r="E168" s="7">
        <v>42931</v>
      </c>
      <c r="F168" s="7">
        <v>42973</v>
      </c>
      <c r="G168" s="8">
        <v>39</v>
      </c>
      <c r="H168" s="8">
        <v>10000000</v>
      </c>
      <c r="I168" s="8">
        <v>9000000</v>
      </c>
      <c r="J168" s="9">
        <v>0.01</v>
      </c>
      <c r="K168" s="6" t="s">
        <v>259</v>
      </c>
    </row>
    <row r="169" spans="1:11" x14ac:dyDescent="0.2">
      <c r="A169" s="6" t="s">
        <v>156</v>
      </c>
      <c r="B169" s="6">
        <v>0</v>
      </c>
      <c r="C169" s="6" t="s">
        <v>183</v>
      </c>
      <c r="D169" s="6" t="s">
        <v>278</v>
      </c>
      <c r="E169" s="7">
        <v>43152</v>
      </c>
      <c r="F169" s="7">
        <v>43152</v>
      </c>
      <c r="G169" s="8">
        <v>1</v>
      </c>
      <c r="H169" s="8">
        <v>1000000000</v>
      </c>
      <c r="I169" s="8">
        <v>300000000</v>
      </c>
      <c r="J169" s="9">
        <f>1/10714</f>
        <v>9.3335822288594366E-5</v>
      </c>
      <c r="K169" s="6" t="s">
        <v>2</v>
      </c>
    </row>
    <row r="170" spans="1:11" x14ac:dyDescent="0.2">
      <c r="A170" s="6" t="s">
        <v>231</v>
      </c>
      <c r="B170" s="6">
        <v>0</v>
      </c>
      <c r="C170" s="6" t="s">
        <v>183</v>
      </c>
      <c r="D170" s="6" t="s">
        <v>402</v>
      </c>
      <c r="E170" s="7">
        <v>43010</v>
      </c>
      <c r="F170" s="7">
        <v>43025</v>
      </c>
      <c r="G170" s="8">
        <v>16</v>
      </c>
      <c r="H170" s="8">
        <v>1200000000</v>
      </c>
      <c r="I170" s="8">
        <f>H170*25%</f>
        <v>300000000</v>
      </c>
      <c r="J170" s="9">
        <v>3.2001000000000002E-4</v>
      </c>
      <c r="K170" s="6" t="s">
        <v>2</v>
      </c>
    </row>
    <row r="171" spans="1:11" x14ac:dyDescent="0.2">
      <c r="A171" s="6" t="s">
        <v>138</v>
      </c>
      <c r="B171" s="6">
        <v>0</v>
      </c>
      <c r="C171" s="6" t="s">
        <v>188</v>
      </c>
      <c r="D171" s="6" t="s">
        <v>278</v>
      </c>
      <c r="E171" s="7">
        <v>43146</v>
      </c>
      <c r="F171" s="7">
        <v>43174</v>
      </c>
      <c r="G171" s="8">
        <v>30</v>
      </c>
      <c r="H171" s="8">
        <v>500000000</v>
      </c>
      <c r="I171" s="8">
        <v>35000000</v>
      </c>
      <c r="J171" s="9">
        <v>5.0000000000000001E-3</v>
      </c>
      <c r="K171" s="6" t="s">
        <v>2</v>
      </c>
    </row>
    <row r="172" spans="1:11" x14ac:dyDescent="0.2">
      <c r="A172" s="6" t="s">
        <v>36</v>
      </c>
      <c r="B172" s="6">
        <v>0</v>
      </c>
      <c r="C172" s="6" t="s">
        <v>183</v>
      </c>
      <c r="D172" s="6" t="s">
        <v>278</v>
      </c>
      <c r="E172" s="7">
        <v>44026</v>
      </c>
      <c r="F172" s="7">
        <v>44039</v>
      </c>
      <c r="G172" s="8">
        <v>14</v>
      </c>
      <c r="H172" s="8">
        <v>100000000</v>
      </c>
      <c r="I172" s="8">
        <v>10000000</v>
      </c>
      <c r="J172" s="9">
        <v>0.05</v>
      </c>
      <c r="K172" s="6" t="s">
        <v>259</v>
      </c>
    </row>
    <row r="173" spans="1:11" x14ac:dyDescent="0.2">
      <c r="A173" s="6" t="s">
        <v>113</v>
      </c>
      <c r="B173" s="6">
        <v>0</v>
      </c>
      <c r="C173" s="6" t="s">
        <v>183</v>
      </c>
      <c r="D173" s="6" t="s">
        <v>278</v>
      </c>
      <c r="E173" s="7">
        <v>43185</v>
      </c>
      <c r="F173" s="7">
        <v>43213</v>
      </c>
      <c r="G173" s="8">
        <v>29</v>
      </c>
      <c r="H173" s="8">
        <v>225000000</v>
      </c>
      <c r="I173" s="8">
        <f>H173*48%</f>
        <v>108000000</v>
      </c>
      <c r="J173" s="9">
        <f>1/4000</f>
        <v>2.5000000000000001E-4</v>
      </c>
      <c r="K173" s="6" t="s">
        <v>2</v>
      </c>
    </row>
    <row r="174" spans="1:11" x14ac:dyDescent="0.2">
      <c r="A174" s="6" t="s">
        <v>107</v>
      </c>
      <c r="B174" s="6">
        <v>1</v>
      </c>
      <c r="C174" s="6" t="s">
        <v>188</v>
      </c>
      <c r="D174" s="6" t="s">
        <v>278</v>
      </c>
      <c r="E174" s="7">
        <v>43252</v>
      </c>
      <c r="F174" s="7">
        <v>43297</v>
      </c>
      <c r="G174" s="8">
        <v>46</v>
      </c>
      <c r="H174" s="8">
        <v>100000000000</v>
      </c>
      <c r="I174" s="8">
        <v>19440000000</v>
      </c>
      <c r="J174" s="9">
        <v>8.9999999999999998E-4</v>
      </c>
      <c r="K174" s="6" t="s">
        <v>259</v>
      </c>
    </row>
    <row r="175" spans="1:11" x14ac:dyDescent="0.2">
      <c r="A175" s="6" t="s">
        <v>107</v>
      </c>
      <c r="B175" s="6">
        <v>0</v>
      </c>
      <c r="C175" s="6" t="s">
        <v>183</v>
      </c>
      <c r="D175" s="6" t="s">
        <v>278</v>
      </c>
      <c r="E175" s="7">
        <v>43315</v>
      </c>
      <c r="F175" s="7">
        <v>43321</v>
      </c>
      <c r="G175" s="8">
        <v>7</v>
      </c>
      <c r="H175" s="8">
        <v>100000000000</v>
      </c>
      <c r="I175" s="8">
        <v>2860000000</v>
      </c>
      <c r="J175" s="9">
        <v>1.4E-3</v>
      </c>
      <c r="K175" s="6" t="s">
        <v>259</v>
      </c>
    </row>
    <row r="176" spans="1:11" x14ac:dyDescent="0.2">
      <c r="A176" s="6" t="s">
        <v>161</v>
      </c>
      <c r="B176" s="6">
        <v>0</v>
      </c>
      <c r="C176" s="6" t="s">
        <v>183</v>
      </c>
      <c r="D176" s="6" t="s">
        <v>278</v>
      </c>
      <c r="E176" s="7">
        <v>43136</v>
      </c>
      <c r="F176" s="7">
        <v>43137</v>
      </c>
      <c r="G176" s="8">
        <v>2</v>
      </c>
      <c r="H176" s="8">
        <v>1000000000</v>
      </c>
      <c r="I176" s="8">
        <f>H176*33.33%</f>
        <v>333300000</v>
      </c>
      <c r="J176" s="9">
        <v>0.18</v>
      </c>
      <c r="K176" s="6" t="s">
        <v>259</v>
      </c>
    </row>
    <row r="177" spans="1:11" x14ac:dyDescent="0.2">
      <c r="A177" s="6" t="s">
        <v>157</v>
      </c>
      <c r="B177" s="6">
        <v>1</v>
      </c>
      <c r="C177" s="6" t="s">
        <v>183</v>
      </c>
      <c r="D177" s="6" t="s">
        <v>278</v>
      </c>
      <c r="E177" s="7">
        <v>42773</v>
      </c>
      <c r="F177" s="7">
        <v>43107</v>
      </c>
      <c r="G177" s="8">
        <v>32</v>
      </c>
      <c r="H177" s="8">
        <v>1500000000</v>
      </c>
      <c r="I177" s="8">
        <v>750000000</v>
      </c>
      <c r="J177" s="9">
        <f>1/34500</f>
        <v>2.898550724637681E-5</v>
      </c>
      <c r="K177" s="6" t="s">
        <v>2</v>
      </c>
    </row>
    <row r="178" spans="1:11" x14ac:dyDescent="0.2">
      <c r="A178" s="6" t="s">
        <v>157</v>
      </c>
      <c r="B178" s="6">
        <v>1</v>
      </c>
      <c r="C178" s="6" t="s">
        <v>183</v>
      </c>
      <c r="D178" s="6" t="s">
        <v>278</v>
      </c>
      <c r="E178" s="7">
        <v>43107</v>
      </c>
      <c r="F178" s="7">
        <v>43131</v>
      </c>
      <c r="G178" s="8">
        <v>25</v>
      </c>
      <c r="H178" s="8">
        <v>1500000000</v>
      </c>
      <c r="I178" s="8">
        <v>750000000</v>
      </c>
      <c r="J178" s="9">
        <f>1/24150</f>
        <v>4.1407867494824014E-5</v>
      </c>
      <c r="K178" s="6" t="s">
        <v>2</v>
      </c>
    </row>
    <row r="179" spans="1:11" x14ac:dyDescent="0.2">
      <c r="A179" s="6" t="s">
        <v>157</v>
      </c>
      <c r="B179" s="6">
        <v>1</v>
      </c>
      <c r="C179" s="6" t="s">
        <v>183</v>
      </c>
      <c r="D179" s="6" t="s">
        <v>278</v>
      </c>
      <c r="E179" s="7">
        <v>43116</v>
      </c>
      <c r="F179" s="7">
        <v>43131</v>
      </c>
      <c r="G179" s="8">
        <v>16</v>
      </c>
      <c r="H179" s="8">
        <v>1500000000</v>
      </c>
      <c r="I179" s="8">
        <v>750000000</v>
      </c>
      <c r="J179" s="9">
        <f>1/24150</f>
        <v>4.1407867494824014E-5</v>
      </c>
      <c r="K179" s="6" t="s">
        <v>2</v>
      </c>
    </row>
    <row r="180" spans="1:11" x14ac:dyDescent="0.2">
      <c r="A180" s="6" t="s">
        <v>157</v>
      </c>
      <c r="B180" s="6">
        <v>0</v>
      </c>
      <c r="C180" s="6" t="s">
        <v>183</v>
      </c>
      <c r="D180" s="6" t="s">
        <v>278</v>
      </c>
      <c r="E180" s="7">
        <v>43132</v>
      </c>
      <c r="F180" s="7">
        <v>43144</v>
      </c>
      <c r="G180" s="8">
        <v>13</v>
      </c>
      <c r="H180" s="8">
        <v>1500000000</v>
      </c>
      <c r="I180" s="8">
        <v>750000000</v>
      </c>
      <c r="J180" s="9">
        <f>1/20000</f>
        <v>5.0000000000000002E-5</v>
      </c>
      <c r="K180" s="6" t="s">
        <v>2</v>
      </c>
    </row>
    <row r="181" spans="1:11" x14ac:dyDescent="0.2">
      <c r="A181" s="6" t="s">
        <v>98</v>
      </c>
      <c r="B181" s="6">
        <v>1</v>
      </c>
      <c r="C181" s="6" t="s">
        <v>301</v>
      </c>
      <c r="D181" s="6" t="s">
        <v>278</v>
      </c>
      <c r="E181" s="7"/>
      <c r="F181" s="7"/>
      <c r="G181" s="8"/>
      <c r="H181" s="8">
        <v>150000000000</v>
      </c>
      <c r="I181" s="8">
        <v>316500000</v>
      </c>
      <c r="J181" s="9">
        <v>0.1</v>
      </c>
      <c r="K181" s="6" t="s">
        <v>259</v>
      </c>
    </row>
    <row r="182" spans="1:11" x14ac:dyDescent="0.2">
      <c r="A182" s="6" t="s">
        <v>98</v>
      </c>
      <c r="B182" s="6">
        <v>0</v>
      </c>
      <c r="C182" s="6" t="s">
        <v>183</v>
      </c>
      <c r="D182" s="6" t="s">
        <v>278</v>
      </c>
      <c r="E182" s="7"/>
      <c r="F182" s="7">
        <v>43402</v>
      </c>
      <c r="G182" s="8"/>
      <c r="H182" s="8">
        <v>150000000000</v>
      </c>
      <c r="I182" s="8">
        <f>H182/2</f>
        <v>75000000000</v>
      </c>
      <c r="J182" s="9">
        <v>2E-3</v>
      </c>
      <c r="K182" s="6" t="s">
        <v>259</v>
      </c>
    </row>
    <row r="183" spans="1:11" x14ac:dyDescent="0.2">
      <c r="A183" s="6" t="s">
        <v>135</v>
      </c>
      <c r="B183" s="6">
        <v>0</v>
      </c>
      <c r="C183" s="6" t="s">
        <v>183</v>
      </c>
      <c r="D183" s="6" t="s">
        <v>278</v>
      </c>
      <c r="E183" s="7">
        <v>43183</v>
      </c>
      <c r="F183" s="7">
        <v>43187</v>
      </c>
      <c r="G183" s="8">
        <v>5</v>
      </c>
      <c r="H183" s="8">
        <v>650000000</v>
      </c>
      <c r="I183" s="8">
        <f>H183*40%</f>
        <v>260000000</v>
      </c>
      <c r="J183" s="9">
        <v>7.0499999999999993E-2</v>
      </c>
      <c r="K183" s="6" t="s">
        <v>259</v>
      </c>
    </row>
    <row r="184" spans="1:11" x14ac:dyDescent="0.2">
      <c r="A184" s="6" t="s">
        <v>154</v>
      </c>
      <c r="B184" s="6">
        <v>0</v>
      </c>
      <c r="C184" s="6" t="s">
        <v>183</v>
      </c>
      <c r="D184" s="6" t="s">
        <v>278</v>
      </c>
      <c r="E184" s="7">
        <v>43154</v>
      </c>
      <c r="F184" s="7">
        <v>43154</v>
      </c>
      <c r="G184" s="8">
        <v>1</v>
      </c>
      <c r="H184" s="8">
        <v>750000000</v>
      </c>
      <c r="I184" s="8">
        <v>375000000</v>
      </c>
      <c r="J184" s="9">
        <v>0.08</v>
      </c>
      <c r="K184" s="6" t="s">
        <v>259</v>
      </c>
    </row>
    <row r="185" spans="1:11" x14ac:dyDescent="0.2">
      <c r="A185" s="6" t="s">
        <v>116</v>
      </c>
      <c r="B185" s="6">
        <v>0</v>
      </c>
      <c r="C185" s="6" t="s">
        <v>188</v>
      </c>
      <c r="D185" s="6" t="s">
        <v>278</v>
      </c>
      <c r="E185" s="7">
        <v>43205</v>
      </c>
      <c r="F185" s="7">
        <v>43254</v>
      </c>
      <c r="G185" s="8">
        <v>50</v>
      </c>
      <c r="H185" s="8">
        <v>10000000000</v>
      </c>
      <c r="I185" s="8">
        <v>40000000</v>
      </c>
      <c r="J185" s="9">
        <v>0.04</v>
      </c>
      <c r="K185" s="6" t="s">
        <v>259</v>
      </c>
    </row>
    <row r="186" spans="1:11" x14ac:dyDescent="0.2">
      <c r="A186" s="6" t="s">
        <v>116</v>
      </c>
      <c r="B186" s="6">
        <v>1</v>
      </c>
      <c r="C186" s="6" t="s">
        <v>183</v>
      </c>
      <c r="D186" s="6" t="s">
        <v>278</v>
      </c>
      <c r="E186" s="7">
        <v>43255</v>
      </c>
      <c r="F186" s="7">
        <v>43268</v>
      </c>
      <c r="G186" s="8">
        <v>14</v>
      </c>
      <c r="H186" s="8">
        <v>1000000000</v>
      </c>
      <c r="I186" s="8">
        <v>40000000</v>
      </c>
      <c r="J186" s="9">
        <v>0.06</v>
      </c>
      <c r="K186" s="6" t="s">
        <v>259</v>
      </c>
    </row>
    <row r="187" spans="1:11" x14ac:dyDescent="0.2">
      <c r="A187" s="6" t="s">
        <v>116</v>
      </c>
      <c r="B187" s="6">
        <v>0</v>
      </c>
      <c r="C187" s="6" t="s">
        <v>183</v>
      </c>
      <c r="D187" s="6" t="s">
        <v>278</v>
      </c>
      <c r="E187" s="7">
        <v>43269</v>
      </c>
      <c r="F187" s="7">
        <v>43277</v>
      </c>
      <c r="G187" s="8">
        <v>9</v>
      </c>
      <c r="H187" s="8">
        <v>1000000000</v>
      </c>
      <c r="I187" s="8">
        <v>150000000</v>
      </c>
      <c r="J187" s="9">
        <v>0.12</v>
      </c>
      <c r="K187" s="6" t="s">
        <v>259</v>
      </c>
    </row>
    <row r="188" spans="1:11" x14ac:dyDescent="0.2">
      <c r="A188" s="6" t="s">
        <v>248</v>
      </c>
      <c r="B188" s="6">
        <v>0</v>
      </c>
      <c r="C188" s="6" t="s">
        <v>183</v>
      </c>
      <c r="D188" s="6" t="s">
        <v>278</v>
      </c>
      <c r="E188" s="7">
        <v>42988</v>
      </c>
      <c r="F188" s="7">
        <v>42988</v>
      </c>
      <c r="G188" s="8">
        <v>1</v>
      </c>
      <c r="H188" s="8">
        <v>100000000</v>
      </c>
      <c r="I188" s="8">
        <v>50000000</v>
      </c>
      <c r="J188" s="9">
        <f>1/489.93</f>
        <v>2.04110791337538E-3</v>
      </c>
      <c r="K188" s="6" t="s">
        <v>2</v>
      </c>
    </row>
    <row r="189" spans="1:11" x14ac:dyDescent="0.2">
      <c r="A189" s="6" t="s">
        <v>110</v>
      </c>
      <c r="B189" s="6">
        <v>0</v>
      </c>
      <c r="C189" s="6" t="s">
        <v>183</v>
      </c>
      <c r="D189" s="6" t="s">
        <v>278</v>
      </c>
      <c r="E189" s="7">
        <v>43277</v>
      </c>
      <c r="F189" s="7">
        <v>43307</v>
      </c>
      <c r="G189" s="8">
        <v>31</v>
      </c>
      <c r="H189" s="8">
        <v>1000000000</v>
      </c>
      <c r="I189" s="8">
        <v>400000000</v>
      </c>
      <c r="J189" s="9">
        <v>0.05</v>
      </c>
      <c r="K189" s="6" t="s">
        <v>259</v>
      </c>
    </row>
    <row r="190" spans="1:11" x14ac:dyDescent="0.2">
      <c r="A190" s="6" t="s">
        <v>673</v>
      </c>
      <c r="B190" s="6">
        <v>0</v>
      </c>
      <c r="C190" s="6" t="s">
        <v>188</v>
      </c>
      <c r="D190" s="6" t="s">
        <v>278</v>
      </c>
      <c r="E190" s="7"/>
      <c r="F190" s="7"/>
      <c r="G190" s="8"/>
      <c r="H190" s="8">
        <v>1000000000</v>
      </c>
      <c r="I190" s="8">
        <v>40000000</v>
      </c>
      <c r="J190" s="9">
        <v>6.2500000000000003E-3</v>
      </c>
      <c r="K190" s="6" t="s">
        <v>259</v>
      </c>
    </row>
    <row r="191" spans="1:11" x14ac:dyDescent="0.2">
      <c r="A191" s="6" t="s">
        <v>673</v>
      </c>
      <c r="B191" s="6">
        <v>0</v>
      </c>
      <c r="C191" s="6" t="s">
        <v>188</v>
      </c>
      <c r="D191" s="6" t="s">
        <v>278</v>
      </c>
      <c r="E191" s="7"/>
      <c r="F191" s="7"/>
      <c r="G191" s="8"/>
      <c r="H191" s="8">
        <v>1000000000</v>
      </c>
      <c r="I191" s="8">
        <v>240000000</v>
      </c>
      <c r="J191" s="9">
        <v>1.2500000000000001E-2</v>
      </c>
      <c r="K191" s="6" t="s">
        <v>259</v>
      </c>
    </row>
    <row r="192" spans="1:11" x14ac:dyDescent="0.2">
      <c r="A192" s="6" t="s">
        <v>673</v>
      </c>
      <c r="B192" s="6">
        <v>0</v>
      </c>
      <c r="C192" s="6" t="s">
        <v>188</v>
      </c>
      <c r="D192" s="6" t="s">
        <v>278</v>
      </c>
      <c r="E192" s="7"/>
      <c r="F192" s="7"/>
      <c r="G192" s="8"/>
      <c r="H192" s="8">
        <v>1000000000</v>
      </c>
      <c r="I192" s="8">
        <v>45000000</v>
      </c>
      <c r="J192" s="9">
        <v>0.03</v>
      </c>
      <c r="K192" s="6" t="s">
        <v>259</v>
      </c>
    </row>
    <row r="193" spans="1:11" x14ac:dyDescent="0.2">
      <c r="A193" s="6" t="s">
        <v>673</v>
      </c>
      <c r="B193" s="6">
        <v>0</v>
      </c>
      <c r="C193" s="6" t="s">
        <v>183</v>
      </c>
      <c r="D193" s="6" t="s">
        <v>278</v>
      </c>
      <c r="E193" s="7">
        <v>44246</v>
      </c>
      <c r="F193" s="7">
        <v>44253</v>
      </c>
      <c r="G193" s="8">
        <v>8</v>
      </c>
      <c r="H193" s="8">
        <v>1000000000</v>
      </c>
      <c r="I193" s="8">
        <v>265000000</v>
      </c>
      <c r="J193" s="9">
        <v>0.3</v>
      </c>
      <c r="K193" s="6" t="s">
        <v>259</v>
      </c>
    </row>
    <row r="194" spans="1:11" x14ac:dyDescent="0.2">
      <c r="A194" s="6" t="s">
        <v>210</v>
      </c>
      <c r="B194" s="6">
        <v>0</v>
      </c>
      <c r="C194" s="6" t="s">
        <v>183</v>
      </c>
      <c r="D194" s="6" t="s">
        <v>278</v>
      </c>
      <c r="E194" s="7">
        <v>43040</v>
      </c>
      <c r="F194" s="7">
        <v>43069</v>
      </c>
      <c r="G194" s="8">
        <v>30</v>
      </c>
      <c r="H194" s="8">
        <v>60000000</v>
      </c>
      <c r="I194" s="8">
        <v>24000000</v>
      </c>
      <c r="J194" s="9">
        <f>1/240</f>
        <v>4.1666666666666666E-3</v>
      </c>
      <c r="K194" s="6" t="s">
        <v>2</v>
      </c>
    </row>
    <row r="195" spans="1:11" x14ac:dyDescent="0.2">
      <c r="A195" s="6" t="s">
        <v>230</v>
      </c>
      <c r="B195" s="6">
        <v>0</v>
      </c>
      <c r="C195" s="6" t="s">
        <v>183</v>
      </c>
      <c r="D195" s="6" t="s">
        <v>278</v>
      </c>
      <c r="E195" s="7">
        <v>42992</v>
      </c>
      <c r="F195" s="7">
        <v>43028</v>
      </c>
      <c r="G195" s="8">
        <v>37</v>
      </c>
      <c r="H195" s="8">
        <v>21000000000</v>
      </c>
      <c r="I195" s="8">
        <f>H195*29%</f>
        <v>6090000000</v>
      </c>
      <c r="J195" s="9">
        <v>0.01</v>
      </c>
      <c r="K195" s="6" t="s">
        <v>259</v>
      </c>
    </row>
    <row r="196" spans="1:11" x14ac:dyDescent="0.2">
      <c r="A196" s="6" t="s">
        <v>167</v>
      </c>
      <c r="B196" s="6">
        <v>0</v>
      </c>
      <c r="C196" s="6" t="s">
        <v>183</v>
      </c>
      <c r="D196" s="6" t="s">
        <v>278</v>
      </c>
      <c r="E196" s="7">
        <v>43449</v>
      </c>
      <c r="F196" s="7">
        <v>43450</v>
      </c>
      <c r="G196" s="8">
        <v>2</v>
      </c>
      <c r="H196" s="8">
        <v>150000000</v>
      </c>
      <c r="I196" s="8">
        <f>H196*83%</f>
        <v>124500000</v>
      </c>
      <c r="J196" s="9">
        <v>0.7</v>
      </c>
      <c r="K196" s="6" t="s">
        <v>259</v>
      </c>
    </row>
    <row r="197" spans="1:11" x14ac:dyDescent="0.2">
      <c r="A197" s="6" t="s">
        <v>284</v>
      </c>
      <c r="B197" s="6">
        <v>0</v>
      </c>
      <c r="C197" s="6" t="s">
        <v>183</v>
      </c>
      <c r="D197" s="6" t="s">
        <v>278</v>
      </c>
      <c r="E197" s="7">
        <v>44112</v>
      </c>
      <c r="F197" s="7">
        <v>44126</v>
      </c>
      <c r="G197" s="8">
        <v>14</v>
      </c>
      <c r="H197" s="8">
        <v>4200000000</v>
      </c>
      <c r="I197" s="8">
        <v>642000000</v>
      </c>
      <c r="J197" s="9">
        <v>3.9E-2</v>
      </c>
      <c r="K197" s="6" t="s">
        <v>259</v>
      </c>
    </row>
    <row r="198" spans="1:11" x14ac:dyDescent="0.2">
      <c r="A198" s="6" t="s">
        <v>207</v>
      </c>
      <c r="B198" s="6">
        <v>0</v>
      </c>
      <c r="C198" s="6" t="s">
        <v>183</v>
      </c>
      <c r="D198" s="6" t="s">
        <v>278</v>
      </c>
      <c r="E198" s="7">
        <v>43044</v>
      </c>
      <c r="F198" s="7">
        <v>43074</v>
      </c>
      <c r="G198" s="8">
        <v>31</v>
      </c>
      <c r="H198" s="8">
        <v>130000000</v>
      </c>
      <c r="I198" s="8">
        <v>100100000</v>
      </c>
      <c r="J198" s="9">
        <v>6.1600000000000007E-5</v>
      </c>
      <c r="K198" s="6" t="s">
        <v>2</v>
      </c>
    </row>
    <row r="199" spans="1:11" x14ac:dyDescent="0.2">
      <c r="A199" s="6" t="s">
        <v>89</v>
      </c>
      <c r="B199" s="6">
        <v>0</v>
      </c>
      <c r="C199" s="6" t="s">
        <v>183</v>
      </c>
      <c r="D199" s="6" t="s">
        <v>278</v>
      </c>
      <c r="E199" s="7">
        <v>43521</v>
      </c>
      <c r="F199" s="7">
        <v>43521</v>
      </c>
      <c r="G199" s="8">
        <v>1</v>
      </c>
      <c r="H199" s="8">
        <v>1152997575</v>
      </c>
      <c r="I199" s="8">
        <f>H199*17.6%</f>
        <v>202927573.20000002</v>
      </c>
      <c r="J199" s="9">
        <v>8.6699999999999999E-2</v>
      </c>
      <c r="K199" s="6" t="s">
        <v>259</v>
      </c>
    </row>
    <row r="200" spans="1:11" x14ac:dyDescent="0.2">
      <c r="A200" s="6" t="s">
        <v>18</v>
      </c>
      <c r="B200" s="6">
        <v>0</v>
      </c>
      <c r="C200" s="6" t="s">
        <v>183</v>
      </c>
      <c r="D200" s="6" t="s">
        <v>278</v>
      </c>
      <c r="E200" s="7">
        <v>43054</v>
      </c>
      <c r="F200" s="7">
        <v>43100</v>
      </c>
      <c r="G200" s="8">
        <v>47</v>
      </c>
      <c r="H200" s="8">
        <v>425000000</v>
      </c>
      <c r="I200" s="8">
        <v>50985000</v>
      </c>
      <c r="J200" s="9">
        <v>2</v>
      </c>
      <c r="K200" s="6" t="s">
        <v>259</v>
      </c>
    </row>
    <row r="201" spans="1:11" x14ac:dyDescent="0.2">
      <c r="A201" s="6" t="s">
        <v>505</v>
      </c>
      <c r="B201" s="6">
        <v>1</v>
      </c>
      <c r="C201" s="6" t="s">
        <v>188</v>
      </c>
      <c r="D201" s="6" t="s">
        <v>278</v>
      </c>
      <c r="E201" s="7"/>
      <c r="F201" s="7"/>
      <c r="G201" s="8"/>
      <c r="H201" s="8">
        <v>500000000</v>
      </c>
      <c r="I201" s="8">
        <v>94545455</v>
      </c>
      <c r="J201" s="9">
        <v>0.03</v>
      </c>
      <c r="K201" s="6" t="s">
        <v>259</v>
      </c>
    </row>
    <row r="202" spans="1:11" x14ac:dyDescent="0.2">
      <c r="A202" s="6" t="s">
        <v>505</v>
      </c>
      <c r="B202" s="6">
        <v>0</v>
      </c>
      <c r="C202" s="6" t="s">
        <v>183</v>
      </c>
      <c r="D202" s="6" t="s">
        <v>278</v>
      </c>
      <c r="E202" s="7">
        <v>44313</v>
      </c>
      <c r="F202" s="7">
        <v>44313</v>
      </c>
      <c r="G202" s="8">
        <v>1</v>
      </c>
      <c r="H202" s="8">
        <v>500000000</v>
      </c>
      <c r="I202" s="8">
        <v>5454545</v>
      </c>
      <c r="J202" s="9">
        <v>3.3000000000000002E-2</v>
      </c>
      <c r="K202" s="6" t="s">
        <v>259</v>
      </c>
    </row>
    <row r="203" spans="1:11" x14ac:dyDescent="0.2">
      <c r="A203" s="6" t="s">
        <v>216</v>
      </c>
      <c r="B203" s="6">
        <v>1</v>
      </c>
      <c r="C203" s="6" t="s">
        <v>188</v>
      </c>
      <c r="D203" s="6" t="s">
        <v>278</v>
      </c>
      <c r="E203" s="7">
        <v>43032</v>
      </c>
      <c r="F203" s="7">
        <v>43032</v>
      </c>
      <c r="G203" s="8">
        <v>1</v>
      </c>
      <c r="H203" s="8">
        <v>1000000000</v>
      </c>
      <c r="I203" s="8">
        <v>40185768</v>
      </c>
      <c r="J203" s="9">
        <v>1.65E-4</v>
      </c>
      <c r="K203" s="6" t="s">
        <v>2</v>
      </c>
    </row>
    <row r="204" spans="1:11" x14ac:dyDescent="0.2">
      <c r="A204" s="6" t="s">
        <v>216</v>
      </c>
      <c r="B204" s="6">
        <v>0</v>
      </c>
      <c r="C204" s="6" t="s">
        <v>183</v>
      </c>
      <c r="D204" s="6" t="s">
        <v>278</v>
      </c>
      <c r="E204" s="7">
        <v>43032</v>
      </c>
      <c r="F204" s="7">
        <v>43063</v>
      </c>
      <c r="G204" s="8">
        <v>32</v>
      </c>
      <c r="H204" s="8">
        <v>1000000000</v>
      </c>
      <c r="I204" s="8">
        <v>200000000</v>
      </c>
      <c r="J204" s="9">
        <f>1/4000</f>
        <v>2.5000000000000001E-4</v>
      </c>
      <c r="K204" s="6" t="s">
        <v>2</v>
      </c>
    </row>
    <row r="205" spans="1:11" x14ac:dyDescent="0.2">
      <c r="A205" s="6" t="s">
        <v>15</v>
      </c>
      <c r="B205" s="6">
        <v>0</v>
      </c>
      <c r="C205" s="6" t="s">
        <v>183</v>
      </c>
      <c r="D205" s="6" t="s">
        <v>278</v>
      </c>
      <c r="E205" s="7">
        <v>44096</v>
      </c>
      <c r="F205" s="7">
        <v>44106</v>
      </c>
      <c r="G205" s="8">
        <f>F205-E205</f>
        <v>10</v>
      </c>
      <c r="H205" s="8">
        <v>1250000000</v>
      </c>
      <c r="I205" s="8">
        <v>100000000</v>
      </c>
      <c r="J205" s="9">
        <v>0.1</v>
      </c>
      <c r="K205" s="6" t="s">
        <v>259</v>
      </c>
    </row>
    <row r="206" spans="1:11" x14ac:dyDescent="0.2">
      <c r="A206" s="6" t="s">
        <v>15</v>
      </c>
      <c r="B206" s="6">
        <v>0</v>
      </c>
      <c r="C206" s="6" t="s">
        <v>183</v>
      </c>
      <c r="D206" s="6" t="s">
        <v>184</v>
      </c>
      <c r="E206" s="7">
        <v>44110</v>
      </c>
      <c r="F206" s="7">
        <v>44110</v>
      </c>
      <c r="G206" s="8">
        <v>1</v>
      </c>
      <c r="H206" s="8">
        <v>1250000000</v>
      </c>
      <c r="I206" s="8">
        <v>25000000</v>
      </c>
      <c r="J206" s="9">
        <v>0.38</v>
      </c>
      <c r="K206" s="6" t="s">
        <v>259</v>
      </c>
    </row>
    <row r="207" spans="1:11" x14ac:dyDescent="0.2">
      <c r="A207" s="6" t="s">
        <v>468</v>
      </c>
      <c r="B207" s="6">
        <v>0</v>
      </c>
      <c r="C207" s="6" t="s">
        <v>183</v>
      </c>
      <c r="D207" s="6" t="s">
        <v>278</v>
      </c>
      <c r="E207" s="7">
        <v>43073</v>
      </c>
      <c r="F207" s="7">
        <v>43105</v>
      </c>
      <c r="G207" s="8">
        <v>33</v>
      </c>
      <c r="H207" s="8">
        <v>100000000</v>
      </c>
      <c r="I207" s="8">
        <v>43200000</v>
      </c>
      <c r="J207" s="9">
        <v>5.0000000000000001E-3</v>
      </c>
      <c r="K207" s="6" t="s">
        <v>2</v>
      </c>
    </row>
    <row r="208" spans="1:11" x14ac:dyDescent="0.2">
      <c r="A208" s="6" t="s">
        <v>44</v>
      </c>
      <c r="B208" s="6">
        <v>0</v>
      </c>
      <c r="C208" s="6" t="s">
        <v>183</v>
      </c>
      <c r="D208" s="6" t="s">
        <v>278</v>
      </c>
      <c r="E208" s="7">
        <v>43960</v>
      </c>
      <c r="F208" s="7">
        <v>43967</v>
      </c>
      <c r="G208" s="8">
        <v>7</v>
      </c>
      <c r="H208" s="8">
        <v>500000000</v>
      </c>
      <c r="I208" s="8">
        <v>150000000</v>
      </c>
      <c r="J208" s="9">
        <v>0.1</v>
      </c>
      <c r="K208" s="6" t="s">
        <v>259</v>
      </c>
    </row>
    <row r="209" spans="1:11" x14ac:dyDescent="0.2">
      <c r="A209" s="6" t="s">
        <v>82</v>
      </c>
      <c r="B209" s="6">
        <v>0</v>
      </c>
      <c r="C209" s="6" t="s">
        <v>183</v>
      </c>
      <c r="D209" s="6" t="s">
        <v>278</v>
      </c>
      <c r="E209" s="7">
        <v>43576</v>
      </c>
      <c r="F209" s="7">
        <v>43577</v>
      </c>
      <c r="G209" s="8">
        <v>2</v>
      </c>
      <c r="H209" s="8">
        <v>1000000000</v>
      </c>
      <c r="I209" s="8">
        <v>50000000</v>
      </c>
      <c r="J209" s="9">
        <v>0.02</v>
      </c>
      <c r="K209" s="6" t="s">
        <v>259</v>
      </c>
    </row>
    <row r="210" spans="1:11" x14ac:dyDescent="0.2">
      <c r="A210" s="6" t="s">
        <v>82</v>
      </c>
      <c r="B210" s="6">
        <v>1</v>
      </c>
      <c r="C210" s="6" t="s">
        <v>188</v>
      </c>
      <c r="D210" s="6" t="s">
        <v>278</v>
      </c>
      <c r="E210" s="7"/>
      <c r="F210" s="7"/>
      <c r="G210" s="8"/>
      <c r="H210" s="8">
        <v>1000000000</v>
      </c>
      <c r="I210" s="8"/>
      <c r="J210" s="9">
        <v>1.7999999999999999E-2</v>
      </c>
      <c r="K210" s="6" t="s">
        <v>259</v>
      </c>
    </row>
    <row r="211" spans="1:11" x14ac:dyDescent="0.2">
      <c r="A211" s="6" t="s">
        <v>495</v>
      </c>
      <c r="B211" s="6">
        <v>0</v>
      </c>
      <c r="C211" s="6" t="s">
        <v>183</v>
      </c>
      <c r="D211" s="6" t="s">
        <v>278</v>
      </c>
      <c r="E211" s="7">
        <v>44290</v>
      </c>
      <c r="F211" s="7">
        <v>44291</v>
      </c>
      <c r="G211" s="8">
        <v>2</v>
      </c>
      <c r="H211" s="8">
        <v>21000000000</v>
      </c>
      <c r="I211" s="8">
        <v>1995000000</v>
      </c>
      <c r="J211" s="9">
        <v>7.6999999999999999E-2</v>
      </c>
      <c r="K211" s="6" t="s">
        <v>259</v>
      </c>
    </row>
    <row r="212" spans="1:11" x14ac:dyDescent="0.2">
      <c r="A212" s="6" t="s">
        <v>495</v>
      </c>
      <c r="B212" s="6">
        <v>1</v>
      </c>
      <c r="C212" s="6" t="s">
        <v>188</v>
      </c>
      <c r="D212" s="6" t="s">
        <v>278</v>
      </c>
      <c r="E212" s="7"/>
      <c r="F212" s="7"/>
      <c r="G212" s="8"/>
      <c r="H212" s="8">
        <v>21000000000</v>
      </c>
      <c r="I212" s="8">
        <v>525000000</v>
      </c>
      <c r="J212" s="9">
        <v>2.2800000000000001E-2</v>
      </c>
      <c r="K212" s="6" t="s">
        <v>259</v>
      </c>
    </row>
    <row r="213" spans="1:11" x14ac:dyDescent="0.2">
      <c r="A213" s="6" t="s">
        <v>495</v>
      </c>
      <c r="B213" s="6">
        <v>0</v>
      </c>
      <c r="C213" s="6" t="s">
        <v>188</v>
      </c>
      <c r="D213" s="6" t="s">
        <v>278</v>
      </c>
      <c r="E213" s="7"/>
      <c r="F213" s="7"/>
      <c r="G213" s="8"/>
      <c r="H213" s="8">
        <v>21000000000</v>
      </c>
      <c r="I213" s="8">
        <v>2730000</v>
      </c>
      <c r="J213" s="9">
        <v>2.5000000000000001E-2</v>
      </c>
      <c r="K213" s="6" t="s">
        <v>259</v>
      </c>
    </row>
    <row r="214" spans="1:11" x14ac:dyDescent="0.2">
      <c r="A214" s="6" t="s">
        <v>495</v>
      </c>
      <c r="B214" s="6">
        <v>0</v>
      </c>
      <c r="C214" s="6" t="s">
        <v>183</v>
      </c>
      <c r="D214" s="6" t="s">
        <v>278</v>
      </c>
      <c r="E214" s="7">
        <v>44193</v>
      </c>
      <c r="F214" s="7">
        <v>44208</v>
      </c>
      <c r="G214" s="8">
        <v>16</v>
      </c>
      <c r="H214" s="8">
        <v>21000000000</v>
      </c>
      <c r="I214" s="8">
        <v>210000000</v>
      </c>
      <c r="J214" s="9">
        <v>7.6999999999999999E-2</v>
      </c>
      <c r="K214" s="6" t="s">
        <v>259</v>
      </c>
    </row>
    <row r="215" spans="1:11" x14ac:dyDescent="0.2">
      <c r="A215" s="6" t="s">
        <v>495</v>
      </c>
      <c r="B215" s="6">
        <v>0</v>
      </c>
      <c r="C215" s="6" t="s">
        <v>183</v>
      </c>
      <c r="D215" s="6" t="s">
        <v>278</v>
      </c>
      <c r="E215" s="7">
        <v>44193</v>
      </c>
      <c r="F215" s="7">
        <v>44208</v>
      </c>
      <c r="G215" s="8">
        <v>16</v>
      </c>
      <c r="H215" s="8">
        <v>21000000000</v>
      </c>
      <c r="I215" s="8">
        <v>210000000</v>
      </c>
      <c r="J215" s="9">
        <v>6.6000000000000003E-2</v>
      </c>
      <c r="K215" s="6" t="s">
        <v>259</v>
      </c>
    </row>
    <row r="216" spans="1:11" x14ac:dyDescent="0.2">
      <c r="A216" s="6" t="s">
        <v>495</v>
      </c>
      <c r="B216" s="6">
        <v>0</v>
      </c>
      <c r="C216" s="6" t="s">
        <v>183</v>
      </c>
      <c r="D216" s="6" t="s">
        <v>278</v>
      </c>
      <c r="E216" s="7">
        <v>44193</v>
      </c>
      <c r="F216" s="7">
        <v>44208</v>
      </c>
      <c r="G216" s="8">
        <v>16</v>
      </c>
      <c r="H216" s="8">
        <v>21000000000</v>
      </c>
      <c r="I216" s="8">
        <v>105000000</v>
      </c>
      <c r="J216" s="9">
        <v>5.8000000000000003E-2</v>
      </c>
      <c r="K216" s="6" t="s">
        <v>259</v>
      </c>
    </row>
    <row r="217" spans="1:11" x14ac:dyDescent="0.2">
      <c r="A217" s="6" t="s">
        <v>495</v>
      </c>
      <c r="B217" s="6">
        <v>0</v>
      </c>
      <c r="C217" s="6" t="s">
        <v>183</v>
      </c>
      <c r="D217" s="6" t="s">
        <v>278</v>
      </c>
      <c r="E217" s="7">
        <v>44193</v>
      </c>
      <c r="F217" s="7">
        <v>44208</v>
      </c>
      <c r="G217" s="8">
        <v>16</v>
      </c>
      <c r="H217" s="8">
        <v>21000000000</v>
      </c>
      <c r="I217" s="8">
        <v>840000000</v>
      </c>
      <c r="J217" s="9">
        <v>0.04</v>
      </c>
      <c r="K217" s="6" t="s">
        <v>259</v>
      </c>
    </row>
    <row r="218" spans="1:11" x14ac:dyDescent="0.2">
      <c r="A218" s="6" t="s">
        <v>495</v>
      </c>
      <c r="B218" s="6">
        <v>0</v>
      </c>
      <c r="C218" s="6" t="s">
        <v>183</v>
      </c>
      <c r="D218" s="6" t="s">
        <v>278</v>
      </c>
      <c r="E218" s="7">
        <v>44193</v>
      </c>
      <c r="F218" s="7">
        <v>44208</v>
      </c>
      <c r="G218" s="8">
        <v>16</v>
      </c>
      <c r="H218" s="8">
        <v>21000000000</v>
      </c>
      <c r="I218" s="8">
        <v>630000000</v>
      </c>
      <c r="J218" s="9">
        <v>3.5999999999999997E-2</v>
      </c>
      <c r="K218" s="6" t="s">
        <v>259</v>
      </c>
    </row>
    <row r="219" spans="1:11" x14ac:dyDescent="0.2">
      <c r="A219" s="6" t="s">
        <v>21</v>
      </c>
      <c r="B219" s="6">
        <v>0</v>
      </c>
      <c r="C219" s="6" t="s">
        <v>188</v>
      </c>
      <c r="D219" s="6" t="s">
        <v>278</v>
      </c>
      <c r="E219" s="7"/>
      <c r="F219" s="7"/>
      <c r="G219" s="8"/>
      <c r="H219" s="8">
        <v>100000000</v>
      </c>
      <c r="I219" s="8">
        <v>10000000</v>
      </c>
      <c r="J219" s="9">
        <v>0.05</v>
      </c>
      <c r="K219" s="6" t="s">
        <v>259</v>
      </c>
    </row>
    <row r="220" spans="1:11" x14ac:dyDescent="0.2">
      <c r="A220" s="6" t="s">
        <v>21</v>
      </c>
      <c r="B220" s="6">
        <v>0</v>
      </c>
      <c r="C220" s="6" t="s">
        <v>188</v>
      </c>
      <c r="D220" s="6" t="s">
        <v>278</v>
      </c>
      <c r="E220" s="7"/>
      <c r="F220" s="7"/>
      <c r="G220" s="8"/>
      <c r="H220" s="8">
        <v>100000000</v>
      </c>
      <c r="I220" s="8">
        <v>20000000</v>
      </c>
      <c r="J220" s="9">
        <v>6.5000000000000002E-2</v>
      </c>
      <c r="K220" s="6" t="s">
        <v>259</v>
      </c>
    </row>
    <row r="221" spans="1:11" x14ac:dyDescent="0.2">
      <c r="A221" s="6" t="s">
        <v>21</v>
      </c>
      <c r="B221" s="6">
        <v>0</v>
      </c>
      <c r="C221" s="6" t="s">
        <v>188</v>
      </c>
      <c r="D221" s="6" t="s">
        <v>278</v>
      </c>
      <c r="E221" s="7"/>
      <c r="F221" s="7"/>
      <c r="G221" s="8"/>
      <c r="H221" s="8">
        <v>100000000</v>
      </c>
      <c r="I221" s="8">
        <v>625000</v>
      </c>
      <c r="J221" s="9">
        <v>0.08</v>
      </c>
      <c r="K221" s="6" t="s">
        <v>259</v>
      </c>
    </row>
    <row r="222" spans="1:11" x14ac:dyDescent="0.2">
      <c r="A222" s="6" t="s">
        <v>109</v>
      </c>
      <c r="B222" s="6">
        <v>0</v>
      </c>
      <c r="C222" s="6" t="s">
        <v>183</v>
      </c>
      <c r="D222" s="6" t="s">
        <v>278</v>
      </c>
      <c r="E222" s="7">
        <v>43252</v>
      </c>
      <c r="F222" s="7">
        <v>43312</v>
      </c>
      <c r="G222" s="8">
        <v>62</v>
      </c>
      <c r="H222" s="8">
        <v>1000000000</v>
      </c>
      <c r="I222" s="8">
        <v>600000000</v>
      </c>
      <c r="J222" s="9">
        <v>0.05</v>
      </c>
      <c r="K222" s="6" t="s">
        <v>259</v>
      </c>
    </row>
    <row r="223" spans="1:11" x14ac:dyDescent="0.2">
      <c r="A223" s="6" t="s">
        <v>147</v>
      </c>
      <c r="B223" s="6">
        <v>0</v>
      </c>
      <c r="C223" s="6" t="s">
        <v>183</v>
      </c>
      <c r="D223" s="6" t="s">
        <v>278</v>
      </c>
      <c r="E223" s="7">
        <v>43138</v>
      </c>
      <c r="F223" s="7">
        <v>43159</v>
      </c>
      <c r="G223" s="8">
        <v>22</v>
      </c>
      <c r="H223" s="8">
        <v>100000000</v>
      </c>
      <c r="I223" s="8">
        <v>85000000</v>
      </c>
      <c r="J223" s="9">
        <f>1/2848.5</f>
        <v>3.5106196243637003E-4</v>
      </c>
      <c r="K223" s="6" t="s">
        <v>2</v>
      </c>
    </row>
    <row r="224" spans="1:11" x14ac:dyDescent="0.2">
      <c r="A224" s="6" t="s">
        <v>228</v>
      </c>
      <c r="B224" s="6">
        <v>1</v>
      </c>
      <c r="C224" s="6" t="s">
        <v>188</v>
      </c>
      <c r="D224" s="6" t="s">
        <v>278</v>
      </c>
      <c r="E224" s="7"/>
      <c r="F224" s="7">
        <v>42993</v>
      </c>
      <c r="G224" s="8"/>
      <c r="H224" s="8">
        <v>1000000000</v>
      </c>
      <c r="I224" s="8">
        <v>400000000</v>
      </c>
      <c r="J224" s="9">
        <f>25000000/400000000</f>
        <v>6.25E-2</v>
      </c>
      <c r="K224" s="6" t="s">
        <v>259</v>
      </c>
    </row>
    <row r="225" spans="1:11" x14ac:dyDescent="0.2">
      <c r="A225" s="6" t="s">
        <v>228</v>
      </c>
      <c r="B225" s="6">
        <v>0</v>
      </c>
      <c r="C225" s="6" t="s">
        <v>183</v>
      </c>
      <c r="D225" s="6" t="s">
        <v>278</v>
      </c>
      <c r="E225" s="7">
        <v>43009</v>
      </c>
      <c r="F225" s="7">
        <v>43037</v>
      </c>
      <c r="G225" s="8">
        <v>29</v>
      </c>
      <c r="H225" s="8">
        <v>1000000000</v>
      </c>
      <c r="I225" s="8">
        <v>400000000000</v>
      </c>
      <c r="J225" s="9">
        <v>3.3300000000000002E-4</v>
      </c>
      <c r="K225" s="6" t="s">
        <v>2</v>
      </c>
    </row>
    <row r="226" spans="1:11" x14ac:dyDescent="0.2">
      <c r="A226" s="6" t="s">
        <v>90</v>
      </c>
      <c r="B226" s="6">
        <v>1</v>
      </c>
      <c r="C226" s="6" t="s">
        <v>188</v>
      </c>
      <c r="D226" s="6" t="s">
        <v>278</v>
      </c>
      <c r="E226" s="7">
        <v>43155</v>
      </c>
      <c r="F226" s="7">
        <v>43155</v>
      </c>
      <c r="G226" s="8">
        <v>1</v>
      </c>
      <c r="H226" s="8">
        <v>1000000000</v>
      </c>
      <c r="I226" s="8">
        <v>400000000</v>
      </c>
      <c r="J226" s="9">
        <v>4.4999999999999998E-2</v>
      </c>
      <c r="K226" s="6" t="s">
        <v>259</v>
      </c>
    </row>
    <row r="227" spans="1:11" x14ac:dyDescent="0.2">
      <c r="A227" s="6" t="s">
        <v>168</v>
      </c>
      <c r="B227" s="6">
        <v>0</v>
      </c>
      <c r="C227" s="6" t="s">
        <v>183</v>
      </c>
      <c r="D227" s="6" t="s">
        <v>278</v>
      </c>
      <c r="E227" s="7">
        <v>43086</v>
      </c>
      <c r="F227" s="7">
        <v>43114</v>
      </c>
      <c r="G227" s="8">
        <v>28</v>
      </c>
      <c r="H227" s="8">
        <v>1000000000</v>
      </c>
      <c r="I227" s="8">
        <v>500000000</v>
      </c>
      <c r="J227" s="9">
        <v>2.2779999999999999E-5</v>
      </c>
      <c r="K227" s="6" t="s">
        <v>2</v>
      </c>
    </row>
    <row r="228" spans="1:11" x14ac:dyDescent="0.2">
      <c r="A228" s="6" t="s">
        <v>158</v>
      </c>
      <c r="B228" s="6">
        <v>0</v>
      </c>
      <c r="C228" s="6" t="s">
        <v>183</v>
      </c>
      <c r="D228" s="6" t="s">
        <v>278</v>
      </c>
      <c r="E228" s="7">
        <v>43141</v>
      </c>
      <c r="F228" s="7">
        <v>43142</v>
      </c>
      <c r="G228" s="8">
        <v>2</v>
      </c>
      <c r="H228" s="8">
        <v>164615384</v>
      </c>
      <c r="I228" s="8">
        <v>107000000</v>
      </c>
      <c r="J228" s="9">
        <v>0.1</v>
      </c>
      <c r="K228" s="6" t="s">
        <v>286</v>
      </c>
    </row>
    <row r="229" spans="1:11" x14ac:dyDescent="0.2">
      <c r="A229" s="6" t="s">
        <v>204</v>
      </c>
      <c r="B229" s="6">
        <v>1</v>
      </c>
      <c r="C229" s="6" t="s">
        <v>188</v>
      </c>
      <c r="D229" s="6" t="s">
        <v>278</v>
      </c>
      <c r="E229" s="7">
        <v>43033</v>
      </c>
      <c r="F229" s="7"/>
      <c r="G229" s="8"/>
      <c r="H229" s="8">
        <v>90000000</v>
      </c>
      <c r="I229" s="8">
        <v>7200000</v>
      </c>
      <c r="J229" s="9"/>
      <c r="K229" s="6"/>
    </row>
    <row r="230" spans="1:11" x14ac:dyDescent="0.2">
      <c r="A230" s="6" t="s">
        <v>204</v>
      </c>
      <c r="B230" s="6">
        <v>1</v>
      </c>
      <c r="C230" s="6" t="s">
        <v>183</v>
      </c>
      <c r="D230" s="6" t="s">
        <v>278</v>
      </c>
      <c r="E230" s="7"/>
      <c r="F230" s="7"/>
      <c r="G230" s="8"/>
      <c r="H230" s="8">
        <v>90000000</v>
      </c>
      <c r="I230" s="8">
        <v>1351351</v>
      </c>
      <c r="J230" s="9"/>
      <c r="K230" s="6"/>
    </row>
    <row r="231" spans="1:11" x14ac:dyDescent="0.2">
      <c r="A231" s="6" t="s">
        <v>204</v>
      </c>
      <c r="B231" s="6">
        <v>0</v>
      </c>
      <c r="C231" s="6" t="s">
        <v>183</v>
      </c>
      <c r="D231" s="6" t="s">
        <v>278</v>
      </c>
      <c r="E231" s="7">
        <v>43054</v>
      </c>
      <c r="F231" s="7">
        <v>43082</v>
      </c>
      <c r="G231" s="8">
        <v>50</v>
      </c>
      <c r="H231" s="8">
        <v>90000000</v>
      </c>
      <c r="I231" s="8">
        <f>H231*41%</f>
        <v>36900000</v>
      </c>
      <c r="J231" s="9">
        <f>1/708.5</f>
        <v>1.4114326040931546E-3</v>
      </c>
      <c r="K231" s="6" t="s">
        <v>2</v>
      </c>
    </row>
    <row r="232" spans="1:11" x14ac:dyDescent="0.2">
      <c r="A232" s="6" t="s">
        <v>11</v>
      </c>
      <c r="B232" s="6">
        <v>0</v>
      </c>
      <c r="C232" s="6" t="s">
        <v>188</v>
      </c>
      <c r="D232" s="6" t="s">
        <v>278</v>
      </c>
      <c r="E232" s="7"/>
      <c r="F232" s="7"/>
      <c r="G232" s="8"/>
      <c r="H232" s="8">
        <v>40721578</v>
      </c>
      <c r="I232" s="8">
        <v>500000</v>
      </c>
      <c r="J232" s="9">
        <v>0.05</v>
      </c>
      <c r="K232" s="6" t="s">
        <v>684</v>
      </c>
    </row>
    <row r="233" spans="1:11" x14ac:dyDescent="0.2">
      <c r="A233" s="6" t="s">
        <v>11</v>
      </c>
      <c r="B233" s="6">
        <v>1</v>
      </c>
      <c r="C233" s="6" t="s">
        <v>188</v>
      </c>
      <c r="D233" s="6" t="s">
        <v>278</v>
      </c>
      <c r="E233" s="7"/>
      <c r="F233" s="7">
        <v>44062</v>
      </c>
      <c r="G233" s="8"/>
      <c r="H233" s="8">
        <v>40721578</v>
      </c>
      <c r="I233" s="8">
        <v>500000</v>
      </c>
      <c r="J233" s="9">
        <v>0.01</v>
      </c>
      <c r="K233" s="6" t="s">
        <v>684</v>
      </c>
    </row>
    <row r="234" spans="1:11" x14ac:dyDescent="0.2">
      <c r="A234" s="6" t="s">
        <v>11</v>
      </c>
      <c r="B234" s="6">
        <v>0</v>
      </c>
      <c r="C234" s="6" t="s">
        <v>183</v>
      </c>
      <c r="D234" s="6" t="s">
        <v>278</v>
      </c>
      <c r="E234" s="7">
        <v>44088</v>
      </c>
      <c r="F234" s="7">
        <v>44118</v>
      </c>
      <c r="G234" s="8">
        <v>31</v>
      </c>
      <c r="H234" s="8">
        <v>40721578</v>
      </c>
      <c r="I234" s="8">
        <v>20586874</v>
      </c>
      <c r="J234" s="9">
        <v>0.72899999999999998</v>
      </c>
      <c r="K234" s="6" t="s">
        <v>684</v>
      </c>
    </row>
    <row r="235" spans="1:11" x14ac:dyDescent="0.2">
      <c r="A235" s="6" t="s">
        <v>181</v>
      </c>
      <c r="B235" s="6">
        <v>0</v>
      </c>
      <c r="C235" s="6" t="s">
        <v>183</v>
      </c>
      <c r="D235" s="6" t="s">
        <v>278</v>
      </c>
      <c r="E235" s="7">
        <v>43062</v>
      </c>
      <c r="F235" s="7">
        <v>43097</v>
      </c>
      <c r="G235" s="8">
        <v>36</v>
      </c>
      <c r="H235" s="8">
        <v>96300000</v>
      </c>
      <c r="I235" s="8">
        <f>H235*60%</f>
        <v>57780000</v>
      </c>
      <c r="J235" s="9">
        <f>1/600</f>
        <v>1.6666666666666668E-3</v>
      </c>
      <c r="K235" s="6" t="s">
        <v>2</v>
      </c>
    </row>
    <row r="236" spans="1:11" x14ac:dyDescent="0.2">
      <c r="A236" s="6" t="s">
        <v>99</v>
      </c>
      <c r="B236" s="6">
        <v>1</v>
      </c>
      <c r="C236" s="6" t="s">
        <v>188</v>
      </c>
      <c r="D236" s="6" t="s">
        <v>278</v>
      </c>
      <c r="E236" s="7">
        <v>43285</v>
      </c>
      <c r="F236" s="7">
        <v>43312</v>
      </c>
      <c r="G236" s="8">
        <v>28</v>
      </c>
      <c r="H236" s="8">
        <v>5000000000</v>
      </c>
      <c r="I236" s="8">
        <f>H236*5%</f>
        <v>250000000</v>
      </c>
      <c r="J236" s="9">
        <v>2.6800000000000001E-2</v>
      </c>
      <c r="K236" s="6" t="s">
        <v>259</v>
      </c>
    </row>
    <row r="237" spans="1:11" x14ac:dyDescent="0.2">
      <c r="A237" s="6" t="s">
        <v>99</v>
      </c>
      <c r="B237" s="6">
        <v>0</v>
      </c>
      <c r="C237" s="6" t="s">
        <v>183</v>
      </c>
      <c r="D237" s="6" t="s">
        <v>278</v>
      </c>
      <c r="E237" s="7">
        <v>43312</v>
      </c>
      <c r="F237" s="7">
        <v>43392</v>
      </c>
      <c r="G237" s="8">
        <v>81</v>
      </c>
      <c r="H237" s="8">
        <v>5000000000</v>
      </c>
      <c r="I237" s="8">
        <v>1750000000</v>
      </c>
      <c r="J237" s="9">
        <v>5.57E-2</v>
      </c>
      <c r="K237" s="6" t="s">
        <v>259</v>
      </c>
    </row>
    <row r="238" spans="1:11" x14ac:dyDescent="0.2">
      <c r="A238" s="6" t="s">
        <v>214</v>
      </c>
      <c r="B238" s="6">
        <v>0</v>
      </c>
      <c r="C238" s="6" t="s">
        <v>183</v>
      </c>
      <c r="D238" s="6" t="s">
        <v>278</v>
      </c>
      <c r="E238" s="7">
        <v>43033</v>
      </c>
      <c r="F238" s="7">
        <v>43064</v>
      </c>
      <c r="G238" s="8">
        <v>31</v>
      </c>
      <c r="H238" s="8">
        <v>1000000000</v>
      </c>
      <c r="I238" s="8">
        <v>600000000</v>
      </c>
      <c r="J238" s="9">
        <f>1/7000</f>
        <v>1.4285714285714287E-4</v>
      </c>
      <c r="K238" s="6" t="s">
        <v>2</v>
      </c>
    </row>
    <row r="239" spans="1:11" x14ac:dyDescent="0.2">
      <c r="A239" s="6" t="s">
        <v>404</v>
      </c>
      <c r="B239" s="6">
        <v>0</v>
      </c>
      <c r="C239" s="6" t="s">
        <v>183</v>
      </c>
      <c r="D239" s="6" t="s">
        <v>402</v>
      </c>
      <c r="E239" s="7">
        <v>42849</v>
      </c>
      <c r="F239" s="7">
        <v>42849</v>
      </c>
      <c r="G239" s="8">
        <v>1</v>
      </c>
      <c r="H239" s="8">
        <v>10000000</v>
      </c>
      <c r="I239" s="8">
        <v>9000000</v>
      </c>
      <c r="J239" s="9">
        <v>2.2222222222222223E-4</v>
      </c>
      <c r="K239" s="6" t="s">
        <v>2</v>
      </c>
    </row>
    <row r="240" spans="1:11" x14ac:dyDescent="0.2">
      <c r="A240" s="6" t="s">
        <v>209</v>
      </c>
      <c r="B240" s="6">
        <v>0</v>
      </c>
      <c r="C240" s="6" t="s">
        <v>183</v>
      </c>
      <c r="D240" s="6" t="s">
        <v>278</v>
      </c>
      <c r="E240" s="7">
        <v>43025</v>
      </c>
      <c r="F240" s="7">
        <v>43069</v>
      </c>
      <c r="G240" s="8">
        <v>45</v>
      </c>
      <c r="H240" s="8">
        <v>700000000</v>
      </c>
      <c r="I240" s="8">
        <f>H240*31%</f>
        <v>217000000</v>
      </c>
      <c r="J240" s="9">
        <v>0.15</v>
      </c>
      <c r="K240" s="6" t="s">
        <v>259</v>
      </c>
    </row>
    <row r="241" spans="1:11" x14ac:dyDescent="0.2">
      <c r="A241" s="6" t="s">
        <v>8</v>
      </c>
      <c r="B241" s="6">
        <v>1</v>
      </c>
      <c r="C241" s="6" t="s">
        <v>188</v>
      </c>
      <c r="D241" s="6" t="s">
        <v>278</v>
      </c>
      <c r="E241" s="7"/>
      <c r="F241" s="7"/>
      <c r="G241" s="8"/>
      <c r="H241" s="8">
        <v>10000000000</v>
      </c>
      <c r="I241" s="8">
        <v>200000000</v>
      </c>
      <c r="J241" s="9">
        <v>2.5999999999999999E-2</v>
      </c>
      <c r="K241" s="6" t="s">
        <v>259</v>
      </c>
    </row>
    <row r="242" spans="1:11" x14ac:dyDescent="0.2">
      <c r="A242" s="6" t="s">
        <v>8</v>
      </c>
      <c r="B242" s="6">
        <v>1</v>
      </c>
      <c r="C242" s="6" t="s">
        <v>188</v>
      </c>
      <c r="D242" s="6" t="s">
        <v>278</v>
      </c>
      <c r="E242" s="7"/>
      <c r="F242" s="7"/>
      <c r="G242" s="8"/>
      <c r="H242" s="8">
        <v>10000000000</v>
      </c>
      <c r="I242" s="8">
        <v>3400000000</v>
      </c>
      <c r="J242" s="9">
        <v>3.0000000000000001E-3</v>
      </c>
      <c r="K242" s="6" t="s">
        <v>259</v>
      </c>
    </row>
    <row r="243" spans="1:11" x14ac:dyDescent="0.2">
      <c r="A243" s="6" t="s">
        <v>8</v>
      </c>
      <c r="B243" s="6">
        <v>0</v>
      </c>
      <c r="C243" s="6" t="s">
        <v>183</v>
      </c>
      <c r="D243" s="6" t="s">
        <v>278</v>
      </c>
      <c r="E243" s="7">
        <v>44126</v>
      </c>
      <c r="F243" s="7">
        <v>44127</v>
      </c>
      <c r="G243" s="8">
        <v>2</v>
      </c>
      <c r="H243" s="8">
        <v>10000000000</v>
      </c>
      <c r="I243" s="8">
        <v>400000000</v>
      </c>
      <c r="J243" s="9">
        <v>0.03</v>
      </c>
      <c r="K243" s="6" t="s">
        <v>259</v>
      </c>
    </row>
    <row r="244" spans="1:11" x14ac:dyDescent="0.2">
      <c r="A244" s="6" t="s">
        <v>83</v>
      </c>
      <c r="B244" s="6">
        <v>0</v>
      </c>
      <c r="C244" s="6" t="s">
        <v>183</v>
      </c>
      <c r="D244" s="6" t="s">
        <v>278</v>
      </c>
      <c r="E244" s="7">
        <v>43563</v>
      </c>
      <c r="F244" s="7">
        <v>43576</v>
      </c>
      <c r="G244" s="8">
        <v>13</v>
      </c>
      <c r="H244" s="8">
        <v>1000000000</v>
      </c>
      <c r="I244" s="8">
        <v>300000000</v>
      </c>
      <c r="J244" s="9">
        <v>0.5</v>
      </c>
      <c r="K244" s="6" t="s">
        <v>259</v>
      </c>
    </row>
    <row r="245" spans="1:11" x14ac:dyDescent="0.2">
      <c r="A245" s="6" t="s">
        <v>203</v>
      </c>
      <c r="B245" s="6">
        <v>0</v>
      </c>
      <c r="C245" s="6" t="s">
        <v>183</v>
      </c>
      <c r="D245" s="6" t="s">
        <v>278</v>
      </c>
      <c r="E245" s="7">
        <v>43082</v>
      </c>
      <c r="F245" s="7">
        <v>43083</v>
      </c>
      <c r="G245" s="8">
        <v>1</v>
      </c>
      <c r="H245" s="8">
        <v>1000000000</v>
      </c>
      <c r="I245" s="8">
        <v>300000000</v>
      </c>
      <c r="J245" s="9">
        <v>1.429E-4</v>
      </c>
      <c r="K245" s="6" t="s">
        <v>2</v>
      </c>
    </row>
    <row r="246" spans="1:11" x14ac:dyDescent="0.2">
      <c r="A246" s="6" t="s">
        <v>49</v>
      </c>
      <c r="B246" s="6">
        <v>0</v>
      </c>
      <c r="C246" s="6" t="s">
        <v>183</v>
      </c>
      <c r="D246" s="6" t="s">
        <v>278</v>
      </c>
      <c r="E246" s="7">
        <v>43885</v>
      </c>
      <c r="F246" s="7">
        <v>43885</v>
      </c>
      <c r="G246" s="8">
        <v>1</v>
      </c>
      <c r="H246" s="8">
        <v>5000000000</v>
      </c>
      <c r="I246" s="8">
        <v>400000000</v>
      </c>
      <c r="J246" s="9">
        <v>0.01</v>
      </c>
      <c r="K246" s="6" t="s">
        <v>259</v>
      </c>
    </row>
    <row r="247" spans="1:11" x14ac:dyDescent="0.2">
      <c r="A247" s="6" t="s">
        <v>419</v>
      </c>
      <c r="B247" s="6">
        <v>0</v>
      </c>
      <c r="C247" s="6" t="s">
        <v>183</v>
      </c>
      <c r="D247" s="6" t="s">
        <v>278</v>
      </c>
      <c r="E247" s="7">
        <v>43132</v>
      </c>
      <c r="F247" s="7">
        <v>43159</v>
      </c>
      <c r="G247" s="8">
        <v>28</v>
      </c>
      <c r="H247" s="8">
        <v>50000000</v>
      </c>
      <c r="I247" s="8">
        <v>40000000</v>
      </c>
      <c r="J247" s="9">
        <v>5.0000000000000001E-3</v>
      </c>
      <c r="K247" s="6" t="s">
        <v>2</v>
      </c>
    </row>
    <row r="248" spans="1:11" x14ac:dyDescent="0.2">
      <c r="A248" s="6" t="s">
        <v>596</v>
      </c>
      <c r="B248" s="6">
        <v>0</v>
      </c>
      <c r="C248" s="6" t="s">
        <v>183</v>
      </c>
      <c r="D248" s="6" t="s">
        <v>278</v>
      </c>
      <c r="E248" s="7">
        <v>44075</v>
      </c>
      <c r="F248" s="7">
        <v>44086</v>
      </c>
      <c r="G248" s="8">
        <v>12</v>
      </c>
      <c r="H248" s="8">
        <v>10000000000</v>
      </c>
      <c r="I248" s="8">
        <v>423000000</v>
      </c>
      <c r="J248" s="9">
        <v>13</v>
      </c>
      <c r="K248" s="6" t="s">
        <v>259</v>
      </c>
    </row>
    <row r="249" spans="1:11" x14ac:dyDescent="0.2">
      <c r="A249" s="6" t="s">
        <v>129</v>
      </c>
      <c r="B249" s="6">
        <v>0</v>
      </c>
      <c r="C249" s="6" t="s">
        <v>183</v>
      </c>
      <c r="D249" s="6" t="s">
        <v>278</v>
      </c>
      <c r="E249" s="7">
        <v>43224</v>
      </c>
      <c r="F249" s="7">
        <v>43227</v>
      </c>
      <c r="G249" s="8">
        <v>3</v>
      </c>
      <c r="H249" s="8">
        <v>1300000000</v>
      </c>
      <c r="I249" s="8">
        <f>H249*80%</f>
        <v>1040000000</v>
      </c>
      <c r="J249" s="9">
        <v>2.9600000000000001E-2</v>
      </c>
      <c r="K249" s="6" t="s">
        <v>259</v>
      </c>
    </row>
    <row r="250" spans="1:11" x14ac:dyDescent="0.2">
      <c r="A250" s="6" t="s">
        <v>132</v>
      </c>
      <c r="B250" s="6">
        <v>0</v>
      </c>
      <c r="C250" s="6" t="s">
        <v>183</v>
      </c>
      <c r="D250" s="6" t="s">
        <v>278</v>
      </c>
      <c r="E250" s="7">
        <v>42823</v>
      </c>
      <c r="F250" s="7">
        <v>42853</v>
      </c>
      <c r="G250" s="8">
        <v>31</v>
      </c>
      <c r="H250" s="8">
        <v>177000000000</v>
      </c>
      <c r="I250" s="8">
        <f>H250*75%</f>
        <v>132750000000</v>
      </c>
      <c r="J250" s="9">
        <v>0.15359</v>
      </c>
      <c r="K250" s="6" t="s">
        <v>259</v>
      </c>
    </row>
    <row r="251" spans="1:11" x14ac:dyDescent="0.2">
      <c r="A251" s="6" t="s">
        <v>152</v>
      </c>
      <c r="B251" s="6">
        <v>0</v>
      </c>
      <c r="C251" s="6" t="s">
        <v>183</v>
      </c>
      <c r="D251" s="6" t="s">
        <v>278</v>
      </c>
      <c r="E251" s="7">
        <v>43123</v>
      </c>
      <c r="F251" s="7">
        <v>43159</v>
      </c>
      <c r="G251" s="8">
        <v>36</v>
      </c>
      <c r="H251" s="8">
        <v>500000000</v>
      </c>
      <c r="I251" s="8">
        <v>300000000</v>
      </c>
      <c r="J251" s="9">
        <v>1.52</v>
      </c>
      <c r="K251" s="6" t="s">
        <v>259</v>
      </c>
    </row>
    <row r="252" spans="1:11" x14ac:dyDescent="0.2">
      <c r="A252" s="6" t="s">
        <v>421</v>
      </c>
      <c r="B252" s="6">
        <v>0</v>
      </c>
      <c r="C252" s="6" t="s">
        <v>183</v>
      </c>
      <c r="D252" s="6" t="s">
        <v>278</v>
      </c>
      <c r="E252" s="7">
        <v>42919</v>
      </c>
      <c r="F252" s="7">
        <v>42961</v>
      </c>
      <c r="G252" s="8">
        <v>43</v>
      </c>
      <c r="H252" s="8">
        <v>500000000</v>
      </c>
      <c r="I252" s="8">
        <v>375000000</v>
      </c>
      <c r="J252" s="9">
        <v>2.2749999999999999E-2</v>
      </c>
      <c r="K252" s="6" t="s">
        <v>259</v>
      </c>
    </row>
    <row r="253" spans="1:11" x14ac:dyDescent="0.2">
      <c r="A253" s="6" t="s">
        <v>106</v>
      </c>
      <c r="B253" s="6">
        <v>0</v>
      </c>
      <c r="C253" s="6" t="s">
        <v>188</v>
      </c>
      <c r="D253" s="6" t="s">
        <v>278</v>
      </c>
      <c r="E253" s="7"/>
      <c r="F253" s="7"/>
      <c r="G253" s="8"/>
      <c r="H253" s="8">
        <v>469213710</v>
      </c>
      <c r="I253" s="8">
        <v>115989629</v>
      </c>
      <c r="J253" s="9">
        <v>0.879</v>
      </c>
      <c r="K253" s="6" t="s">
        <v>701</v>
      </c>
    </row>
    <row r="254" spans="1:11" x14ac:dyDescent="0.2">
      <c r="A254" s="6" t="s">
        <v>106</v>
      </c>
      <c r="B254" s="6">
        <v>0</v>
      </c>
      <c r="C254" s="6" t="s">
        <v>188</v>
      </c>
      <c r="D254" s="6" t="s">
        <v>278</v>
      </c>
      <c r="E254" s="7"/>
      <c r="F254" s="7"/>
      <c r="G254" s="8"/>
      <c r="H254" s="8">
        <v>469213710</v>
      </c>
      <c r="I254" s="8">
        <v>32094217</v>
      </c>
      <c r="J254" s="9">
        <v>1.9</v>
      </c>
      <c r="K254" s="6" t="s">
        <v>701</v>
      </c>
    </row>
    <row r="255" spans="1:11" x14ac:dyDescent="0.2">
      <c r="A255" s="6" t="s">
        <v>106</v>
      </c>
      <c r="B255" s="6">
        <v>1</v>
      </c>
      <c r="C255" s="6" t="s">
        <v>188</v>
      </c>
      <c r="D255" s="6" t="s">
        <v>278</v>
      </c>
      <c r="E255" s="7"/>
      <c r="F255" s="7">
        <v>43341</v>
      </c>
      <c r="G255" s="8"/>
      <c r="H255" s="8">
        <v>469213710</v>
      </c>
      <c r="I255" s="8">
        <f>H255*4.75</f>
        <v>2228765122.5</v>
      </c>
      <c r="J255" s="9">
        <f>102000000/2228765123</f>
        <v>4.576525312039352E-2</v>
      </c>
      <c r="K255" s="6" t="s">
        <v>701</v>
      </c>
    </row>
    <row r="256" spans="1:11" x14ac:dyDescent="0.2">
      <c r="A256" s="6" t="s">
        <v>524</v>
      </c>
      <c r="B256" s="6">
        <v>1</v>
      </c>
      <c r="C256" s="6" t="s">
        <v>188</v>
      </c>
      <c r="D256" s="6" t="s">
        <v>278</v>
      </c>
      <c r="E256" s="7"/>
      <c r="F256" s="7"/>
      <c r="G256" s="8"/>
      <c r="H256" s="8">
        <v>10000000</v>
      </c>
      <c r="I256" s="8">
        <v>1500000</v>
      </c>
      <c r="J256" s="9">
        <v>3.33</v>
      </c>
      <c r="K256" s="6" t="s">
        <v>259</v>
      </c>
    </row>
    <row r="257" spans="1:11" x14ac:dyDescent="0.2">
      <c r="A257" s="6" t="s">
        <v>524</v>
      </c>
      <c r="B257" s="6">
        <v>0</v>
      </c>
      <c r="C257" s="6" t="s">
        <v>183</v>
      </c>
      <c r="D257" s="6" t="s">
        <v>278</v>
      </c>
      <c r="E257" s="7">
        <v>44285</v>
      </c>
      <c r="F257" s="7">
        <v>44285</v>
      </c>
      <c r="G257" s="8">
        <v>1</v>
      </c>
      <c r="H257" s="8">
        <v>10000000</v>
      </c>
      <c r="I257" s="8">
        <v>1000000</v>
      </c>
      <c r="J257" s="9">
        <v>50</v>
      </c>
      <c r="K257" s="6" t="s">
        <v>259</v>
      </c>
    </row>
    <row r="258" spans="1:11" x14ac:dyDescent="0.2">
      <c r="A258" s="6" t="s">
        <v>119</v>
      </c>
      <c r="B258" s="6">
        <v>0</v>
      </c>
      <c r="C258" s="6" t="s">
        <v>183</v>
      </c>
      <c r="D258" s="6" t="s">
        <v>278</v>
      </c>
      <c r="E258" s="7">
        <v>43221</v>
      </c>
      <c r="F258" s="7">
        <v>43258</v>
      </c>
      <c r="G258" s="8">
        <v>38</v>
      </c>
      <c r="H258" s="8">
        <v>22490000000</v>
      </c>
      <c r="I258" s="8">
        <f>H258*37.35%</f>
        <v>8400015000</v>
      </c>
      <c r="J258" s="9">
        <v>5.0000000000000001E-3</v>
      </c>
      <c r="K258" s="6" t="s">
        <v>259</v>
      </c>
    </row>
    <row r="259" spans="1:11" x14ac:dyDescent="0.2">
      <c r="A259" s="6" t="s">
        <v>114</v>
      </c>
      <c r="B259" s="6">
        <v>0</v>
      </c>
      <c r="C259" s="6" t="s">
        <v>183</v>
      </c>
      <c r="D259" s="6" t="s">
        <v>278</v>
      </c>
      <c r="E259" s="7">
        <v>43262</v>
      </c>
      <c r="F259" s="7">
        <v>43280</v>
      </c>
      <c r="G259" s="8">
        <v>19</v>
      </c>
      <c r="H259" s="8">
        <v>1000000000</v>
      </c>
      <c r="I259" s="8">
        <v>434300000</v>
      </c>
      <c r="J259" s="9">
        <v>1.2800000000000001E-2</v>
      </c>
      <c r="K259" s="6" t="s">
        <v>259</v>
      </c>
    </row>
    <row r="260" spans="1:11" x14ac:dyDescent="0.2">
      <c r="A260" s="6" t="s">
        <v>394</v>
      </c>
      <c r="B260" s="6">
        <v>0</v>
      </c>
      <c r="C260" s="6" t="s">
        <v>183</v>
      </c>
      <c r="D260" s="6" t="s">
        <v>278</v>
      </c>
      <c r="E260" s="7">
        <v>43076</v>
      </c>
      <c r="F260" s="7">
        <v>43132</v>
      </c>
      <c r="G260" s="8">
        <v>26</v>
      </c>
      <c r="H260" s="8">
        <v>62500000</v>
      </c>
      <c r="I260" s="8">
        <f>H260*64%</f>
        <v>40000000</v>
      </c>
      <c r="J260" s="9">
        <v>1E-3</v>
      </c>
      <c r="K260" s="6" t="s">
        <v>2</v>
      </c>
    </row>
    <row r="261" spans="1:11" x14ac:dyDescent="0.2">
      <c r="A261" s="6" t="s">
        <v>9</v>
      </c>
      <c r="B261" s="6">
        <v>0</v>
      </c>
      <c r="C261" s="6" t="s">
        <v>183</v>
      </c>
      <c r="D261" s="6" t="s">
        <v>278</v>
      </c>
      <c r="E261" s="7">
        <v>44123</v>
      </c>
      <c r="F261" s="7">
        <v>44124</v>
      </c>
      <c r="G261" s="8">
        <v>1</v>
      </c>
      <c r="H261" s="8">
        <v>100000000</v>
      </c>
      <c r="I261" s="8">
        <v>9000000</v>
      </c>
      <c r="J261" s="9">
        <v>0.4</v>
      </c>
      <c r="K261" s="6" t="s">
        <v>259</v>
      </c>
    </row>
    <row r="262" spans="1:11" x14ac:dyDescent="0.2">
      <c r="A262" s="6" t="s">
        <v>243</v>
      </c>
      <c r="B262" s="6">
        <v>0</v>
      </c>
      <c r="C262" s="6" t="s">
        <v>183</v>
      </c>
      <c r="D262" s="6" t="s">
        <v>278</v>
      </c>
      <c r="E262" s="7">
        <v>42984</v>
      </c>
      <c r="F262" s="7">
        <v>43005</v>
      </c>
      <c r="G262" s="8">
        <v>20</v>
      </c>
      <c r="H262" s="8">
        <v>49145000</v>
      </c>
      <c r="I262" s="8">
        <f>H262*92.5%</f>
        <v>45459125</v>
      </c>
      <c r="J262" s="9">
        <v>1.02</v>
      </c>
      <c r="K262" s="6" t="s">
        <v>259</v>
      </c>
    </row>
    <row r="263" spans="1:11" x14ac:dyDescent="0.2">
      <c r="A263" s="6" t="s">
        <v>85</v>
      </c>
      <c r="B263" s="6">
        <v>0</v>
      </c>
      <c r="C263" s="6" t="s">
        <v>183</v>
      </c>
      <c r="D263" s="6" t="s">
        <v>278</v>
      </c>
      <c r="E263" s="7">
        <v>43573</v>
      </c>
      <c r="F263" s="7">
        <v>43573</v>
      </c>
      <c r="G263" s="8">
        <v>1</v>
      </c>
      <c r="H263" s="8">
        <v>200000000</v>
      </c>
      <c r="I263" s="8">
        <v>40000000</v>
      </c>
      <c r="J263" s="9">
        <v>0.56999999999999995</v>
      </c>
      <c r="K263" s="6" t="s">
        <v>259</v>
      </c>
    </row>
    <row r="264" spans="1:11" x14ac:dyDescent="0.2">
      <c r="A264" s="6" t="s">
        <v>140</v>
      </c>
      <c r="B264" s="6">
        <v>0</v>
      </c>
      <c r="C264" s="6" t="s">
        <v>183</v>
      </c>
      <c r="D264" s="6" t="s">
        <v>278</v>
      </c>
      <c r="E264" s="7">
        <v>42794</v>
      </c>
      <c r="F264" s="7">
        <v>42799</v>
      </c>
      <c r="G264" s="8">
        <v>6</v>
      </c>
      <c r="H264" s="8">
        <v>1800000000</v>
      </c>
      <c r="I264" s="8">
        <v>900000000</v>
      </c>
      <c r="J264" s="9">
        <f>1/70588.23529</f>
        <v>1.4166666667493057E-5</v>
      </c>
      <c r="K264" s="6" t="s">
        <v>2</v>
      </c>
    </row>
    <row r="265" spans="1:11" x14ac:dyDescent="0.2">
      <c r="A265" s="6" t="s">
        <v>123</v>
      </c>
      <c r="B265" s="6">
        <v>0</v>
      </c>
      <c r="C265" s="6" t="s">
        <v>188</v>
      </c>
      <c r="D265" s="6" t="s">
        <v>278</v>
      </c>
      <c r="E265" s="7"/>
      <c r="F265" s="7">
        <v>43247</v>
      </c>
      <c r="G265" s="8"/>
      <c r="H265" s="8">
        <v>297000000</v>
      </c>
      <c r="I265" s="8">
        <f>297000000*65%</f>
        <v>193050000</v>
      </c>
      <c r="J265" s="9">
        <v>0.1</v>
      </c>
      <c r="K265" s="6" t="s">
        <v>259</v>
      </c>
    </row>
    <row r="266" spans="1:11" x14ac:dyDescent="0.2">
      <c r="A266" s="6" t="s">
        <v>485</v>
      </c>
      <c r="B266" s="6">
        <v>1</v>
      </c>
      <c r="C266" s="6" t="s">
        <v>188</v>
      </c>
      <c r="D266" s="6" t="s">
        <v>278</v>
      </c>
      <c r="E266" s="7">
        <v>44308</v>
      </c>
      <c r="F266" s="7">
        <v>44314</v>
      </c>
      <c r="G266" s="8">
        <v>7</v>
      </c>
      <c r="H266" s="8">
        <v>30000</v>
      </c>
      <c r="I266" s="8">
        <v>1200</v>
      </c>
      <c r="J266" s="9">
        <v>6.04</v>
      </c>
      <c r="K266" s="6" t="s">
        <v>259</v>
      </c>
    </row>
    <row r="267" spans="1:11" x14ac:dyDescent="0.2">
      <c r="A267" s="6" t="s">
        <v>485</v>
      </c>
      <c r="B267" s="6">
        <v>1</v>
      </c>
      <c r="C267" s="6" t="s">
        <v>188</v>
      </c>
      <c r="D267" s="6" t="s">
        <v>278</v>
      </c>
      <c r="E267" s="7">
        <v>44308</v>
      </c>
      <c r="F267" s="7">
        <v>44314</v>
      </c>
      <c r="G267" s="8">
        <v>7</v>
      </c>
      <c r="H267" s="8">
        <v>30000</v>
      </c>
      <c r="I267" s="8">
        <v>6300</v>
      </c>
      <c r="J267" s="9">
        <v>3.92</v>
      </c>
      <c r="K267" s="6" t="s">
        <v>259</v>
      </c>
    </row>
    <row r="268" spans="1:11" x14ac:dyDescent="0.2">
      <c r="A268" s="6" t="s">
        <v>14</v>
      </c>
      <c r="B268" s="6">
        <v>0</v>
      </c>
      <c r="C268" s="6" t="s">
        <v>188</v>
      </c>
      <c r="D268" s="6" t="s">
        <v>278</v>
      </c>
      <c r="E268" s="7">
        <v>44113</v>
      </c>
      <c r="F268" s="7">
        <v>44113</v>
      </c>
      <c r="G268" s="8">
        <v>1</v>
      </c>
      <c r="H268" s="8">
        <v>150000000</v>
      </c>
      <c r="I268" s="8">
        <v>150000000</v>
      </c>
      <c r="J268" s="9">
        <v>0.1</v>
      </c>
      <c r="K268" s="6" t="s">
        <v>259</v>
      </c>
    </row>
    <row r="269" spans="1:11" x14ac:dyDescent="0.2">
      <c r="A269" s="6" t="s">
        <v>189</v>
      </c>
      <c r="B269" s="6">
        <v>0</v>
      </c>
      <c r="C269" s="6" t="s">
        <v>183</v>
      </c>
      <c r="D269" s="6" t="s">
        <v>278</v>
      </c>
      <c r="E269" s="7">
        <v>43066</v>
      </c>
      <c r="F269" s="7">
        <v>43096</v>
      </c>
      <c r="G269" s="8">
        <v>31</v>
      </c>
      <c r="H269" s="8">
        <v>200000000</v>
      </c>
      <c r="I269" s="8">
        <v>120000000</v>
      </c>
      <c r="J269" s="9">
        <v>0.22500000000000001</v>
      </c>
      <c r="K269" s="6" t="s">
        <v>259</v>
      </c>
    </row>
    <row r="270" spans="1:11" x14ac:dyDescent="0.2">
      <c r="A270" s="6" t="s">
        <v>45</v>
      </c>
      <c r="B270" s="6">
        <v>0</v>
      </c>
      <c r="C270" s="6" t="s">
        <v>188</v>
      </c>
      <c r="D270" s="6" t="s">
        <v>278</v>
      </c>
      <c r="E270" s="7">
        <v>43862</v>
      </c>
      <c r="F270" s="7">
        <v>43863</v>
      </c>
      <c r="G270" s="8">
        <v>2</v>
      </c>
      <c r="H270" s="8">
        <v>9900000000</v>
      </c>
      <c r="I270" s="8">
        <f>H270*11%</f>
        <v>1089000000</v>
      </c>
      <c r="J270" s="9" t="s">
        <v>605</v>
      </c>
      <c r="K270" s="6" t="s">
        <v>259</v>
      </c>
    </row>
    <row r="271" spans="1:11" x14ac:dyDescent="0.2">
      <c r="A271" s="6" t="s">
        <v>45</v>
      </c>
      <c r="B271" s="6">
        <v>0</v>
      </c>
      <c r="C271" s="6" t="s">
        <v>183</v>
      </c>
      <c r="D271" s="6" t="s">
        <v>278</v>
      </c>
      <c r="E271" s="7">
        <v>43956</v>
      </c>
      <c r="F271" s="7">
        <v>43957</v>
      </c>
      <c r="G271" s="8">
        <v>2</v>
      </c>
      <c r="H271" s="8">
        <v>9900000000</v>
      </c>
      <c r="I271" s="8">
        <v>396000000</v>
      </c>
      <c r="J271" s="9">
        <v>2.0200000000000001E-3</v>
      </c>
      <c r="K271" s="6" t="s">
        <v>259</v>
      </c>
    </row>
    <row r="272" spans="1:11" x14ac:dyDescent="0.2">
      <c r="A272" s="6" t="s">
        <v>54</v>
      </c>
      <c r="B272" s="6">
        <v>0</v>
      </c>
      <c r="C272" s="6" t="s">
        <v>183</v>
      </c>
      <c r="D272" s="6" t="s">
        <v>278</v>
      </c>
      <c r="E272" s="7">
        <v>43761</v>
      </c>
      <c r="F272" s="7">
        <v>43762</v>
      </c>
      <c r="G272" s="8">
        <v>1</v>
      </c>
      <c r="H272" s="8">
        <v>100000000</v>
      </c>
      <c r="I272" s="8">
        <v>6520000</v>
      </c>
      <c r="J272" s="9">
        <v>0.46</v>
      </c>
      <c r="K272" s="6" t="s">
        <v>259</v>
      </c>
    </row>
    <row r="273" spans="1:11" x14ac:dyDescent="0.2">
      <c r="A273" s="6" t="s">
        <v>52</v>
      </c>
      <c r="B273" s="6">
        <v>0</v>
      </c>
      <c r="C273" s="6" t="s">
        <v>183</v>
      </c>
      <c r="D273" s="6" t="s">
        <v>278</v>
      </c>
      <c r="E273" s="7">
        <v>43774</v>
      </c>
      <c r="F273" s="7">
        <v>43798</v>
      </c>
      <c r="G273" s="8">
        <v>25</v>
      </c>
      <c r="H273" s="8">
        <v>1000000000</v>
      </c>
      <c r="I273" s="8">
        <v>700000000</v>
      </c>
      <c r="J273" s="9">
        <v>1</v>
      </c>
      <c r="K273" s="6" t="s">
        <v>259</v>
      </c>
    </row>
    <row r="274" spans="1:11" x14ac:dyDescent="0.2">
      <c r="A274" s="6" t="s">
        <v>662</v>
      </c>
      <c r="B274" s="6">
        <v>0</v>
      </c>
      <c r="C274" s="6" t="s">
        <v>188</v>
      </c>
      <c r="D274" s="6" t="s">
        <v>278</v>
      </c>
      <c r="E274" s="7"/>
      <c r="F274" s="7"/>
      <c r="G274" s="8"/>
      <c r="H274" s="8">
        <v>100000000</v>
      </c>
      <c r="I274" s="8">
        <v>35000000</v>
      </c>
      <c r="J274" s="9">
        <v>6.4000000000000001E-2</v>
      </c>
      <c r="K274" s="6" t="s">
        <v>259</v>
      </c>
    </row>
    <row r="275" spans="1:11" x14ac:dyDescent="0.2">
      <c r="A275" s="6" t="s">
        <v>662</v>
      </c>
      <c r="B275" s="6">
        <v>0</v>
      </c>
      <c r="C275" s="6" t="s">
        <v>183</v>
      </c>
      <c r="D275" s="6" t="s">
        <v>278</v>
      </c>
      <c r="E275" s="7">
        <v>44302</v>
      </c>
      <c r="F275" s="7">
        <v>44303</v>
      </c>
      <c r="G275" s="8">
        <v>2</v>
      </c>
      <c r="H275" s="8">
        <v>100000000</v>
      </c>
      <c r="I275" s="8">
        <v>2000000</v>
      </c>
      <c r="J275" s="9">
        <v>0.09</v>
      </c>
      <c r="K275" s="6" t="s">
        <v>259</v>
      </c>
    </row>
    <row r="276" spans="1:11" x14ac:dyDescent="0.2">
      <c r="A276" s="6" t="s">
        <v>169</v>
      </c>
      <c r="B276" s="6">
        <v>1</v>
      </c>
      <c r="C276" s="6" t="s">
        <v>188</v>
      </c>
      <c r="D276" s="6" t="s">
        <v>278</v>
      </c>
      <c r="E276" s="7">
        <v>43054</v>
      </c>
      <c r="F276" s="7">
        <v>43083</v>
      </c>
      <c r="G276" s="8">
        <v>30</v>
      </c>
      <c r="H276" s="8">
        <v>6000000000</v>
      </c>
      <c r="I276" s="8"/>
      <c r="J276" s="9">
        <v>0.01</v>
      </c>
      <c r="K276" s="6" t="s">
        <v>259</v>
      </c>
    </row>
    <row r="277" spans="1:11" x14ac:dyDescent="0.2">
      <c r="A277" s="6" t="s">
        <v>169</v>
      </c>
      <c r="B277" s="6">
        <v>1</v>
      </c>
      <c r="C277" s="6" t="s">
        <v>183</v>
      </c>
      <c r="D277" s="6" t="s">
        <v>278</v>
      </c>
      <c r="E277" s="7">
        <v>43084</v>
      </c>
      <c r="F277" s="7">
        <v>43093</v>
      </c>
      <c r="G277" s="8">
        <v>10</v>
      </c>
      <c r="H277" s="8">
        <v>6000000000</v>
      </c>
      <c r="I277" s="8"/>
      <c r="J277" s="9">
        <v>1.4999999999999999E-2</v>
      </c>
      <c r="K277" s="6" t="s">
        <v>259</v>
      </c>
    </row>
    <row r="278" spans="1:11" x14ac:dyDescent="0.2">
      <c r="A278" s="6" t="s">
        <v>169</v>
      </c>
      <c r="B278" s="6">
        <v>0</v>
      </c>
      <c r="C278" s="6" t="s">
        <v>183</v>
      </c>
      <c r="D278" s="6" t="s">
        <v>278</v>
      </c>
      <c r="E278" s="7">
        <v>43115</v>
      </c>
      <c r="F278" s="7">
        <v>43132</v>
      </c>
      <c r="G278" s="8">
        <v>18</v>
      </c>
      <c r="H278" s="8">
        <v>6000000000</v>
      </c>
      <c r="I278" s="8">
        <f>H278*33%</f>
        <v>1980000000</v>
      </c>
      <c r="J278" s="9">
        <v>1.4999999999999999E-2</v>
      </c>
      <c r="K278" s="6" t="s">
        <v>259</v>
      </c>
    </row>
    <row r="279" spans="1:11" x14ac:dyDescent="0.2">
      <c r="A279" s="6" t="s">
        <v>246</v>
      </c>
      <c r="B279" s="6">
        <v>0</v>
      </c>
      <c r="C279" s="6" t="s">
        <v>183</v>
      </c>
      <c r="D279" s="6" t="s">
        <v>278</v>
      </c>
      <c r="E279" s="7">
        <v>42975</v>
      </c>
      <c r="F279" s="7">
        <v>42994</v>
      </c>
      <c r="G279" s="8">
        <v>20</v>
      </c>
      <c r="H279" s="8">
        <v>600000000</v>
      </c>
      <c r="I279" s="8">
        <f>H279*74%</f>
        <v>444000000</v>
      </c>
      <c r="J279" s="9">
        <f>1/3000</f>
        <v>3.3333333333333332E-4</v>
      </c>
      <c r="K279" s="6" t="s">
        <v>2</v>
      </c>
    </row>
    <row r="280" spans="1:11" x14ac:dyDescent="0.2">
      <c r="A280" s="6" t="s">
        <v>244</v>
      </c>
      <c r="B280" s="6">
        <v>0</v>
      </c>
      <c r="C280" s="6" t="s">
        <v>183</v>
      </c>
      <c r="D280" s="6" t="s">
        <v>278</v>
      </c>
      <c r="E280" s="7">
        <v>42989</v>
      </c>
      <c r="F280" s="7">
        <v>43002</v>
      </c>
      <c r="G280" s="8">
        <v>13</v>
      </c>
      <c r="H280" s="8">
        <v>1000000000000</v>
      </c>
      <c r="I280" s="8">
        <v>620000000000</v>
      </c>
      <c r="J280" s="9">
        <v>1E-4</v>
      </c>
      <c r="K280" s="6" t="s">
        <v>259</v>
      </c>
    </row>
    <row r="281" spans="1:11" x14ac:dyDescent="0.2">
      <c r="A281" s="6" t="s">
        <v>541</v>
      </c>
      <c r="B281" s="6">
        <v>0</v>
      </c>
      <c r="C281" s="6" t="s">
        <v>188</v>
      </c>
      <c r="D281" s="6" t="s">
        <v>278</v>
      </c>
      <c r="E281" s="7"/>
      <c r="F281" s="7"/>
      <c r="G281" s="8"/>
      <c r="H281" s="8">
        <v>100000000</v>
      </c>
      <c r="I281" s="8">
        <f>300000/0.1</f>
        <v>3000000</v>
      </c>
      <c r="J281" s="9">
        <v>0.1</v>
      </c>
      <c r="K281" s="6" t="s">
        <v>259</v>
      </c>
    </row>
    <row r="282" spans="1:11" x14ac:dyDescent="0.2">
      <c r="A282" s="6" t="s">
        <v>541</v>
      </c>
      <c r="B282" s="6">
        <v>0</v>
      </c>
      <c r="C282" s="6" t="s">
        <v>188</v>
      </c>
      <c r="D282" s="6" t="s">
        <v>278</v>
      </c>
      <c r="E282" s="7"/>
      <c r="F282" s="7"/>
      <c r="G282" s="8"/>
      <c r="H282" s="8">
        <v>100000000</v>
      </c>
      <c r="I282" s="8">
        <f>1500000/0.2</f>
        <v>7500000</v>
      </c>
      <c r="J282" s="9">
        <v>0.2</v>
      </c>
      <c r="K282" s="6" t="s">
        <v>259</v>
      </c>
    </row>
    <row r="283" spans="1:11" x14ac:dyDescent="0.2">
      <c r="A283" s="6" t="s">
        <v>541</v>
      </c>
      <c r="B283" s="6">
        <v>1</v>
      </c>
      <c r="C283" s="6" t="s">
        <v>188</v>
      </c>
      <c r="D283" s="6" t="s">
        <v>278</v>
      </c>
      <c r="E283" s="7"/>
      <c r="F283" s="7"/>
      <c r="G283" s="8"/>
      <c r="H283" s="8">
        <v>100000000</v>
      </c>
      <c r="I283" s="8">
        <f>3200000/0.32</f>
        <v>10000000</v>
      </c>
      <c r="J283" s="9">
        <v>0.32</v>
      </c>
      <c r="K283" s="6" t="s">
        <v>259</v>
      </c>
    </row>
    <row r="284" spans="1:11" x14ac:dyDescent="0.2">
      <c r="A284" s="6" t="s">
        <v>541</v>
      </c>
      <c r="B284" s="6">
        <v>0</v>
      </c>
      <c r="C284" s="6" t="s">
        <v>183</v>
      </c>
      <c r="D284" s="6" t="s">
        <v>278</v>
      </c>
      <c r="E284" s="7">
        <v>44271</v>
      </c>
      <c r="F284" s="7">
        <v>44271</v>
      </c>
      <c r="G284" s="8"/>
      <c r="H284" s="8">
        <v>100000000</v>
      </c>
      <c r="I284" s="8">
        <f>200000/0.4</f>
        <v>500000</v>
      </c>
      <c r="J284" s="9">
        <v>0.4</v>
      </c>
      <c r="K284" s="6" t="s">
        <v>259</v>
      </c>
    </row>
    <row r="285" spans="1:11" x14ac:dyDescent="0.2">
      <c r="A285" s="6" t="s">
        <v>517</v>
      </c>
      <c r="B285" s="6">
        <v>1</v>
      </c>
      <c r="C285" s="6" t="s">
        <v>188</v>
      </c>
      <c r="D285" s="6" t="s">
        <v>278</v>
      </c>
      <c r="E285" s="7"/>
      <c r="F285" s="7"/>
      <c r="G285" s="8"/>
      <c r="H285" s="8">
        <v>10000000</v>
      </c>
      <c r="I285" s="8">
        <v>1000000</v>
      </c>
      <c r="J285" s="9">
        <v>0.3</v>
      </c>
      <c r="K285" s="6" t="s">
        <v>259</v>
      </c>
    </row>
    <row r="286" spans="1:11" x14ac:dyDescent="0.2">
      <c r="A286" s="6" t="s">
        <v>517</v>
      </c>
      <c r="B286" s="6">
        <v>1</v>
      </c>
      <c r="C286" s="6" t="s">
        <v>188</v>
      </c>
      <c r="D286" s="6" t="s">
        <v>278</v>
      </c>
      <c r="E286" s="7"/>
      <c r="F286" s="7"/>
      <c r="G286" s="8"/>
      <c r="H286" s="8">
        <v>10000000</v>
      </c>
      <c r="I286" s="8">
        <v>1350000</v>
      </c>
      <c r="J286" s="9">
        <v>0.6</v>
      </c>
      <c r="K286" s="6" t="s">
        <v>259</v>
      </c>
    </row>
    <row r="287" spans="1:11" x14ac:dyDescent="0.2">
      <c r="A287" s="6" t="s">
        <v>517</v>
      </c>
      <c r="B287" s="6">
        <v>0</v>
      </c>
      <c r="C287" s="6" t="s">
        <v>183</v>
      </c>
      <c r="D287" s="6" t="s">
        <v>402</v>
      </c>
      <c r="E287" s="7">
        <v>44295</v>
      </c>
      <c r="F287" s="7">
        <v>44295</v>
      </c>
      <c r="G287" s="8">
        <v>1</v>
      </c>
      <c r="H287" s="8">
        <v>10000000</v>
      </c>
      <c r="I287" s="8">
        <v>200000</v>
      </c>
      <c r="J287" s="9">
        <v>1</v>
      </c>
      <c r="K287" s="6" t="s">
        <v>259</v>
      </c>
    </row>
    <row r="288" spans="1:11" x14ac:dyDescent="0.2">
      <c r="A288" s="6" t="s">
        <v>548</v>
      </c>
      <c r="B288" s="6">
        <v>0</v>
      </c>
      <c r="C288" s="6" t="s">
        <v>188</v>
      </c>
      <c r="D288" s="6" t="s">
        <v>278</v>
      </c>
      <c r="E288" s="7"/>
      <c r="F288" s="7"/>
      <c r="G288" s="8"/>
      <c r="H288" s="8">
        <v>1000000000</v>
      </c>
      <c r="I288" s="8">
        <v>90000000</v>
      </c>
      <c r="J288" s="9">
        <v>0.03</v>
      </c>
      <c r="K288" s="6" t="s">
        <v>259</v>
      </c>
    </row>
    <row r="289" spans="1:11" x14ac:dyDescent="0.2">
      <c r="A289" s="6" t="s">
        <v>548</v>
      </c>
      <c r="B289" s="6">
        <v>0</v>
      </c>
      <c r="C289" s="6" t="s">
        <v>183</v>
      </c>
      <c r="D289" s="6" t="s">
        <v>278</v>
      </c>
      <c r="E289" s="7">
        <v>44256</v>
      </c>
      <c r="F289" s="7">
        <v>44259</v>
      </c>
      <c r="G289" s="8">
        <v>4</v>
      </c>
      <c r="H289" s="8">
        <v>1000000000</v>
      </c>
      <c r="I289" s="8">
        <v>15000000</v>
      </c>
      <c r="J289" s="9">
        <v>5.0000000000000001E-3</v>
      </c>
      <c r="K289" s="6" t="s">
        <v>259</v>
      </c>
    </row>
    <row r="290" spans="1:11" x14ac:dyDescent="0.2">
      <c r="A290" s="6" t="s">
        <v>171</v>
      </c>
      <c r="B290" s="6">
        <v>0</v>
      </c>
      <c r="C290" s="6" t="s">
        <v>183</v>
      </c>
      <c r="D290" s="6" t="s">
        <v>278</v>
      </c>
      <c r="E290" s="7">
        <v>43105</v>
      </c>
      <c r="F290" s="7">
        <v>43113</v>
      </c>
      <c r="G290" s="8">
        <v>9</v>
      </c>
      <c r="H290" s="8">
        <v>250000000</v>
      </c>
      <c r="I290" s="8">
        <f>H290*60%</f>
        <v>150000000</v>
      </c>
      <c r="J290" s="9">
        <v>0.13</v>
      </c>
      <c r="K290" s="6" t="s">
        <v>259</v>
      </c>
    </row>
    <row r="291" spans="1:11" x14ac:dyDescent="0.2">
      <c r="A291" s="6" t="s">
        <v>100</v>
      </c>
      <c r="B291" s="6">
        <v>0</v>
      </c>
      <c r="C291" s="6" t="s">
        <v>183</v>
      </c>
      <c r="D291" s="6" t="s">
        <v>278</v>
      </c>
      <c r="E291" s="7">
        <v>43362</v>
      </c>
      <c r="F291" s="7">
        <v>43368</v>
      </c>
      <c r="G291" s="8">
        <v>6</v>
      </c>
      <c r="H291" s="8">
        <v>10000000000</v>
      </c>
      <c r="I291" s="8"/>
      <c r="J291" s="9">
        <v>0.01</v>
      </c>
      <c r="K291" s="6" t="s">
        <v>259</v>
      </c>
    </row>
    <row r="292" spans="1:11" x14ac:dyDescent="0.2">
      <c r="A292" s="6" t="s">
        <v>100</v>
      </c>
      <c r="B292" s="6">
        <v>0</v>
      </c>
      <c r="C292" s="6" t="s">
        <v>183</v>
      </c>
      <c r="D292" s="6" t="s">
        <v>278</v>
      </c>
      <c r="E292" s="7">
        <v>43368</v>
      </c>
      <c r="F292" s="7">
        <v>43375</v>
      </c>
      <c r="G292" s="8">
        <v>7</v>
      </c>
      <c r="H292" s="8">
        <v>10000000000</v>
      </c>
      <c r="I292" s="8"/>
      <c r="J292" s="9">
        <v>1.2500000000000001E-2</v>
      </c>
      <c r="K292" s="6" t="s">
        <v>259</v>
      </c>
    </row>
    <row r="293" spans="1:11" x14ac:dyDescent="0.2">
      <c r="A293" s="6" t="s">
        <v>237</v>
      </c>
      <c r="B293" s="6">
        <v>0</v>
      </c>
      <c r="C293" s="6" t="s">
        <v>183</v>
      </c>
      <c r="D293" s="6" t="s">
        <v>278</v>
      </c>
      <c r="E293" s="7">
        <v>42968</v>
      </c>
      <c r="F293" s="7">
        <v>43018</v>
      </c>
      <c r="G293" s="8">
        <v>51</v>
      </c>
      <c r="H293" s="8">
        <v>1000000000</v>
      </c>
      <c r="I293" s="8">
        <v>500000000</v>
      </c>
      <c r="J293" s="9">
        <f>1/714</f>
        <v>1.4005602240896359E-3</v>
      </c>
      <c r="K293" s="6" t="s">
        <v>2</v>
      </c>
    </row>
    <row r="294" spans="1:11" x14ac:dyDescent="0.2">
      <c r="A294" s="6" t="s">
        <v>172</v>
      </c>
      <c r="B294" s="6">
        <v>0</v>
      </c>
      <c r="C294" s="6" t="s">
        <v>183</v>
      </c>
      <c r="D294" s="6" t="s">
        <v>278</v>
      </c>
      <c r="E294" s="7">
        <v>43054</v>
      </c>
      <c r="F294" s="7">
        <v>43112</v>
      </c>
      <c r="G294" s="8">
        <v>59</v>
      </c>
      <c r="H294" s="8">
        <v>300000000</v>
      </c>
      <c r="I294" s="8">
        <v>180000000</v>
      </c>
      <c r="J294" s="9">
        <v>0.08</v>
      </c>
      <c r="K294" s="6" t="s">
        <v>259</v>
      </c>
    </row>
    <row r="295" spans="1:11" x14ac:dyDescent="0.2">
      <c r="A295" s="6" t="s">
        <v>126</v>
      </c>
      <c r="B295" s="6">
        <v>0</v>
      </c>
      <c r="C295" s="6" t="s">
        <v>183</v>
      </c>
      <c r="D295" s="6" t="s">
        <v>278</v>
      </c>
      <c r="E295" s="7">
        <v>43247</v>
      </c>
      <c r="F295" s="7">
        <v>43247</v>
      </c>
      <c r="G295" s="8">
        <v>1</v>
      </c>
      <c r="H295" s="8">
        <v>1600000000</v>
      </c>
      <c r="I295" s="8">
        <f>H295*25%</f>
        <v>400000000</v>
      </c>
      <c r="J295" s="9">
        <v>0.72</v>
      </c>
      <c r="K295" s="6" t="s">
        <v>259</v>
      </c>
    </row>
    <row r="296" spans="1:11" x14ac:dyDescent="0.2">
      <c r="A296" s="6" t="s">
        <v>211</v>
      </c>
      <c r="B296" s="6">
        <v>0</v>
      </c>
      <c r="C296" s="6" t="s">
        <v>183</v>
      </c>
      <c r="D296" s="6" t="s">
        <v>278</v>
      </c>
      <c r="E296" s="7">
        <v>43064</v>
      </c>
      <c r="F296" s="7">
        <v>43068</v>
      </c>
      <c r="G296" s="8">
        <v>5</v>
      </c>
      <c r="H296" s="8">
        <v>1300000000</v>
      </c>
      <c r="I296" s="8">
        <f>H296*75%</f>
        <v>975000000</v>
      </c>
      <c r="J296" s="9">
        <f>1/27500</f>
        <v>3.6363636363636364E-5</v>
      </c>
      <c r="K296" s="6" t="s">
        <v>2</v>
      </c>
    </row>
    <row r="297" spans="1:11" x14ac:dyDescent="0.2">
      <c r="A297" s="6" t="s">
        <v>77</v>
      </c>
      <c r="B297" s="6">
        <v>0</v>
      </c>
      <c r="C297" s="6" t="s">
        <v>188</v>
      </c>
      <c r="D297" s="6" t="s">
        <v>278</v>
      </c>
      <c r="E297" s="7">
        <v>43589</v>
      </c>
      <c r="F297" s="7">
        <v>43597</v>
      </c>
      <c r="G297" s="8">
        <v>9</v>
      </c>
      <c r="H297" s="8">
        <v>1000000000</v>
      </c>
      <c r="I297" s="8">
        <v>1000000000</v>
      </c>
      <c r="J297" s="9">
        <v>1</v>
      </c>
      <c r="K297" s="6" t="s">
        <v>259</v>
      </c>
    </row>
    <row r="298" spans="1:11" x14ac:dyDescent="0.2">
      <c r="A298" s="6" t="s">
        <v>206</v>
      </c>
      <c r="B298" s="6">
        <v>0</v>
      </c>
      <c r="C298" s="6" t="s">
        <v>183</v>
      </c>
      <c r="D298" s="6" t="s">
        <v>278</v>
      </c>
      <c r="E298" s="7">
        <v>43046</v>
      </c>
      <c r="F298" s="7">
        <v>43076</v>
      </c>
      <c r="G298" s="8">
        <v>31</v>
      </c>
      <c r="H298" s="8">
        <v>1000000000</v>
      </c>
      <c r="I298" s="8">
        <v>400000000</v>
      </c>
      <c r="J298" s="9">
        <f>1/3000</f>
        <v>3.3333333333333332E-4</v>
      </c>
      <c r="K298" s="6" t="s">
        <v>2</v>
      </c>
    </row>
    <row r="299" spans="1:11" x14ac:dyDescent="0.2">
      <c r="A299" s="6" t="s">
        <v>22</v>
      </c>
      <c r="B299" s="6">
        <v>1</v>
      </c>
      <c r="C299" s="6" t="s">
        <v>183</v>
      </c>
      <c r="D299" s="6" t="s">
        <v>278</v>
      </c>
      <c r="E299" s="7">
        <v>44087</v>
      </c>
      <c r="F299" s="7">
        <v>44087</v>
      </c>
      <c r="G299" s="8">
        <v>1</v>
      </c>
      <c r="H299" s="8">
        <v>1000000</v>
      </c>
      <c r="I299" s="8">
        <v>100000</v>
      </c>
      <c r="J299" s="9">
        <v>52</v>
      </c>
      <c r="K299" s="6" t="s">
        <v>259</v>
      </c>
    </row>
    <row r="300" spans="1:11" x14ac:dyDescent="0.2">
      <c r="A300" s="6" t="s">
        <v>22</v>
      </c>
      <c r="B300" s="6">
        <v>0</v>
      </c>
      <c r="C300" s="6" t="s">
        <v>183</v>
      </c>
      <c r="D300" s="6" t="s">
        <v>278</v>
      </c>
      <c r="E300" s="7">
        <v>44087</v>
      </c>
      <c r="F300" s="7">
        <v>44087</v>
      </c>
      <c r="G300" s="8">
        <v>1</v>
      </c>
      <c r="H300" s="8">
        <v>1000000</v>
      </c>
      <c r="I300" s="8">
        <v>900000</v>
      </c>
      <c r="J300" s="9">
        <v>52</v>
      </c>
      <c r="K300" s="6" t="s">
        <v>259</v>
      </c>
    </row>
    <row r="301" spans="1:11" x14ac:dyDescent="0.2">
      <c r="A301" s="6" t="s">
        <v>20</v>
      </c>
      <c r="B301" s="6">
        <v>0</v>
      </c>
      <c r="C301" s="6" t="s">
        <v>183</v>
      </c>
      <c r="D301" s="6" t="s">
        <v>278</v>
      </c>
      <c r="E301" s="7">
        <v>44091</v>
      </c>
      <c r="F301" s="7">
        <v>44091</v>
      </c>
      <c r="G301" s="8">
        <v>1</v>
      </c>
      <c r="H301" s="8">
        <v>10000000000</v>
      </c>
      <c r="I301" s="8">
        <f>310000/0.005</f>
        <v>62000000</v>
      </c>
      <c r="J301" s="9">
        <v>5.0000000000000001E-3</v>
      </c>
      <c r="K301" s="6" t="s">
        <v>259</v>
      </c>
    </row>
    <row r="302" spans="1:11" x14ac:dyDescent="0.2">
      <c r="A302" s="6" t="s">
        <v>519</v>
      </c>
      <c r="B302" s="6">
        <v>1</v>
      </c>
      <c r="C302" s="6" t="s">
        <v>188</v>
      </c>
      <c r="D302" s="6" t="s">
        <v>278</v>
      </c>
      <c r="E302" s="7"/>
      <c r="F302" s="7"/>
      <c r="G302" s="8"/>
      <c r="H302" s="8">
        <v>100000000</v>
      </c>
      <c r="I302" s="8">
        <v>20000000</v>
      </c>
      <c r="J302" s="9">
        <v>4.7500000000000001E-2</v>
      </c>
      <c r="K302" s="6" t="s">
        <v>259</v>
      </c>
    </row>
    <row r="303" spans="1:11" x14ac:dyDescent="0.2">
      <c r="A303" s="6" t="s">
        <v>519</v>
      </c>
      <c r="B303" s="6">
        <v>0</v>
      </c>
      <c r="C303" s="6" t="s">
        <v>183</v>
      </c>
      <c r="D303" s="6" t="s">
        <v>278</v>
      </c>
      <c r="E303" s="7">
        <v>44293</v>
      </c>
      <c r="F303" s="7">
        <v>44293</v>
      </c>
      <c r="G303" s="8">
        <v>1</v>
      </c>
      <c r="H303" s="8">
        <v>100000000</v>
      </c>
      <c r="I303" s="8">
        <v>3000000</v>
      </c>
      <c r="J303" s="9">
        <v>0.05</v>
      </c>
      <c r="K303" s="6" t="s">
        <v>259</v>
      </c>
    </row>
    <row r="304" spans="1:11" x14ac:dyDescent="0.2">
      <c r="A304" s="6" t="s">
        <v>133</v>
      </c>
      <c r="B304" s="6">
        <v>1</v>
      </c>
      <c r="C304" s="6" t="s">
        <v>183</v>
      </c>
      <c r="D304" s="6" t="s">
        <v>278</v>
      </c>
      <c r="E304" s="7">
        <v>43168</v>
      </c>
      <c r="F304" s="7">
        <v>43175</v>
      </c>
      <c r="G304" s="8">
        <v>8</v>
      </c>
      <c r="H304" s="8">
        <v>1000000000</v>
      </c>
      <c r="I304" s="8">
        <f>H304*40%</f>
        <v>400000000</v>
      </c>
      <c r="J304" s="9">
        <v>1.66666E-2</v>
      </c>
      <c r="K304" s="6" t="s">
        <v>259</v>
      </c>
    </row>
    <row r="305" spans="1:11" x14ac:dyDescent="0.2">
      <c r="A305" s="6" t="s">
        <v>133</v>
      </c>
      <c r="B305" s="6">
        <v>0</v>
      </c>
      <c r="C305" s="6" t="s">
        <v>183</v>
      </c>
      <c r="D305" s="6" t="s">
        <v>278</v>
      </c>
      <c r="E305" s="7">
        <v>43182</v>
      </c>
      <c r="F305" s="7">
        <v>43189</v>
      </c>
      <c r="G305" s="8">
        <v>8</v>
      </c>
      <c r="H305" s="8">
        <v>1000000000</v>
      </c>
      <c r="I305" s="8">
        <v>100000000</v>
      </c>
      <c r="J305" s="9">
        <v>0.02</v>
      </c>
      <c r="K305" s="6" t="s">
        <v>259</v>
      </c>
    </row>
    <row r="306" spans="1:11" x14ac:dyDescent="0.2">
      <c r="A306" s="6" t="s">
        <v>498</v>
      </c>
      <c r="B306" s="6">
        <v>1</v>
      </c>
      <c r="C306" s="6" t="s">
        <v>188</v>
      </c>
      <c r="D306" s="6" t="s">
        <v>278</v>
      </c>
      <c r="E306" s="7"/>
      <c r="F306" s="7"/>
      <c r="G306" s="8"/>
      <c r="H306" s="8">
        <v>150000000</v>
      </c>
      <c r="I306" s="8">
        <v>36666666</v>
      </c>
      <c r="J306" s="9">
        <v>0.03</v>
      </c>
      <c r="K306" s="6" t="s">
        <v>259</v>
      </c>
    </row>
    <row r="307" spans="1:11" x14ac:dyDescent="0.2">
      <c r="A307" s="6" t="s">
        <v>498</v>
      </c>
      <c r="B307" s="6">
        <v>0</v>
      </c>
      <c r="C307" s="6" t="s">
        <v>183</v>
      </c>
      <c r="D307" s="6" t="s">
        <v>278</v>
      </c>
      <c r="E307" s="7">
        <v>44317</v>
      </c>
      <c r="F307" s="7">
        <v>44318</v>
      </c>
      <c r="G307" s="8">
        <v>2</v>
      </c>
      <c r="H307" s="8">
        <v>150000000</v>
      </c>
      <c r="I307" s="8">
        <v>416666</v>
      </c>
      <c r="J307" s="9">
        <v>3.5999999999999997E-2</v>
      </c>
      <c r="K307" s="6" t="s">
        <v>259</v>
      </c>
    </row>
    <row r="308" spans="1:11" x14ac:dyDescent="0.2">
      <c r="A308" s="6" t="s">
        <v>498</v>
      </c>
      <c r="B308" s="6">
        <v>0</v>
      </c>
      <c r="C308" s="6" t="s">
        <v>183</v>
      </c>
      <c r="D308" s="6" t="s">
        <v>278</v>
      </c>
      <c r="E308" s="7">
        <v>44314</v>
      </c>
      <c r="F308" s="7">
        <v>44319</v>
      </c>
      <c r="G308" s="8">
        <v>6</v>
      </c>
      <c r="H308" s="8">
        <v>150000000</v>
      </c>
      <c r="I308" s="8">
        <v>4333333</v>
      </c>
      <c r="J308" s="9">
        <v>3.5999999999999997E-2</v>
      </c>
      <c r="K308" s="6" t="s">
        <v>259</v>
      </c>
    </row>
    <row r="309" spans="1:11" x14ac:dyDescent="0.2">
      <c r="A309" s="6" t="s">
        <v>498</v>
      </c>
      <c r="B309" s="6">
        <v>1</v>
      </c>
      <c r="C309" s="6" t="s">
        <v>188</v>
      </c>
      <c r="D309" s="6" t="s">
        <v>278</v>
      </c>
      <c r="E309" s="7"/>
      <c r="F309" s="7"/>
      <c r="G309" s="8"/>
      <c r="H309" s="8">
        <v>150000000</v>
      </c>
      <c r="I309" s="8">
        <v>11500000</v>
      </c>
      <c r="J309" s="9">
        <v>0.02</v>
      </c>
      <c r="K309" s="6" t="s">
        <v>259</v>
      </c>
    </row>
    <row r="310" spans="1:11" x14ac:dyDescent="0.2">
      <c r="A310" s="6" t="s">
        <v>275</v>
      </c>
      <c r="B310" s="6">
        <v>0</v>
      </c>
      <c r="C310" s="6" t="s">
        <v>183</v>
      </c>
      <c r="D310" s="6" t="s">
        <v>402</v>
      </c>
      <c r="E310" s="7">
        <v>44140</v>
      </c>
      <c r="F310" s="7">
        <v>44140</v>
      </c>
      <c r="G310" s="8">
        <v>1</v>
      </c>
      <c r="H310" s="8">
        <v>100000000</v>
      </c>
      <c r="I310" s="8">
        <v>285714</v>
      </c>
      <c r="J310" s="9">
        <v>0.35</v>
      </c>
      <c r="K310" s="6" t="s">
        <v>259</v>
      </c>
    </row>
    <row r="311" spans="1:11" x14ac:dyDescent="0.2">
      <c r="A311" s="6" t="s">
        <v>150</v>
      </c>
      <c r="B311" s="6">
        <v>1</v>
      </c>
      <c r="C311" s="6" t="s">
        <v>188</v>
      </c>
      <c r="D311" s="6" t="s">
        <v>278</v>
      </c>
      <c r="E311" s="7">
        <v>43123</v>
      </c>
      <c r="F311" s="7">
        <v>43134</v>
      </c>
      <c r="G311" s="8">
        <v>12</v>
      </c>
      <c r="H311" s="8">
        <v>1000000000</v>
      </c>
      <c r="I311" s="8">
        <v>90000000</v>
      </c>
      <c r="J311" s="9">
        <f>1/60000</f>
        <v>1.6666666666666667E-5</v>
      </c>
      <c r="K311" s="6" t="s">
        <v>2</v>
      </c>
    </row>
    <row r="312" spans="1:11" x14ac:dyDescent="0.2">
      <c r="A312" s="6" t="s">
        <v>150</v>
      </c>
      <c r="B312" s="6">
        <v>1</v>
      </c>
      <c r="C312" s="6" t="s">
        <v>183</v>
      </c>
      <c r="D312" s="6" t="s">
        <v>278</v>
      </c>
      <c r="E312" s="7">
        <v>43123</v>
      </c>
      <c r="F312" s="7">
        <v>43134</v>
      </c>
      <c r="G312" s="8">
        <v>12</v>
      </c>
      <c r="H312" s="8">
        <v>1000000000</v>
      </c>
      <c r="I312" s="8">
        <v>175000000</v>
      </c>
      <c r="J312" s="9">
        <f>1/50000</f>
        <v>2.0000000000000002E-5</v>
      </c>
      <c r="K312" s="6" t="s">
        <v>2</v>
      </c>
    </row>
    <row r="313" spans="1:11" x14ac:dyDescent="0.2">
      <c r="A313" s="6" t="s">
        <v>150</v>
      </c>
      <c r="B313" s="6">
        <v>0</v>
      </c>
      <c r="C313" s="6" t="s">
        <v>183</v>
      </c>
      <c r="D313" s="6" t="s">
        <v>278</v>
      </c>
      <c r="E313" s="7">
        <v>43148</v>
      </c>
      <c r="F313" s="7">
        <v>43159</v>
      </c>
      <c r="G313" s="8">
        <v>12</v>
      </c>
      <c r="H313" s="8">
        <v>1000000000</v>
      </c>
      <c r="I313" s="8">
        <v>385000000</v>
      </c>
      <c r="J313" s="9">
        <f>1/40000</f>
        <v>2.5000000000000001E-5</v>
      </c>
      <c r="K313" s="6" t="s">
        <v>2</v>
      </c>
    </row>
    <row r="314" spans="1:11" x14ac:dyDescent="0.2">
      <c r="A314" s="6" t="s">
        <v>143</v>
      </c>
      <c r="B314" s="6">
        <v>0</v>
      </c>
      <c r="C314" s="6" t="s">
        <v>183</v>
      </c>
      <c r="D314" s="6" t="s">
        <v>278</v>
      </c>
      <c r="E314" s="7">
        <v>43159</v>
      </c>
      <c r="F314" s="7">
        <v>43160</v>
      </c>
      <c r="G314" s="8">
        <v>2</v>
      </c>
      <c r="H314" s="8">
        <v>220000000</v>
      </c>
      <c r="I314" s="8">
        <f>H314*28.4</f>
        <v>6248000000</v>
      </c>
      <c r="J314" s="9">
        <v>0.4</v>
      </c>
      <c r="K314" s="6" t="s">
        <v>259</v>
      </c>
    </row>
    <row r="315" spans="1:11" x14ac:dyDescent="0.2">
      <c r="A315" s="6" t="s">
        <v>253</v>
      </c>
      <c r="B315" s="6">
        <v>0</v>
      </c>
      <c r="C315" s="6" t="s">
        <v>183</v>
      </c>
      <c r="D315" s="6" t="s">
        <v>278</v>
      </c>
      <c r="E315" s="7">
        <v>42963</v>
      </c>
      <c r="F315" s="7">
        <v>42965</v>
      </c>
      <c r="G315" s="8">
        <v>3</v>
      </c>
      <c r="H315" s="8">
        <v>2190000000</v>
      </c>
      <c r="I315" s="8">
        <f>H315*40%</f>
        <v>876000000</v>
      </c>
      <c r="J315" s="9">
        <f>24/1000</f>
        <v>2.4E-2</v>
      </c>
      <c r="K315" s="6" t="s">
        <v>259</v>
      </c>
    </row>
    <row r="316" spans="1:11" x14ac:dyDescent="0.2">
      <c r="A316" s="6" t="s">
        <v>571</v>
      </c>
      <c r="B316" s="6">
        <v>0</v>
      </c>
      <c r="C316" s="6" t="s">
        <v>183</v>
      </c>
      <c r="D316" s="6" t="s">
        <v>278</v>
      </c>
      <c r="E316" s="7">
        <v>44228</v>
      </c>
      <c r="F316" s="7">
        <v>44228</v>
      </c>
      <c r="G316" s="8">
        <v>1</v>
      </c>
      <c r="H316" s="8">
        <v>10000000000</v>
      </c>
      <c r="I316" s="8">
        <v>500000000</v>
      </c>
      <c r="J316" s="9">
        <v>0.15</v>
      </c>
      <c r="K316" s="6" t="s">
        <v>259</v>
      </c>
    </row>
    <row r="317" spans="1:11" x14ac:dyDescent="0.2">
      <c r="A317" s="6" t="s">
        <v>554</v>
      </c>
      <c r="B317" s="6">
        <v>0</v>
      </c>
      <c r="C317" s="6" t="s">
        <v>183</v>
      </c>
      <c r="D317" s="6" t="s">
        <v>278</v>
      </c>
      <c r="E317" s="7">
        <v>44247</v>
      </c>
      <c r="F317" s="7">
        <v>44252</v>
      </c>
      <c r="G317" s="8">
        <v>6</v>
      </c>
      <c r="H317" s="8">
        <v>100000000</v>
      </c>
      <c r="I317" s="8">
        <v>700000</v>
      </c>
      <c r="J317" s="9">
        <v>3.9</v>
      </c>
      <c r="K317" s="6" t="s">
        <v>259</v>
      </c>
    </row>
    <row r="318" spans="1:11" x14ac:dyDescent="0.2">
      <c r="A318" s="6" t="s">
        <v>17</v>
      </c>
      <c r="B318" s="6">
        <v>0</v>
      </c>
      <c r="C318" s="6" t="s">
        <v>268</v>
      </c>
      <c r="D318" s="6" t="s">
        <v>278</v>
      </c>
      <c r="E318" s="7"/>
      <c r="F318" s="7"/>
      <c r="G318" s="8"/>
      <c r="H318" s="8">
        <v>7000000000</v>
      </c>
      <c r="I318" s="8">
        <f>750000/J318</f>
        <v>1500000000</v>
      </c>
      <c r="J318" s="9">
        <v>5.0000000000000001E-4</v>
      </c>
      <c r="K318" s="6" t="s">
        <v>259</v>
      </c>
    </row>
    <row r="319" spans="1:11" x14ac:dyDescent="0.2">
      <c r="A319" s="6" t="s">
        <v>17</v>
      </c>
      <c r="B319" s="6">
        <v>0</v>
      </c>
      <c r="C319" s="6" t="s">
        <v>188</v>
      </c>
      <c r="D319" s="6" t="s">
        <v>278</v>
      </c>
      <c r="E319" s="7"/>
      <c r="F319" s="7"/>
      <c r="G319" s="8"/>
      <c r="H319" s="8">
        <v>7000000000</v>
      </c>
      <c r="I319" s="8">
        <f>2000000/J319</f>
        <v>1250000000</v>
      </c>
      <c r="J319" s="9">
        <v>1.6000000000000001E-3</v>
      </c>
      <c r="K319" s="6" t="s">
        <v>259</v>
      </c>
    </row>
    <row r="320" spans="1:11" x14ac:dyDescent="0.2">
      <c r="A320" s="6" t="s">
        <v>258</v>
      </c>
      <c r="B320" s="6">
        <v>0</v>
      </c>
      <c r="C320" s="6" t="s">
        <v>183</v>
      </c>
      <c r="D320" s="6" t="s">
        <v>278</v>
      </c>
      <c r="E320" s="7">
        <v>42872</v>
      </c>
      <c r="F320" s="7">
        <v>42903</v>
      </c>
      <c r="G320" s="8">
        <v>31</v>
      </c>
      <c r="H320" s="8">
        <v>31587682</v>
      </c>
      <c r="I320" s="8">
        <f>H320*30%</f>
        <v>9476304.5999999996</v>
      </c>
      <c r="J320" s="9">
        <f>1/132.74</f>
        <v>7.5335241826126253E-3</v>
      </c>
      <c r="K320" s="6" t="s">
        <v>2</v>
      </c>
    </row>
    <row r="321" spans="1:11" x14ac:dyDescent="0.2">
      <c r="A321" s="6" t="s">
        <v>111</v>
      </c>
      <c r="B321" s="6">
        <v>0</v>
      </c>
      <c r="C321" s="6" t="s">
        <v>183</v>
      </c>
      <c r="D321" s="6" t="s">
        <v>402</v>
      </c>
      <c r="E321" s="7">
        <v>43251</v>
      </c>
      <c r="F321" s="7">
        <v>43294</v>
      </c>
      <c r="G321" s="8">
        <v>44</v>
      </c>
      <c r="H321" s="8">
        <v>400000000</v>
      </c>
      <c r="I321" s="8">
        <v>260000000</v>
      </c>
      <c r="J321" s="9">
        <v>7.0000000000000007E-2</v>
      </c>
      <c r="K321" s="6" t="s">
        <v>259</v>
      </c>
    </row>
    <row r="322" spans="1:11" x14ac:dyDescent="0.2">
      <c r="A322" s="6" t="s">
        <v>367</v>
      </c>
      <c r="B322" s="6">
        <v>0</v>
      </c>
      <c r="C322" s="6" t="s">
        <v>183</v>
      </c>
      <c r="D322" s="6" t="s">
        <v>278</v>
      </c>
      <c r="E322" s="7">
        <v>43132</v>
      </c>
      <c r="F322" s="7">
        <v>43132</v>
      </c>
      <c r="G322" s="8">
        <v>1</v>
      </c>
      <c r="H322" s="8">
        <v>500000000</v>
      </c>
      <c r="I322" s="8">
        <f>H322*35%</f>
        <v>175000000</v>
      </c>
      <c r="J322" s="9">
        <v>0.25</v>
      </c>
      <c r="K322" s="6" t="s">
        <v>259</v>
      </c>
    </row>
    <row r="323" spans="1:11" x14ac:dyDescent="0.2">
      <c r="A323" s="6" t="s">
        <v>507</v>
      </c>
      <c r="B323" s="6">
        <v>1</v>
      </c>
      <c r="C323" s="6" t="s">
        <v>188</v>
      </c>
      <c r="D323" s="6" t="s">
        <v>278</v>
      </c>
      <c r="E323" s="7"/>
      <c r="F323" s="7">
        <v>44291</v>
      </c>
      <c r="G323" s="8"/>
      <c r="H323" s="8">
        <v>120000000</v>
      </c>
      <c r="I323" s="8">
        <v>3000000</v>
      </c>
      <c r="J323" s="9" t="s">
        <v>508</v>
      </c>
      <c r="K323" s="6" t="s">
        <v>259</v>
      </c>
    </row>
    <row r="324" spans="1:11" x14ac:dyDescent="0.2">
      <c r="A324" s="6" t="s">
        <v>507</v>
      </c>
      <c r="B324" s="6">
        <v>1</v>
      </c>
      <c r="C324" s="6" t="s">
        <v>188</v>
      </c>
      <c r="D324" s="6" t="s">
        <v>278</v>
      </c>
      <c r="E324" s="7"/>
      <c r="F324" s="7">
        <v>44291</v>
      </c>
      <c r="G324" s="8"/>
      <c r="H324" s="8">
        <v>120000000</v>
      </c>
      <c r="I324" s="8">
        <v>7000000</v>
      </c>
      <c r="J324" s="9">
        <v>6.5000000000000002E-2</v>
      </c>
      <c r="K324" s="6" t="s">
        <v>259</v>
      </c>
    </row>
    <row r="325" spans="1:11" x14ac:dyDescent="0.2">
      <c r="A325" s="6" t="s">
        <v>507</v>
      </c>
      <c r="B325" s="6">
        <v>1</v>
      </c>
      <c r="C325" s="6" t="s">
        <v>188</v>
      </c>
      <c r="D325" s="6" t="s">
        <v>278</v>
      </c>
      <c r="E325" s="7"/>
      <c r="F325" s="7">
        <v>44291</v>
      </c>
      <c r="G325" s="8"/>
      <c r="H325" s="8">
        <v>120000000</v>
      </c>
      <c r="I325" s="8">
        <v>10000000</v>
      </c>
      <c r="J325" s="9">
        <v>7.4999999999999997E-2</v>
      </c>
      <c r="K325" s="6" t="s">
        <v>259</v>
      </c>
    </row>
    <row r="326" spans="1:11" x14ac:dyDescent="0.2">
      <c r="A326" s="6" t="s">
        <v>507</v>
      </c>
      <c r="B326" s="6">
        <v>1</v>
      </c>
      <c r="C326" s="6" t="s">
        <v>188</v>
      </c>
      <c r="D326" s="6" t="s">
        <v>278</v>
      </c>
      <c r="E326" s="7"/>
      <c r="F326" s="7">
        <v>44291</v>
      </c>
      <c r="G326" s="8"/>
      <c r="H326" s="8">
        <v>120000000</v>
      </c>
      <c r="I326" s="8">
        <v>10000000</v>
      </c>
      <c r="J326" s="9">
        <v>8.5000000000000006E-2</v>
      </c>
      <c r="K326" s="6" t="s">
        <v>259</v>
      </c>
    </row>
    <row r="327" spans="1:11" x14ac:dyDescent="0.2">
      <c r="A327" s="6" t="s">
        <v>507</v>
      </c>
      <c r="B327" s="6">
        <v>0</v>
      </c>
      <c r="C327" s="6" t="s">
        <v>183</v>
      </c>
      <c r="D327" s="6" t="s">
        <v>278</v>
      </c>
      <c r="E327" s="7">
        <v>44307</v>
      </c>
      <c r="F327" s="7">
        <v>44308</v>
      </c>
      <c r="G327" s="8">
        <v>2</v>
      </c>
      <c r="H327" s="8">
        <v>120000000</v>
      </c>
      <c r="I327" s="8">
        <v>2000000</v>
      </c>
      <c r="J327" s="9">
        <v>0.1</v>
      </c>
      <c r="K327" s="6" t="s">
        <v>259</v>
      </c>
    </row>
    <row r="328" spans="1:11" x14ac:dyDescent="0.2">
      <c r="A328" s="6" t="s">
        <v>715</v>
      </c>
      <c r="B328" s="6">
        <v>0</v>
      </c>
      <c r="C328" s="6" t="s">
        <v>183</v>
      </c>
      <c r="D328" s="6" t="s">
        <v>186</v>
      </c>
      <c r="E328" s="7">
        <v>43269</v>
      </c>
      <c r="F328" s="7">
        <v>43276</v>
      </c>
      <c r="G328" s="8">
        <v>8</v>
      </c>
      <c r="H328" s="8">
        <v>10000000</v>
      </c>
      <c r="I328" s="8">
        <v>8000000</v>
      </c>
      <c r="J328" s="9">
        <v>2.7699999999999999E-3</v>
      </c>
      <c r="K328" s="6" t="s">
        <v>2</v>
      </c>
    </row>
    <row r="329" spans="1:11" x14ac:dyDescent="0.2">
      <c r="A329" s="6" t="s">
        <v>425</v>
      </c>
      <c r="B329" s="6">
        <v>0</v>
      </c>
      <c r="C329" s="6" t="s">
        <v>183</v>
      </c>
      <c r="D329" s="6" t="s">
        <v>278</v>
      </c>
      <c r="E329" s="7">
        <v>42781</v>
      </c>
      <c r="F329" s="7">
        <v>42782</v>
      </c>
      <c r="G329" s="8">
        <v>2</v>
      </c>
      <c r="H329" s="8">
        <v>750000000</v>
      </c>
      <c r="I329" s="8"/>
      <c r="J329" s="9">
        <v>5.83</v>
      </c>
      <c r="K329" s="6" t="s">
        <v>259</v>
      </c>
    </row>
    <row r="330" spans="1:11" x14ac:dyDescent="0.2">
      <c r="A330" s="6" t="s">
        <v>96</v>
      </c>
      <c r="B330" s="6">
        <v>1</v>
      </c>
      <c r="C330" s="6" t="s">
        <v>188</v>
      </c>
      <c r="D330" s="6" t="s">
        <v>278</v>
      </c>
      <c r="E330" s="7">
        <v>43404</v>
      </c>
      <c r="F330" s="7">
        <v>43423</v>
      </c>
      <c r="G330" s="8">
        <v>41</v>
      </c>
      <c r="H330" s="8">
        <v>2000000000</v>
      </c>
      <c r="I330" s="8">
        <f>H330*17</f>
        <v>34000000000</v>
      </c>
      <c r="J330" s="9">
        <v>8.2500000000000004E-2</v>
      </c>
      <c r="K330" s="6" t="s">
        <v>259</v>
      </c>
    </row>
    <row r="331" spans="1:11" x14ac:dyDescent="0.2">
      <c r="A331" s="6" t="s">
        <v>96</v>
      </c>
      <c r="B331" s="6">
        <v>0</v>
      </c>
      <c r="C331" s="6" t="s">
        <v>188</v>
      </c>
      <c r="D331" s="6" t="s">
        <v>278</v>
      </c>
      <c r="E331" s="7">
        <v>43382</v>
      </c>
      <c r="F331" s="7">
        <v>43422</v>
      </c>
      <c r="G331" s="8">
        <v>41</v>
      </c>
      <c r="H331" s="8">
        <v>2400000000</v>
      </c>
      <c r="I331" s="8">
        <f>H331*17%</f>
        <v>408000000</v>
      </c>
      <c r="J331" s="9">
        <v>8.2500000000000004E-2</v>
      </c>
      <c r="K331" s="6" t="s">
        <v>259</v>
      </c>
    </row>
    <row r="332" spans="1:11" x14ac:dyDescent="0.2">
      <c r="A332" s="6" t="s">
        <v>513</v>
      </c>
      <c r="B332" s="6">
        <v>1</v>
      </c>
      <c r="C332" s="6" t="s">
        <v>188</v>
      </c>
      <c r="D332" s="6" t="s">
        <v>278</v>
      </c>
      <c r="E332" s="7"/>
      <c r="F332" s="7"/>
      <c r="G332" s="8"/>
      <c r="H332" s="8">
        <v>10000000</v>
      </c>
      <c r="I332" s="8">
        <v>560000</v>
      </c>
      <c r="J332" s="9">
        <v>0.7</v>
      </c>
      <c r="K332" s="6" t="s">
        <v>259</v>
      </c>
    </row>
    <row r="333" spans="1:11" x14ac:dyDescent="0.2">
      <c r="A333" s="6" t="s">
        <v>513</v>
      </c>
      <c r="B333" s="6">
        <v>0</v>
      </c>
      <c r="C333" s="6" t="s">
        <v>183</v>
      </c>
      <c r="D333" s="6" t="s">
        <v>278</v>
      </c>
      <c r="E333" s="7">
        <v>44302</v>
      </c>
      <c r="F333" s="7">
        <v>44302</v>
      </c>
      <c r="G333" s="8">
        <v>1</v>
      </c>
      <c r="H333" s="8">
        <v>10000000</v>
      </c>
      <c r="I333" s="8">
        <v>145000</v>
      </c>
      <c r="J333" s="9">
        <v>0.72499999999999998</v>
      </c>
      <c r="K333" s="6" t="s">
        <v>259</v>
      </c>
    </row>
    <row r="334" spans="1:11" x14ac:dyDescent="0.2">
      <c r="A334" s="6" t="s">
        <v>251</v>
      </c>
      <c r="B334" s="6">
        <v>0</v>
      </c>
      <c r="C334" s="6" t="s">
        <v>183</v>
      </c>
      <c r="D334" s="6" t="s">
        <v>278</v>
      </c>
      <c r="E334" s="7">
        <v>42978</v>
      </c>
      <c r="F334" s="7">
        <v>42978</v>
      </c>
      <c r="G334" s="8">
        <v>1</v>
      </c>
      <c r="H334" s="8">
        <v>402400000</v>
      </c>
      <c r="I334" s="8">
        <v>201200000</v>
      </c>
      <c r="J334" s="9">
        <f>1/2400</f>
        <v>4.1666666666666669E-4</v>
      </c>
      <c r="K334" s="6" t="s">
        <v>2</v>
      </c>
    </row>
    <row r="335" spans="1:11" x14ac:dyDescent="0.2">
      <c r="A335" s="6" t="s">
        <v>41</v>
      </c>
      <c r="B335" s="6">
        <v>0</v>
      </c>
      <c r="C335" s="6"/>
      <c r="D335" s="6" t="s">
        <v>278</v>
      </c>
      <c r="E335" s="7">
        <v>44026</v>
      </c>
      <c r="F335" s="7">
        <v>44027</v>
      </c>
      <c r="G335" s="8">
        <v>1</v>
      </c>
      <c r="H335" s="8">
        <v>230000000</v>
      </c>
      <c r="I335" s="8">
        <v>1610000</v>
      </c>
      <c r="J335" s="9">
        <v>0.5</v>
      </c>
      <c r="K335" s="6" t="s">
        <v>259</v>
      </c>
    </row>
    <row r="336" spans="1:11" x14ac:dyDescent="0.2">
      <c r="A336" s="6" t="s">
        <v>222</v>
      </c>
      <c r="B336" s="6">
        <v>0</v>
      </c>
      <c r="C336" s="6" t="s">
        <v>183</v>
      </c>
      <c r="D336" s="6" t="s">
        <v>278</v>
      </c>
      <c r="E336" s="7">
        <v>42990</v>
      </c>
      <c r="F336" s="7" t="s">
        <v>472</v>
      </c>
      <c r="G336" s="8">
        <v>58</v>
      </c>
      <c r="H336" s="8">
        <v>314159265</v>
      </c>
      <c r="I336" s="8">
        <f>H336*60%</f>
        <v>188495559</v>
      </c>
      <c r="J336" s="9">
        <f>1/1164</f>
        <v>8.5910652920962198E-4</v>
      </c>
      <c r="K336" s="6" t="s">
        <v>2</v>
      </c>
    </row>
    <row r="337" spans="1:11" x14ac:dyDescent="0.2">
      <c r="A337" s="6" t="s">
        <v>165</v>
      </c>
      <c r="B337" s="6">
        <v>0</v>
      </c>
      <c r="C337" s="6" t="s">
        <v>183</v>
      </c>
      <c r="D337" s="6" t="s">
        <v>278</v>
      </c>
      <c r="E337" s="7">
        <v>43123</v>
      </c>
      <c r="F337" s="7">
        <v>43123</v>
      </c>
      <c r="G337" s="8">
        <v>1</v>
      </c>
      <c r="H337" s="8">
        <v>500000000</v>
      </c>
      <c r="I337" s="8">
        <v>400000000</v>
      </c>
      <c r="J337" s="9">
        <v>8.6400000000000005E-2</v>
      </c>
      <c r="K337" s="6" t="s">
        <v>259</v>
      </c>
    </row>
    <row r="338" spans="1:11" x14ac:dyDescent="0.2">
      <c r="A338" s="6" t="s">
        <v>656</v>
      </c>
      <c r="B338" s="6">
        <v>0</v>
      </c>
      <c r="C338" s="6" t="s">
        <v>183</v>
      </c>
      <c r="D338" s="6" t="s">
        <v>278</v>
      </c>
      <c r="E338" s="7">
        <v>44316</v>
      </c>
      <c r="F338" s="7">
        <v>44316</v>
      </c>
      <c r="G338" s="8">
        <v>1</v>
      </c>
      <c r="H338" s="8">
        <v>210000000</v>
      </c>
      <c r="I338" s="8">
        <f>300000/0.185</f>
        <v>1621621.6216216215</v>
      </c>
      <c r="J338" s="9">
        <v>0.185</v>
      </c>
      <c r="K338" s="6" t="s">
        <v>259</v>
      </c>
    </row>
    <row r="339" spans="1:11" x14ac:dyDescent="0.2">
      <c r="A339" s="6" t="s">
        <v>714</v>
      </c>
      <c r="B339" s="6">
        <v>0</v>
      </c>
      <c r="C339" s="6" t="s">
        <v>183</v>
      </c>
      <c r="D339" s="6" t="s">
        <v>278</v>
      </c>
      <c r="E339" s="7">
        <v>42997</v>
      </c>
      <c r="F339" s="7">
        <v>43032</v>
      </c>
      <c r="G339" s="8">
        <v>36</v>
      </c>
      <c r="H339" s="8">
        <v>30000000</v>
      </c>
      <c r="I339" s="8">
        <f>H339*88%</f>
        <v>26400000</v>
      </c>
      <c r="J339" s="9">
        <v>0.89</v>
      </c>
      <c r="K339" s="6" t="s">
        <v>259</v>
      </c>
    </row>
    <row r="340" spans="1:11" x14ac:dyDescent="0.2">
      <c r="A340" s="6" t="s">
        <v>199</v>
      </c>
      <c r="B340" s="6">
        <v>0</v>
      </c>
      <c r="C340" s="6" t="s">
        <v>183</v>
      </c>
      <c r="D340" s="6" t="s">
        <v>278</v>
      </c>
      <c r="E340" s="7">
        <v>43056</v>
      </c>
      <c r="F340" s="7">
        <v>43086</v>
      </c>
      <c r="G340" s="8">
        <v>31</v>
      </c>
      <c r="H340" s="8">
        <v>1500000000</v>
      </c>
      <c r="I340" s="8">
        <v>1500000000</v>
      </c>
      <c r="J340" s="9">
        <v>0.36</v>
      </c>
      <c r="K340" s="6" t="s">
        <v>259</v>
      </c>
    </row>
    <row r="341" spans="1:11" x14ac:dyDescent="0.2">
      <c r="A341" s="6" t="s">
        <v>104</v>
      </c>
      <c r="B341" s="6">
        <v>0</v>
      </c>
      <c r="C341" s="6" t="s">
        <v>183</v>
      </c>
      <c r="D341" s="6" t="s">
        <v>278</v>
      </c>
      <c r="E341" s="7">
        <v>43346</v>
      </c>
      <c r="F341" s="7">
        <v>43357</v>
      </c>
      <c r="G341" s="8">
        <v>11</v>
      </c>
      <c r="H341" s="8">
        <v>50000000</v>
      </c>
      <c r="I341" s="8">
        <v>25000000</v>
      </c>
      <c r="J341" s="9">
        <v>1</v>
      </c>
      <c r="K341" s="6" t="s">
        <v>259</v>
      </c>
    </row>
    <row r="342" spans="1:11" x14ac:dyDescent="0.2">
      <c r="A342" s="6" t="s">
        <v>134</v>
      </c>
      <c r="B342" s="6">
        <v>1</v>
      </c>
      <c r="C342" s="6" t="s">
        <v>188</v>
      </c>
      <c r="D342" s="6" t="s">
        <v>278</v>
      </c>
      <c r="E342" s="7">
        <v>43160</v>
      </c>
      <c r="F342" s="7">
        <v>43175</v>
      </c>
      <c r="G342" s="8">
        <f>F342-E342</f>
        <v>15</v>
      </c>
      <c r="H342" s="8">
        <v>1000000000</v>
      </c>
      <c r="I342" s="8">
        <f>H342*52.5%</f>
        <v>525000000</v>
      </c>
      <c r="J342" s="9">
        <v>0.1</v>
      </c>
      <c r="K342" s="6" t="s">
        <v>259</v>
      </c>
    </row>
    <row r="343" spans="1:11" x14ac:dyDescent="0.2">
      <c r="A343" s="6" t="s">
        <v>201</v>
      </c>
      <c r="B343" s="6">
        <v>1</v>
      </c>
      <c r="C343" s="6" t="s">
        <v>183</v>
      </c>
      <c r="D343" s="6" t="s">
        <v>278</v>
      </c>
      <c r="E343" s="7">
        <v>43059</v>
      </c>
      <c r="F343" s="7">
        <v>43066</v>
      </c>
      <c r="G343" s="8">
        <v>8</v>
      </c>
      <c r="H343" s="8">
        <v>400000000</v>
      </c>
      <c r="I343" s="8">
        <v>20000000</v>
      </c>
      <c r="J343" s="9">
        <v>0.7</v>
      </c>
      <c r="K343" s="6" t="s">
        <v>259</v>
      </c>
    </row>
    <row r="344" spans="1:11" x14ac:dyDescent="0.2">
      <c r="A344" s="6" t="s">
        <v>201</v>
      </c>
      <c r="B344" s="6">
        <v>0</v>
      </c>
      <c r="C344" s="6" t="s">
        <v>183</v>
      </c>
      <c r="D344" s="6" t="s">
        <v>278</v>
      </c>
      <c r="E344" s="7">
        <v>43070</v>
      </c>
      <c r="F344" s="7">
        <v>43084</v>
      </c>
      <c r="G344" s="8">
        <v>15</v>
      </c>
      <c r="H344" s="8">
        <v>400000000</v>
      </c>
      <c r="I344" s="8">
        <v>200000000</v>
      </c>
      <c r="J344" s="9">
        <v>1</v>
      </c>
      <c r="K344" s="6" t="s">
        <v>259</v>
      </c>
    </row>
    <row r="345" spans="1:11" x14ac:dyDescent="0.2">
      <c r="A345" s="6" t="s">
        <v>57</v>
      </c>
      <c r="B345" s="6">
        <v>0</v>
      </c>
      <c r="C345" s="6" t="s">
        <v>183</v>
      </c>
      <c r="D345" s="6" t="s">
        <v>278</v>
      </c>
      <c r="E345" s="7">
        <v>43719</v>
      </c>
      <c r="F345" s="7">
        <v>43719</v>
      </c>
      <c r="G345" s="8">
        <v>1</v>
      </c>
      <c r="H345" s="8">
        <v>10000000000</v>
      </c>
      <c r="I345" s="8">
        <v>750000000</v>
      </c>
      <c r="J345" s="9">
        <v>2.2000000000000001E-3</v>
      </c>
      <c r="K345" s="6" t="s">
        <v>259</v>
      </c>
    </row>
    <row r="346" spans="1:11" x14ac:dyDescent="0.2">
      <c r="A346" s="6" t="s">
        <v>149</v>
      </c>
      <c r="B346" s="6">
        <v>0</v>
      </c>
      <c r="C346" s="6" t="s">
        <v>183</v>
      </c>
      <c r="D346" s="6" t="s">
        <v>278</v>
      </c>
      <c r="E346" s="7">
        <v>43122</v>
      </c>
      <c r="F346" s="7">
        <v>43159</v>
      </c>
      <c r="G346" s="8">
        <v>38</v>
      </c>
      <c r="H346" s="8">
        <v>50000000</v>
      </c>
      <c r="I346" s="8">
        <v>35000000</v>
      </c>
      <c r="J346" s="9">
        <f>1/1000</f>
        <v>1E-3</v>
      </c>
      <c r="K346" s="6" t="s">
        <v>259</v>
      </c>
    </row>
    <row r="347" spans="1:11" x14ac:dyDescent="0.2">
      <c r="A347" s="6" t="s">
        <v>234</v>
      </c>
      <c r="B347" s="6">
        <v>0</v>
      </c>
      <c r="C347" s="6" t="s">
        <v>183</v>
      </c>
      <c r="D347" s="6" t="s">
        <v>278</v>
      </c>
      <c r="E347" s="7">
        <v>43005</v>
      </c>
      <c r="F347" s="7">
        <v>43021</v>
      </c>
      <c r="G347" s="8">
        <v>17</v>
      </c>
      <c r="H347" s="8">
        <v>860000000</v>
      </c>
      <c r="I347" s="8">
        <f>H347*37%</f>
        <v>318200000</v>
      </c>
      <c r="J347" s="9">
        <v>0.1</v>
      </c>
      <c r="K347" s="6" t="s">
        <v>259</v>
      </c>
    </row>
    <row r="348" spans="1:11" x14ac:dyDescent="0.2">
      <c r="A348" s="6" t="s">
        <v>174</v>
      </c>
      <c r="B348" s="6">
        <v>1</v>
      </c>
      <c r="C348" s="6" t="s">
        <v>188</v>
      </c>
      <c r="D348" s="6" t="s">
        <v>402</v>
      </c>
      <c r="E348" s="7">
        <v>43033</v>
      </c>
      <c r="F348" s="7">
        <v>43101</v>
      </c>
      <c r="G348" s="8">
        <v>69</v>
      </c>
      <c r="H348" s="8">
        <v>100000000</v>
      </c>
      <c r="I348" s="8">
        <v>45000000</v>
      </c>
      <c r="J348" s="9">
        <f>21000000/45000000</f>
        <v>0.46666666666666667</v>
      </c>
      <c r="K348" s="6" t="s">
        <v>259</v>
      </c>
    </row>
    <row r="349" spans="1:11" x14ac:dyDescent="0.2">
      <c r="A349" s="6" t="s">
        <v>174</v>
      </c>
      <c r="B349" s="6">
        <v>0</v>
      </c>
      <c r="C349" s="6" t="s">
        <v>183</v>
      </c>
      <c r="D349" s="6" t="s">
        <v>278</v>
      </c>
      <c r="E349" s="7">
        <v>43107</v>
      </c>
      <c r="F349" s="7">
        <v>43146</v>
      </c>
      <c r="G349" s="8">
        <v>40</v>
      </c>
      <c r="H349" s="8">
        <v>100000000</v>
      </c>
      <c r="I349" s="8">
        <v>15000000</v>
      </c>
      <c r="J349" s="9">
        <v>1E-3</v>
      </c>
      <c r="K349" s="6" t="s">
        <v>2</v>
      </c>
    </row>
    <row r="350" spans="1:11" x14ac:dyDescent="0.2">
      <c r="A350" s="6" t="s">
        <v>563</v>
      </c>
      <c r="B350" s="6">
        <v>1</v>
      </c>
      <c r="C350" s="6" t="s">
        <v>183</v>
      </c>
      <c r="D350" s="6" t="s">
        <v>278</v>
      </c>
      <c r="E350" s="7"/>
      <c r="F350" s="7">
        <v>44196</v>
      </c>
      <c r="G350" s="8"/>
      <c r="H350" s="8">
        <v>50000000</v>
      </c>
      <c r="I350" s="8">
        <v>4000000</v>
      </c>
      <c r="J350" s="9">
        <v>0.25</v>
      </c>
      <c r="K350" s="6" t="s">
        <v>259</v>
      </c>
    </row>
    <row r="351" spans="1:11" x14ac:dyDescent="0.2">
      <c r="A351" s="6" t="s">
        <v>563</v>
      </c>
      <c r="B351" s="6">
        <v>0</v>
      </c>
      <c r="C351" s="6" t="s">
        <v>183</v>
      </c>
      <c r="D351" s="6" t="s">
        <v>184</v>
      </c>
      <c r="E351" s="7">
        <v>44229</v>
      </c>
      <c r="F351" s="7">
        <v>44233</v>
      </c>
      <c r="G351" s="8">
        <v>5</v>
      </c>
      <c r="H351" s="8">
        <v>50000000</v>
      </c>
      <c r="I351" s="8">
        <v>6000000</v>
      </c>
      <c r="J351" s="9">
        <v>0.73</v>
      </c>
      <c r="K351" s="6" t="s">
        <v>259</v>
      </c>
    </row>
    <row r="352" spans="1:11" x14ac:dyDescent="0.2">
      <c r="A352" s="6" t="s">
        <v>86</v>
      </c>
      <c r="B352" s="6">
        <v>0</v>
      </c>
      <c r="C352" s="6" t="s">
        <v>183</v>
      </c>
      <c r="D352" s="6" t="s">
        <v>278</v>
      </c>
      <c r="E352" s="7">
        <v>43566</v>
      </c>
      <c r="F352" s="7">
        <v>43566</v>
      </c>
      <c r="G352" s="8">
        <v>1</v>
      </c>
      <c r="H352" s="8">
        <v>10000000000</v>
      </c>
      <c r="I352" s="8">
        <f>H352*20%</f>
        <v>2000000000</v>
      </c>
      <c r="J352" s="9">
        <v>1.4E-3</v>
      </c>
      <c r="K352" s="6" t="s">
        <v>259</v>
      </c>
    </row>
    <row r="353" spans="1:11" x14ac:dyDescent="0.2">
      <c r="A353" s="6" t="s">
        <v>634</v>
      </c>
      <c r="B353" s="6">
        <v>1</v>
      </c>
      <c r="C353" s="6" t="s">
        <v>188</v>
      </c>
      <c r="D353" s="6" t="s">
        <v>278</v>
      </c>
      <c r="E353" s="7">
        <v>44263</v>
      </c>
      <c r="F353" s="7">
        <v>44265</v>
      </c>
      <c r="G353" s="8">
        <v>3</v>
      </c>
      <c r="H353" s="8">
        <v>300000000</v>
      </c>
      <c r="I353" s="8">
        <v>25000000</v>
      </c>
      <c r="J353" s="9">
        <v>8.0000000000000002E-3</v>
      </c>
      <c r="K353" s="6" t="s">
        <v>259</v>
      </c>
    </row>
    <row r="354" spans="1:11" x14ac:dyDescent="0.2">
      <c r="A354" s="6" t="s">
        <v>634</v>
      </c>
      <c r="B354" s="6">
        <v>0</v>
      </c>
      <c r="C354" s="6" t="s">
        <v>183</v>
      </c>
      <c r="D354" s="6" t="s">
        <v>278</v>
      </c>
      <c r="E354" s="7">
        <v>44272</v>
      </c>
      <c r="F354" s="7">
        <v>44275</v>
      </c>
      <c r="G354" s="8">
        <v>4</v>
      </c>
      <c r="H354" s="8">
        <v>300000000</v>
      </c>
      <c r="I354" s="8">
        <v>10000000</v>
      </c>
      <c r="J354" s="9">
        <v>2.4E-2</v>
      </c>
      <c r="K354" s="6" t="s">
        <v>259</v>
      </c>
    </row>
    <row r="355" spans="1:11" x14ac:dyDescent="0.2">
      <c r="A355" s="6" t="s">
        <v>97</v>
      </c>
      <c r="B355" s="6">
        <v>0</v>
      </c>
      <c r="C355" s="6" t="s">
        <v>183</v>
      </c>
      <c r="D355" s="6" t="s">
        <v>278</v>
      </c>
      <c r="E355" s="7">
        <v>43363</v>
      </c>
      <c r="F355" s="7">
        <v>43404</v>
      </c>
      <c r="G355" s="8">
        <v>42</v>
      </c>
      <c r="H355" s="8">
        <v>10000000000</v>
      </c>
      <c r="I355" s="8">
        <f>H355*30%</f>
        <v>3000000000</v>
      </c>
      <c r="J355" s="9">
        <v>1.4E-3</v>
      </c>
      <c r="K355" s="6" t="s">
        <v>259</v>
      </c>
    </row>
    <row r="356" spans="1:11" x14ac:dyDescent="0.2">
      <c r="A356" s="6" t="s">
        <v>539</v>
      </c>
      <c r="B356" s="6">
        <v>0</v>
      </c>
      <c r="C356" s="6" t="s">
        <v>188</v>
      </c>
      <c r="D356" s="6" t="s">
        <v>278</v>
      </c>
      <c r="E356" s="7"/>
      <c r="F356" s="7"/>
      <c r="G356" s="8"/>
      <c r="H356" s="8">
        <v>100000000</v>
      </c>
      <c r="I356" s="8">
        <v>8000000</v>
      </c>
      <c r="J356" s="9">
        <v>7.0000000000000007E-2</v>
      </c>
      <c r="K356" s="6" t="s">
        <v>259</v>
      </c>
    </row>
    <row r="357" spans="1:11" x14ac:dyDescent="0.2">
      <c r="A357" s="6" t="s">
        <v>539</v>
      </c>
      <c r="B357" s="6">
        <v>0</v>
      </c>
      <c r="C357" s="6" t="s">
        <v>188</v>
      </c>
      <c r="D357" s="6" t="s">
        <v>278</v>
      </c>
      <c r="E357" s="7"/>
      <c r="F357" s="7"/>
      <c r="G357" s="8"/>
      <c r="H357" s="8">
        <v>100000000</v>
      </c>
      <c r="I357" s="8">
        <v>15800000</v>
      </c>
      <c r="J357" s="9">
        <v>0.12</v>
      </c>
      <c r="K357" s="6" t="s">
        <v>259</v>
      </c>
    </row>
    <row r="358" spans="1:11" x14ac:dyDescent="0.2">
      <c r="A358" s="6" t="s">
        <v>539</v>
      </c>
      <c r="B358" s="6">
        <v>1</v>
      </c>
      <c r="C358" s="6" t="s">
        <v>188</v>
      </c>
      <c r="D358" s="6" t="s">
        <v>278</v>
      </c>
      <c r="E358" s="7"/>
      <c r="F358" s="7"/>
      <c r="G358" s="8"/>
      <c r="H358" s="8">
        <v>100000000</v>
      </c>
      <c r="I358" s="8">
        <v>500000</v>
      </c>
      <c r="J358" s="9">
        <v>0.15</v>
      </c>
      <c r="K358" s="6" t="s">
        <v>259</v>
      </c>
    </row>
    <row r="359" spans="1:11" x14ac:dyDescent="0.2">
      <c r="A359" s="6" t="s">
        <v>539</v>
      </c>
      <c r="B359" s="6">
        <v>0</v>
      </c>
      <c r="C359" s="6" t="s">
        <v>183</v>
      </c>
      <c r="D359" s="6" t="s">
        <v>278</v>
      </c>
      <c r="E359" s="7">
        <v>44273</v>
      </c>
      <c r="F359" s="7">
        <v>44273</v>
      </c>
      <c r="G359" s="8">
        <v>1</v>
      </c>
      <c r="H359" s="8">
        <v>100000000</v>
      </c>
      <c r="I359" s="8">
        <v>1200000</v>
      </c>
      <c r="J359" s="9">
        <v>0.16700000000000001</v>
      </c>
      <c r="K359" s="6" t="s">
        <v>259</v>
      </c>
    </row>
    <row r="360" spans="1:11" x14ac:dyDescent="0.2">
      <c r="A360" s="6" t="s">
        <v>26</v>
      </c>
      <c r="B360" s="6">
        <v>0</v>
      </c>
      <c r="C360" s="6" t="s">
        <v>183</v>
      </c>
      <c r="D360" s="6" t="s">
        <v>278</v>
      </c>
      <c r="E360" s="7">
        <v>44074</v>
      </c>
      <c r="F360" s="7">
        <v>44074</v>
      </c>
      <c r="G360" s="8">
        <v>1</v>
      </c>
      <c r="H360" s="8">
        <v>100000000</v>
      </c>
      <c r="I360" s="8">
        <v>2400000</v>
      </c>
      <c r="J360" s="9">
        <v>0.08</v>
      </c>
      <c r="K360" s="6" t="s">
        <v>259</v>
      </c>
    </row>
    <row r="361" spans="1:11" x14ac:dyDescent="0.2">
      <c r="A361" s="6" t="s">
        <v>28</v>
      </c>
      <c r="B361" s="6">
        <v>0</v>
      </c>
      <c r="C361" s="6" t="s">
        <v>188</v>
      </c>
      <c r="D361" s="6" t="s">
        <v>278</v>
      </c>
      <c r="E361" s="7">
        <v>44063</v>
      </c>
      <c r="F361" s="7">
        <v>44063</v>
      </c>
      <c r="G361" s="8">
        <v>1</v>
      </c>
      <c r="H361" s="8">
        <v>9900000</v>
      </c>
      <c r="I361" s="8">
        <v>2499750</v>
      </c>
      <c r="J361" s="9">
        <v>0.1</v>
      </c>
      <c r="K361" s="6" t="s">
        <v>259</v>
      </c>
    </row>
    <row r="362" spans="1:11" x14ac:dyDescent="0.2">
      <c r="A362" s="6" t="s">
        <v>42</v>
      </c>
      <c r="B362" s="6">
        <v>0</v>
      </c>
      <c r="C362" s="6" t="s">
        <v>183</v>
      </c>
      <c r="D362" s="6" t="s">
        <v>278</v>
      </c>
      <c r="E362" s="7">
        <v>44026</v>
      </c>
      <c r="F362" s="7">
        <v>44026</v>
      </c>
      <c r="G362" s="8">
        <v>1</v>
      </c>
      <c r="H362" s="8">
        <v>100000000</v>
      </c>
      <c r="I362" s="8">
        <v>45000000</v>
      </c>
      <c r="J362" s="9">
        <v>0.1</v>
      </c>
      <c r="K362" s="6" t="s">
        <v>259</v>
      </c>
    </row>
    <row r="363" spans="1:11" x14ac:dyDescent="0.2">
      <c r="A363" s="6" t="s">
        <v>141</v>
      </c>
      <c r="B363" s="6">
        <v>1</v>
      </c>
      <c r="C363" s="6" t="s">
        <v>183</v>
      </c>
      <c r="D363" s="6" t="s">
        <v>278</v>
      </c>
      <c r="E363" s="7">
        <v>42972</v>
      </c>
      <c r="F363" s="7" t="s">
        <v>373</v>
      </c>
      <c r="G363" s="8">
        <v>1</v>
      </c>
      <c r="H363" s="8">
        <v>100000000</v>
      </c>
      <c r="I363" s="8">
        <v>10000000</v>
      </c>
      <c r="J363" s="9">
        <v>2.5000000000000001E-2</v>
      </c>
      <c r="K363" s="6" t="s">
        <v>259</v>
      </c>
    </row>
    <row r="364" spans="1:11" x14ac:dyDescent="0.2">
      <c r="A364" s="6" t="s">
        <v>141</v>
      </c>
      <c r="B364" s="6">
        <v>0</v>
      </c>
      <c r="C364" s="6" t="s">
        <v>183</v>
      </c>
      <c r="D364" s="6" t="s">
        <v>278</v>
      </c>
      <c r="E364" s="7">
        <v>43023</v>
      </c>
      <c r="F364" s="7">
        <v>43069</v>
      </c>
      <c r="G364" s="8">
        <v>47</v>
      </c>
      <c r="H364" s="8">
        <v>100000000</v>
      </c>
      <c r="I364" s="8">
        <v>50000000</v>
      </c>
      <c r="J364" s="9">
        <v>7.4999999999999997E-2</v>
      </c>
      <c r="K364" s="6" t="s">
        <v>259</v>
      </c>
    </row>
    <row r="365" spans="1:11" x14ac:dyDescent="0.2">
      <c r="A365" s="6" t="s">
        <v>223</v>
      </c>
      <c r="B365" s="6">
        <v>0</v>
      </c>
      <c r="C365" s="6" t="s">
        <v>183</v>
      </c>
      <c r="D365" s="6" t="s">
        <v>278</v>
      </c>
      <c r="E365" s="7">
        <v>43040</v>
      </c>
      <c r="F365" s="7">
        <v>43053</v>
      </c>
      <c r="G365" s="8">
        <f>F365-E365</f>
        <v>13</v>
      </c>
      <c r="H365" s="8">
        <v>100000000</v>
      </c>
      <c r="I365" s="8">
        <v>51000000</v>
      </c>
      <c r="J365" s="9">
        <v>0.1</v>
      </c>
      <c r="K365" s="6" t="s">
        <v>259</v>
      </c>
    </row>
    <row r="366" spans="1:11" x14ac:dyDescent="0.2">
      <c r="A366" s="6" t="s">
        <v>223</v>
      </c>
      <c r="B366" s="6">
        <v>1</v>
      </c>
      <c r="C366" s="6"/>
      <c r="D366" s="6"/>
      <c r="E366" s="7">
        <v>42951</v>
      </c>
      <c r="F366" s="7">
        <v>42961</v>
      </c>
      <c r="G366" s="8">
        <v>11</v>
      </c>
      <c r="H366" s="8">
        <v>100000000</v>
      </c>
      <c r="I366" s="8"/>
      <c r="J366" s="9"/>
      <c r="K366" s="6"/>
    </row>
    <row r="367" spans="1:11" x14ac:dyDescent="0.2">
      <c r="A367" s="6" t="s">
        <v>546</v>
      </c>
      <c r="B367" s="6">
        <v>0</v>
      </c>
      <c r="C367" s="6" t="s">
        <v>188</v>
      </c>
      <c r="D367" s="6" t="s">
        <v>278</v>
      </c>
      <c r="E367" s="7"/>
      <c r="F367" s="7"/>
      <c r="G367" s="8"/>
      <c r="H367" s="8">
        <v>60000000</v>
      </c>
      <c r="I367" s="8">
        <v>5700000</v>
      </c>
      <c r="J367" s="9">
        <v>4.4999999999999998E-2</v>
      </c>
      <c r="K367" s="6" t="s">
        <v>259</v>
      </c>
    </row>
    <row r="368" spans="1:11" x14ac:dyDescent="0.2">
      <c r="A368" s="6" t="s">
        <v>546</v>
      </c>
      <c r="B368" s="6">
        <v>0</v>
      </c>
      <c r="C368" s="6" t="s">
        <v>188</v>
      </c>
      <c r="D368" s="6" t="s">
        <v>278</v>
      </c>
      <c r="E368" s="7"/>
      <c r="F368" s="7"/>
      <c r="G368" s="8"/>
      <c r="H368" s="8">
        <v>60000000</v>
      </c>
      <c r="I368" s="8">
        <v>5100000</v>
      </c>
      <c r="J368" s="9">
        <v>0.09</v>
      </c>
      <c r="K368" s="6" t="s">
        <v>259</v>
      </c>
    </row>
    <row r="369" spans="1:11" x14ac:dyDescent="0.2">
      <c r="A369" s="6" t="s">
        <v>546</v>
      </c>
      <c r="B369" s="6">
        <v>0</v>
      </c>
      <c r="C369" s="6" t="s">
        <v>188</v>
      </c>
      <c r="D369" s="6" t="s">
        <v>278</v>
      </c>
      <c r="E369" s="7"/>
      <c r="F369" s="7"/>
      <c r="G369" s="8"/>
      <c r="H369" s="8">
        <v>60000000</v>
      </c>
      <c r="I369" s="8">
        <v>5400000</v>
      </c>
      <c r="J369" s="9">
        <v>6.5000000000000002E-2</v>
      </c>
      <c r="K369" s="6" t="s">
        <v>259</v>
      </c>
    </row>
    <row r="370" spans="1:11" x14ac:dyDescent="0.2">
      <c r="A370" s="6" t="s">
        <v>546</v>
      </c>
      <c r="B370" s="6">
        <v>0</v>
      </c>
      <c r="C370" s="6" t="s">
        <v>183</v>
      </c>
      <c r="D370" s="6" t="s">
        <v>278</v>
      </c>
      <c r="E370" s="7">
        <v>44259</v>
      </c>
      <c r="F370" s="7">
        <v>44261</v>
      </c>
      <c r="G370" s="8">
        <v>3</v>
      </c>
      <c r="H370" s="8">
        <v>60000000</v>
      </c>
      <c r="I370" s="8">
        <v>2400000</v>
      </c>
      <c r="J370" s="9">
        <v>0.12</v>
      </c>
      <c r="K370" s="6" t="s">
        <v>259</v>
      </c>
    </row>
    <row r="371" spans="1:11" x14ac:dyDescent="0.2">
      <c r="A371" s="6" t="s">
        <v>69</v>
      </c>
      <c r="B371" s="6">
        <v>0</v>
      </c>
      <c r="C371" s="6" t="s">
        <v>183</v>
      </c>
      <c r="D371" s="6" t="s">
        <v>278</v>
      </c>
      <c r="E371" s="7">
        <v>43624</v>
      </c>
      <c r="F371" s="7">
        <v>43639</v>
      </c>
      <c r="G371" s="8">
        <v>16</v>
      </c>
      <c r="H371" s="8">
        <v>750000000</v>
      </c>
      <c r="I371" s="8">
        <f>H371*60%</f>
        <v>450000000</v>
      </c>
      <c r="J371" s="9">
        <v>0.45800000000000002</v>
      </c>
      <c r="K371" s="6" t="s">
        <v>2</v>
      </c>
    </row>
    <row r="372" spans="1:11" x14ac:dyDescent="0.2">
      <c r="A372" s="6" t="s">
        <v>60</v>
      </c>
      <c r="B372" s="6">
        <v>0</v>
      </c>
      <c r="C372" s="6" t="s">
        <v>183</v>
      </c>
      <c r="D372" s="6" t="s">
        <v>278</v>
      </c>
      <c r="E372" s="7">
        <v>44067</v>
      </c>
      <c r="F372" s="7">
        <v>44068</v>
      </c>
      <c r="G372" s="8">
        <v>2</v>
      </c>
      <c r="H372" s="8">
        <v>1033200000</v>
      </c>
      <c r="I372" s="8">
        <v>580968360</v>
      </c>
      <c r="J372" s="9">
        <v>7.7429999999999999E-2</v>
      </c>
      <c r="K372" s="6" t="s">
        <v>259</v>
      </c>
    </row>
    <row r="373" spans="1:11" x14ac:dyDescent="0.2">
      <c r="A373" s="6" t="s">
        <v>23</v>
      </c>
      <c r="B373" s="6">
        <v>0</v>
      </c>
      <c r="C373" s="6" t="s">
        <v>183</v>
      </c>
      <c r="D373" s="6" t="s">
        <v>278</v>
      </c>
      <c r="E373" s="7">
        <v>44083</v>
      </c>
      <c r="F373" s="7">
        <v>44087</v>
      </c>
      <c r="G373" s="8">
        <v>5</v>
      </c>
      <c r="H373" s="8">
        <v>150000000</v>
      </c>
      <c r="I373" s="8">
        <f>7150000/1.3</f>
        <v>5500000</v>
      </c>
      <c r="J373" s="9">
        <v>1.3</v>
      </c>
      <c r="K373" s="6" t="s">
        <v>259</v>
      </c>
    </row>
    <row r="374" spans="1:11" x14ac:dyDescent="0.2">
      <c r="A374" s="6" t="s">
        <v>670</v>
      </c>
      <c r="B374" s="6">
        <v>0</v>
      </c>
      <c r="C374" s="6" t="s">
        <v>188</v>
      </c>
      <c r="D374" s="6" t="s">
        <v>278</v>
      </c>
      <c r="E374" s="7"/>
      <c r="F374" s="7"/>
      <c r="G374" s="8"/>
      <c r="H374" s="8">
        <v>200000000</v>
      </c>
      <c r="I374" s="8">
        <f>220000/0.04</f>
        <v>5500000</v>
      </c>
      <c r="J374" s="9">
        <v>0.04</v>
      </c>
      <c r="K374" s="6" t="s">
        <v>259</v>
      </c>
    </row>
    <row r="375" spans="1:11" x14ac:dyDescent="0.2">
      <c r="A375" s="6" t="s">
        <v>670</v>
      </c>
      <c r="B375" s="6">
        <v>0</v>
      </c>
      <c r="C375" s="6" t="s">
        <v>188</v>
      </c>
      <c r="D375" s="6" t="s">
        <v>278</v>
      </c>
      <c r="E375" s="7"/>
      <c r="F375" s="7"/>
      <c r="G375" s="8"/>
      <c r="H375" s="8">
        <v>200000000</v>
      </c>
      <c r="I375" s="8">
        <v>4000000</v>
      </c>
      <c r="J375" s="9">
        <v>0.03</v>
      </c>
      <c r="K375" s="6" t="s">
        <v>259</v>
      </c>
    </row>
    <row r="376" spans="1:11" x14ac:dyDescent="0.2">
      <c r="A376" s="6" t="s">
        <v>670</v>
      </c>
      <c r="B376" s="6">
        <v>0</v>
      </c>
      <c r="C376" s="6" t="s">
        <v>188</v>
      </c>
      <c r="D376" s="6" t="s">
        <v>278</v>
      </c>
      <c r="E376" s="7"/>
      <c r="F376" s="7"/>
      <c r="G376" s="8"/>
      <c r="H376" s="8">
        <v>200000000</v>
      </c>
      <c r="I376" s="8">
        <f>1100000/0.06</f>
        <v>18333333.333333336</v>
      </c>
      <c r="J376" s="9">
        <v>0.06</v>
      </c>
      <c r="K376" s="6" t="s">
        <v>259</v>
      </c>
    </row>
    <row r="377" spans="1:11" x14ac:dyDescent="0.2">
      <c r="A377" s="6" t="s">
        <v>670</v>
      </c>
      <c r="B377" s="6">
        <v>1</v>
      </c>
      <c r="C377" s="6" t="s">
        <v>188</v>
      </c>
      <c r="D377" s="6" t="s">
        <v>278</v>
      </c>
      <c r="E377" s="7"/>
      <c r="F377" s="7"/>
      <c r="G377" s="8"/>
      <c r="H377" s="8">
        <v>200000000</v>
      </c>
      <c r="I377" s="8">
        <f>825000/0.75</f>
        <v>1100000</v>
      </c>
      <c r="J377" s="9">
        <v>7.4999999999999997E-2</v>
      </c>
      <c r="K377" s="6" t="s">
        <v>259</v>
      </c>
    </row>
    <row r="378" spans="1:11" x14ac:dyDescent="0.2">
      <c r="A378" s="6" t="s">
        <v>670</v>
      </c>
      <c r="B378" s="6">
        <v>0</v>
      </c>
      <c r="C378" s="6" t="s">
        <v>183</v>
      </c>
      <c r="D378" s="6" t="s">
        <v>278</v>
      </c>
      <c r="E378" s="7">
        <v>44271</v>
      </c>
      <c r="F378" s="7">
        <v>44271</v>
      </c>
      <c r="G378" s="8">
        <v>1</v>
      </c>
      <c r="H378" s="8">
        <v>200000000</v>
      </c>
      <c r="I378" s="8">
        <v>250000</v>
      </c>
      <c r="J378" s="9">
        <v>0.1</v>
      </c>
      <c r="K378" s="6" t="s">
        <v>259</v>
      </c>
    </row>
    <row r="379" spans="1:11" x14ac:dyDescent="0.2">
      <c r="A379" s="6" t="s">
        <v>670</v>
      </c>
      <c r="B379" s="6">
        <v>0</v>
      </c>
      <c r="C379" s="6" t="s">
        <v>183</v>
      </c>
      <c r="D379" s="6" t="s">
        <v>278</v>
      </c>
      <c r="E379" s="7">
        <v>44271</v>
      </c>
      <c r="F379" s="7">
        <v>44271</v>
      </c>
      <c r="G379" s="8">
        <v>1</v>
      </c>
      <c r="H379" s="8">
        <v>200000000</v>
      </c>
      <c r="I379" s="8">
        <v>1000000</v>
      </c>
      <c r="J379" s="9">
        <v>0.1</v>
      </c>
      <c r="K379" s="6" t="s">
        <v>259</v>
      </c>
    </row>
    <row r="380" spans="1:11" x14ac:dyDescent="0.2">
      <c r="A380" s="6" t="s">
        <v>256</v>
      </c>
      <c r="B380" s="6">
        <v>0</v>
      </c>
      <c r="C380" s="6" t="s">
        <v>183</v>
      </c>
      <c r="D380" s="6" t="s">
        <v>278</v>
      </c>
      <c r="E380" s="7">
        <v>42885</v>
      </c>
      <c r="F380" s="7">
        <v>42915</v>
      </c>
      <c r="G380" s="8">
        <v>31</v>
      </c>
      <c r="H380" s="8">
        <v>3969565</v>
      </c>
      <c r="I380" s="8">
        <f>H380*93%</f>
        <v>3691695.45</v>
      </c>
      <c r="J380" s="9">
        <v>10</v>
      </c>
      <c r="K380" s="6" t="s">
        <v>259</v>
      </c>
    </row>
    <row r="381" spans="1:11" x14ac:dyDescent="0.2">
      <c r="A381" s="6" t="s">
        <v>63</v>
      </c>
      <c r="B381" s="6">
        <v>0</v>
      </c>
      <c r="C381" s="6" t="s">
        <v>183</v>
      </c>
      <c r="D381" s="6" t="s">
        <v>278</v>
      </c>
      <c r="E381" s="7">
        <v>43699</v>
      </c>
      <c r="F381" s="7">
        <v>43699</v>
      </c>
      <c r="G381" s="8">
        <v>1</v>
      </c>
      <c r="H381" s="8">
        <v>1000000000000</v>
      </c>
      <c r="I381" s="8">
        <f>H381*20%</f>
        <v>200000000000</v>
      </c>
      <c r="J381" s="9">
        <v>2.5000000000000001E-3</v>
      </c>
      <c r="K381" s="6" t="s">
        <v>259</v>
      </c>
    </row>
    <row r="382" spans="1:11" x14ac:dyDescent="0.2">
      <c r="A382" s="6" t="s">
        <v>34</v>
      </c>
      <c r="B382" s="6">
        <v>0</v>
      </c>
      <c r="C382" s="6" t="s">
        <v>188</v>
      </c>
      <c r="D382" s="6" t="s">
        <v>278</v>
      </c>
      <c r="E382" s="7">
        <v>44039</v>
      </c>
      <c r="F382" s="7">
        <v>44043</v>
      </c>
      <c r="G382" s="8">
        <v>5</v>
      </c>
      <c r="H382" s="8">
        <v>120000000</v>
      </c>
      <c r="I382" s="8">
        <v>60000000</v>
      </c>
      <c r="J382" s="9">
        <v>0.22</v>
      </c>
      <c r="K382" s="6" t="s">
        <v>259</v>
      </c>
    </row>
    <row r="383" spans="1:11" x14ac:dyDescent="0.2">
      <c r="A383" s="6" t="s">
        <v>529</v>
      </c>
      <c r="B383" s="6">
        <v>0</v>
      </c>
      <c r="C383" s="6" t="s">
        <v>183</v>
      </c>
      <c r="D383" s="6" t="s">
        <v>278</v>
      </c>
      <c r="E383" s="7">
        <v>44286</v>
      </c>
      <c r="F383" s="7">
        <v>44286</v>
      </c>
      <c r="G383" s="8">
        <v>1</v>
      </c>
      <c r="H383" s="8">
        <v>10000000</v>
      </c>
      <c r="I383" s="8">
        <v>285000</v>
      </c>
      <c r="J383" s="9">
        <v>0.35</v>
      </c>
      <c r="K383" s="6" t="s">
        <v>259</v>
      </c>
    </row>
    <row r="384" spans="1:11" x14ac:dyDescent="0.2">
      <c r="A384" s="6" t="s">
        <v>255</v>
      </c>
      <c r="B384" s="6">
        <v>0</v>
      </c>
      <c r="C384" s="6" t="s">
        <v>183</v>
      </c>
      <c r="D384" s="6" t="s">
        <v>278</v>
      </c>
      <c r="E384" s="7">
        <v>42954</v>
      </c>
      <c r="F384" s="7">
        <v>42955</v>
      </c>
      <c r="G384" s="8">
        <v>2</v>
      </c>
      <c r="H384" s="8">
        <v>3141591653</v>
      </c>
      <c r="I384" s="8">
        <f>H384/2</f>
        <v>1570795826.5</v>
      </c>
      <c r="J384" s="9">
        <v>6.3600000000000002E-3</v>
      </c>
      <c r="K384" s="6" t="s">
        <v>259</v>
      </c>
    </row>
    <row r="385" spans="1:11" x14ac:dyDescent="0.2">
      <c r="A385" s="6" t="s">
        <v>587</v>
      </c>
      <c r="B385" s="6">
        <v>0</v>
      </c>
      <c r="C385" s="6" t="s">
        <v>188</v>
      </c>
      <c r="D385" s="6" t="s">
        <v>278</v>
      </c>
      <c r="E385" s="7"/>
      <c r="F385" s="7"/>
      <c r="G385" s="8"/>
      <c r="H385" s="8">
        <v>1000000000</v>
      </c>
      <c r="I385" s="8">
        <v>50000000</v>
      </c>
      <c r="J385" s="9">
        <v>0.01</v>
      </c>
      <c r="K385" s="6" t="s">
        <v>259</v>
      </c>
    </row>
    <row r="386" spans="1:11" x14ac:dyDescent="0.2">
      <c r="A386" s="6" t="s">
        <v>587</v>
      </c>
      <c r="B386" s="6">
        <v>0</v>
      </c>
      <c r="C386" s="6" t="s">
        <v>188</v>
      </c>
      <c r="D386" s="6" t="s">
        <v>278</v>
      </c>
      <c r="E386" s="7"/>
      <c r="F386" s="7"/>
      <c r="G386" s="8"/>
      <c r="H386" s="8">
        <v>1000000000</v>
      </c>
      <c r="I386" s="8">
        <v>100000000</v>
      </c>
      <c r="J386" s="9">
        <v>1.4999999999999999E-2</v>
      </c>
      <c r="K386" s="6" t="s">
        <v>259</v>
      </c>
    </row>
    <row r="387" spans="1:11" x14ac:dyDescent="0.2">
      <c r="A387" s="6" t="s">
        <v>587</v>
      </c>
      <c r="B387" s="6">
        <v>0</v>
      </c>
      <c r="C387" s="6" t="s">
        <v>188</v>
      </c>
      <c r="D387" s="6" t="s">
        <v>278</v>
      </c>
      <c r="E387" s="7"/>
      <c r="F387" s="7"/>
      <c r="G387" s="8"/>
      <c r="H387" s="8">
        <v>1000000000</v>
      </c>
      <c r="I387" s="8">
        <v>75000000</v>
      </c>
      <c r="J387" s="9">
        <v>0.02</v>
      </c>
      <c r="K387" s="6" t="s">
        <v>259</v>
      </c>
    </row>
    <row r="388" spans="1:11" x14ac:dyDescent="0.2">
      <c r="A388" s="6" t="s">
        <v>587</v>
      </c>
      <c r="B388" s="6">
        <v>0</v>
      </c>
      <c r="C388" s="6" t="s">
        <v>183</v>
      </c>
      <c r="D388" s="6" t="s">
        <v>278</v>
      </c>
      <c r="E388" s="7">
        <v>44175</v>
      </c>
      <c r="F388" s="7">
        <v>44175</v>
      </c>
      <c r="G388" s="8">
        <v>1</v>
      </c>
      <c r="H388" s="8">
        <v>1000000000</v>
      </c>
      <c r="I388" s="8">
        <f>1000000000*1%</f>
        <v>10000000</v>
      </c>
      <c r="J388" s="9">
        <v>1.4999999999999999E-2</v>
      </c>
      <c r="K388" s="6" t="s">
        <v>259</v>
      </c>
    </row>
    <row r="389" spans="1:11" x14ac:dyDescent="0.2">
      <c r="A389" s="6" t="s">
        <v>239</v>
      </c>
      <c r="B389" s="6">
        <v>0</v>
      </c>
      <c r="C389" s="6" t="s">
        <v>183</v>
      </c>
      <c r="D389" s="6" t="s">
        <v>278</v>
      </c>
      <c r="E389" s="7">
        <v>43015</v>
      </c>
      <c r="F389" s="7">
        <v>43015</v>
      </c>
      <c r="G389" s="8">
        <v>1</v>
      </c>
      <c r="H389" s="8">
        <v>165000000</v>
      </c>
      <c r="I389" s="8">
        <v>82500000</v>
      </c>
      <c r="J389" s="9">
        <v>0.34</v>
      </c>
      <c r="K389" s="6" t="s">
        <v>259</v>
      </c>
    </row>
    <row r="390" spans="1:11" x14ac:dyDescent="0.2">
      <c r="A390" s="6" t="s">
        <v>194</v>
      </c>
      <c r="B390" s="6">
        <v>1</v>
      </c>
      <c r="C390" s="6" t="s">
        <v>183</v>
      </c>
      <c r="D390" s="6" t="s">
        <v>278</v>
      </c>
      <c r="E390" s="7">
        <v>43090</v>
      </c>
      <c r="F390" s="7">
        <v>43090</v>
      </c>
      <c r="G390" s="8">
        <v>1</v>
      </c>
      <c r="H390" s="8">
        <v>1000000000</v>
      </c>
      <c r="I390" s="8">
        <v>200000000</v>
      </c>
      <c r="J390" s="9">
        <v>0.12</v>
      </c>
      <c r="K390" s="6" t="s">
        <v>259</v>
      </c>
    </row>
    <row r="391" spans="1:11" x14ac:dyDescent="0.2">
      <c r="A391" s="6" t="s">
        <v>72</v>
      </c>
      <c r="B391" s="6">
        <v>0</v>
      </c>
      <c r="C391" s="6" t="s">
        <v>183</v>
      </c>
      <c r="D391" s="6" t="s">
        <v>278</v>
      </c>
      <c r="E391" s="7">
        <v>43630</v>
      </c>
      <c r="F391" s="7">
        <v>43630</v>
      </c>
      <c r="G391" s="8">
        <v>1</v>
      </c>
      <c r="H391" s="8">
        <v>31415926535</v>
      </c>
      <c r="I391" s="8">
        <f>H391*31.5%</f>
        <v>9896016858.5249996</v>
      </c>
      <c r="J391" s="9">
        <v>1E-3</v>
      </c>
      <c r="K391" s="6" t="s">
        <v>259</v>
      </c>
    </row>
    <row r="392" spans="1:11" x14ac:dyDescent="0.2">
      <c r="A392" s="6" t="s">
        <v>224</v>
      </c>
      <c r="B392" s="6">
        <v>0</v>
      </c>
      <c r="C392" s="6" t="s">
        <v>183</v>
      </c>
      <c r="D392" s="6" t="s">
        <v>278</v>
      </c>
      <c r="E392" s="7">
        <v>43044</v>
      </c>
      <c r="F392" s="7">
        <v>43047</v>
      </c>
      <c r="G392" s="8">
        <v>4</v>
      </c>
      <c r="H392" s="8">
        <v>1000000000</v>
      </c>
      <c r="I392" s="8">
        <v>350000000</v>
      </c>
      <c r="J392" s="9">
        <v>8.0000000000000004E-4</v>
      </c>
      <c r="K392" s="6" t="s">
        <v>2</v>
      </c>
    </row>
    <row r="393" spans="1:11" x14ac:dyDescent="0.2">
      <c r="A393" s="6" t="s">
        <v>193</v>
      </c>
      <c r="B393" s="6">
        <v>0</v>
      </c>
      <c r="C393" s="6" t="s">
        <v>183</v>
      </c>
      <c r="D393" s="6" t="s">
        <v>278</v>
      </c>
      <c r="E393" s="7">
        <v>43091</v>
      </c>
      <c r="F393" s="7">
        <v>43091</v>
      </c>
      <c r="G393" s="8">
        <v>1</v>
      </c>
      <c r="H393" s="8">
        <v>600000000</v>
      </c>
      <c r="I393" s="8">
        <v>240000000</v>
      </c>
      <c r="J393" s="9">
        <f>1/520</f>
        <v>1.9230769230769232E-3</v>
      </c>
      <c r="K393" s="6" t="s">
        <v>3</v>
      </c>
    </row>
    <row r="394" spans="1:11" x14ac:dyDescent="0.2">
      <c r="A394" s="6" t="s">
        <v>220</v>
      </c>
      <c r="B394" s="6">
        <v>0</v>
      </c>
      <c r="C394" s="6" t="s">
        <v>183</v>
      </c>
      <c r="D394" s="6" t="s">
        <v>278</v>
      </c>
      <c r="E394" s="7">
        <v>43055</v>
      </c>
      <c r="F394" s="7">
        <v>43057</v>
      </c>
      <c r="G394" s="8">
        <v>2</v>
      </c>
      <c r="H394" s="8">
        <v>1000000000</v>
      </c>
      <c r="I394" s="8">
        <v>650000000</v>
      </c>
      <c r="J394" s="9">
        <v>0.06</v>
      </c>
      <c r="K394" s="6" t="s">
        <v>259</v>
      </c>
    </row>
    <row r="395" spans="1:11" x14ac:dyDescent="0.2">
      <c r="A395" s="6" t="s">
        <v>220</v>
      </c>
      <c r="B395" s="6">
        <v>1</v>
      </c>
      <c r="C395" s="6" t="s">
        <v>188</v>
      </c>
      <c r="D395" s="6" t="s">
        <v>278</v>
      </c>
      <c r="E395" s="7">
        <v>43018</v>
      </c>
      <c r="F395" s="7">
        <v>43046</v>
      </c>
      <c r="G395" s="8">
        <v>29</v>
      </c>
      <c r="H395" s="8">
        <v>1000000000</v>
      </c>
      <c r="I395" s="8">
        <v>11000000</v>
      </c>
      <c r="J395" s="9"/>
      <c r="K395" s="6"/>
    </row>
    <row r="396" spans="1:11" x14ac:dyDescent="0.2">
      <c r="A396" s="6" t="s">
        <v>552</v>
      </c>
      <c r="B396" s="6">
        <v>0</v>
      </c>
      <c r="C396" s="6" t="s">
        <v>183</v>
      </c>
      <c r="D396" s="6" t="s">
        <v>278</v>
      </c>
      <c r="E396" s="7">
        <v>44252</v>
      </c>
      <c r="F396" s="7">
        <v>44254</v>
      </c>
      <c r="G396" s="8">
        <v>3</v>
      </c>
      <c r="H396" s="8">
        <v>100000000</v>
      </c>
      <c r="I396" s="8">
        <f>100000000*3.75%</f>
        <v>3750000</v>
      </c>
      <c r="J396" s="9">
        <v>15.4</v>
      </c>
      <c r="K396" s="6" t="s">
        <v>259</v>
      </c>
    </row>
    <row r="397" spans="1:11" x14ac:dyDescent="0.2">
      <c r="A397" s="6" t="s">
        <v>526</v>
      </c>
      <c r="B397" s="6">
        <v>1</v>
      </c>
      <c r="C397" s="6" t="s">
        <v>188</v>
      </c>
      <c r="D397" s="6" t="s">
        <v>278</v>
      </c>
      <c r="E397" s="7"/>
      <c r="F397" s="7"/>
      <c r="G397" s="8"/>
      <c r="H397" s="8">
        <v>400000000</v>
      </c>
      <c r="I397" s="8">
        <v>16000000</v>
      </c>
      <c r="J397" s="9">
        <v>1.4999999999999999E-2</v>
      </c>
      <c r="K397" s="6" t="s">
        <v>259</v>
      </c>
    </row>
    <row r="398" spans="1:11" x14ac:dyDescent="0.2">
      <c r="A398" s="6" t="s">
        <v>526</v>
      </c>
      <c r="B398" s="6">
        <v>1</v>
      </c>
      <c r="C398" s="6" t="s">
        <v>188</v>
      </c>
      <c r="D398" s="6" t="s">
        <v>278</v>
      </c>
      <c r="E398" s="7"/>
      <c r="F398" s="7"/>
      <c r="G398" s="8"/>
      <c r="H398" s="8">
        <v>400000000</v>
      </c>
      <c r="I398" s="8">
        <v>56000000</v>
      </c>
      <c r="J398" s="9">
        <v>2.5000000000000001E-2</v>
      </c>
      <c r="K398" s="6" t="s">
        <v>259</v>
      </c>
    </row>
    <row r="399" spans="1:11" x14ac:dyDescent="0.2">
      <c r="A399" s="6" t="s">
        <v>526</v>
      </c>
      <c r="B399" s="6">
        <v>0</v>
      </c>
      <c r="C399" s="6" t="s">
        <v>183</v>
      </c>
      <c r="D399" s="6" t="s">
        <v>402</v>
      </c>
      <c r="E399" s="7">
        <v>44286</v>
      </c>
      <c r="F399" s="7">
        <v>44286</v>
      </c>
      <c r="G399" s="8">
        <v>1</v>
      </c>
      <c r="H399" s="8">
        <v>400000000</v>
      </c>
      <c r="I399" s="8">
        <v>4000000</v>
      </c>
      <c r="J399" s="9">
        <v>0.04</v>
      </c>
      <c r="K399" s="6" t="s">
        <v>259</v>
      </c>
    </row>
    <row r="400" spans="1:11" x14ac:dyDescent="0.2">
      <c r="A400" s="6" t="s">
        <v>13</v>
      </c>
      <c r="B400" s="6">
        <v>0</v>
      </c>
      <c r="C400" s="6" t="s">
        <v>188</v>
      </c>
      <c r="D400" s="6" t="s">
        <v>278</v>
      </c>
      <c r="E400" s="7"/>
      <c r="F400" s="7"/>
      <c r="G400" s="8"/>
      <c r="H400" s="8">
        <v>1000000000</v>
      </c>
      <c r="I400" s="8">
        <v>180000000</v>
      </c>
      <c r="J400" s="9">
        <v>6.0000000000000001E-3</v>
      </c>
      <c r="K400" s="6" t="s">
        <v>259</v>
      </c>
    </row>
    <row r="401" spans="1:11" x14ac:dyDescent="0.2">
      <c r="A401" s="6" t="s">
        <v>13</v>
      </c>
      <c r="B401" s="6">
        <v>0</v>
      </c>
      <c r="C401" s="6" t="s">
        <v>183</v>
      </c>
      <c r="D401" s="6" t="s">
        <v>278</v>
      </c>
      <c r="E401" s="7">
        <v>44114</v>
      </c>
      <c r="F401" s="7">
        <v>44114</v>
      </c>
      <c r="G401" s="8">
        <v>1</v>
      </c>
      <c r="H401" s="8">
        <v>1000000000</v>
      </c>
      <c r="I401" s="8">
        <v>10000000</v>
      </c>
      <c r="J401" s="9">
        <v>8.0000000000000002E-3</v>
      </c>
      <c r="K401" s="6" t="s">
        <v>259</v>
      </c>
    </row>
    <row r="402" spans="1:11" x14ac:dyDescent="0.2">
      <c r="A402" s="6" t="s">
        <v>568</v>
      </c>
      <c r="B402" s="6">
        <v>0</v>
      </c>
      <c r="C402" s="6" t="s">
        <v>188</v>
      </c>
      <c r="D402" s="6" t="s">
        <v>278</v>
      </c>
      <c r="E402" s="7"/>
      <c r="F402" s="7"/>
      <c r="G402" s="8"/>
      <c r="H402" s="8">
        <v>1000000000</v>
      </c>
      <c r="I402" s="8">
        <v>40000000</v>
      </c>
      <c r="J402" s="9">
        <v>6.2500000000000003E-3</v>
      </c>
      <c r="K402" s="6" t="s">
        <v>259</v>
      </c>
    </row>
    <row r="403" spans="1:11" x14ac:dyDescent="0.2">
      <c r="A403" s="6" t="s">
        <v>568</v>
      </c>
      <c r="B403" s="6">
        <v>0</v>
      </c>
      <c r="C403" s="6" t="s">
        <v>188</v>
      </c>
      <c r="D403" s="6" t="s">
        <v>278</v>
      </c>
      <c r="E403" s="7"/>
      <c r="F403" s="7"/>
      <c r="G403" s="8"/>
      <c r="H403" s="8">
        <v>1000000000</v>
      </c>
      <c r="I403" s="8">
        <v>109000000</v>
      </c>
      <c r="J403" s="9">
        <v>1.4999999999999999E-2</v>
      </c>
      <c r="K403" s="6" t="s">
        <v>259</v>
      </c>
    </row>
    <row r="404" spans="1:11" x14ac:dyDescent="0.2">
      <c r="A404" s="6" t="s">
        <v>568</v>
      </c>
      <c r="B404" s="6">
        <v>0</v>
      </c>
      <c r="C404" s="6" t="s">
        <v>188</v>
      </c>
      <c r="D404" s="6" t="s">
        <v>278</v>
      </c>
      <c r="E404" s="7"/>
      <c r="F404" s="7"/>
      <c r="G404" s="8"/>
      <c r="H404" s="8">
        <v>1000000000</v>
      </c>
      <c r="I404" s="8">
        <v>73000000</v>
      </c>
      <c r="J404" s="9">
        <v>2.5000000000000001E-2</v>
      </c>
      <c r="K404" s="6" t="s">
        <v>259</v>
      </c>
    </row>
    <row r="405" spans="1:11" x14ac:dyDescent="0.2">
      <c r="A405" s="6" t="s">
        <v>568</v>
      </c>
      <c r="B405" s="6">
        <v>0</v>
      </c>
      <c r="C405" s="6" t="s">
        <v>183</v>
      </c>
      <c r="D405" s="6" t="s">
        <v>278</v>
      </c>
      <c r="E405" s="7">
        <v>44231</v>
      </c>
      <c r="F405" s="7">
        <v>44234</v>
      </c>
      <c r="G405" s="8">
        <v>4</v>
      </c>
      <c r="H405" s="8">
        <v>1000000000</v>
      </c>
      <c r="I405" s="8">
        <v>20000000</v>
      </c>
      <c r="J405" s="9">
        <v>0.53</v>
      </c>
      <c r="K405" s="6" t="s">
        <v>259</v>
      </c>
    </row>
    <row r="406" spans="1:11" x14ac:dyDescent="0.2">
      <c r="A406" s="6" t="s">
        <v>225</v>
      </c>
      <c r="B406" s="6">
        <v>0</v>
      </c>
      <c r="C406" s="6" t="s">
        <v>183</v>
      </c>
      <c r="D406" s="6" t="s">
        <v>278</v>
      </c>
      <c r="E406" s="7">
        <v>43032</v>
      </c>
      <c r="F406" s="7">
        <v>43044</v>
      </c>
      <c r="G406" s="8">
        <v>13</v>
      </c>
      <c r="H406" s="8">
        <v>1000000000</v>
      </c>
      <c r="I406" s="8">
        <v>510000000</v>
      </c>
      <c r="J406" s="9">
        <v>2.5000000000000001E-4</v>
      </c>
      <c r="K406" s="6" t="s">
        <v>2</v>
      </c>
    </row>
    <row r="407" spans="1:11" x14ac:dyDescent="0.2">
      <c r="A407" s="6" t="s">
        <v>241</v>
      </c>
      <c r="B407" s="6">
        <v>0</v>
      </c>
      <c r="C407" s="6" t="s">
        <v>183</v>
      </c>
      <c r="D407" s="6" t="s">
        <v>278</v>
      </c>
      <c r="E407" s="7">
        <v>42977</v>
      </c>
      <c r="F407" s="7">
        <v>43007</v>
      </c>
      <c r="G407" s="8">
        <v>30</v>
      </c>
      <c r="H407" s="8">
        <v>100000000</v>
      </c>
      <c r="I407" s="8">
        <v>51000000</v>
      </c>
      <c r="J407" s="9">
        <f>1/220</f>
        <v>4.5454545454545452E-3</v>
      </c>
      <c r="K407" s="6" t="s">
        <v>2</v>
      </c>
    </row>
    <row r="408" spans="1:11" x14ac:dyDescent="0.2">
      <c r="A408" s="6" t="s">
        <v>593</v>
      </c>
      <c r="B408" s="6">
        <v>0</v>
      </c>
      <c r="C408" s="6" t="s">
        <v>188</v>
      </c>
      <c r="D408" s="6" t="s">
        <v>278</v>
      </c>
      <c r="E408" s="7"/>
      <c r="F408" s="7"/>
      <c r="G408" s="8"/>
      <c r="H408" s="8">
        <v>20000000000</v>
      </c>
      <c r="I408" s="8">
        <v>1428571429</v>
      </c>
      <c r="J408" s="9">
        <v>6.9999999999999999E-4</v>
      </c>
      <c r="K408" s="6" t="s">
        <v>259</v>
      </c>
    </row>
    <row r="409" spans="1:11" x14ac:dyDescent="0.2">
      <c r="A409" s="6" t="s">
        <v>593</v>
      </c>
      <c r="B409" s="6">
        <v>0</v>
      </c>
      <c r="C409" s="6" t="s">
        <v>188</v>
      </c>
      <c r="D409" s="6" t="s">
        <v>278</v>
      </c>
      <c r="E409" s="7"/>
      <c r="F409" s="7"/>
      <c r="G409" s="8"/>
      <c r="H409" s="8">
        <v>20000000000</v>
      </c>
      <c r="I409" s="8">
        <v>1666666667</v>
      </c>
      <c r="J409" s="9">
        <v>8.9999999999999998E-4</v>
      </c>
      <c r="K409" s="6" t="s">
        <v>259</v>
      </c>
    </row>
    <row r="410" spans="1:11" x14ac:dyDescent="0.2">
      <c r="A410" s="6" t="s">
        <v>593</v>
      </c>
      <c r="B410" s="6">
        <v>0</v>
      </c>
      <c r="C410" s="6" t="s">
        <v>188</v>
      </c>
      <c r="D410" s="6" t="s">
        <v>278</v>
      </c>
      <c r="E410" s="7"/>
      <c r="F410" s="7"/>
      <c r="G410" s="8"/>
      <c r="H410" s="8">
        <v>20000000000</v>
      </c>
      <c r="I410" s="8">
        <v>1120000000</v>
      </c>
      <c r="J410" s="9">
        <v>1.25E-3</v>
      </c>
      <c r="K410" s="6" t="s">
        <v>259</v>
      </c>
    </row>
    <row r="411" spans="1:11" x14ac:dyDescent="0.2">
      <c r="A411" s="6" t="s">
        <v>162</v>
      </c>
      <c r="B411" s="6">
        <v>0</v>
      </c>
      <c r="C411" s="6" t="s">
        <v>183</v>
      </c>
      <c r="D411" s="6" t="s">
        <v>278</v>
      </c>
      <c r="E411" s="7">
        <v>43144</v>
      </c>
      <c r="F411" s="7">
        <v>43146</v>
      </c>
      <c r="G411" s="8">
        <v>3</v>
      </c>
      <c r="H411" s="8">
        <v>1000000000</v>
      </c>
      <c r="I411" s="8">
        <v>500000000</v>
      </c>
      <c r="J411" s="9">
        <v>0.04</v>
      </c>
      <c r="K411" s="6" t="s">
        <v>259</v>
      </c>
    </row>
    <row r="412" spans="1:11" x14ac:dyDescent="0.2">
      <c r="A412" s="6" t="s">
        <v>233</v>
      </c>
      <c r="B412" s="6">
        <v>0</v>
      </c>
      <c r="C412" s="6" t="s">
        <v>183</v>
      </c>
      <c r="D412" s="6" t="s">
        <v>278</v>
      </c>
      <c r="E412" s="7">
        <v>43021</v>
      </c>
      <c r="F412" s="7">
        <v>43023</v>
      </c>
      <c r="G412" s="8">
        <v>3</v>
      </c>
      <c r="H412" s="8">
        <v>1000000000</v>
      </c>
      <c r="I412" s="8">
        <v>500000000</v>
      </c>
      <c r="J412" s="9">
        <v>6.7199999999999996E-2</v>
      </c>
      <c r="K412" s="6" t="s">
        <v>259</v>
      </c>
    </row>
    <row r="413" spans="1:11" x14ac:dyDescent="0.2">
      <c r="A413" s="6" t="s">
        <v>61</v>
      </c>
      <c r="B413" s="6">
        <v>0</v>
      </c>
      <c r="C413" s="6" t="s">
        <v>183</v>
      </c>
      <c r="D413" s="6" t="s">
        <v>278</v>
      </c>
      <c r="E413" s="7">
        <v>43679</v>
      </c>
      <c r="F413" s="7">
        <v>43700</v>
      </c>
      <c r="G413" s="8"/>
      <c r="H413" s="8">
        <v>186000000</v>
      </c>
      <c r="I413" s="8">
        <v>1400000</v>
      </c>
      <c r="J413" s="9">
        <v>0.30523</v>
      </c>
      <c r="K413" s="6" t="s">
        <v>259</v>
      </c>
    </row>
    <row r="414" spans="1:11" x14ac:dyDescent="0.2">
      <c r="A414" s="6" t="s">
        <v>61</v>
      </c>
      <c r="B414" s="6">
        <v>0</v>
      </c>
      <c r="C414" s="6" t="s">
        <v>188</v>
      </c>
      <c r="D414" s="6" t="s">
        <v>278</v>
      </c>
      <c r="E414" s="7"/>
      <c r="F414" s="7"/>
      <c r="G414" s="8"/>
      <c r="H414" s="8">
        <v>186000000</v>
      </c>
      <c r="I414" s="8">
        <v>5400000</v>
      </c>
      <c r="J414" s="9">
        <v>0.30523</v>
      </c>
      <c r="K414" s="6" t="s">
        <v>259</v>
      </c>
    </row>
    <row r="415" spans="1:11" x14ac:dyDescent="0.2">
      <c r="A415" s="6" t="s">
        <v>160</v>
      </c>
      <c r="B415" s="6">
        <v>0</v>
      </c>
      <c r="C415" s="6" t="s">
        <v>183</v>
      </c>
      <c r="D415" s="6" t="s">
        <v>278</v>
      </c>
      <c r="E415" s="7">
        <v>43139</v>
      </c>
      <c r="F415" s="7">
        <v>43139</v>
      </c>
      <c r="G415" s="8">
        <v>1</v>
      </c>
      <c r="H415" s="8">
        <v>5000000000</v>
      </c>
      <c r="I415" s="8">
        <f>H415*40%</f>
        <v>2000000000</v>
      </c>
      <c r="J415" s="9">
        <v>2.5999999999999998E-5</v>
      </c>
      <c r="K415" s="6" t="s">
        <v>2</v>
      </c>
    </row>
    <row r="416" spans="1:11" x14ac:dyDescent="0.2">
      <c r="A416" s="6" t="s">
        <v>384</v>
      </c>
      <c r="B416" s="6">
        <v>0</v>
      </c>
      <c r="C416" s="6" t="s">
        <v>183</v>
      </c>
      <c r="D416" s="6" t="s">
        <v>278</v>
      </c>
      <c r="E416" s="7">
        <v>42843</v>
      </c>
      <c r="F416" s="7">
        <v>46495</v>
      </c>
      <c r="G416" s="8">
        <v>1</v>
      </c>
      <c r="H416" s="8">
        <v>87000000</v>
      </c>
      <c r="I416" s="8"/>
      <c r="J416" s="9">
        <v>0.25</v>
      </c>
      <c r="K416" s="6" t="s">
        <v>259</v>
      </c>
    </row>
    <row r="417" spans="1:11" x14ac:dyDescent="0.2">
      <c r="A417" s="6" t="s">
        <v>121</v>
      </c>
      <c r="B417" s="6">
        <v>0</v>
      </c>
      <c r="C417" s="6" t="s">
        <v>183</v>
      </c>
      <c r="D417" s="6" t="s">
        <v>278</v>
      </c>
      <c r="E417" s="7">
        <v>43250</v>
      </c>
      <c r="F417" s="7">
        <v>43251</v>
      </c>
      <c r="G417" s="8">
        <v>2</v>
      </c>
      <c r="H417" s="8">
        <v>129498559</v>
      </c>
      <c r="I417" s="8">
        <v>38850000</v>
      </c>
      <c r="J417" s="9">
        <v>1</v>
      </c>
      <c r="K417" s="6" t="s">
        <v>259</v>
      </c>
    </row>
    <row r="418" spans="1:11" x14ac:dyDescent="0.2">
      <c r="A418" s="6" t="s">
        <v>53</v>
      </c>
      <c r="B418" s="6">
        <v>0</v>
      </c>
      <c r="C418" s="6" t="s">
        <v>188</v>
      </c>
      <c r="D418" s="6" t="s">
        <v>278</v>
      </c>
      <c r="E418" s="7"/>
      <c r="F418" s="7"/>
      <c r="G418" s="8"/>
      <c r="H418" s="8">
        <v>10000000</v>
      </c>
      <c r="I418" s="8">
        <v>650000</v>
      </c>
      <c r="J418" s="9">
        <v>0.125</v>
      </c>
      <c r="K418" s="6" t="s">
        <v>259</v>
      </c>
    </row>
    <row r="419" spans="1:11" x14ac:dyDescent="0.2">
      <c r="A419" s="6" t="s">
        <v>53</v>
      </c>
      <c r="B419" s="6">
        <v>1</v>
      </c>
      <c r="C419" s="6" t="s">
        <v>188</v>
      </c>
      <c r="D419" s="6" t="s">
        <v>278</v>
      </c>
      <c r="E419" s="7"/>
      <c r="F419" s="7"/>
      <c r="G419" s="8"/>
      <c r="H419" s="8">
        <v>10000000</v>
      </c>
      <c r="I419" s="8">
        <v>2400000</v>
      </c>
      <c r="J419" s="9">
        <v>0.15</v>
      </c>
      <c r="K419" s="6" t="s">
        <v>259</v>
      </c>
    </row>
    <row r="420" spans="1:11" x14ac:dyDescent="0.2">
      <c r="A420" s="6" t="s">
        <v>53</v>
      </c>
      <c r="B420" s="6">
        <v>0</v>
      </c>
      <c r="C420" s="6" t="s">
        <v>183</v>
      </c>
      <c r="D420" s="6" t="s">
        <v>278</v>
      </c>
      <c r="E420" s="7">
        <v>44296</v>
      </c>
      <c r="F420" s="7">
        <v>44296</v>
      </c>
      <c r="G420" s="8">
        <v>1</v>
      </c>
      <c r="H420" s="8">
        <v>10000000</v>
      </c>
      <c r="I420" s="8">
        <v>350000</v>
      </c>
      <c r="J420" s="9">
        <v>0.2</v>
      </c>
      <c r="K420" s="6" t="s">
        <v>259</v>
      </c>
    </row>
    <row r="421" spans="1:11" x14ac:dyDescent="0.2">
      <c r="A421" s="6" t="s">
        <v>55</v>
      </c>
      <c r="B421" s="6">
        <v>0</v>
      </c>
      <c r="C421" s="6" t="s">
        <v>188</v>
      </c>
      <c r="D421" s="6" t="s">
        <v>278</v>
      </c>
      <c r="E421" s="7">
        <v>43726</v>
      </c>
      <c r="F421" s="7">
        <v>43738</v>
      </c>
      <c r="G421" s="8">
        <v>12</v>
      </c>
      <c r="H421" s="8">
        <v>405002002</v>
      </c>
      <c r="I421" s="8">
        <v>344251702</v>
      </c>
      <c r="J421" s="9">
        <v>1.27131E-2</v>
      </c>
      <c r="K421" s="6" t="s">
        <v>259</v>
      </c>
    </row>
    <row r="422" spans="1:11" x14ac:dyDescent="0.2">
      <c r="A422" s="6" t="s">
        <v>75</v>
      </c>
      <c r="B422" s="6">
        <v>0</v>
      </c>
      <c r="C422" s="6" t="s">
        <v>188</v>
      </c>
      <c r="D422" s="6" t="s">
        <v>278</v>
      </c>
      <c r="E422" s="7"/>
      <c r="F422" s="7"/>
      <c r="G422" s="8"/>
      <c r="H422" s="8">
        <v>100000000000</v>
      </c>
      <c r="I422" s="8">
        <v>12392000000</v>
      </c>
      <c r="J422" s="9">
        <v>4.0000000000000002E-4</v>
      </c>
      <c r="K422" s="6" t="s">
        <v>259</v>
      </c>
    </row>
    <row r="423" spans="1:11" x14ac:dyDescent="0.2">
      <c r="A423" s="6" t="s">
        <v>75</v>
      </c>
      <c r="B423" s="6">
        <v>0</v>
      </c>
      <c r="C423" s="6" t="s">
        <v>188</v>
      </c>
      <c r="D423" s="6" t="s">
        <v>278</v>
      </c>
      <c r="E423" s="7"/>
      <c r="F423" s="7"/>
      <c r="G423" s="8"/>
      <c r="H423" s="8">
        <v>100000000000</v>
      </c>
      <c r="I423" s="8">
        <v>1000000000</v>
      </c>
      <c r="J423" s="9">
        <v>2E-3</v>
      </c>
      <c r="K423" s="6" t="s">
        <v>259</v>
      </c>
    </row>
    <row r="424" spans="1:11" x14ac:dyDescent="0.2">
      <c r="A424" s="6" t="s">
        <v>75</v>
      </c>
      <c r="B424" s="6">
        <v>0</v>
      </c>
      <c r="C424" s="6" t="s">
        <v>183</v>
      </c>
      <c r="D424" s="6" t="s">
        <v>278</v>
      </c>
      <c r="E424" s="7">
        <v>43607</v>
      </c>
      <c r="F424" s="7">
        <v>43607</v>
      </c>
      <c r="G424" s="8">
        <v>1</v>
      </c>
      <c r="H424" s="8">
        <v>100000000000</v>
      </c>
      <c r="I424" s="8">
        <v>600000000</v>
      </c>
      <c r="J424" s="9">
        <v>6.0000000000000001E-3</v>
      </c>
      <c r="K424" s="6" t="s">
        <v>259</v>
      </c>
    </row>
    <row r="425" spans="1:11" x14ac:dyDescent="0.2">
      <c r="A425" s="6" t="s">
        <v>75</v>
      </c>
      <c r="B425" s="6">
        <v>0</v>
      </c>
      <c r="C425" s="6" t="s">
        <v>183</v>
      </c>
      <c r="D425" s="6" t="s">
        <v>278</v>
      </c>
      <c r="E425" s="7">
        <v>43607</v>
      </c>
      <c r="F425" s="7">
        <v>43607</v>
      </c>
      <c r="G425" s="8">
        <v>1</v>
      </c>
      <c r="H425" s="8">
        <v>100000000000</v>
      </c>
      <c r="I425" s="8">
        <v>2400000000</v>
      </c>
      <c r="J425" s="9">
        <v>1.1000000000000001E-3</v>
      </c>
      <c r="K425" s="6" t="s">
        <v>259</v>
      </c>
    </row>
    <row r="426" spans="1:11" x14ac:dyDescent="0.2">
      <c r="A426" s="6" t="s">
        <v>249</v>
      </c>
      <c r="B426" s="6">
        <v>0</v>
      </c>
      <c r="C426" s="6" t="s">
        <v>183</v>
      </c>
      <c r="D426" s="6" t="s">
        <v>278</v>
      </c>
      <c r="E426" s="7">
        <v>42956</v>
      </c>
      <c r="F426" s="7">
        <v>42987</v>
      </c>
      <c r="G426" s="8">
        <v>32</v>
      </c>
      <c r="H426" s="8">
        <v>200000000</v>
      </c>
      <c r="I426" s="8">
        <v>70000000</v>
      </c>
      <c r="J426" s="9">
        <f>1/333</f>
        <v>3.003003003003003E-3</v>
      </c>
      <c r="K426" s="6" t="s">
        <v>2</v>
      </c>
    </row>
    <row r="427" spans="1:11" x14ac:dyDescent="0.2">
      <c r="A427" s="6" t="s">
        <v>254</v>
      </c>
      <c r="B427" s="6">
        <v>0</v>
      </c>
      <c r="C427" s="6" t="s">
        <v>183</v>
      </c>
      <c r="D427" s="6" t="s">
        <v>278</v>
      </c>
      <c r="E427" s="7">
        <v>42947</v>
      </c>
      <c r="F427" s="7">
        <v>42961</v>
      </c>
      <c r="G427" s="8">
        <v>15</v>
      </c>
      <c r="H427" s="8">
        <v>120000000</v>
      </c>
      <c r="I427" s="8">
        <f>H427*45%</f>
        <v>54000000</v>
      </c>
      <c r="J427" s="9">
        <v>0.89</v>
      </c>
      <c r="K427" s="6" t="s">
        <v>259</v>
      </c>
    </row>
    <row r="428" spans="1:11" x14ac:dyDescent="0.2">
      <c r="A428" s="6" t="s">
        <v>31</v>
      </c>
      <c r="B428" s="6">
        <v>0</v>
      </c>
      <c r="C428" s="6" t="s">
        <v>188</v>
      </c>
      <c r="D428" s="6" t="s">
        <v>278</v>
      </c>
      <c r="E428" s="7"/>
      <c r="F428" s="7"/>
      <c r="G428" s="8"/>
      <c r="H428" s="8">
        <v>3000000000</v>
      </c>
      <c r="I428" s="8">
        <v>120000000</v>
      </c>
      <c r="J428" s="9">
        <v>5.0000000000000001E-3</v>
      </c>
      <c r="K428" s="6" t="s">
        <v>259</v>
      </c>
    </row>
    <row r="429" spans="1:11" x14ac:dyDescent="0.2">
      <c r="A429" s="6" t="s">
        <v>31</v>
      </c>
      <c r="B429" s="6">
        <v>0</v>
      </c>
      <c r="C429" s="6" t="s">
        <v>188</v>
      </c>
      <c r="D429" s="6" t="s">
        <v>278</v>
      </c>
      <c r="E429" s="7"/>
      <c r="F429" s="7"/>
      <c r="G429" s="8"/>
      <c r="H429" s="8">
        <v>3000000000</v>
      </c>
      <c r="I429" s="8">
        <v>515400000</v>
      </c>
      <c r="J429" s="9">
        <v>3.5999999999999999E-3</v>
      </c>
      <c r="K429" s="6" t="s">
        <v>259</v>
      </c>
    </row>
    <row r="430" spans="1:11" x14ac:dyDescent="0.2">
      <c r="A430" s="6" t="s">
        <v>31</v>
      </c>
      <c r="B430" s="6">
        <v>0</v>
      </c>
      <c r="C430" s="6" t="s">
        <v>183</v>
      </c>
      <c r="D430" s="6" t="s">
        <v>278</v>
      </c>
      <c r="E430" s="7">
        <v>44056</v>
      </c>
      <c r="F430" s="7">
        <v>44057</v>
      </c>
      <c r="G430" s="8">
        <v>2</v>
      </c>
      <c r="H430" s="8">
        <v>3000000000</v>
      </c>
      <c r="I430" s="8">
        <v>360000000</v>
      </c>
      <c r="J430" s="9">
        <v>8.3330000000000001E-3</v>
      </c>
      <c r="K430" s="6" t="s">
        <v>259</v>
      </c>
    </row>
    <row r="431" spans="1:11" x14ac:dyDescent="0.2">
      <c r="A431" s="6" t="s">
        <v>217</v>
      </c>
      <c r="B431" s="6">
        <v>0</v>
      </c>
      <c r="C431" s="6" t="s">
        <v>183</v>
      </c>
      <c r="D431" s="6" t="s">
        <v>278</v>
      </c>
      <c r="E431" s="7">
        <v>42948</v>
      </c>
      <c r="F431" s="7">
        <v>43061</v>
      </c>
      <c r="G431" s="8">
        <v>114</v>
      </c>
      <c r="H431" s="8">
        <v>100000000</v>
      </c>
      <c r="I431" s="8">
        <v>70000000</v>
      </c>
      <c r="J431" s="9">
        <v>1</v>
      </c>
      <c r="K431" s="6" t="s">
        <v>259</v>
      </c>
    </row>
    <row r="432" spans="1:11" x14ac:dyDescent="0.2">
      <c r="A432" s="6" t="s">
        <v>118</v>
      </c>
      <c r="B432" s="6">
        <v>0</v>
      </c>
      <c r="C432" s="6" t="s">
        <v>183</v>
      </c>
      <c r="D432" s="6" t="s">
        <v>278</v>
      </c>
      <c r="E432" s="7">
        <v>43260</v>
      </c>
      <c r="F432" s="7">
        <v>43263</v>
      </c>
      <c r="G432" s="8">
        <v>4</v>
      </c>
      <c r="H432" s="8">
        <v>1000000000</v>
      </c>
      <c r="I432" s="8">
        <v>200000000</v>
      </c>
      <c r="J432" s="9">
        <v>0.8</v>
      </c>
      <c r="K432" s="6" t="s">
        <v>259</v>
      </c>
    </row>
    <row r="433" spans="1:11" x14ac:dyDescent="0.2">
      <c r="A433" s="6" t="s">
        <v>566</v>
      </c>
      <c r="B433" s="6">
        <v>0</v>
      </c>
      <c r="C433" s="6" t="s">
        <v>188</v>
      </c>
      <c r="D433" s="6" t="s">
        <v>278</v>
      </c>
      <c r="E433" s="7"/>
      <c r="F433" s="7"/>
      <c r="G433" s="8"/>
      <c r="H433" s="8">
        <v>500000000</v>
      </c>
      <c r="I433" s="8">
        <v>10000000</v>
      </c>
      <c r="J433" s="9">
        <v>1.6459999999999999E-2</v>
      </c>
      <c r="K433" s="6" t="s">
        <v>259</v>
      </c>
    </row>
    <row r="434" spans="1:11" x14ac:dyDescent="0.2">
      <c r="A434" s="6" t="s">
        <v>566</v>
      </c>
      <c r="B434" s="6">
        <v>0</v>
      </c>
      <c r="C434" s="6" t="s">
        <v>188</v>
      </c>
      <c r="D434" s="6" t="s">
        <v>278</v>
      </c>
      <c r="E434" s="7"/>
      <c r="F434" s="7"/>
      <c r="G434" s="8"/>
      <c r="H434" s="8">
        <v>500000000</v>
      </c>
      <c r="I434" s="8">
        <v>45000000</v>
      </c>
      <c r="J434" s="9">
        <v>1.111E-2</v>
      </c>
      <c r="K434" s="6" t="s">
        <v>259</v>
      </c>
    </row>
    <row r="435" spans="1:11" x14ac:dyDescent="0.2">
      <c r="A435" s="6" t="s">
        <v>566</v>
      </c>
      <c r="B435" s="6">
        <v>0</v>
      </c>
      <c r="C435" s="6" t="s">
        <v>188</v>
      </c>
      <c r="D435" s="6" t="s">
        <v>278</v>
      </c>
      <c r="E435" s="7"/>
      <c r="F435" s="7"/>
      <c r="G435" s="8"/>
      <c r="H435" s="8">
        <v>500000000</v>
      </c>
      <c r="I435" s="8">
        <v>20000000</v>
      </c>
      <c r="J435" s="9">
        <v>0.8</v>
      </c>
      <c r="K435" s="6" t="s">
        <v>259</v>
      </c>
    </row>
    <row r="436" spans="1:11" x14ac:dyDescent="0.2">
      <c r="A436" s="6" t="s">
        <v>566</v>
      </c>
      <c r="B436" s="6">
        <v>0</v>
      </c>
      <c r="C436" s="6" t="s">
        <v>183</v>
      </c>
      <c r="D436" s="6" t="s">
        <v>278</v>
      </c>
      <c r="E436" s="7">
        <v>44229</v>
      </c>
      <c r="F436" s="7">
        <v>44236</v>
      </c>
      <c r="G436" s="8">
        <v>8</v>
      </c>
      <c r="H436" s="8">
        <v>500000000</v>
      </c>
      <c r="I436" s="8">
        <v>50000000</v>
      </c>
      <c r="J436" s="9">
        <v>1</v>
      </c>
      <c r="K436" s="6" t="s">
        <v>259</v>
      </c>
    </row>
    <row r="437" spans="1:11" x14ac:dyDescent="0.2">
      <c r="A437" s="6" t="s">
        <v>177</v>
      </c>
      <c r="B437" s="6">
        <v>0</v>
      </c>
      <c r="C437" s="6" t="s">
        <v>183</v>
      </c>
      <c r="D437" s="6" t="s">
        <v>278</v>
      </c>
      <c r="E437" s="7">
        <v>43078</v>
      </c>
      <c r="F437" s="7">
        <v>43101</v>
      </c>
      <c r="G437" s="8">
        <v>23</v>
      </c>
      <c r="H437" s="8">
        <v>150000000</v>
      </c>
      <c r="I437" s="8">
        <v>90000000</v>
      </c>
      <c r="J437" s="9">
        <v>0.5</v>
      </c>
      <c r="K437" s="6" t="s">
        <v>259</v>
      </c>
    </row>
    <row r="438" spans="1:11" x14ac:dyDescent="0.2">
      <c r="A438" s="6" t="s">
        <v>24</v>
      </c>
      <c r="B438" s="6">
        <v>0</v>
      </c>
      <c r="C438" s="6" t="s">
        <v>183</v>
      </c>
      <c r="D438" s="6" t="s">
        <v>278</v>
      </c>
      <c r="E438" s="7">
        <v>44077</v>
      </c>
      <c r="F438" s="7">
        <v>44079</v>
      </c>
      <c r="G438" s="8">
        <v>3</v>
      </c>
      <c r="H438" s="8">
        <v>4140000000</v>
      </c>
      <c r="I438" s="8">
        <f>4140000000*0.18</f>
        <v>745200000</v>
      </c>
      <c r="J438" s="9">
        <v>0.03</v>
      </c>
      <c r="K438" s="6" t="s">
        <v>259</v>
      </c>
    </row>
    <row r="439" spans="1:11" x14ac:dyDescent="0.2">
      <c r="A439" s="6" t="s">
        <v>93</v>
      </c>
      <c r="B439" s="6">
        <v>0</v>
      </c>
      <c r="C439" s="6" t="s">
        <v>183</v>
      </c>
      <c r="D439" s="6" t="s">
        <v>278</v>
      </c>
      <c r="E439" s="7">
        <v>43423</v>
      </c>
      <c r="F439" s="7">
        <v>43453</v>
      </c>
      <c r="G439" s="8">
        <v>31</v>
      </c>
      <c r="H439" s="8">
        <v>350000000</v>
      </c>
      <c r="I439" s="8">
        <v>129500000</v>
      </c>
      <c r="J439" s="9">
        <v>0.2</v>
      </c>
      <c r="K439" s="6" t="s">
        <v>259</v>
      </c>
    </row>
    <row r="440" spans="1:11" x14ac:dyDescent="0.2">
      <c r="A440" s="6" t="s">
        <v>501</v>
      </c>
      <c r="B440" s="6">
        <v>1</v>
      </c>
      <c r="C440" s="6" t="s">
        <v>188</v>
      </c>
      <c r="D440" s="6" t="s">
        <v>278</v>
      </c>
      <c r="E440" s="7"/>
      <c r="F440" s="7"/>
      <c r="G440" s="8"/>
      <c r="H440" s="8">
        <v>100000000</v>
      </c>
      <c r="I440" s="8">
        <v>8000000</v>
      </c>
      <c r="J440" s="9">
        <v>0.3</v>
      </c>
      <c r="K440" s="6" t="s">
        <v>259</v>
      </c>
    </row>
    <row r="441" spans="1:11" x14ac:dyDescent="0.2">
      <c r="A441" s="6" t="s">
        <v>501</v>
      </c>
      <c r="B441" s="6">
        <v>0</v>
      </c>
      <c r="C441" s="6" t="s">
        <v>183</v>
      </c>
      <c r="D441" s="6" t="s">
        <v>278</v>
      </c>
      <c r="E441" s="7">
        <v>44308</v>
      </c>
      <c r="F441" s="7">
        <v>44308</v>
      </c>
      <c r="G441" s="8">
        <v>1</v>
      </c>
      <c r="H441" s="8">
        <v>100000000</v>
      </c>
      <c r="I441" s="8">
        <v>200000</v>
      </c>
      <c r="J441" s="9">
        <v>0.5</v>
      </c>
      <c r="K441" s="6" t="s">
        <v>259</v>
      </c>
    </row>
    <row r="442" spans="1:11" x14ac:dyDescent="0.2">
      <c r="A442" s="6" t="s">
        <v>501</v>
      </c>
      <c r="B442" s="6">
        <v>0</v>
      </c>
      <c r="C442" s="6" t="s">
        <v>183</v>
      </c>
      <c r="D442" s="6" t="s">
        <v>278</v>
      </c>
      <c r="E442" s="7">
        <v>44312</v>
      </c>
      <c r="F442" s="7">
        <v>44312</v>
      </c>
      <c r="G442" s="8">
        <v>1</v>
      </c>
      <c r="H442" s="8">
        <v>100000000</v>
      </c>
      <c r="I442" s="8">
        <v>1100000</v>
      </c>
      <c r="J442" s="9">
        <v>0.5</v>
      </c>
      <c r="K442" s="6" t="s">
        <v>259</v>
      </c>
    </row>
    <row r="443" spans="1:11" x14ac:dyDescent="0.2">
      <c r="A443" s="6" t="s">
        <v>501</v>
      </c>
      <c r="B443" s="6">
        <v>0</v>
      </c>
      <c r="C443" s="6" t="s">
        <v>183</v>
      </c>
      <c r="D443" s="6" t="s">
        <v>278</v>
      </c>
      <c r="E443" s="7">
        <v>44310</v>
      </c>
      <c r="F443" s="7">
        <v>44313</v>
      </c>
      <c r="G443" s="8">
        <v>4</v>
      </c>
      <c r="H443" s="8">
        <v>100000000</v>
      </c>
      <c r="I443" s="8">
        <v>400000</v>
      </c>
      <c r="J443" s="9">
        <v>0.5</v>
      </c>
      <c r="K443" s="6" t="s">
        <v>259</v>
      </c>
    </row>
    <row r="444" spans="1:11" x14ac:dyDescent="0.2">
      <c r="A444" s="6" t="s">
        <v>501</v>
      </c>
      <c r="B444" s="6">
        <v>0</v>
      </c>
      <c r="C444" s="6" t="s">
        <v>183</v>
      </c>
      <c r="D444" s="6" t="s">
        <v>278</v>
      </c>
      <c r="E444" s="7">
        <v>44313</v>
      </c>
      <c r="F444" s="7">
        <v>44313</v>
      </c>
      <c r="G444" s="8">
        <v>1</v>
      </c>
      <c r="H444" s="8">
        <v>100000000</v>
      </c>
      <c r="I444" s="8">
        <v>40000</v>
      </c>
      <c r="J444" s="9">
        <v>0.5</v>
      </c>
      <c r="K444" s="6" t="s">
        <v>259</v>
      </c>
    </row>
    <row r="445" spans="1:11" x14ac:dyDescent="0.2">
      <c r="A445" s="6" t="s">
        <v>501</v>
      </c>
      <c r="B445" s="6">
        <v>0</v>
      </c>
      <c r="C445" s="6" t="s">
        <v>183</v>
      </c>
      <c r="D445" s="6" t="s">
        <v>278</v>
      </c>
      <c r="E445" s="7">
        <v>44313</v>
      </c>
      <c r="F445" s="7">
        <v>44313</v>
      </c>
      <c r="G445" s="8">
        <v>1</v>
      </c>
      <c r="H445" s="8">
        <v>100000000</v>
      </c>
      <c r="I445" s="8">
        <v>300000</v>
      </c>
      <c r="J445" s="9">
        <v>0.5</v>
      </c>
      <c r="K445" s="6" t="s">
        <v>259</v>
      </c>
    </row>
    <row r="446" spans="1:11" x14ac:dyDescent="0.2">
      <c r="A446" s="6" t="s">
        <v>212</v>
      </c>
      <c r="B446" s="6">
        <v>0</v>
      </c>
      <c r="C446" s="6" t="s">
        <v>183</v>
      </c>
      <c r="D446" s="6" t="s">
        <v>278</v>
      </c>
      <c r="E446" s="7">
        <v>43039</v>
      </c>
      <c r="F446" s="7">
        <v>43068</v>
      </c>
      <c r="G446" s="8">
        <v>30</v>
      </c>
      <c r="H446" s="8">
        <v>25000000000</v>
      </c>
      <c r="I446" s="8">
        <f>H446:H447*40%</f>
        <v>10000000000</v>
      </c>
      <c r="J446" s="9">
        <v>0.1</v>
      </c>
      <c r="K446" s="6" t="s">
        <v>259</v>
      </c>
    </row>
    <row r="447" spans="1:11" x14ac:dyDescent="0.2">
      <c r="A447" s="6" t="s">
        <v>151</v>
      </c>
      <c r="B447" s="6">
        <v>0</v>
      </c>
      <c r="C447" s="6" t="s">
        <v>183</v>
      </c>
      <c r="D447" s="6" t="s">
        <v>278</v>
      </c>
      <c r="E447" s="7">
        <v>43157</v>
      </c>
      <c r="F447" s="7">
        <v>43159</v>
      </c>
      <c r="G447" s="8">
        <v>3</v>
      </c>
      <c r="H447" s="8">
        <v>100000000</v>
      </c>
      <c r="I447" s="8">
        <v>60000000</v>
      </c>
      <c r="J447" s="9">
        <v>0.67</v>
      </c>
      <c r="K447" s="6" t="s">
        <v>259</v>
      </c>
    </row>
    <row r="448" spans="1:11" x14ac:dyDescent="0.2">
      <c r="A448" s="6" t="s">
        <v>47</v>
      </c>
      <c r="B448" s="6">
        <v>0</v>
      </c>
      <c r="C448" s="6" t="s">
        <v>183</v>
      </c>
      <c r="D448" s="6" t="s">
        <v>278</v>
      </c>
      <c r="E448" s="7">
        <v>43066</v>
      </c>
      <c r="F448" s="7">
        <v>43094</v>
      </c>
      <c r="G448" s="8">
        <v>31</v>
      </c>
      <c r="H448" s="8">
        <v>150000000</v>
      </c>
      <c r="I448" s="8">
        <v>105000000</v>
      </c>
      <c r="J448" s="9">
        <f>1/10</f>
        <v>0.1</v>
      </c>
      <c r="K448" s="6" t="s">
        <v>259</v>
      </c>
    </row>
    <row r="449" spans="1:11" x14ac:dyDescent="0.2">
      <c r="A449" s="6" t="s">
        <v>559</v>
      </c>
      <c r="B449" s="6">
        <v>0</v>
      </c>
      <c r="C449" s="6" t="s">
        <v>183</v>
      </c>
      <c r="D449" s="6" t="s">
        <v>278</v>
      </c>
      <c r="E449" s="7">
        <v>44238</v>
      </c>
      <c r="F449" s="7">
        <v>44240</v>
      </c>
      <c r="G449" s="8">
        <v>3</v>
      </c>
      <c r="H449" s="8">
        <v>100000000</v>
      </c>
      <c r="I449" s="8">
        <v>10000000</v>
      </c>
      <c r="J449" s="9">
        <v>5</v>
      </c>
      <c r="K449" s="6" t="s">
        <v>259</v>
      </c>
    </row>
    <row r="450" spans="1:11" x14ac:dyDescent="0.2">
      <c r="A450" s="6" t="s">
        <v>32</v>
      </c>
      <c r="B450" s="6">
        <v>0</v>
      </c>
      <c r="C450" s="6" t="s">
        <v>183</v>
      </c>
      <c r="D450" s="6" t="s">
        <v>278</v>
      </c>
      <c r="E450" s="7">
        <v>44054</v>
      </c>
      <c r="F450" s="7">
        <v>44054</v>
      </c>
      <c r="G450" s="8">
        <v>1</v>
      </c>
      <c r="H450" s="8">
        <v>10000000000</v>
      </c>
      <c r="I450" s="8">
        <v>6000000</v>
      </c>
      <c r="J450" s="9">
        <v>0.11</v>
      </c>
      <c r="K450" s="6" t="s">
        <v>259</v>
      </c>
    </row>
    <row r="451" spans="1:11" x14ac:dyDescent="0.2">
      <c r="A451" s="6" t="s">
        <v>191</v>
      </c>
      <c r="B451" s="6">
        <v>0</v>
      </c>
      <c r="C451" s="6" t="s">
        <v>183</v>
      </c>
      <c r="D451" s="6" t="s">
        <v>278</v>
      </c>
      <c r="E451" s="7">
        <v>43081</v>
      </c>
      <c r="F451" s="7">
        <v>43095</v>
      </c>
      <c r="G451" s="8">
        <v>15</v>
      </c>
      <c r="H451" s="8">
        <v>572166103</v>
      </c>
      <c r="I451" s="8">
        <f>H451*40%</f>
        <v>228866441.20000002</v>
      </c>
      <c r="J451" s="9">
        <v>1E-3</v>
      </c>
      <c r="K451" s="6" t="s">
        <v>2</v>
      </c>
    </row>
    <row r="452" spans="1:11" x14ac:dyDescent="0.2">
      <c r="A452" s="6" t="s">
        <v>215</v>
      </c>
      <c r="B452" s="6">
        <v>0</v>
      </c>
      <c r="C452" s="6" t="s">
        <v>183</v>
      </c>
      <c r="D452" s="6" t="s">
        <v>278</v>
      </c>
      <c r="E452" s="7">
        <v>43048</v>
      </c>
      <c r="F452" s="7">
        <v>43063</v>
      </c>
      <c r="G452" s="8">
        <v>16</v>
      </c>
      <c r="H452" s="8">
        <v>1000000000</v>
      </c>
      <c r="I452" s="8"/>
      <c r="J452" s="9">
        <v>2.209E-4</v>
      </c>
      <c r="K452" s="6" t="s">
        <v>2</v>
      </c>
    </row>
    <row r="453" spans="1:11" x14ac:dyDescent="0.2">
      <c r="A453" s="6" t="s">
        <v>488</v>
      </c>
      <c r="B453" s="6">
        <v>0</v>
      </c>
      <c r="C453" s="6" t="s">
        <v>183</v>
      </c>
      <c r="D453" s="6" t="s">
        <v>278</v>
      </c>
      <c r="E453" s="7">
        <v>44280</v>
      </c>
      <c r="F453" s="7">
        <v>44301</v>
      </c>
      <c r="G453" s="8">
        <v>22</v>
      </c>
      <c r="H453" s="8">
        <v>400000000</v>
      </c>
      <c r="I453" s="8">
        <v>160000000</v>
      </c>
      <c r="J453" s="9">
        <v>2.9999999999999997E-4</v>
      </c>
      <c r="K453" s="6" t="s">
        <v>2</v>
      </c>
    </row>
    <row r="454" spans="1:11" x14ac:dyDescent="0.2">
      <c r="A454" s="6" t="s">
        <v>179</v>
      </c>
      <c r="B454" s="6">
        <v>0</v>
      </c>
      <c r="C454" s="6" t="s">
        <v>188</v>
      </c>
      <c r="D454" s="6" t="s">
        <v>278</v>
      </c>
      <c r="E454" s="7">
        <v>43098</v>
      </c>
      <c r="F454" s="7">
        <v>43098</v>
      </c>
      <c r="G454" s="8">
        <v>1</v>
      </c>
      <c r="H454" s="8">
        <v>500000000</v>
      </c>
      <c r="I454" s="8">
        <v>275000000</v>
      </c>
      <c r="J454" s="9">
        <v>0.1</v>
      </c>
      <c r="K454" s="6" t="s">
        <v>259</v>
      </c>
    </row>
    <row r="455" spans="1:11" x14ac:dyDescent="0.2">
      <c r="A455" s="6" t="s">
        <v>205</v>
      </c>
      <c r="B455" s="6">
        <v>0</v>
      </c>
      <c r="C455" s="6" t="s">
        <v>183</v>
      </c>
      <c r="D455" s="6" t="s">
        <v>278</v>
      </c>
      <c r="E455" s="7">
        <v>43046</v>
      </c>
      <c r="F455" s="7">
        <v>43076</v>
      </c>
      <c r="G455" s="8">
        <v>31</v>
      </c>
      <c r="H455" s="8">
        <v>1000000000</v>
      </c>
      <c r="I455" s="8">
        <v>650000000</v>
      </c>
      <c r="J455" s="9">
        <v>1.1299999999999999E-2</v>
      </c>
      <c r="K455" s="6" t="s">
        <v>259</v>
      </c>
    </row>
    <row r="456" spans="1:11" x14ac:dyDescent="0.2">
      <c r="A456" s="6" t="s">
        <v>705</v>
      </c>
      <c r="B456" s="6">
        <v>0</v>
      </c>
      <c r="C456" s="6" t="s">
        <v>183</v>
      </c>
      <c r="D456" s="6" t="s">
        <v>278</v>
      </c>
      <c r="E456" s="7">
        <v>42873</v>
      </c>
      <c r="F456" s="7">
        <v>42879</v>
      </c>
      <c r="G456" s="8">
        <v>7</v>
      </c>
      <c r="H456" s="8">
        <v>500000000</v>
      </c>
      <c r="I456" s="8">
        <v>125000000</v>
      </c>
      <c r="J456" s="9">
        <v>0.5</v>
      </c>
      <c r="K456" s="6" t="s">
        <v>259</v>
      </c>
    </row>
    <row r="457" spans="1:11" x14ac:dyDescent="0.2">
      <c r="A457" s="6" t="s">
        <v>537</v>
      </c>
      <c r="B457" s="6">
        <v>0</v>
      </c>
      <c r="C457" s="6" t="s">
        <v>183</v>
      </c>
      <c r="D457" s="6" t="s">
        <v>278</v>
      </c>
      <c r="E457" s="7">
        <v>44271</v>
      </c>
      <c r="F457" s="7">
        <v>44275</v>
      </c>
      <c r="G457" s="8">
        <v>5</v>
      </c>
      <c r="H457" s="8">
        <v>100000000</v>
      </c>
      <c r="I457" s="8">
        <v>10000000</v>
      </c>
      <c r="J457" s="9">
        <v>0.06</v>
      </c>
      <c r="K457" s="6" t="s">
        <v>259</v>
      </c>
    </row>
    <row r="458" spans="1:11" x14ac:dyDescent="0.2">
      <c r="A458" s="6" t="s">
        <v>37</v>
      </c>
      <c r="B458" s="6">
        <v>0</v>
      </c>
      <c r="C458" s="6" t="s">
        <v>183</v>
      </c>
      <c r="D458" s="6" t="s">
        <v>278</v>
      </c>
      <c r="E458" s="7">
        <v>44035</v>
      </c>
      <c r="F458" s="7">
        <v>44035</v>
      </c>
      <c r="G458" s="8">
        <v>1</v>
      </c>
      <c r="H458" s="8">
        <v>1000000000</v>
      </c>
      <c r="I458" s="8">
        <f>560000/0.025</f>
        <v>22400000</v>
      </c>
      <c r="J458" s="9">
        <v>2.5000000000000001E-2</v>
      </c>
      <c r="K458" s="6" t="s">
        <v>259</v>
      </c>
    </row>
    <row r="459" spans="1:11" x14ac:dyDescent="0.2">
      <c r="A459" s="6" t="s">
        <v>137</v>
      </c>
      <c r="B459" s="6">
        <v>0</v>
      </c>
      <c r="C459" s="6" t="s">
        <v>183</v>
      </c>
      <c r="D459" s="6" t="s">
        <v>278</v>
      </c>
      <c r="E459" s="7">
        <v>43175</v>
      </c>
      <c r="F459" s="7">
        <v>43176</v>
      </c>
      <c r="G459" s="8">
        <v>2</v>
      </c>
      <c r="H459" s="8">
        <v>1000000000</v>
      </c>
      <c r="I459" s="8">
        <v>200000000</v>
      </c>
      <c r="J459" s="9">
        <v>1.6E-2</v>
      </c>
      <c r="K459" s="6" t="s">
        <v>259</v>
      </c>
    </row>
    <row r="460" spans="1:11" x14ac:dyDescent="0.2">
      <c r="A460" s="6" t="s">
        <v>464</v>
      </c>
      <c r="B460" s="6">
        <v>0</v>
      </c>
      <c r="C460" s="6" t="s">
        <v>183</v>
      </c>
      <c r="D460" s="6" t="s">
        <v>278</v>
      </c>
      <c r="E460" s="7">
        <v>43056</v>
      </c>
      <c r="F460" s="7" t="s">
        <v>465</v>
      </c>
      <c r="G460" s="8">
        <v>24</v>
      </c>
      <c r="H460" s="8">
        <v>240000000</v>
      </c>
      <c r="I460" s="8">
        <v>120000000</v>
      </c>
      <c r="J460" s="9">
        <f>1/2000</f>
        <v>5.0000000000000001E-4</v>
      </c>
      <c r="K460" s="6" t="s">
        <v>2</v>
      </c>
    </row>
    <row r="461" spans="1:11" x14ac:dyDescent="0.2">
      <c r="A461" s="6" t="s">
        <v>115</v>
      </c>
      <c r="B461" s="6">
        <v>0</v>
      </c>
      <c r="C461" s="6" t="s">
        <v>183</v>
      </c>
      <c r="D461" s="6" t="s">
        <v>278</v>
      </c>
      <c r="E461" s="7">
        <v>43259</v>
      </c>
      <c r="F461" s="7">
        <v>43280</v>
      </c>
      <c r="G461" s="8">
        <v>22</v>
      </c>
      <c r="H461" s="8">
        <v>1000000000</v>
      </c>
      <c r="I461" s="8">
        <v>400000000</v>
      </c>
      <c r="J461" s="9">
        <v>3.3099999999999997E-2</v>
      </c>
      <c r="K461" s="6" t="s">
        <v>259</v>
      </c>
    </row>
    <row r="462" spans="1:11" x14ac:dyDescent="0.2">
      <c r="A462" s="6" t="s">
        <v>660</v>
      </c>
      <c r="B462" s="6">
        <v>0</v>
      </c>
      <c r="C462" s="6" t="s">
        <v>188</v>
      </c>
      <c r="D462" s="6" t="s">
        <v>278</v>
      </c>
      <c r="E462" s="7"/>
      <c r="F462" s="7"/>
      <c r="G462" s="8"/>
      <c r="H462" s="8">
        <v>250000000</v>
      </c>
      <c r="I462" s="8">
        <v>25000000</v>
      </c>
      <c r="J462" s="9">
        <v>0.01</v>
      </c>
      <c r="K462" s="6" t="s">
        <v>259</v>
      </c>
    </row>
    <row r="463" spans="1:11" x14ac:dyDescent="0.2">
      <c r="A463" s="6" t="s">
        <v>660</v>
      </c>
      <c r="B463" s="6">
        <v>1</v>
      </c>
      <c r="C463" s="6" t="s">
        <v>188</v>
      </c>
      <c r="D463" s="6" t="s">
        <v>278</v>
      </c>
      <c r="E463" s="7"/>
      <c r="F463" s="7"/>
      <c r="G463" s="8"/>
      <c r="H463" s="8">
        <v>250000000</v>
      </c>
      <c r="I463" s="8">
        <v>33333333</v>
      </c>
      <c r="J463" s="9">
        <v>0.03</v>
      </c>
      <c r="K463" s="6" t="s">
        <v>259</v>
      </c>
    </row>
    <row r="464" spans="1:11" x14ac:dyDescent="0.2">
      <c r="A464" s="6" t="s">
        <v>660</v>
      </c>
      <c r="B464" s="6">
        <v>0</v>
      </c>
      <c r="C464" s="6" t="s">
        <v>188</v>
      </c>
      <c r="D464" s="6" t="s">
        <v>278</v>
      </c>
      <c r="E464" s="7"/>
      <c r="F464" s="7"/>
      <c r="G464" s="8"/>
      <c r="H464" s="8">
        <v>250000000</v>
      </c>
      <c r="I464" s="8">
        <v>25000000</v>
      </c>
      <c r="J464" s="9">
        <v>0.04</v>
      </c>
      <c r="K464" s="6" t="s">
        <v>259</v>
      </c>
    </row>
    <row r="465" spans="1:11" x14ac:dyDescent="0.2">
      <c r="A465" s="6" t="s">
        <v>660</v>
      </c>
      <c r="B465" s="6">
        <v>0</v>
      </c>
      <c r="C465" s="6" t="s">
        <v>183</v>
      </c>
      <c r="D465" s="6" t="s">
        <v>278</v>
      </c>
      <c r="E465" s="7">
        <v>44313</v>
      </c>
      <c r="F465" s="7">
        <v>44314</v>
      </c>
      <c r="G465" s="8">
        <v>2</v>
      </c>
      <c r="H465" s="8">
        <v>250000000</v>
      </c>
      <c r="I465" s="8">
        <v>500000</v>
      </c>
      <c r="J465" s="9">
        <v>0.05</v>
      </c>
      <c r="K465" s="6" t="s">
        <v>259</v>
      </c>
    </row>
    <row r="466" spans="1:11" x14ac:dyDescent="0.2">
      <c r="A466" s="6" t="s">
        <v>660</v>
      </c>
      <c r="B466" s="6">
        <v>0</v>
      </c>
      <c r="C466" s="6" t="s">
        <v>183</v>
      </c>
      <c r="D466" s="6" t="s">
        <v>278</v>
      </c>
      <c r="E466" s="7">
        <v>44312</v>
      </c>
      <c r="F466" s="7">
        <v>44314</v>
      </c>
      <c r="G466" s="8">
        <v>3</v>
      </c>
      <c r="H466" s="8">
        <v>250000000</v>
      </c>
      <c r="I466" s="8">
        <v>3300000</v>
      </c>
      <c r="J466" s="9">
        <v>0.05</v>
      </c>
      <c r="K466" s="6" t="s">
        <v>259</v>
      </c>
    </row>
    <row r="467" spans="1:11" x14ac:dyDescent="0.2">
      <c r="A467" s="6" t="s">
        <v>235</v>
      </c>
      <c r="B467" s="6">
        <v>0</v>
      </c>
      <c r="C467" s="6" t="s">
        <v>183</v>
      </c>
      <c r="D467" s="6" t="s">
        <v>278</v>
      </c>
      <c r="E467" s="7">
        <v>42998</v>
      </c>
      <c r="F467" s="7">
        <v>43019</v>
      </c>
      <c r="G467" s="8">
        <v>22</v>
      </c>
      <c r="H467" s="8">
        <v>200000000</v>
      </c>
      <c r="I467" s="8">
        <v>140000000</v>
      </c>
      <c r="J467" s="9">
        <v>0.24</v>
      </c>
      <c r="K467" s="6" t="s">
        <v>259</v>
      </c>
    </row>
    <row r="468" spans="1:11" x14ac:dyDescent="0.2">
      <c r="A468" s="6" t="s">
        <v>530</v>
      </c>
      <c r="B468" s="6">
        <v>1</v>
      </c>
      <c r="C468" s="6" t="s">
        <v>188</v>
      </c>
      <c r="D468" s="6" t="s">
        <v>278</v>
      </c>
      <c r="E468" s="7"/>
      <c r="F468" s="7"/>
      <c r="G468" s="8"/>
      <c r="H468" s="8">
        <v>20000000000</v>
      </c>
      <c r="I468" s="8">
        <v>480000000</v>
      </c>
      <c r="J468" s="9">
        <v>3.7499999999999999E-3</v>
      </c>
      <c r="K468" s="6" t="s">
        <v>259</v>
      </c>
    </row>
    <row r="469" spans="1:11" x14ac:dyDescent="0.2">
      <c r="A469" s="6" t="s">
        <v>530</v>
      </c>
      <c r="B469" s="6">
        <v>0</v>
      </c>
      <c r="C469" s="6" t="s">
        <v>183</v>
      </c>
      <c r="D469" s="6" t="s">
        <v>278</v>
      </c>
      <c r="E469" s="7">
        <v>44278</v>
      </c>
      <c r="F469" s="7">
        <v>44278</v>
      </c>
      <c r="G469" s="8">
        <v>1</v>
      </c>
      <c r="H469" s="8">
        <v>20000000000</v>
      </c>
      <c r="I469" s="8">
        <v>26666666</v>
      </c>
      <c r="J469" s="9">
        <v>3.7499999999999999E-3</v>
      </c>
      <c r="K469" s="6" t="s">
        <v>259</v>
      </c>
    </row>
    <row r="470" spans="1:11" x14ac:dyDescent="0.2">
      <c r="A470" s="6" t="s">
        <v>4</v>
      </c>
      <c r="B470" s="6">
        <v>0</v>
      </c>
      <c r="C470" s="6" t="s">
        <v>183</v>
      </c>
      <c r="D470" s="6" t="s">
        <v>278</v>
      </c>
      <c r="E470" s="7">
        <v>42932</v>
      </c>
      <c r="F470" s="7">
        <v>42974</v>
      </c>
      <c r="G470" s="8">
        <v>33</v>
      </c>
      <c r="H470" s="8">
        <v>710112</v>
      </c>
      <c r="I470" s="8">
        <v>624899</v>
      </c>
      <c r="J470" s="9">
        <v>8.4600000000000009</v>
      </c>
      <c r="K470" s="6" t="s">
        <v>259</v>
      </c>
    </row>
    <row r="471" spans="1:11" x14ac:dyDescent="0.2">
      <c r="A471" s="6" t="s">
        <v>218</v>
      </c>
      <c r="B471" s="6">
        <v>0</v>
      </c>
      <c r="C471" s="6" t="s">
        <v>183</v>
      </c>
      <c r="D471" s="6" t="s">
        <v>278</v>
      </c>
      <c r="E471" s="7">
        <v>43052</v>
      </c>
      <c r="F471" s="7">
        <v>43060</v>
      </c>
      <c r="G471" s="8">
        <v>9</v>
      </c>
      <c r="H471" s="8">
        <v>6000000000</v>
      </c>
      <c r="I471" s="8">
        <f>H471*27%</f>
        <v>1620000000</v>
      </c>
      <c r="J471" s="9">
        <f>1/21052</f>
        <v>4.7501425042751285E-5</v>
      </c>
      <c r="K471" s="6" t="s">
        <v>2</v>
      </c>
    </row>
    <row r="472" spans="1:11" x14ac:dyDescent="0.2">
      <c r="A472" s="6" t="s">
        <v>62</v>
      </c>
      <c r="B472" s="6">
        <v>0</v>
      </c>
      <c r="C472" s="6" t="s">
        <v>183</v>
      </c>
      <c r="D472" s="6" t="s">
        <v>278</v>
      </c>
      <c r="E472" s="7">
        <v>43696</v>
      </c>
      <c r="F472" s="7">
        <v>43700</v>
      </c>
      <c r="G472" s="8">
        <v>5</v>
      </c>
      <c r="H472" s="8">
        <v>2000000000</v>
      </c>
      <c r="I472" s="8">
        <f>H472*35%</f>
        <v>700000000</v>
      </c>
      <c r="J472" s="9">
        <v>0.02</v>
      </c>
      <c r="K472" s="6" t="s">
        <v>259</v>
      </c>
    </row>
    <row r="473" spans="1:11" x14ac:dyDescent="0.2">
      <c r="A473" s="6" t="s">
        <v>522</v>
      </c>
      <c r="B473" s="6">
        <v>1</v>
      </c>
      <c r="C473" s="6" t="s">
        <v>188</v>
      </c>
      <c r="D473" s="6" t="s">
        <v>278</v>
      </c>
      <c r="E473" s="7"/>
      <c r="F473" s="7"/>
      <c r="G473" s="8"/>
      <c r="H473" s="8">
        <v>10000000</v>
      </c>
      <c r="I473" s="8">
        <v>1500000</v>
      </c>
      <c r="J473" s="9">
        <v>0.17</v>
      </c>
      <c r="K473" s="6" t="s">
        <v>259</v>
      </c>
    </row>
    <row r="474" spans="1:11" x14ac:dyDescent="0.2">
      <c r="A474" s="6" t="s">
        <v>522</v>
      </c>
      <c r="B474" s="6">
        <v>0</v>
      </c>
      <c r="C474" s="6" t="s">
        <v>183</v>
      </c>
      <c r="D474" s="6" t="s">
        <v>278</v>
      </c>
      <c r="E474" s="7">
        <v>44292</v>
      </c>
      <c r="F474" s="7">
        <v>44292</v>
      </c>
      <c r="G474" s="8">
        <v>1</v>
      </c>
      <c r="H474" s="8">
        <v>10000000</v>
      </c>
      <c r="I474" s="8">
        <v>88888</v>
      </c>
      <c r="J474" s="9">
        <v>0.22500000000000001</v>
      </c>
      <c r="K474" s="6" t="s">
        <v>259</v>
      </c>
    </row>
    <row r="475" spans="1:11" x14ac:dyDescent="0.2">
      <c r="A475" s="6" t="s">
        <v>522</v>
      </c>
      <c r="B475" s="6">
        <v>0</v>
      </c>
      <c r="C475" s="6" t="s">
        <v>183</v>
      </c>
      <c r="D475" s="6" t="s">
        <v>278</v>
      </c>
      <c r="E475" s="7">
        <v>44292</v>
      </c>
      <c r="F475" s="7">
        <v>44292</v>
      </c>
      <c r="G475" s="8">
        <v>1</v>
      </c>
      <c r="H475" s="8">
        <v>10000000</v>
      </c>
      <c r="I475" s="8">
        <v>361111</v>
      </c>
      <c r="J475" s="9">
        <v>0.22500000000000001</v>
      </c>
      <c r="K475" s="6" t="s">
        <v>259</v>
      </c>
    </row>
    <row r="476" spans="1:11" x14ac:dyDescent="0.2">
      <c r="A476" s="6" t="s">
        <v>190</v>
      </c>
      <c r="B476" s="6">
        <v>0</v>
      </c>
      <c r="C476" s="6" t="s">
        <v>183</v>
      </c>
      <c r="D476" s="6" t="s">
        <v>278</v>
      </c>
      <c r="E476" s="7">
        <v>43076</v>
      </c>
      <c r="F476" s="7">
        <v>43095</v>
      </c>
      <c r="G476" s="8">
        <v>20</v>
      </c>
      <c r="H476" s="8">
        <v>25000000</v>
      </c>
      <c r="I476" s="8">
        <v>14250000</v>
      </c>
      <c r="J476" s="9">
        <v>5.46</v>
      </c>
      <c r="K476" s="6" t="s">
        <v>259</v>
      </c>
    </row>
    <row r="477" spans="1:11" x14ac:dyDescent="0.2">
      <c r="A477" s="6" t="s">
        <v>51</v>
      </c>
      <c r="B477" s="6">
        <v>0</v>
      </c>
      <c r="C477" s="6" t="s">
        <v>183</v>
      </c>
      <c r="D477" s="6" t="s">
        <v>278</v>
      </c>
      <c r="E477" s="7">
        <v>43802</v>
      </c>
      <c r="F477" s="7">
        <v>43803</v>
      </c>
      <c r="G477" s="8">
        <v>1</v>
      </c>
      <c r="H477" s="8">
        <v>10000000000</v>
      </c>
      <c r="I477" s="8">
        <v>2480000000</v>
      </c>
      <c r="J477" s="9">
        <v>5.0000000000000001E-3</v>
      </c>
      <c r="K477" s="6" t="s">
        <v>259</v>
      </c>
    </row>
    <row r="478" spans="1:11" x14ac:dyDescent="0.2">
      <c r="A478" s="6" t="s">
        <v>51</v>
      </c>
      <c r="B478" s="6">
        <v>0</v>
      </c>
      <c r="C478" s="6" t="s">
        <v>188</v>
      </c>
      <c r="D478" s="6" t="s">
        <v>278</v>
      </c>
      <c r="E478" s="7"/>
      <c r="F478" s="7"/>
      <c r="G478" s="8"/>
      <c r="H478" s="8">
        <v>10000000000</v>
      </c>
      <c r="I478" s="8">
        <v>1200000000</v>
      </c>
      <c r="J478" s="9">
        <v>7.0000000000000001E-3</v>
      </c>
      <c r="K478" s="6" t="s">
        <v>259</v>
      </c>
    </row>
    <row r="479" spans="1:11" x14ac:dyDescent="0.2">
      <c r="A479" s="6" t="s">
        <v>51</v>
      </c>
      <c r="B479" s="6">
        <v>0</v>
      </c>
      <c r="C479" s="6" t="s">
        <v>188</v>
      </c>
      <c r="D479" s="6" t="s">
        <v>278</v>
      </c>
      <c r="E479" s="7"/>
      <c r="F479" s="7"/>
      <c r="G479" s="8"/>
      <c r="H479" s="8">
        <v>10000000000</v>
      </c>
      <c r="I479" s="8">
        <v>800000000</v>
      </c>
      <c r="J479" s="9">
        <v>5.0000000000000001E-3</v>
      </c>
      <c r="K479" s="6" t="s">
        <v>259</v>
      </c>
    </row>
    <row r="480" spans="1:11" x14ac:dyDescent="0.2">
      <c r="A480" s="6" t="s">
        <v>101</v>
      </c>
      <c r="B480" s="6">
        <v>0</v>
      </c>
      <c r="C480" s="6" t="s">
        <v>183</v>
      </c>
      <c r="D480" s="6" t="s">
        <v>278</v>
      </c>
      <c r="E480" s="7">
        <v>43229</v>
      </c>
      <c r="F480" s="7">
        <v>43373</v>
      </c>
      <c r="G480" s="8">
        <v>34</v>
      </c>
      <c r="H480" s="8">
        <v>1500000000</v>
      </c>
      <c r="I480" s="8">
        <f>H480*60%</f>
        <v>900000000</v>
      </c>
      <c r="J480" s="9">
        <v>0.05</v>
      </c>
      <c r="K480" s="6" t="s">
        <v>259</v>
      </c>
    </row>
    <row r="481" spans="1:11" x14ac:dyDescent="0.2">
      <c r="A481" s="6" t="s">
        <v>586</v>
      </c>
      <c r="B481" s="6">
        <v>0</v>
      </c>
      <c r="C481" s="6" t="s">
        <v>188</v>
      </c>
      <c r="D481" s="6" t="s">
        <v>278</v>
      </c>
      <c r="E481" s="7"/>
      <c r="F481" s="7"/>
      <c r="G481" s="8"/>
      <c r="H481" s="8">
        <v>1200000000</v>
      </c>
      <c r="I481" s="8">
        <v>70000000</v>
      </c>
      <c r="J481" s="9">
        <v>5.0000000000000001E-3</v>
      </c>
      <c r="K481" s="6" t="s">
        <v>259</v>
      </c>
    </row>
    <row r="482" spans="1:11" x14ac:dyDescent="0.2">
      <c r="A482" s="6" t="s">
        <v>586</v>
      </c>
      <c r="B482" s="6">
        <v>0</v>
      </c>
      <c r="C482" s="6" t="s">
        <v>188</v>
      </c>
      <c r="D482" s="6" t="s">
        <v>278</v>
      </c>
      <c r="E482" s="7"/>
      <c r="F482" s="7"/>
      <c r="G482" s="8"/>
      <c r="H482" s="8">
        <v>1200000000</v>
      </c>
      <c r="I482" s="8">
        <v>251250000</v>
      </c>
      <c r="J482" s="9">
        <v>8.0000000000000002E-3</v>
      </c>
      <c r="K482" s="6" t="s">
        <v>259</v>
      </c>
    </row>
    <row r="483" spans="1:11" x14ac:dyDescent="0.2">
      <c r="A483" s="6" t="s">
        <v>586</v>
      </c>
      <c r="B483" s="6">
        <v>0</v>
      </c>
      <c r="C483" s="6" t="s">
        <v>188</v>
      </c>
      <c r="D483" s="6" t="s">
        <v>278</v>
      </c>
      <c r="E483" s="7"/>
      <c r="F483" s="7"/>
      <c r="G483" s="8"/>
      <c r="H483" s="8">
        <v>1200000000</v>
      </c>
      <c r="I483" s="8">
        <v>13636379</v>
      </c>
      <c r="J483" s="9">
        <v>1.0999999999999999E-2</v>
      </c>
      <c r="K483" s="6" t="s">
        <v>259</v>
      </c>
    </row>
    <row r="484" spans="1:11" x14ac:dyDescent="0.2">
      <c r="A484" s="6" t="s">
        <v>586</v>
      </c>
      <c r="B484" s="6">
        <v>0</v>
      </c>
      <c r="C484" s="6" t="s">
        <v>183</v>
      </c>
      <c r="D484" s="6" t="s">
        <v>278</v>
      </c>
      <c r="E484" s="7">
        <v>44175</v>
      </c>
      <c r="F484" s="7">
        <v>44175</v>
      </c>
      <c r="G484" s="8">
        <v>1</v>
      </c>
      <c r="H484" s="8">
        <v>1200000000</v>
      </c>
      <c r="I484" s="8">
        <v>14400000</v>
      </c>
      <c r="J484" s="9">
        <v>1.2E-2</v>
      </c>
      <c r="K484" s="6" t="s">
        <v>259</v>
      </c>
    </row>
    <row r="485" spans="1:11" x14ac:dyDescent="0.2">
      <c r="A485" s="6" t="s">
        <v>12</v>
      </c>
      <c r="B485" s="6">
        <v>0</v>
      </c>
      <c r="C485" s="6" t="s">
        <v>188</v>
      </c>
      <c r="D485" s="6" t="s">
        <v>278</v>
      </c>
      <c r="E485" s="7"/>
      <c r="F485" s="7"/>
      <c r="G485" s="8"/>
      <c r="H485" s="8">
        <v>100000000</v>
      </c>
      <c r="I485" s="8">
        <v>20000000</v>
      </c>
      <c r="J485" s="9">
        <v>0.12</v>
      </c>
      <c r="K485" s="6" t="s">
        <v>259</v>
      </c>
    </row>
    <row r="486" spans="1:11" x14ac:dyDescent="0.2">
      <c r="A486" s="6" t="s">
        <v>12</v>
      </c>
      <c r="B486" s="6">
        <v>0</v>
      </c>
      <c r="C486" s="6" t="s">
        <v>268</v>
      </c>
      <c r="D486" s="6" t="s">
        <v>278</v>
      </c>
      <c r="E486" s="7"/>
      <c r="F486" s="7">
        <v>44118</v>
      </c>
      <c r="G486" s="8"/>
      <c r="H486" s="8">
        <v>100000000</v>
      </c>
      <c r="I486" s="8">
        <v>1000000</v>
      </c>
      <c r="J486" s="9">
        <v>0.15</v>
      </c>
      <c r="K486" s="6" t="s">
        <v>259</v>
      </c>
    </row>
    <row r="487" spans="1:11" x14ac:dyDescent="0.2">
      <c r="A487" s="6" t="s">
        <v>12</v>
      </c>
      <c r="B487" s="6">
        <v>0</v>
      </c>
      <c r="C487" s="6" t="s">
        <v>188</v>
      </c>
      <c r="D487" s="6" t="s">
        <v>278</v>
      </c>
      <c r="E487" s="7"/>
      <c r="F487" s="7"/>
      <c r="G487" s="8"/>
      <c r="H487" s="8">
        <v>100000000</v>
      </c>
      <c r="I487" s="8">
        <v>10000000</v>
      </c>
      <c r="J487" s="9">
        <v>7.0000000000000007E-2</v>
      </c>
      <c r="K487" s="6" t="s">
        <v>259</v>
      </c>
    </row>
    <row r="488" spans="1:11" x14ac:dyDescent="0.2">
      <c r="A488" s="6" t="s">
        <v>229</v>
      </c>
      <c r="B488" s="6">
        <v>0</v>
      </c>
      <c r="C488" s="6" t="s">
        <v>183</v>
      </c>
      <c r="D488" s="6" t="s">
        <v>278</v>
      </c>
      <c r="E488" s="7">
        <v>42999</v>
      </c>
      <c r="F488" s="7">
        <v>43031</v>
      </c>
      <c r="G488" s="8">
        <v>33</v>
      </c>
      <c r="H488" s="8">
        <v>1000000000</v>
      </c>
      <c r="I488" s="8">
        <v>200000000</v>
      </c>
      <c r="J488" s="9">
        <f>1/866</f>
        <v>1.1547344110854503E-3</v>
      </c>
      <c r="K488" s="6" t="s">
        <v>2</v>
      </c>
    </row>
    <row r="489" spans="1:11" x14ac:dyDescent="0.2">
      <c r="A489" s="6" t="s">
        <v>229</v>
      </c>
      <c r="B489" s="6">
        <v>0</v>
      </c>
      <c r="C489" s="6" t="s">
        <v>183</v>
      </c>
      <c r="D489" s="6" t="s">
        <v>278</v>
      </c>
      <c r="E489" s="7">
        <v>43685</v>
      </c>
      <c r="F489" s="7">
        <v>43691</v>
      </c>
      <c r="G489" s="8">
        <v>15</v>
      </c>
      <c r="H489" s="8">
        <v>400000000</v>
      </c>
      <c r="I489" s="8">
        <f>H489*5%</f>
        <v>20000000</v>
      </c>
      <c r="J489" s="9">
        <v>2.5000000000000001E-2</v>
      </c>
      <c r="K489" s="6" t="s">
        <v>259</v>
      </c>
    </row>
    <row r="490" spans="1:11" x14ac:dyDescent="0.2">
      <c r="A490" s="6" t="s">
        <v>71</v>
      </c>
      <c r="B490" s="6">
        <v>0</v>
      </c>
      <c r="C490" s="6" t="s">
        <v>183</v>
      </c>
      <c r="D490" s="6" t="s">
        <v>278</v>
      </c>
      <c r="E490" s="7">
        <v>43620</v>
      </c>
      <c r="F490" s="7">
        <v>43634</v>
      </c>
      <c r="G490" s="8">
        <v>15</v>
      </c>
      <c r="H490" s="8">
        <v>150000000</v>
      </c>
      <c r="I490" s="8">
        <f>H490*50%</f>
        <v>75000000</v>
      </c>
      <c r="J490" s="9">
        <v>0.08</v>
      </c>
      <c r="K490" s="6" t="s">
        <v>259</v>
      </c>
    </row>
    <row r="491" spans="1:11" x14ac:dyDescent="0.2">
      <c r="A491" s="6" t="s">
        <v>583</v>
      </c>
      <c r="B491" s="6">
        <v>0</v>
      </c>
      <c r="C491" s="6" t="s">
        <v>188</v>
      </c>
      <c r="D491" s="6" t="s">
        <v>278</v>
      </c>
      <c r="E491" s="7"/>
      <c r="F491" s="7"/>
      <c r="G491" s="8"/>
      <c r="H491" s="8">
        <v>10000000</v>
      </c>
      <c r="I491" s="8">
        <v>650000</v>
      </c>
      <c r="J491" s="9">
        <v>0.15</v>
      </c>
      <c r="K491" s="6" t="s">
        <v>259</v>
      </c>
    </row>
    <row r="492" spans="1:11" x14ac:dyDescent="0.2">
      <c r="A492" s="6" t="s">
        <v>583</v>
      </c>
      <c r="B492" s="6">
        <v>0</v>
      </c>
      <c r="C492" s="6" t="s">
        <v>188</v>
      </c>
      <c r="D492" s="6" t="s">
        <v>278</v>
      </c>
      <c r="E492" s="7"/>
      <c r="F492" s="7"/>
      <c r="G492" s="8"/>
      <c r="H492" s="8">
        <v>10000000</v>
      </c>
      <c r="I492" s="8">
        <v>1200000</v>
      </c>
      <c r="J492" s="9">
        <v>0.66</v>
      </c>
      <c r="K492" s="6" t="s">
        <v>259</v>
      </c>
    </row>
    <row r="493" spans="1:11" x14ac:dyDescent="0.2">
      <c r="A493" s="6" t="s">
        <v>583</v>
      </c>
      <c r="B493" s="6">
        <v>0</v>
      </c>
      <c r="C493" s="6" t="s">
        <v>183</v>
      </c>
      <c r="D493" s="6" t="s">
        <v>402</v>
      </c>
      <c r="E493" s="7">
        <v>44149</v>
      </c>
      <c r="F493" s="7">
        <v>44179</v>
      </c>
      <c r="G493" s="8">
        <v>1</v>
      </c>
      <c r="H493" s="8">
        <v>10000000</v>
      </c>
      <c r="I493" s="8">
        <v>400000</v>
      </c>
      <c r="J493" s="9">
        <v>0.66</v>
      </c>
      <c r="K493" s="6" t="s">
        <v>259</v>
      </c>
    </row>
    <row r="494" spans="1:11" x14ac:dyDescent="0.2">
      <c r="A494" s="6" t="s">
        <v>497</v>
      </c>
      <c r="B494" s="6">
        <v>1</v>
      </c>
      <c r="C494" s="6" t="s">
        <v>188</v>
      </c>
      <c r="D494" s="6" t="s">
        <v>278</v>
      </c>
      <c r="E494" s="7"/>
      <c r="F494" s="7"/>
      <c r="G494" s="8"/>
      <c r="H494" s="8">
        <v>380539316</v>
      </c>
      <c r="I494" s="8">
        <f>H494*10.84%</f>
        <v>41250461.854400001</v>
      </c>
      <c r="J494" s="9">
        <v>0.06</v>
      </c>
      <c r="K494" s="6" t="s">
        <v>259</v>
      </c>
    </row>
    <row r="495" spans="1:11" x14ac:dyDescent="0.2">
      <c r="A495" s="6" t="s">
        <v>497</v>
      </c>
      <c r="B495" s="6">
        <v>0</v>
      </c>
      <c r="C495" s="6" t="s">
        <v>183</v>
      </c>
      <c r="D495" s="6" t="s">
        <v>278</v>
      </c>
      <c r="E495" s="7">
        <v>44314</v>
      </c>
      <c r="F495" s="7">
        <v>44314</v>
      </c>
      <c r="G495" s="8">
        <v>1</v>
      </c>
      <c r="H495" s="8">
        <v>380539316</v>
      </c>
      <c r="I495" s="8">
        <f>H495*0.53</f>
        <v>201685837.48000002</v>
      </c>
      <c r="J495" s="9">
        <v>0.12</v>
      </c>
      <c r="K495" s="6" t="s">
        <v>259</v>
      </c>
    </row>
    <row r="496" spans="1:11" x14ac:dyDescent="0.2">
      <c r="A496" s="6" t="s">
        <v>125</v>
      </c>
      <c r="B496" s="6">
        <v>0</v>
      </c>
      <c r="C496" s="6" t="s">
        <v>183</v>
      </c>
      <c r="D496" s="6" t="s">
        <v>278</v>
      </c>
      <c r="E496" s="7">
        <v>43247</v>
      </c>
      <c r="F496" s="7">
        <v>43247</v>
      </c>
      <c r="G496" s="8">
        <v>1</v>
      </c>
      <c r="H496" s="8">
        <v>500000000</v>
      </c>
      <c r="I496" s="8">
        <v>300000000</v>
      </c>
      <c r="J496" s="9">
        <f>1/5000</f>
        <v>2.0000000000000001E-4</v>
      </c>
      <c r="K496" s="6" t="s">
        <v>2</v>
      </c>
    </row>
    <row r="497" spans="1:11" x14ac:dyDescent="0.2">
      <c r="A497" s="6" t="s">
        <v>125</v>
      </c>
      <c r="B497" s="6">
        <v>1</v>
      </c>
      <c r="C497" s="6" t="s">
        <v>183</v>
      </c>
      <c r="D497" s="6" t="s">
        <v>278</v>
      </c>
      <c r="E497" s="7"/>
      <c r="F497" s="7"/>
      <c r="G497" s="8"/>
      <c r="H497" s="8">
        <v>500000000</v>
      </c>
      <c r="I497" s="8"/>
      <c r="J497" s="9"/>
      <c r="K497" s="6"/>
    </row>
    <row r="498" spans="1:11" x14ac:dyDescent="0.2">
      <c r="A498" s="6" t="s">
        <v>219</v>
      </c>
      <c r="B498" s="6">
        <v>0</v>
      </c>
      <c r="C498" s="6" t="s">
        <v>183</v>
      </c>
      <c r="D498" s="6" t="s">
        <v>278</v>
      </c>
      <c r="E498" s="7">
        <v>43041</v>
      </c>
      <c r="F498" s="7">
        <v>43059</v>
      </c>
      <c r="G498" s="8">
        <v>19</v>
      </c>
      <c r="H498" s="8">
        <v>500000000</v>
      </c>
      <c r="I498" s="8">
        <v>350000000</v>
      </c>
      <c r="J498" s="9">
        <v>6.5000000000000002E-2</v>
      </c>
      <c r="K498" s="6" t="s">
        <v>259</v>
      </c>
    </row>
    <row r="499" spans="1:11" x14ac:dyDescent="0.2">
      <c r="A499" s="6" t="s">
        <v>560</v>
      </c>
      <c r="B499" s="6">
        <v>0</v>
      </c>
      <c r="C499" s="6" t="s">
        <v>188</v>
      </c>
      <c r="D499" s="6" t="s">
        <v>278</v>
      </c>
      <c r="E499" s="7"/>
      <c r="F499" s="7"/>
      <c r="G499" s="8"/>
      <c r="H499" s="8">
        <v>400000000</v>
      </c>
      <c r="I499" s="8">
        <v>32000000</v>
      </c>
      <c r="J499" s="9">
        <v>1.8799999999999999E-3</v>
      </c>
      <c r="K499" s="6" t="s">
        <v>286</v>
      </c>
    </row>
    <row r="500" spans="1:11" x14ac:dyDescent="0.2">
      <c r="A500" s="6" t="s">
        <v>560</v>
      </c>
      <c r="B500" s="6">
        <v>0</v>
      </c>
      <c r="C500" s="6" t="s">
        <v>188</v>
      </c>
      <c r="D500" s="6" t="s">
        <v>278</v>
      </c>
      <c r="E500" s="7"/>
      <c r="F500" s="7"/>
      <c r="G500" s="8"/>
      <c r="H500" s="8">
        <v>400000000</v>
      </c>
      <c r="I500" s="8">
        <v>40000000</v>
      </c>
      <c r="J500" s="9">
        <v>3.7499999999999999E-2</v>
      </c>
      <c r="K500" s="6" t="s">
        <v>286</v>
      </c>
    </row>
    <row r="501" spans="1:11" x14ac:dyDescent="0.2">
      <c r="A501" s="6" t="s">
        <v>560</v>
      </c>
      <c r="B501" s="6">
        <v>0</v>
      </c>
      <c r="C501" s="6" t="s">
        <v>188</v>
      </c>
      <c r="D501" s="6" t="s">
        <v>278</v>
      </c>
      <c r="E501" s="7"/>
      <c r="F501" s="7"/>
      <c r="G501" s="8"/>
      <c r="H501" s="8">
        <v>400000000</v>
      </c>
      <c r="I501" s="8">
        <v>5000000</v>
      </c>
      <c r="J501" s="9">
        <v>0.09</v>
      </c>
      <c r="K501" s="6" t="s">
        <v>286</v>
      </c>
    </row>
    <row r="502" spans="1:11" x14ac:dyDescent="0.2">
      <c r="A502" s="6" t="s">
        <v>560</v>
      </c>
      <c r="B502" s="6">
        <v>0</v>
      </c>
      <c r="C502" s="6" t="s">
        <v>188</v>
      </c>
      <c r="D502" s="6" t="s">
        <v>278</v>
      </c>
      <c r="E502" s="7"/>
      <c r="F502" s="7"/>
      <c r="G502" s="8"/>
      <c r="H502" s="8">
        <v>400000000</v>
      </c>
      <c r="I502" s="8">
        <v>4300000</v>
      </c>
      <c r="J502" s="9">
        <v>0.1</v>
      </c>
      <c r="K502" s="6" t="s">
        <v>286</v>
      </c>
    </row>
    <row r="503" spans="1:11" x14ac:dyDescent="0.2">
      <c r="A503" s="6" t="s">
        <v>560</v>
      </c>
      <c r="B503" s="6">
        <v>0</v>
      </c>
      <c r="C503" s="6" t="s">
        <v>183</v>
      </c>
      <c r="D503" s="6" t="s">
        <v>278</v>
      </c>
      <c r="E503" s="7"/>
      <c r="F503" s="7"/>
      <c r="G503" s="8"/>
      <c r="H503" s="8">
        <v>400000000</v>
      </c>
      <c r="I503" s="8">
        <v>250000</v>
      </c>
      <c r="J503" s="9">
        <v>0.1</v>
      </c>
      <c r="K503" s="6" t="s">
        <v>286</v>
      </c>
    </row>
    <row r="504" spans="1:11" x14ac:dyDescent="0.2">
      <c r="A504" s="6" t="s">
        <v>88</v>
      </c>
      <c r="B504" s="6">
        <v>0</v>
      </c>
      <c r="C504" s="6" t="s">
        <v>183</v>
      </c>
      <c r="D504" s="6" t="s">
        <v>278</v>
      </c>
      <c r="E504" s="7">
        <v>43561</v>
      </c>
      <c r="F504" s="7">
        <v>43561</v>
      </c>
      <c r="G504" s="8">
        <v>1</v>
      </c>
      <c r="H504" s="8">
        <v>15000000000</v>
      </c>
      <c r="I504" s="8">
        <v>900000000</v>
      </c>
      <c r="J504" s="9">
        <v>5.0499999999999999E-6</v>
      </c>
      <c r="K504" s="6" t="s">
        <v>293</v>
      </c>
    </row>
    <row r="505" spans="1:11" x14ac:dyDescent="0.2">
      <c r="A505" s="6" t="s">
        <v>534</v>
      </c>
      <c r="B505" s="6">
        <v>1</v>
      </c>
      <c r="C505" s="6" t="s">
        <v>188</v>
      </c>
      <c r="D505" s="6" t="s">
        <v>278</v>
      </c>
      <c r="E505" s="7">
        <v>44264</v>
      </c>
      <c r="F505" s="7">
        <v>44264</v>
      </c>
      <c r="G505" s="8">
        <v>1</v>
      </c>
      <c r="H505" s="8">
        <v>10000000</v>
      </c>
      <c r="I505" s="8">
        <v>1400000</v>
      </c>
      <c r="J505" s="9">
        <v>0.45</v>
      </c>
      <c r="K505" s="6" t="s">
        <v>259</v>
      </c>
    </row>
    <row r="506" spans="1:11" x14ac:dyDescent="0.2">
      <c r="A506" s="6" t="s">
        <v>534</v>
      </c>
      <c r="B506" s="6">
        <v>1</v>
      </c>
      <c r="C506" s="6" t="s">
        <v>188</v>
      </c>
      <c r="D506" s="6" t="s">
        <v>278</v>
      </c>
      <c r="E506" s="7">
        <v>44265</v>
      </c>
      <c r="F506" s="7">
        <v>44265</v>
      </c>
      <c r="G506" s="8">
        <v>1</v>
      </c>
      <c r="H506" s="8">
        <v>10000000</v>
      </c>
      <c r="I506" s="8">
        <v>1700000</v>
      </c>
      <c r="J506" s="9">
        <v>0.47499999999999998</v>
      </c>
      <c r="K506" s="6" t="s">
        <v>259</v>
      </c>
    </row>
    <row r="507" spans="1:11" x14ac:dyDescent="0.2">
      <c r="A507" s="6" t="s">
        <v>534</v>
      </c>
      <c r="B507" s="6">
        <v>0</v>
      </c>
      <c r="C507" s="6" t="s">
        <v>183</v>
      </c>
      <c r="D507" s="6" t="s">
        <v>278</v>
      </c>
      <c r="E507" s="7">
        <v>44278</v>
      </c>
      <c r="F507" s="7">
        <v>44278</v>
      </c>
      <c r="G507" s="8">
        <v>1</v>
      </c>
      <c r="H507" s="8">
        <v>10000000</v>
      </c>
      <c r="I507" s="8">
        <v>300000</v>
      </c>
      <c r="J507" s="9">
        <v>0.75</v>
      </c>
      <c r="K507" s="6" t="s">
        <v>259</v>
      </c>
    </row>
    <row r="508" spans="1:11" x14ac:dyDescent="0.2">
      <c r="A508" s="6" t="s">
        <v>630</v>
      </c>
      <c r="B508" s="6">
        <v>0</v>
      </c>
      <c r="C508" s="6" t="s">
        <v>188</v>
      </c>
      <c r="D508" s="6" t="s">
        <v>278</v>
      </c>
      <c r="E508" s="7">
        <v>43160</v>
      </c>
      <c r="F508" s="7">
        <v>43220</v>
      </c>
      <c r="G508" s="8"/>
      <c r="H508" s="8">
        <v>12491500000</v>
      </c>
      <c r="I508" s="8"/>
      <c r="J508" s="9">
        <v>7.4999999999999997E-3</v>
      </c>
      <c r="K508" s="6" t="s">
        <v>259</v>
      </c>
    </row>
    <row r="509" spans="1:11" x14ac:dyDescent="0.2">
      <c r="A509" s="6" t="s">
        <v>630</v>
      </c>
      <c r="B509" s="6">
        <v>1</v>
      </c>
      <c r="C509" s="6" t="s">
        <v>183</v>
      </c>
      <c r="D509" s="6" t="s">
        <v>278</v>
      </c>
      <c r="E509" s="7">
        <v>43221</v>
      </c>
      <c r="F509" s="7">
        <v>43251</v>
      </c>
      <c r="G509" s="8"/>
      <c r="H509" s="8">
        <v>12491500000</v>
      </c>
      <c r="I509" s="8"/>
      <c r="J509" s="9">
        <v>0.01</v>
      </c>
      <c r="K509" s="6" t="s">
        <v>259</v>
      </c>
    </row>
    <row r="510" spans="1:11" x14ac:dyDescent="0.2">
      <c r="A510" s="6" t="s">
        <v>630</v>
      </c>
      <c r="B510" s="6">
        <v>0</v>
      </c>
      <c r="C510" s="6" t="s">
        <v>183</v>
      </c>
      <c r="D510" s="6" t="s">
        <v>278</v>
      </c>
      <c r="E510" s="7">
        <v>43252</v>
      </c>
      <c r="F510" s="7">
        <v>43281</v>
      </c>
      <c r="G510" s="8">
        <v>30</v>
      </c>
      <c r="H510" s="8">
        <v>12491500000</v>
      </c>
      <c r="I510" s="8">
        <v>6245750000</v>
      </c>
      <c r="J510" s="9">
        <v>1.06E-2</v>
      </c>
      <c r="K510" s="6" t="s">
        <v>259</v>
      </c>
    </row>
    <row r="511" spans="1:11" x14ac:dyDescent="0.2">
      <c r="A511" s="6" t="s">
        <v>250</v>
      </c>
      <c r="B511" s="6">
        <v>0</v>
      </c>
      <c r="C511" s="6" t="s">
        <v>183</v>
      </c>
      <c r="D511" s="6" t="s">
        <v>278</v>
      </c>
      <c r="E511" s="7">
        <v>42983</v>
      </c>
      <c r="F511" s="7">
        <v>42984</v>
      </c>
      <c r="G511" s="8">
        <v>2</v>
      </c>
      <c r="H511" s="8">
        <v>200000000</v>
      </c>
      <c r="I511" s="8">
        <v>120000000</v>
      </c>
      <c r="J511" s="9">
        <v>0.1</v>
      </c>
      <c r="K511" s="6" t="s">
        <v>259</v>
      </c>
    </row>
    <row r="512" spans="1:11" x14ac:dyDescent="0.2">
      <c r="A512" s="6" t="s">
        <v>128</v>
      </c>
      <c r="B512" s="6">
        <v>0</v>
      </c>
      <c r="C512" s="6" t="s">
        <v>183</v>
      </c>
      <c r="D512" s="6" t="s">
        <v>186</v>
      </c>
      <c r="E512" s="7">
        <v>43215</v>
      </c>
      <c r="F512" s="7">
        <v>43229</v>
      </c>
      <c r="G512" s="8">
        <v>16</v>
      </c>
      <c r="H512" s="8">
        <v>500000000</v>
      </c>
      <c r="I512" s="8">
        <v>100000000</v>
      </c>
      <c r="J512" s="9">
        <v>1.2500000000000001E-2</v>
      </c>
      <c r="K512" s="6" t="s">
        <v>259</v>
      </c>
    </row>
    <row r="513" spans="1:11" x14ac:dyDescent="0.2">
      <c r="A513" s="6" t="s">
        <v>738</v>
      </c>
      <c r="B513" s="6">
        <v>1</v>
      </c>
      <c r="C513" s="6" t="s">
        <v>183</v>
      </c>
      <c r="D513" s="6" t="s">
        <v>278</v>
      </c>
      <c r="E513" s="7">
        <v>42998</v>
      </c>
      <c r="F513" s="7">
        <v>43028</v>
      </c>
      <c r="G513" s="8">
        <v>31</v>
      </c>
      <c r="H513" s="8">
        <v>746403007</v>
      </c>
      <c r="I513" s="8">
        <f>H513*8.5%</f>
        <v>63444255.595000006</v>
      </c>
      <c r="J513" s="9">
        <f>3000000/I513</f>
        <v>4.7285604848934938E-2</v>
      </c>
      <c r="K513" s="6" t="s">
        <v>259</v>
      </c>
    </row>
    <row r="514" spans="1:11" x14ac:dyDescent="0.2">
      <c r="A514" s="6" t="s">
        <v>738</v>
      </c>
      <c r="B514" s="6">
        <v>0</v>
      </c>
      <c r="C514" s="6" t="s">
        <v>183</v>
      </c>
      <c r="D514" s="6" t="s">
        <v>278</v>
      </c>
      <c r="E514" s="7">
        <v>43132</v>
      </c>
      <c r="F514" s="7">
        <v>43145</v>
      </c>
      <c r="G514" s="8">
        <v>15</v>
      </c>
      <c r="H514" s="8">
        <v>746403007</v>
      </c>
      <c r="I514" s="8">
        <v>395593594</v>
      </c>
      <c r="J514" s="9">
        <v>0.125</v>
      </c>
      <c r="K514" s="6" t="s">
        <v>259</v>
      </c>
    </row>
    <row r="515" spans="1:11" x14ac:dyDescent="0.2">
      <c r="A515" s="6" t="s">
        <v>556</v>
      </c>
      <c r="B515" s="6">
        <v>0</v>
      </c>
      <c r="C515" s="6" t="s">
        <v>183</v>
      </c>
      <c r="D515" s="6" t="s">
        <v>278</v>
      </c>
      <c r="E515" s="7">
        <v>44244</v>
      </c>
      <c r="F515" s="7">
        <v>44244</v>
      </c>
      <c r="G515" s="8">
        <v>1</v>
      </c>
      <c r="H515" s="8">
        <v>10000000</v>
      </c>
      <c r="I515" s="8">
        <v>1000000</v>
      </c>
      <c r="J515" s="9">
        <v>2.5</v>
      </c>
      <c r="K515" s="6" t="s">
        <v>259</v>
      </c>
    </row>
    <row r="516" spans="1:11" x14ac:dyDescent="0.2">
      <c r="A516" s="6" t="s">
        <v>79</v>
      </c>
      <c r="B516" s="6">
        <v>0</v>
      </c>
      <c r="C516" s="6" t="s">
        <v>183</v>
      </c>
      <c r="D516" s="6" t="s">
        <v>278</v>
      </c>
      <c r="E516" s="7">
        <v>43416</v>
      </c>
      <c r="F516" s="7">
        <v>43594</v>
      </c>
      <c r="G516" s="8">
        <v>179</v>
      </c>
      <c r="H516" s="8">
        <v>10000000000</v>
      </c>
      <c r="I516" s="8">
        <v>4000000000</v>
      </c>
      <c r="J516" s="9">
        <v>8.9999999999999998E-4</v>
      </c>
      <c r="K516" s="6" t="s">
        <v>259</v>
      </c>
    </row>
    <row r="517" spans="1:11" x14ac:dyDescent="0.2">
      <c r="A517" s="6" t="s">
        <v>43</v>
      </c>
      <c r="B517" s="6">
        <v>0</v>
      </c>
      <c r="C517" s="6"/>
      <c r="D517" s="6" t="s">
        <v>278</v>
      </c>
      <c r="E517" s="7">
        <v>43998</v>
      </c>
      <c r="F517" s="7">
        <v>43998</v>
      </c>
      <c r="G517" s="8">
        <v>1</v>
      </c>
      <c r="H517" s="8">
        <v>21000000000</v>
      </c>
      <c r="I517" s="8">
        <v>651000000</v>
      </c>
      <c r="J517" s="9">
        <v>3.0000000000000001E-3</v>
      </c>
      <c r="K517" s="6" t="s">
        <v>259</v>
      </c>
    </row>
    <row r="518" spans="1:11" x14ac:dyDescent="0.2">
      <c r="A518" s="6" t="s">
        <v>43</v>
      </c>
      <c r="B518" s="6">
        <v>0</v>
      </c>
      <c r="C518" s="6" t="s">
        <v>188</v>
      </c>
      <c r="D518" s="6" t="s">
        <v>278</v>
      </c>
      <c r="E518" s="7"/>
      <c r="F518" s="7"/>
      <c r="G518" s="8"/>
      <c r="H518" s="8">
        <v>21000000000</v>
      </c>
      <c r="I518" s="8">
        <v>6300000000</v>
      </c>
      <c r="J518" s="9">
        <v>0.01</v>
      </c>
      <c r="K518" s="6" t="s">
        <v>259</v>
      </c>
    </row>
    <row r="519" spans="1:11" x14ac:dyDescent="0.2">
      <c r="A519" s="6" t="s">
        <v>66</v>
      </c>
      <c r="B519" s="6">
        <v>1</v>
      </c>
      <c r="C519" s="6" t="s">
        <v>188</v>
      </c>
      <c r="D519" s="6" t="s">
        <v>278</v>
      </c>
      <c r="E519" s="7"/>
      <c r="F519" s="7"/>
      <c r="G519" s="8"/>
      <c r="H519" s="8">
        <v>999000000000</v>
      </c>
      <c r="I519" s="8">
        <v>149850000000</v>
      </c>
      <c r="J519" s="9">
        <v>6.6699999999999995E-5</v>
      </c>
      <c r="K519" s="6" t="s">
        <v>259</v>
      </c>
    </row>
    <row r="520" spans="1:11" x14ac:dyDescent="0.2">
      <c r="A520" s="6" t="s">
        <v>66</v>
      </c>
      <c r="B520" s="6">
        <v>0</v>
      </c>
      <c r="C520" s="6" t="s">
        <v>183</v>
      </c>
      <c r="D520" s="6" t="s">
        <v>278</v>
      </c>
      <c r="E520" s="7">
        <v>43670</v>
      </c>
      <c r="F520" s="7">
        <v>43676</v>
      </c>
      <c r="G520" s="8">
        <v>7</v>
      </c>
      <c r="H520" s="8">
        <v>999000000000</v>
      </c>
      <c r="I520" s="8">
        <v>49950000000</v>
      </c>
      <c r="J520" s="9">
        <v>1.2E-4</v>
      </c>
      <c r="K520" s="6" t="s">
        <v>259</v>
      </c>
    </row>
    <row r="521" spans="1:11" x14ac:dyDescent="0.2">
      <c r="A521" s="6" t="s">
        <v>7</v>
      </c>
      <c r="B521" s="6">
        <v>0</v>
      </c>
      <c r="C521" s="6" t="s">
        <v>183</v>
      </c>
      <c r="D521" s="6" t="s">
        <v>278</v>
      </c>
      <c r="E521" s="7">
        <v>43767</v>
      </c>
      <c r="F521" s="7">
        <v>43767</v>
      </c>
      <c r="G521" s="8">
        <v>1</v>
      </c>
      <c r="H521" s="8">
        <v>3000000000</v>
      </c>
      <c r="I521" s="8">
        <f>10650000/0.03</f>
        <v>355000000</v>
      </c>
      <c r="J521" s="9">
        <v>0.03</v>
      </c>
      <c r="K521" s="6" t="s">
        <v>259</v>
      </c>
    </row>
    <row r="522" spans="1:11" x14ac:dyDescent="0.2">
      <c r="A522" s="6" t="s">
        <v>50</v>
      </c>
      <c r="B522" s="6">
        <v>0</v>
      </c>
      <c r="C522" s="6" t="s">
        <v>183</v>
      </c>
      <c r="D522" s="6" t="s">
        <v>278</v>
      </c>
      <c r="E522" s="7">
        <v>43863</v>
      </c>
      <c r="F522" s="7">
        <v>43864</v>
      </c>
      <c r="G522" s="8">
        <v>1</v>
      </c>
      <c r="H522" s="8">
        <v>1000000000</v>
      </c>
      <c r="I522" s="8">
        <v>100000000</v>
      </c>
      <c r="J522" s="9">
        <v>0.02</v>
      </c>
      <c r="K522" s="6" t="s">
        <v>259</v>
      </c>
    </row>
    <row r="523" spans="1:11" x14ac:dyDescent="0.2">
      <c r="A523" s="6" t="s">
        <v>50</v>
      </c>
      <c r="B523" s="6">
        <v>0</v>
      </c>
      <c r="C523" s="6" t="s">
        <v>188</v>
      </c>
      <c r="D523" s="6" t="s">
        <v>278</v>
      </c>
      <c r="E523" s="7"/>
      <c r="F523" s="7"/>
      <c r="G523" s="8"/>
      <c r="H523" s="8">
        <v>1000000000</v>
      </c>
      <c r="I523" s="8">
        <v>50000000</v>
      </c>
      <c r="J523" s="9"/>
      <c r="K523" s="6"/>
    </row>
    <row r="524" spans="1:11" x14ac:dyDescent="0.2">
      <c r="A524" s="6" t="s">
        <v>678</v>
      </c>
      <c r="B524" s="6">
        <v>0</v>
      </c>
      <c r="C524" s="6" t="s">
        <v>188</v>
      </c>
      <c r="D524" s="6" t="s">
        <v>278</v>
      </c>
      <c r="E524" s="7"/>
      <c r="F524" s="7"/>
      <c r="G524" s="8"/>
      <c r="H524" s="8">
        <v>100000000</v>
      </c>
      <c r="I524" s="8">
        <f>H524*20%</f>
        <v>20000000</v>
      </c>
      <c r="J524" s="9">
        <v>1.2500000000000001E-2</v>
      </c>
      <c r="K524" s="6" t="s">
        <v>259</v>
      </c>
    </row>
    <row r="525" spans="1:11" x14ac:dyDescent="0.2">
      <c r="A525" s="6" t="s">
        <v>678</v>
      </c>
      <c r="B525" s="6">
        <v>1</v>
      </c>
      <c r="C525" s="6" t="s">
        <v>183</v>
      </c>
      <c r="D525" s="6" t="s">
        <v>278</v>
      </c>
      <c r="E525" s="7"/>
      <c r="F525" s="7">
        <v>44188</v>
      </c>
      <c r="G525" s="8"/>
      <c r="H525" s="8">
        <v>100000000</v>
      </c>
      <c r="I525" s="8">
        <v>25000000</v>
      </c>
      <c r="J525" s="9">
        <v>2.5000000000000001E-2</v>
      </c>
      <c r="K525" s="6" t="s">
        <v>259</v>
      </c>
    </row>
    <row r="526" spans="1:11" x14ac:dyDescent="0.2">
      <c r="A526" s="6" t="s">
        <v>678</v>
      </c>
      <c r="B526" s="6">
        <v>0</v>
      </c>
      <c r="C526" s="6" t="s">
        <v>183</v>
      </c>
      <c r="D526" s="6" t="s">
        <v>278</v>
      </c>
      <c r="E526" s="7">
        <v>44195</v>
      </c>
      <c r="F526" s="7">
        <v>44195</v>
      </c>
      <c r="G526" s="8">
        <v>1</v>
      </c>
      <c r="H526" s="8">
        <v>100000000</v>
      </c>
      <c r="I526" s="8">
        <v>1500000</v>
      </c>
      <c r="J526" s="9">
        <v>0.05</v>
      </c>
      <c r="K526" s="6" t="s">
        <v>259</v>
      </c>
    </row>
    <row r="527" spans="1:11" x14ac:dyDescent="0.2">
      <c r="A527" s="6" t="s">
        <v>131</v>
      </c>
      <c r="B527" s="6">
        <v>1</v>
      </c>
      <c r="C527" s="6" t="s">
        <v>188</v>
      </c>
      <c r="D527" s="6" t="s">
        <v>278</v>
      </c>
      <c r="E527" s="7">
        <v>43122</v>
      </c>
      <c r="F527" s="7">
        <v>43187</v>
      </c>
      <c r="G527" s="8">
        <v>63</v>
      </c>
      <c r="H527" s="8">
        <v>150000000</v>
      </c>
      <c r="I527" s="8">
        <v>30000000</v>
      </c>
      <c r="J527" s="9">
        <v>2.7E-2</v>
      </c>
      <c r="K527" s="6" t="s">
        <v>259</v>
      </c>
    </row>
    <row r="528" spans="1:11" x14ac:dyDescent="0.2">
      <c r="A528" s="6" t="s">
        <v>131</v>
      </c>
      <c r="B528" s="6">
        <v>0</v>
      </c>
      <c r="C528" s="6" t="s">
        <v>183</v>
      </c>
      <c r="D528" s="6" t="s">
        <v>278</v>
      </c>
      <c r="E528" s="7">
        <v>43189</v>
      </c>
      <c r="F528" s="7">
        <v>43220</v>
      </c>
      <c r="G528" s="8">
        <v>31</v>
      </c>
      <c r="H528" s="8">
        <v>150000000</v>
      </c>
      <c r="I528" s="8">
        <v>31500000</v>
      </c>
      <c r="J528" s="9">
        <v>0.03</v>
      </c>
      <c r="K528" s="6" t="s">
        <v>259</v>
      </c>
    </row>
    <row r="529" spans="1:11" x14ac:dyDescent="0.2">
      <c r="A529" s="6" t="s">
        <v>58</v>
      </c>
      <c r="B529" s="6">
        <v>0</v>
      </c>
      <c r="C529" s="6" t="s">
        <v>183</v>
      </c>
      <c r="D529" s="6" t="s">
        <v>278</v>
      </c>
      <c r="E529" s="7">
        <v>43719</v>
      </c>
      <c r="F529" s="7">
        <v>43719</v>
      </c>
      <c r="G529" s="8">
        <v>1</v>
      </c>
      <c r="H529" s="8">
        <v>10000000000</v>
      </c>
      <c r="I529" s="8">
        <v>100000000</v>
      </c>
      <c r="J529" s="9">
        <v>5.0000000000000001E-3</v>
      </c>
      <c r="K529" s="6" t="s">
        <v>259</v>
      </c>
    </row>
    <row r="530" spans="1:11" x14ac:dyDescent="0.2">
      <c r="A530" s="6" t="s">
        <v>589</v>
      </c>
      <c r="B530" s="6">
        <v>0</v>
      </c>
      <c r="C530" s="6" t="s">
        <v>188</v>
      </c>
      <c r="D530" s="6" t="s">
        <v>278</v>
      </c>
      <c r="E530" s="7">
        <v>44172</v>
      </c>
      <c r="F530" s="7">
        <v>44173</v>
      </c>
      <c r="G530" s="8">
        <v>2</v>
      </c>
      <c r="H530" s="8">
        <v>300000000</v>
      </c>
      <c r="I530" s="8">
        <v>50000000</v>
      </c>
      <c r="J530" s="9">
        <v>0.11</v>
      </c>
      <c r="K530" s="6" t="s">
        <v>259</v>
      </c>
    </row>
    <row r="531" spans="1:11" x14ac:dyDescent="0.2">
      <c r="A531" s="6" t="s">
        <v>575</v>
      </c>
      <c r="B531" s="6">
        <v>1</v>
      </c>
      <c r="C531" s="6" t="s">
        <v>188</v>
      </c>
      <c r="D531" s="6" t="s">
        <v>278</v>
      </c>
      <c r="E531" s="7">
        <v>44196</v>
      </c>
      <c r="F531" s="7">
        <v>44208</v>
      </c>
      <c r="G531" s="8">
        <v>13</v>
      </c>
      <c r="H531" s="8">
        <v>88888888</v>
      </c>
      <c r="I531" s="8">
        <v>7666668</v>
      </c>
      <c r="J531" s="9">
        <v>0.05</v>
      </c>
      <c r="K531" s="6" t="s">
        <v>259</v>
      </c>
    </row>
    <row r="532" spans="1:11" x14ac:dyDescent="0.2">
      <c r="A532" s="6" t="s">
        <v>575</v>
      </c>
      <c r="B532" s="6">
        <v>0</v>
      </c>
      <c r="C532" s="6" t="s">
        <v>183</v>
      </c>
      <c r="D532" s="6" t="s">
        <v>278</v>
      </c>
      <c r="E532" s="7">
        <v>44210</v>
      </c>
      <c r="F532" s="7">
        <v>44211</v>
      </c>
      <c r="G532" s="8"/>
      <c r="H532" s="8">
        <v>88888888</v>
      </c>
      <c r="I532" s="8">
        <v>1212121</v>
      </c>
      <c r="J532" s="9">
        <v>5.0000000000000001E-3</v>
      </c>
      <c r="K532" s="6" t="s">
        <v>259</v>
      </c>
    </row>
    <row r="533" spans="1:11" x14ac:dyDescent="0.2">
      <c r="A533" s="6" t="s">
        <v>68</v>
      </c>
      <c r="B533" s="6">
        <v>0</v>
      </c>
      <c r="C533" s="6" t="s">
        <v>183</v>
      </c>
      <c r="D533" s="6" t="s">
        <v>278</v>
      </c>
      <c r="E533" s="7">
        <v>43623</v>
      </c>
      <c r="F533" s="7">
        <v>43650</v>
      </c>
      <c r="G533" s="8">
        <v>28</v>
      </c>
      <c r="H533" s="8">
        <v>750000000</v>
      </c>
      <c r="I533" s="8">
        <f>H533*17%</f>
        <v>127500000.00000001</v>
      </c>
      <c r="J533" s="9">
        <v>2.0000000000000001E-4</v>
      </c>
      <c r="K533" s="6" t="s">
        <v>259</v>
      </c>
    </row>
    <row r="534" spans="1:11" x14ac:dyDescent="0.2">
      <c r="A534" s="1" t="s">
        <v>775</v>
      </c>
      <c r="B534" s="1">
        <v>0</v>
      </c>
      <c r="C534" s="1" t="s">
        <v>183</v>
      </c>
      <c r="D534" s="1" t="s">
        <v>278</v>
      </c>
      <c r="E534" s="3">
        <v>43804</v>
      </c>
      <c r="F534" s="3">
        <v>43936</v>
      </c>
      <c r="G534" s="2">
        <v>133</v>
      </c>
      <c r="H534" s="2">
        <v>2500000</v>
      </c>
      <c r="I534" s="2">
        <v>2500000</v>
      </c>
      <c r="J534" s="4">
        <v>1</v>
      </c>
      <c r="K534" s="1" t="s">
        <v>286</v>
      </c>
    </row>
    <row r="535" spans="1:11" x14ac:dyDescent="0.2">
      <c r="A535" s="1" t="s">
        <v>777</v>
      </c>
      <c r="B535" s="1">
        <v>0</v>
      </c>
      <c r="C535" s="1" t="s">
        <v>183</v>
      </c>
      <c r="D535" s="1" t="s">
        <v>278</v>
      </c>
      <c r="E535" s="3">
        <v>43802</v>
      </c>
      <c r="F535" s="3">
        <v>43832</v>
      </c>
      <c r="G535" s="2">
        <v>31</v>
      </c>
      <c r="H535" s="2">
        <v>2500000</v>
      </c>
      <c r="I535" s="2"/>
      <c r="J535" s="4">
        <v>1</v>
      </c>
      <c r="K535" s="1" t="s">
        <v>286</v>
      </c>
    </row>
    <row r="536" spans="1:11" x14ac:dyDescent="0.2">
      <c r="A536" s="1" t="s">
        <v>779</v>
      </c>
      <c r="B536" s="1">
        <v>0</v>
      </c>
      <c r="C536" s="1" t="s">
        <v>183</v>
      </c>
      <c r="D536" s="1" t="s">
        <v>278</v>
      </c>
      <c r="E536" s="3">
        <v>43753</v>
      </c>
      <c r="F536" s="3">
        <v>43798</v>
      </c>
      <c r="G536" s="2">
        <v>46</v>
      </c>
      <c r="H536" s="2"/>
      <c r="I536" s="2"/>
      <c r="J536" s="4">
        <v>0.92</v>
      </c>
      <c r="K536" s="1" t="s">
        <v>286</v>
      </c>
    </row>
    <row r="537" spans="1:11" x14ac:dyDescent="0.2">
      <c r="A537" s="1" t="s">
        <v>780</v>
      </c>
      <c r="B537" s="1">
        <v>0</v>
      </c>
      <c r="C537" s="1" t="s">
        <v>188</v>
      </c>
      <c r="D537" s="1" t="s">
        <v>278</v>
      </c>
      <c r="E537" s="3">
        <v>43683</v>
      </c>
      <c r="F537" s="3">
        <v>43731</v>
      </c>
      <c r="G537" s="2">
        <v>31</v>
      </c>
      <c r="H537" s="2">
        <v>40000000</v>
      </c>
      <c r="I537" s="2">
        <v>20000000</v>
      </c>
      <c r="J537" s="4">
        <v>0.85</v>
      </c>
      <c r="K537" s="1" t="s">
        <v>286</v>
      </c>
    </row>
    <row r="538" spans="1:11" x14ac:dyDescent="0.2">
      <c r="A538" s="1" t="s">
        <v>780</v>
      </c>
      <c r="B538" s="1">
        <v>0</v>
      </c>
      <c r="C538" s="1" t="s">
        <v>183</v>
      </c>
      <c r="D538" s="1" t="s">
        <v>278</v>
      </c>
      <c r="E538" s="3">
        <v>43731</v>
      </c>
      <c r="F538" s="3">
        <v>43787</v>
      </c>
      <c r="G538" s="2">
        <v>57</v>
      </c>
      <c r="H538" s="2">
        <v>40000000</v>
      </c>
      <c r="I538" s="2">
        <v>20000000</v>
      </c>
      <c r="J538" s="4">
        <v>1</v>
      </c>
      <c r="K538" s="1" t="s">
        <v>286</v>
      </c>
    </row>
    <row r="539" spans="1:11" x14ac:dyDescent="0.2">
      <c r="A539" s="1" t="s">
        <v>783</v>
      </c>
      <c r="B539" s="1">
        <v>0</v>
      </c>
      <c r="C539" s="1" t="s">
        <v>183</v>
      </c>
      <c r="D539" s="1" t="s">
        <v>278</v>
      </c>
      <c r="E539" s="3">
        <v>43641</v>
      </c>
      <c r="F539" s="3">
        <v>43658</v>
      </c>
      <c r="G539" s="2">
        <v>18</v>
      </c>
      <c r="H539" s="2">
        <v>110000</v>
      </c>
      <c r="I539" s="2">
        <v>10000</v>
      </c>
      <c r="J539" s="4">
        <v>200</v>
      </c>
      <c r="K539" s="1" t="s">
        <v>286</v>
      </c>
    </row>
    <row r="540" spans="1:11" x14ac:dyDescent="0.2">
      <c r="A540" s="1" t="s">
        <v>784</v>
      </c>
      <c r="B540" s="1">
        <v>0</v>
      </c>
      <c r="C540" s="1" t="s">
        <v>183</v>
      </c>
      <c r="D540" s="1" t="s">
        <v>278</v>
      </c>
      <c r="E540" s="3">
        <v>43601</v>
      </c>
      <c r="F540" s="3">
        <v>43644</v>
      </c>
      <c r="G540" s="2">
        <v>44</v>
      </c>
      <c r="H540" s="2">
        <v>18000000</v>
      </c>
      <c r="I540" s="2">
        <v>18000000</v>
      </c>
      <c r="J540" s="4">
        <v>0.1</v>
      </c>
      <c r="K540" s="1" t="s">
        <v>286</v>
      </c>
    </row>
    <row r="541" spans="1:11" x14ac:dyDescent="0.2">
      <c r="A541" s="1" t="s">
        <v>785</v>
      </c>
      <c r="B541" s="1">
        <v>0</v>
      </c>
      <c r="C541" s="1" t="s">
        <v>183</v>
      </c>
      <c r="D541" s="1" t="s">
        <v>278</v>
      </c>
      <c r="E541" s="3">
        <v>43558</v>
      </c>
      <c r="F541" s="3">
        <v>43923</v>
      </c>
      <c r="G541" s="2">
        <v>365</v>
      </c>
      <c r="H541" s="2">
        <v>100000000</v>
      </c>
      <c r="I541" s="2">
        <v>100000000</v>
      </c>
      <c r="J541" s="4">
        <v>1</v>
      </c>
      <c r="K541" s="1" t="s">
        <v>259</v>
      </c>
    </row>
    <row r="542" spans="1:11" x14ac:dyDescent="0.2">
      <c r="A542" s="1" t="s">
        <v>786</v>
      </c>
      <c r="B542" s="1">
        <v>0</v>
      </c>
      <c r="C542" s="1" t="s">
        <v>183</v>
      </c>
      <c r="D542" s="1" t="s">
        <v>278</v>
      </c>
      <c r="E542" s="3">
        <v>43647</v>
      </c>
      <c r="F542" s="3">
        <v>43830</v>
      </c>
      <c r="G542" s="2">
        <v>184</v>
      </c>
      <c r="H542" s="2">
        <v>15000000000</v>
      </c>
      <c r="I542" s="2">
        <v>7500000000</v>
      </c>
      <c r="J542" s="4">
        <v>1.4999999999999999E-2</v>
      </c>
      <c r="K542" s="1" t="s">
        <v>259</v>
      </c>
    </row>
    <row r="543" spans="1:11" x14ac:dyDescent="0.2">
      <c r="A543" s="1" t="s">
        <v>788</v>
      </c>
      <c r="B543" s="1">
        <v>0</v>
      </c>
      <c r="C543" s="1" t="s">
        <v>183</v>
      </c>
      <c r="D543" s="1" t="s">
        <v>278</v>
      </c>
      <c r="E543" s="3">
        <v>43532</v>
      </c>
      <c r="F543" s="3">
        <v>43676</v>
      </c>
      <c r="G543" s="2">
        <v>145</v>
      </c>
      <c r="H543" s="2">
        <f>50000000/5</f>
        <v>10000000</v>
      </c>
      <c r="I543" s="2"/>
      <c r="J543" s="4">
        <v>5</v>
      </c>
      <c r="K543" s="1" t="s">
        <v>259</v>
      </c>
    </row>
    <row r="544" spans="1:11" x14ac:dyDescent="0.2">
      <c r="A544" s="1" t="s">
        <v>790</v>
      </c>
      <c r="B544" s="1">
        <v>0</v>
      </c>
      <c r="C544" s="1" t="s">
        <v>183</v>
      </c>
      <c r="D544" s="1" t="s">
        <v>278</v>
      </c>
      <c r="E544" s="3">
        <v>43647</v>
      </c>
      <c r="F544" s="3">
        <v>43707</v>
      </c>
      <c r="G544" s="2">
        <v>61</v>
      </c>
      <c r="H544" s="2">
        <v>60000000</v>
      </c>
      <c r="I544" s="2">
        <v>49998000</v>
      </c>
      <c r="J544" s="4">
        <v>0.3</v>
      </c>
      <c r="K544" s="1" t="s">
        <v>259</v>
      </c>
    </row>
    <row r="545" spans="1:11" x14ac:dyDescent="0.2">
      <c r="A545" s="1" t="s">
        <v>791</v>
      </c>
      <c r="B545" s="1">
        <v>0</v>
      </c>
      <c r="C545" s="1" t="s">
        <v>183</v>
      </c>
      <c r="D545" s="1" t="s">
        <v>278</v>
      </c>
      <c r="E545" s="3">
        <v>43648</v>
      </c>
      <c r="F545" s="3">
        <v>43862</v>
      </c>
      <c r="G545" s="2">
        <f>F545-E545</f>
        <v>214</v>
      </c>
      <c r="H545" s="2">
        <v>912442</v>
      </c>
      <c r="I545" s="2">
        <v>106300</v>
      </c>
      <c r="J545" s="4">
        <v>9.5</v>
      </c>
      <c r="K545" s="1" t="s">
        <v>286</v>
      </c>
    </row>
    <row r="546" spans="1:11" x14ac:dyDescent="0.2">
      <c r="A546" s="1" t="s">
        <v>792</v>
      </c>
      <c r="B546" s="1">
        <v>0</v>
      </c>
      <c r="C546" s="1" t="s">
        <v>183</v>
      </c>
      <c r="D546" s="1" t="s">
        <v>278</v>
      </c>
      <c r="E546" s="3">
        <v>43654</v>
      </c>
      <c r="F546" s="3">
        <v>43668</v>
      </c>
      <c r="G546" s="2">
        <v>15</v>
      </c>
      <c r="H546" s="2"/>
      <c r="I546" s="2"/>
      <c r="J546" s="4"/>
      <c r="K546" s="1"/>
    </row>
    <row r="547" spans="1:11" x14ac:dyDescent="0.2">
      <c r="A547" s="1" t="s">
        <v>793</v>
      </c>
      <c r="B547" s="1">
        <v>0</v>
      </c>
      <c r="C547" s="1" t="s">
        <v>183</v>
      </c>
      <c r="D547" s="1" t="s">
        <v>278</v>
      </c>
      <c r="E547" s="3">
        <v>43454</v>
      </c>
      <c r="F547" s="3">
        <v>43570</v>
      </c>
      <c r="G547" s="2">
        <f>F547-E547</f>
        <v>116</v>
      </c>
      <c r="H547" s="2">
        <v>500000000</v>
      </c>
      <c r="I547" s="2"/>
      <c r="J547" s="4">
        <v>0.18</v>
      </c>
      <c r="K547" s="1" t="s">
        <v>259</v>
      </c>
    </row>
    <row r="548" spans="1:11" x14ac:dyDescent="0.2">
      <c r="A548" s="1" t="s">
        <v>796</v>
      </c>
      <c r="B548" s="1">
        <v>0</v>
      </c>
      <c r="C548" s="1" t="s">
        <v>183</v>
      </c>
      <c r="D548" s="1" t="s">
        <v>278</v>
      </c>
      <c r="E548" s="3">
        <v>43535</v>
      </c>
      <c r="F548" s="3">
        <v>43595</v>
      </c>
      <c r="G548" s="2">
        <v>61</v>
      </c>
      <c r="H548" s="2">
        <v>100000000</v>
      </c>
      <c r="I548" s="2"/>
      <c r="J548" s="4">
        <v>1</v>
      </c>
      <c r="K548" s="1" t="s">
        <v>286</v>
      </c>
    </row>
    <row r="549" spans="1:11" x14ac:dyDescent="0.2">
      <c r="A549" s="1" t="s">
        <v>798</v>
      </c>
      <c r="B549" s="1">
        <v>0</v>
      </c>
      <c r="C549" s="1" t="s">
        <v>183</v>
      </c>
      <c r="D549" s="1" t="s">
        <v>278</v>
      </c>
      <c r="E549" s="3">
        <v>43570</v>
      </c>
      <c r="F549" s="3">
        <v>43600</v>
      </c>
      <c r="G549" s="2">
        <v>31</v>
      </c>
      <c r="H549" s="2"/>
      <c r="I549" s="2"/>
      <c r="J549" s="4">
        <v>100</v>
      </c>
      <c r="K549" s="1" t="s">
        <v>259</v>
      </c>
    </row>
    <row r="550" spans="1:11" x14ac:dyDescent="0.2">
      <c r="A550" s="1" t="s">
        <v>799</v>
      </c>
      <c r="B550" s="1">
        <v>0</v>
      </c>
      <c r="C550" s="1" t="s">
        <v>183</v>
      </c>
      <c r="D550" s="1" t="s">
        <v>278</v>
      </c>
      <c r="E550" s="3">
        <v>43467</v>
      </c>
      <c r="F550" s="3">
        <v>43585</v>
      </c>
      <c r="G550" s="2">
        <v>129</v>
      </c>
      <c r="H550" s="2">
        <v>125000000</v>
      </c>
      <c r="I550" s="2">
        <v>125000000</v>
      </c>
      <c r="J550" s="4">
        <v>1</v>
      </c>
      <c r="K550" s="1" t="s">
        <v>259</v>
      </c>
    </row>
    <row r="551" spans="1:11" x14ac:dyDescent="0.2">
      <c r="A551" s="1" t="s">
        <v>800</v>
      </c>
      <c r="B551" s="1">
        <v>0</v>
      </c>
      <c r="C551" s="1" t="s">
        <v>183</v>
      </c>
      <c r="D551" s="1" t="s">
        <v>278</v>
      </c>
      <c r="E551" s="3">
        <v>43554</v>
      </c>
      <c r="F551" s="3">
        <v>43708</v>
      </c>
      <c r="G551" s="2">
        <v>155</v>
      </c>
      <c r="H551" s="5">
        <v>365000000</v>
      </c>
      <c r="I551" s="5">
        <v>332150000</v>
      </c>
      <c r="J551" s="4">
        <v>0.15</v>
      </c>
      <c r="K551" s="1" t="s">
        <v>259</v>
      </c>
    </row>
    <row r="552" spans="1:11" x14ac:dyDescent="0.2">
      <c r="A552" s="1" t="s">
        <v>802</v>
      </c>
      <c r="B552" s="1">
        <v>0</v>
      </c>
      <c r="C552" s="1" t="s">
        <v>183</v>
      </c>
      <c r="D552" s="1" t="s">
        <v>278</v>
      </c>
      <c r="E552" s="3">
        <v>42835</v>
      </c>
      <c r="F552" s="3">
        <v>42835</v>
      </c>
      <c r="G552" s="2">
        <v>1</v>
      </c>
      <c r="H552" s="2">
        <v>10000000</v>
      </c>
      <c r="I552" s="2">
        <v>10000000</v>
      </c>
      <c r="J552" s="4">
        <v>1</v>
      </c>
      <c r="K552" s="1" t="s">
        <v>259</v>
      </c>
    </row>
    <row r="553" spans="1:11" x14ac:dyDescent="0.2">
      <c r="A553" s="1" t="s">
        <v>803</v>
      </c>
      <c r="B553" s="1">
        <v>0</v>
      </c>
      <c r="C553" s="1" t="s">
        <v>183</v>
      </c>
      <c r="D553" s="1" t="s">
        <v>278</v>
      </c>
      <c r="E553" s="3">
        <v>43403</v>
      </c>
      <c r="F553" s="3">
        <v>43449</v>
      </c>
      <c r="G553" s="2">
        <v>49</v>
      </c>
      <c r="H553" s="2">
        <v>10000000</v>
      </c>
      <c r="I553" s="2">
        <v>500000</v>
      </c>
      <c r="J553" s="4">
        <v>5</v>
      </c>
      <c r="K553" s="1" t="s">
        <v>701</v>
      </c>
    </row>
    <row r="554" spans="1:11" x14ac:dyDescent="0.2">
      <c r="A554" s="1" t="s">
        <v>805</v>
      </c>
      <c r="B554" s="1">
        <v>0</v>
      </c>
      <c r="C554" s="1" t="s">
        <v>183</v>
      </c>
      <c r="D554" s="1" t="s">
        <v>278</v>
      </c>
      <c r="E554" s="3"/>
      <c r="F554" s="3">
        <v>43784</v>
      </c>
      <c r="G554" s="2"/>
      <c r="H554" s="2">
        <v>10021525</v>
      </c>
      <c r="I554" s="2">
        <v>100215252</v>
      </c>
      <c r="J554" s="4">
        <v>1</v>
      </c>
      <c r="K554" s="1" t="s">
        <v>259</v>
      </c>
    </row>
    <row r="555" spans="1:11" x14ac:dyDescent="0.2">
      <c r="A555" s="1" t="s">
        <v>806</v>
      </c>
      <c r="B555" s="1">
        <v>0</v>
      </c>
      <c r="C555" s="1" t="s">
        <v>183</v>
      </c>
      <c r="D555" s="1" t="s">
        <v>278</v>
      </c>
      <c r="E555" s="3">
        <v>43525</v>
      </c>
      <c r="F555" s="3">
        <v>43585</v>
      </c>
      <c r="G555" s="2">
        <v>61</v>
      </c>
      <c r="H555" s="2">
        <v>20000000</v>
      </c>
      <c r="I555" s="2">
        <f>H555*75%</f>
        <v>15000000</v>
      </c>
      <c r="J555" s="4">
        <v>0.36</v>
      </c>
      <c r="K555" s="1" t="s">
        <v>286</v>
      </c>
    </row>
    <row r="556" spans="1:11" x14ac:dyDescent="0.2">
      <c r="A556" s="1" t="s">
        <v>807</v>
      </c>
      <c r="B556" s="1">
        <v>0</v>
      </c>
      <c r="C556" s="1" t="s">
        <v>183</v>
      </c>
      <c r="D556" s="1" t="s">
        <v>278</v>
      </c>
      <c r="E556" s="3">
        <v>43524</v>
      </c>
      <c r="F556" s="3">
        <v>43616</v>
      </c>
      <c r="G556" s="2">
        <v>93</v>
      </c>
      <c r="H556" s="2">
        <v>4000000000</v>
      </c>
      <c r="I556" s="2">
        <v>2200000000</v>
      </c>
      <c r="J556" s="4">
        <v>1.43E-2</v>
      </c>
      <c r="K556" s="1" t="s">
        <v>701</v>
      </c>
    </row>
    <row r="557" spans="1:11" x14ac:dyDescent="0.2">
      <c r="A557" s="1" t="s">
        <v>134</v>
      </c>
      <c r="B557" s="1">
        <v>0</v>
      </c>
      <c r="C557" s="1" t="s">
        <v>183</v>
      </c>
      <c r="D557" s="1" t="s">
        <v>278</v>
      </c>
      <c r="E557" s="3">
        <v>43165</v>
      </c>
      <c r="F557" s="3">
        <v>43191</v>
      </c>
      <c r="G557" s="2">
        <v>27</v>
      </c>
      <c r="H557" s="2">
        <v>750000000</v>
      </c>
      <c r="I557" s="2"/>
      <c r="J557" s="4">
        <v>0.1</v>
      </c>
      <c r="K557" s="1" t="s">
        <v>259</v>
      </c>
    </row>
    <row r="558" spans="1:11" x14ac:dyDescent="0.2">
      <c r="A558" s="1" t="s">
        <v>808</v>
      </c>
      <c r="B558" s="1">
        <v>0</v>
      </c>
      <c r="C558" s="1" t="s">
        <v>183</v>
      </c>
      <c r="D558" s="1" t="s">
        <v>278</v>
      </c>
      <c r="E558" s="3">
        <v>43373</v>
      </c>
      <c r="F558" s="3">
        <v>43465</v>
      </c>
      <c r="G558" s="2">
        <v>93</v>
      </c>
      <c r="H558" s="2">
        <v>90000000</v>
      </c>
      <c r="I558" s="2"/>
      <c r="J558" s="4">
        <v>1</v>
      </c>
      <c r="K558" s="1" t="s">
        <v>259</v>
      </c>
    </row>
    <row r="559" spans="1:11" x14ac:dyDescent="0.2">
      <c r="A559" s="1" t="s">
        <v>811</v>
      </c>
      <c r="B559" s="1">
        <v>0</v>
      </c>
      <c r="C559" s="1" t="s">
        <v>183</v>
      </c>
      <c r="D559" s="1" t="s">
        <v>278</v>
      </c>
      <c r="E559" s="3">
        <v>43132</v>
      </c>
      <c r="F559" s="3">
        <v>43162</v>
      </c>
      <c r="G559" s="2">
        <v>31</v>
      </c>
      <c r="H559" s="2">
        <v>130000000</v>
      </c>
      <c r="I559" s="2">
        <v>110500000</v>
      </c>
      <c r="J559" s="4">
        <v>1</v>
      </c>
      <c r="K559" s="1" t="s">
        <v>259</v>
      </c>
    </row>
    <row r="560" spans="1:11" x14ac:dyDescent="0.2">
      <c r="A560" s="1" t="s">
        <v>803</v>
      </c>
      <c r="B560" s="1">
        <v>0</v>
      </c>
      <c r="C560" s="1" t="s">
        <v>183</v>
      </c>
      <c r="D560" s="1" t="s">
        <v>278</v>
      </c>
      <c r="E560" s="3">
        <v>43403</v>
      </c>
      <c r="F560" s="3">
        <v>43449</v>
      </c>
      <c r="G560" s="2">
        <v>46</v>
      </c>
      <c r="H560" s="2">
        <v>10000000</v>
      </c>
      <c r="I560" s="2">
        <v>500000</v>
      </c>
      <c r="J560" s="4">
        <v>5</v>
      </c>
      <c r="K560" s="1" t="s">
        <v>701</v>
      </c>
    </row>
    <row r="561" spans="1:11" x14ac:dyDescent="0.2">
      <c r="A561" s="1" t="s">
        <v>812</v>
      </c>
      <c r="B561" s="1">
        <v>0</v>
      </c>
      <c r="C561" s="1" t="s">
        <v>183</v>
      </c>
      <c r="D561" s="1" t="s">
        <v>278</v>
      </c>
      <c r="E561" s="3">
        <v>43334</v>
      </c>
      <c r="F561" s="3">
        <v>43392</v>
      </c>
      <c r="G561" s="2">
        <v>58</v>
      </c>
      <c r="H561" s="2">
        <v>1000000000</v>
      </c>
      <c r="I561" s="2">
        <v>800000000</v>
      </c>
      <c r="J561" s="4"/>
      <c r="K561" s="1"/>
    </row>
    <row r="562" spans="1:11" x14ac:dyDescent="0.2">
      <c r="A562" s="1" t="s">
        <v>813</v>
      </c>
      <c r="B562" s="1">
        <v>0</v>
      </c>
      <c r="C562" s="1" t="s">
        <v>183</v>
      </c>
      <c r="D562" s="1" t="s">
        <v>278</v>
      </c>
      <c r="E562" s="3">
        <v>43449</v>
      </c>
      <c r="F562" s="3">
        <v>43570</v>
      </c>
      <c r="G562" s="2">
        <v>122</v>
      </c>
      <c r="H562" s="2">
        <v>240000000</v>
      </c>
      <c r="I562" s="2">
        <v>80000000</v>
      </c>
      <c r="J562" s="4">
        <v>0.5655</v>
      </c>
      <c r="K562" s="1" t="s">
        <v>259</v>
      </c>
    </row>
    <row r="563" spans="1:11" x14ac:dyDescent="0.2">
      <c r="A563" s="1" t="s">
        <v>815</v>
      </c>
      <c r="B563" s="1">
        <v>0</v>
      </c>
      <c r="C563" s="1" t="s">
        <v>183</v>
      </c>
      <c r="D563" s="1" t="s">
        <v>278</v>
      </c>
      <c r="E563" s="3">
        <v>43617</v>
      </c>
      <c r="F563" s="3">
        <v>43678</v>
      </c>
      <c r="G563" s="2">
        <v>62</v>
      </c>
      <c r="H563" s="2">
        <v>8000000</v>
      </c>
      <c r="I563" s="2">
        <v>5880000</v>
      </c>
      <c r="J563" s="4">
        <v>0.86</v>
      </c>
      <c r="K563" s="1" t="s">
        <v>286</v>
      </c>
    </row>
    <row r="564" spans="1:11" x14ac:dyDescent="0.2">
      <c r="A564" s="1" t="s">
        <v>817</v>
      </c>
      <c r="B564" s="1">
        <v>0</v>
      </c>
      <c r="C564" s="1" t="s">
        <v>183</v>
      </c>
      <c r="D564" s="1" t="s">
        <v>278</v>
      </c>
      <c r="E564" s="3">
        <v>43396</v>
      </c>
      <c r="F564" s="3">
        <v>43427</v>
      </c>
      <c r="G564" s="2">
        <v>32</v>
      </c>
      <c r="H564" s="2">
        <v>1200000000</v>
      </c>
      <c r="I564" s="2">
        <v>192000000</v>
      </c>
      <c r="J564" s="4">
        <v>7.3999999999999999E-4</v>
      </c>
      <c r="K564" s="1" t="s">
        <v>2</v>
      </c>
    </row>
    <row r="565" spans="1:11" x14ac:dyDescent="0.2">
      <c r="A565" s="1" t="s">
        <v>818</v>
      </c>
      <c r="B565" s="1">
        <v>0</v>
      </c>
      <c r="C565" s="1" t="s">
        <v>183</v>
      </c>
      <c r="D565" s="1" t="s">
        <v>278</v>
      </c>
      <c r="E565" s="3">
        <v>43221</v>
      </c>
      <c r="F565" s="3">
        <v>43312</v>
      </c>
      <c r="G565" s="2">
        <v>92</v>
      </c>
      <c r="H565" s="2">
        <v>21000000</v>
      </c>
      <c r="I565" s="2">
        <v>16800000</v>
      </c>
      <c r="J565" s="4">
        <v>3</v>
      </c>
      <c r="K565" s="1" t="s">
        <v>259</v>
      </c>
    </row>
    <row r="566" spans="1:11" x14ac:dyDescent="0.2">
      <c r="A566" s="1" t="s">
        <v>820</v>
      </c>
      <c r="B566" s="1">
        <v>1</v>
      </c>
      <c r="C566" s="1" t="s">
        <v>183</v>
      </c>
      <c r="D566" s="1" t="s">
        <v>278</v>
      </c>
      <c r="E566" s="3">
        <v>43249</v>
      </c>
      <c r="F566" s="3">
        <v>43312</v>
      </c>
      <c r="G566" s="2">
        <v>65</v>
      </c>
      <c r="H566" s="2">
        <v>100000000</v>
      </c>
      <c r="I566" s="2">
        <v>100000000</v>
      </c>
      <c r="J566" s="4">
        <v>0.1</v>
      </c>
      <c r="K566" s="1" t="s">
        <v>259</v>
      </c>
    </row>
    <row r="567" spans="1:11" x14ac:dyDescent="0.2">
      <c r="A567" s="1" t="s">
        <v>821</v>
      </c>
      <c r="B567" s="1">
        <v>0</v>
      </c>
      <c r="C567" s="1" t="s">
        <v>188</v>
      </c>
      <c r="D567" s="1" t="s">
        <v>278</v>
      </c>
      <c r="E567" s="3">
        <v>43258</v>
      </c>
      <c r="F567" s="3">
        <v>43322</v>
      </c>
      <c r="G567" s="2">
        <v>65</v>
      </c>
      <c r="H567" s="2">
        <v>19000000000</v>
      </c>
      <c r="I567" s="5">
        <v>1330000000</v>
      </c>
      <c r="J567" s="4">
        <v>7.0000000000000001E-3</v>
      </c>
      <c r="K567" s="1" t="s">
        <v>259</v>
      </c>
    </row>
    <row r="568" spans="1:11" x14ac:dyDescent="0.2">
      <c r="A568" s="1" t="s">
        <v>821</v>
      </c>
      <c r="B568" s="1">
        <v>1</v>
      </c>
      <c r="C568" s="1" t="s">
        <v>183</v>
      </c>
      <c r="D568" s="1" t="s">
        <v>278</v>
      </c>
      <c r="E568" s="3">
        <v>43326</v>
      </c>
      <c r="F568" s="3">
        <v>43339</v>
      </c>
      <c r="G568" s="2">
        <v>14</v>
      </c>
      <c r="H568" s="2">
        <v>19000000000</v>
      </c>
      <c r="I568" s="5">
        <v>2660000000</v>
      </c>
      <c r="J568" s="4">
        <v>8.0000000000000002E-3</v>
      </c>
      <c r="K568" s="1" t="s">
        <v>259</v>
      </c>
    </row>
    <row r="569" spans="1:11" x14ac:dyDescent="0.2">
      <c r="A569" s="1" t="s">
        <v>821</v>
      </c>
      <c r="B569" s="1">
        <v>0</v>
      </c>
      <c r="C569" s="1" t="s">
        <v>183</v>
      </c>
      <c r="D569" s="1" t="s">
        <v>278</v>
      </c>
      <c r="E569" s="3">
        <v>43364</v>
      </c>
      <c r="F569" s="3">
        <v>43451</v>
      </c>
      <c r="G569" s="2">
        <v>88</v>
      </c>
      <c r="H569" s="2">
        <v>19000000000</v>
      </c>
      <c r="I569" s="5">
        <v>9310000000</v>
      </c>
      <c r="J569" s="4">
        <v>0.01</v>
      </c>
      <c r="K569" s="1" t="s">
        <v>259</v>
      </c>
    </row>
    <row r="570" spans="1:11" x14ac:dyDescent="0.2">
      <c r="A570" s="1" t="s">
        <v>822</v>
      </c>
      <c r="B570" s="1">
        <v>0</v>
      </c>
      <c r="C570" s="1" t="s">
        <v>183</v>
      </c>
      <c r="D570" s="1" t="s">
        <v>278</v>
      </c>
      <c r="E570" s="3">
        <v>43374</v>
      </c>
      <c r="F570" s="3">
        <v>43465</v>
      </c>
      <c r="G570" s="2">
        <v>92</v>
      </c>
      <c r="H570" s="2">
        <v>500000000</v>
      </c>
      <c r="I570" s="2">
        <v>200000000</v>
      </c>
      <c r="J570" s="4">
        <v>0.5</v>
      </c>
      <c r="K570" s="1" t="s">
        <v>259</v>
      </c>
    </row>
    <row r="571" spans="1:11" x14ac:dyDescent="0.2">
      <c r="A571" s="1" t="s">
        <v>823</v>
      </c>
      <c r="B571" s="1">
        <v>1</v>
      </c>
      <c r="C571" s="1" t="s">
        <v>183</v>
      </c>
      <c r="D571" s="1" t="s">
        <v>278</v>
      </c>
      <c r="E571" s="3">
        <v>43282</v>
      </c>
      <c r="F571" s="3">
        <v>43373</v>
      </c>
      <c r="G571" s="2">
        <v>92</v>
      </c>
      <c r="H571" s="2">
        <v>50000000</v>
      </c>
      <c r="I571" s="2"/>
      <c r="J571" s="4">
        <v>1E-3</v>
      </c>
      <c r="K571" s="1" t="s">
        <v>2</v>
      </c>
    </row>
    <row r="572" spans="1:11" x14ac:dyDescent="0.2">
      <c r="A572" s="1" t="s">
        <v>823</v>
      </c>
      <c r="B572" s="1">
        <v>0</v>
      </c>
      <c r="C572" s="1" t="s">
        <v>183</v>
      </c>
      <c r="D572" s="1" t="s">
        <v>278</v>
      </c>
      <c r="E572" s="3">
        <v>43374</v>
      </c>
      <c r="F572" s="3">
        <v>43464</v>
      </c>
      <c r="G572" s="2">
        <v>91</v>
      </c>
      <c r="H572" s="2">
        <v>50000000</v>
      </c>
      <c r="I572" s="2"/>
      <c r="J572" s="4">
        <v>1.25E-3</v>
      </c>
      <c r="K572" s="1" t="s">
        <v>2</v>
      </c>
    </row>
    <row r="573" spans="1:11" x14ac:dyDescent="0.2">
      <c r="A573" s="1" t="s">
        <v>824</v>
      </c>
      <c r="B573" s="1">
        <v>0</v>
      </c>
      <c r="C573" s="1" t="s">
        <v>183</v>
      </c>
      <c r="D573" s="1" t="s">
        <v>278</v>
      </c>
      <c r="E573" s="3">
        <v>43148</v>
      </c>
      <c r="F573" s="3">
        <v>43176</v>
      </c>
      <c r="G573" s="2">
        <v>29</v>
      </c>
      <c r="H573" s="2">
        <v>294000000</v>
      </c>
      <c r="I573" s="2">
        <v>200000000</v>
      </c>
      <c r="J573" s="4">
        <v>1</v>
      </c>
      <c r="K573" s="1" t="s">
        <v>259</v>
      </c>
    </row>
    <row r="576" spans="1:11" x14ac:dyDescent="0.2">
      <c r="G576" s="2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EC06-393B-6843-AA9C-17E5C4B07C83}">
  <dimension ref="A1:M617"/>
  <sheetViews>
    <sheetView workbookViewId="0">
      <selection activeCell="A573" sqref="A573:XFD573"/>
    </sheetView>
  </sheetViews>
  <sheetFormatPr baseColWidth="10" defaultRowHeight="16" x14ac:dyDescent="0.2"/>
  <cols>
    <col min="1" max="5" width="10.83203125" style="16"/>
    <col min="6" max="6" width="9.83203125" style="16" bestFit="1" customWidth="1"/>
    <col min="7" max="7" width="6.33203125" style="16" bestFit="1" customWidth="1"/>
    <col min="8" max="8" width="19" style="16" bestFit="1" customWidth="1"/>
    <col min="9" max="9" width="22.33203125" style="16" bestFit="1" customWidth="1"/>
    <col min="10" max="13" width="10.83203125" style="16"/>
  </cols>
  <sheetData>
    <row r="1" spans="1:12" x14ac:dyDescent="0.2">
      <c r="A1" s="12" t="s">
        <v>0</v>
      </c>
      <c r="B1" s="12" t="s">
        <v>287</v>
      </c>
      <c r="C1" s="12" t="s">
        <v>263</v>
      </c>
      <c r="D1" s="12" t="s">
        <v>269</v>
      </c>
      <c r="E1" s="12" t="s">
        <v>260</v>
      </c>
      <c r="F1" s="12" t="s">
        <v>261</v>
      </c>
      <c r="G1" s="12" t="s">
        <v>1</v>
      </c>
      <c r="H1" s="12" t="s">
        <v>264</v>
      </c>
      <c r="I1" s="13" t="s">
        <v>265</v>
      </c>
      <c r="J1" s="14" t="s">
        <v>266</v>
      </c>
      <c r="K1" s="12" t="s">
        <v>267</v>
      </c>
      <c r="L1" s="12" t="s">
        <v>272</v>
      </c>
    </row>
    <row r="2" spans="1:12" x14ac:dyDescent="0.2">
      <c r="A2" s="17" t="s">
        <v>38</v>
      </c>
      <c r="B2" s="17">
        <v>0</v>
      </c>
      <c r="C2" s="17" t="s">
        <v>183</v>
      </c>
      <c r="D2" s="17" t="s">
        <v>278</v>
      </c>
      <c r="E2" s="18">
        <v>43935</v>
      </c>
      <c r="F2" s="18">
        <v>43301</v>
      </c>
      <c r="G2" s="19">
        <v>98</v>
      </c>
      <c r="H2" s="19">
        <v>50000000</v>
      </c>
      <c r="I2" s="19">
        <v>10000000</v>
      </c>
      <c r="J2" s="20">
        <v>0.5</v>
      </c>
      <c r="K2" s="17" t="s">
        <v>259</v>
      </c>
      <c r="L2" s="21" t="s">
        <v>742</v>
      </c>
    </row>
    <row r="3" spans="1:12" x14ac:dyDescent="0.2">
      <c r="A3" s="17" t="s">
        <v>601</v>
      </c>
      <c r="B3" s="17">
        <v>1</v>
      </c>
      <c r="C3" s="17" t="s">
        <v>183</v>
      </c>
      <c r="D3" s="17" t="s">
        <v>278</v>
      </c>
      <c r="E3" s="18">
        <v>43935</v>
      </c>
      <c r="F3" s="18">
        <v>43937</v>
      </c>
      <c r="G3" s="19">
        <v>3</v>
      </c>
      <c r="H3" s="19">
        <v>50000000</v>
      </c>
      <c r="I3" s="19">
        <v>1000000</v>
      </c>
      <c r="J3" s="20">
        <v>0.5</v>
      </c>
      <c r="K3" s="17" t="s">
        <v>259</v>
      </c>
      <c r="L3" s="21" t="s">
        <v>602</v>
      </c>
    </row>
    <row r="4" spans="1:12" x14ac:dyDescent="0.2">
      <c r="A4" s="17" t="s">
        <v>601</v>
      </c>
      <c r="B4" s="17">
        <v>0</v>
      </c>
      <c r="C4" s="17" t="s">
        <v>183</v>
      </c>
      <c r="D4" s="17" t="s">
        <v>278</v>
      </c>
      <c r="E4" s="18">
        <v>43937</v>
      </c>
      <c r="F4" s="18">
        <v>43938</v>
      </c>
      <c r="G4" s="19">
        <v>2</v>
      </c>
      <c r="H4" s="19">
        <v>50000000</v>
      </c>
      <c r="I4" s="19">
        <v>9300000</v>
      </c>
      <c r="J4" s="20">
        <v>1</v>
      </c>
      <c r="K4" s="17" t="s">
        <v>259</v>
      </c>
    </row>
    <row r="5" spans="1:12" x14ac:dyDescent="0.2">
      <c r="A5" s="17" t="s">
        <v>117</v>
      </c>
      <c r="B5" s="17">
        <v>1</v>
      </c>
      <c r="C5" s="17" t="s">
        <v>183</v>
      </c>
      <c r="D5" s="17" t="s">
        <v>278</v>
      </c>
      <c r="E5" s="18">
        <v>43241</v>
      </c>
      <c r="F5" s="18">
        <v>43250</v>
      </c>
      <c r="G5" s="19">
        <v>10</v>
      </c>
      <c r="H5" s="19">
        <v>400000000</v>
      </c>
      <c r="I5" s="19">
        <v>38000000</v>
      </c>
      <c r="J5" s="20">
        <v>5.21E-2</v>
      </c>
      <c r="K5" s="17" t="s">
        <v>259</v>
      </c>
      <c r="L5" s="21" t="s">
        <v>730</v>
      </c>
    </row>
    <row r="6" spans="1:12" x14ac:dyDescent="0.2">
      <c r="A6" s="17" t="s">
        <v>117</v>
      </c>
      <c r="B6" s="17">
        <v>0</v>
      </c>
      <c r="C6" s="17" t="s">
        <v>183</v>
      </c>
      <c r="D6" s="17" t="s">
        <v>278</v>
      </c>
      <c r="E6" s="18">
        <v>43266</v>
      </c>
      <c r="F6" s="18">
        <v>43270</v>
      </c>
      <c r="G6" s="19">
        <v>5</v>
      </c>
      <c r="H6" s="19">
        <v>400000000</v>
      </c>
      <c r="I6" s="19">
        <f>H6*29.3%</f>
        <v>117200000</v>
      </c>
      <c r="J6" s="20">
        <v>5.21E-2</v>
      </c>
      <c r="K6" s="17" t="s">
        <v>259</v>
      </c>
      <c r="L6" s="21" t="s">
        <v>731</v>
      </c>
    </row>
    <row r="7" spans="1:12" x14ac:dyDescent="0.2">
      <c r="A7" s="17" t="s">
        <v>127</v>
      </c>
      <c r="B7" s="17">
        <v>0</v>
      </c>
      <c r="C7" s="17" t="s">
        <v>183</v>
      </c>
      <c r="D7" s="17" t="s">
        <v>362</v>
      </c>
      <c r="E7" s="18">
        <v>43208</v>
      </c>
      <c r="F7" s="18">
        <v>43236</v>
      </c>
      <c r="G7" s="19">
        <v>29</v>
      </c>
      <c r="H7" s="19">
        <v>508628132</v>
      </c>
      <c r="I7" s="19">
        <f>H7*40%</f>
        <v>203451252.80000001</v>
      </c>
      <c r="J7" s="20">
        <v>0.08</v>
      </c>
      <c r="K7" s="17" t="s">
        <v>259</v>
      </c>
      <c r="L7" s="21" t="s">
        <v>363</v>
      </c>
    </row>
    <row r="8" spans="1:12" x14ac:dyDescent="0.2">
      <c r="A8" s="17" t="s">
        <v>170</v>
      </c>
      <c r="B8" s="17">
        <v>0</v>
      </c>
      <c r="C8" s="17" t="s">
        <v>183</v>
      </c>
      <c r="D8" s="17" t="s">
        <v>278</v>
      </c>
      <c r="E8" s="18">
        <v>43083</v>
      </c>
      <c r="F8" s="18">
        <v>43114</v>
      </c>
      <c r="G8" s="19">
        <v>31</v>
      </c>
      <c r="H8" s="19">
        <v>1000000000</v>
      </c>
      <c r="I8" s="19">
        <v>510000000</v>
      </c>
      <c r="J8" s="20">
        <v>1.3333E-4</v>
      </c>
      <c r="K8" s="17" t="s">
        <v>2</v>
      </c>
      <c r="L8" s="21" t="s">
        <v>386</v>
      </c>
    </row>
    <row r="9" spans="1:12" x14ac:dyDescent="0.2">
      <c r="A9" s="17" t="s">
        <v>148</v>
      </c>
      <c r="B9" s="17">
        <v>1</v>
      </c>
      <c r="C9" s="17" t="s">
        <v>183</v>
      </c>
      <c r="D9" s="17" t="s">
        <v>278</v>
      </c>
      <c r="E9" s="18">
        <v>43131</v>
      </c>
      <c r="F9" s="18">
        <v>43137</v>
      </c>
      <c r="G9" s="19">
        <v>7</v>
      </c>
      <c r="H9" s="19">
        <v>450000000</v>
      </c>
      <c r="I9" s="19">
        <v>3000000</v>
      </c>
      <c r="J9" s="20">
        <v>2.0000000000000001E-4</v>
      </c>
      <c r="K9" s="17" t="s">
        <v>2</v>
      </c>
    </row>
    <row r="10" spans="1:12" x14ac:dyDescent="0.2">
      <c r="A10" s="17" t="s">
        <v>148</v>
      </c>
      <c r="B10" s="17">
        <v>0</v>
      </c>
      <c r="C10" s="17" t="s">
        <v>183</v>
      </c>
      <c r="D10" s="17" t="s">
        <v>278</v>
      </c>
      <c r="E10" s="18">
        <v>43152</v>
      </c>
      <c r="F10" s="18">
        <v>43173</v>
      </c>
      <c r="G10" s="19">
        <v>22</v>
      </c>
      <c r="H10" s="19"/>
      <c r="I10" s="19">
        <v>12000000</v>
      </c>
      <c r="J10" s="20">
        <v>2.0000000000000001E-4</v>
      </c>
      <c r="K10" s="17" t="s">
        <v>2</v>
      </c>
      <c r="L10" s="21" t="s">
        <v>387</v>
      </c>
    </row>
    <row r="11" spans="1:12" x14ac:dyDescent="0.2">
      <c r="A11" s="17" t="s">
        <v>196</v>
      </c>
      <c r="B11" s="17">
        <v>0</v>
      </c>
      <c r="C11" s="17" t="s">
        <v>183</v>
      </c>
      <c r="D11" s="17" t="s">
        <v>278</v>
      </c>
      <c r="E11" s="18">
        <v>43069</v>
      </c>
      <c r="F11" s="18" t="s">
        <v>388</v>
      </c>
      <c r="G11" s="19">
        <v>20</v>
      </c>
      <c r="H11" s="19">
        <v>1000000000</v>
      </c>
      <c r="I11" s="19">
        <v>450000000</v>
      </c>
      <c r="J11" s="20">
        <v>0.05</v>
      </c>
      <c r="K11" s="17" t="s">
        <v>259</v>
      </c>
      <c r="L11" s="21" t="s">
        <v>389</v>
      </c>
    </row>
    <row r="12" spans="1:12" x14ac:dyDescent="0.2">
      <c r="A12" s="17" t="s">
        <v>192</v>
      </c>
      <c r="B12" s="17">
        <v>0</v>
      </c>
      <c r="C12" s="17" t="s">
        <v>183</v>
      </c>
      <c r="D12" s="17" t="s">
        <v>278</v>
      </c>
      <c r="E12" s="18">
        <v>43090</v>
      </c>
      <c r="F12" s="18">
        <v>43091</v>
      </c>
      <c r="G12" s="19">
        <v>2</v>
      </c>
      <c r="H12" s="19">
        <v>1000000000</v>
      </c>
      <c r="I12" s="19">
        <v>500000000</v>
      </c>
      <c r="J12" s="20">
        <v>0.1</v>
      </c>
      <c r="K12" s="17" t="s">
        <v>259</v>
      </c>
      <c r="L12" s="21" t="s">
        <v>690</v>
      </c>
    </row>
    <row r="13" spans="1:12" x14ac:dyDescent="0.2">
      <c r="A13" s="17" t="s">
        <v>240</v>
      </c>
      <c r="B13" s="17">
        <v>0</v>
      </c>
      <c r="C13" s="17" t="s">
        <v>183</v>
      </c>
      <c r="D13" s="17" t="s">
        <v>278</v>
      </c>
      <c r="E13" s="18">
        <v>42997</v>
      </c>
      <c r="F13" s="18">
        <v>43027</v>
      </c>
      <c r="G13" s="19">
        <v>31</v>
      </c>
      <c r="H13" s="19">
        <v>1500000000</v>
      </c>
      <c r="I13" s="19">
        <v>1050000000</v>
      </c>
      <c r="J13" s="20">
        <f>1/50</f>
        <v>0.02</v>
      </c>
      <c r="K13" s="17" t="s">
        <v>259</v>
      </c>
      <c r="L13" s="21" t="s">
        <v>407</v>
      </c>
    </row>
    <row r="14" spans="1:12" x14ac:dyDescent="0.2">
      <c r="A14" s="17" t="s">
        <v>84</v>
      </c>
      <c r="B14" s="17">
        <v>0</v>
      </c>
      <c r="C14" s="17" t="s">
        <v>183</v>
      </c>
      <c r="D14" s="17" t="s">
        <v>278</v>
      </c>
      <c r="E14" s="18">
        <v>43574</v>
      </c>
      <c r="F14" s="18">
        <v>43575</v>
      </c>
      <c r="G14" s="19">
        <v>2</v>
      </c>
      <c r="H14" s="19">
        <v>2000000000</v>
      </c>
      <c r="I14" s="19">
        <v>1000000000</v>
      </c>
      <c r="J14" s="20">
        <v>2.06E-2</v>
      </c>
      <c r="K14" s="17" t="s">
        <v>259</v>
      </c>
      <c r="L14" s="21" t="s">
        <v>620</v>
      </c>
    </row>
    <row r="15" spans="1:12" x14ac:dyDescent="0.2">
      <c r="A15" s="17" t="s">
        <v>10</v>
      </c>
      <c r="B15" s="17">
        <v>0</v>
      </c>
      <c r="C15" s="17" t="s">
        <v>183</v>
      </c>
      <c r="D15" s="17" t="s">
        <v>277</v>
      </c>
      <c r="E15" s="18">
        <v>44119</v>
      </c>
      <c r="F15" s="18">
        <v>44119</v>
      </c>
      <c r="G15" s="19">
        <v>1</v>
      </c>
      <c r="H15" s="19">
        <v>100000000</v>
      </c>
      <c r="I15" s="19">
        <v>1440000</v>
      </c>
      <c r="J15" s="20">
        <v>0.37730000000000002</v>
      </c>
      <c r="K15" s="17" t="s">
        <v>259</v>
      </c>
      <c r="L15" s="22" t="s">
        <v>283</v>
      </c>
    </row>
    <row r="16" spans="1:12" x14ac:dyDescent="0.2">
      <c r="A16" s="17" t="s">
        <v>10</v>
      </c>
      <c r="B16" s="17">
        <v>0</v>
      </c>
      <c r="C16" s="17" t="s">
        <v>183</v>
      </c>
      <c r="D16" s="17" t="s">
        <v>279</v>
      </c>
      <c r="E16" s="18">
        <v>44119</v>
      </c>
      <c r="F16" s="18">
        <v>44119</v>
      </c>
      <c r="G16" s="19">
        <v>1</v>
      </c>
      <c r="H16" s="19">
        <v>100000000</v>
      </c>
      <c r="I16" s="19">
        <v>360000</v>
      </c>
      <c r="J16" s="20">
        <v>0.76729999999999998</v>
      </c>
      <c r="K16" s="17" t="s">
        <v>259</v>
      </c>
      <c r="L16" s="23"/>
    </row>
    <row r="17" spans="1:12" x14ac:dyDescent="0.2">
      <c r="A17" s="17" t="s">
        <v>70</v>
      </c>
      <c r="B17" s="17">
        <v>0</v>
      </c>
      <c r="C17" s="17" t="s">
        <v>183</v>
      </c>
      <c r="D17" s="17" t="s">
        <v>184</v>
      </c>
      <c r="E17" s="18">
        <v>43635</v>
      </c>
      <c r="F17" s="18">
        <v>43635</v>
      </c>
      <c r="G17" s="19">
        <v>1</v>
      </c>
      <c r="H17" s="19">
        <v>10000000000</v>
      </c>
      <c r="I17" s="19">
        <v>250000000</v>
      </c>
      <c r="J17" s="20">
        <v>2.4</v>
      </c>
      <c r="K17" s="17" t="s">
        <v>259</v>
      </c>
      <c r="L17" s="21" t="s">
        <v>613</v>
      </c>
    </row>
    <row r="18" spans="1:12" x14ac:dyDescent="0.2">
      <c r="A18" s="17" t="s">
        <v>569</v>
      </c>
      <c r="B18" s="17">
        <v>0</v>
      </c>
      <c r="C18" s="17" t="s">
        <v>183</v>
      </c>
      <c r="D18" s="17" t="s">
        <v>278</v>
      </c>
      <c r="E18" s="18">
        <v>44229</v>
      </c>
      <c r="F18" s="18">
        <v>44231</v>
      </c>
      <c r="G18" s="19">
        <v>3</v>
      </c>
      <c r="H18" s="19">
        <v>100000000</v>
      </c>
      <c r="I18" s="19">
        <f>2200000/0.125</f>
        <v>17600000</v>
      </c>
      <c r="J18" s="20">
        <v>0.125</v>
      </c>
      <c r="K18" s="17" t="s">
        <v>259</v>
      </c>
      <c r="L18" s="21" t="s">
        <v>570</v>
      </c>
    </row>
    <row r="19" spans="1:12" x14ac:dyDescent="0.2">
      <c r="A19" s="17" t="s">
        <v>242</v>
      </c>
      <c r="B19" s="17">
        <v>0</v>
      </c>
      <c r="C19" s="17" t="s">
        <v>183</v>
      </c>
      <c r="D19" s="17" t="s">
        <v>278</v>
      </c>
      <c r="E19" s="18">
        <v>42978</v>
      </c>
      <c r="F19" s="18">
        <v>43006</v>
      </c>
      <c r="G19" s="19">
        <v>29</v>
      </c>
      <c r="H19" s="19">
        <v>500000000</v>
      </c>
      <c r="I19" s="19">
        <v>2150000000</v>
      </c>
      <c r="J19" s="20">
        <f>1/2900</f>
        <v>3.4482758620689653E-4</v>
      </c>
      <c r="K19" s="17" t="s">
        <v>2</v>
      </c>
      <c r="L19" s="21" t="s">
        <v>461</v>
      </c>
    </row>
    <row r="20" spans="1:12" x14ac:dyDescent="0.2">
      <c r="A20" s="17" t="s">
        <v>481</v>
      </c>
      <c r="B20" s="17">
        <v>1</v>
      </c>
      <c r="C20" s="17" t="s">
        <v>188</v>
      </c>
      <c r="D20" s="17" t="s">
        <v>278</v>
      </c>
      <c r="E20" s="18"/>
      <c r="F20" s="18"/>
      <c r="G20" s="19"/>
      <c r="H20" s="19">
        <v>10000000</v>
      </c>
      <c r="I20" s="19">
        <v>500000</v>
      </c>
      <c r="J20" s="20">
        <v>0.45</v>
      </c>
      <c r="K20" s="17" t="s">
        <v>259</v>
      </c>
      <c r="L20" s="21" t="s">
        <v>482</v>
      </c>
    </row>
    <row r="21" spans="1:12" x14ac:dyDescent="0.2">
      <c r="A21" s="17" t="s">
        <v>481</v>
      </c>
      <c r="B21" s="17">
        <v>1</v>
      </c>
      <c r="C21" s="17" t="s">
        <v>188</v>
      </c>
      <c r="D21" s="17" t="s">
        <v>278</v>
      </c>
      <c r="E21" s="18"/>
      <c r="F21" s="18"/>
      <c r="G21" s="19"/>
      <c r="H21" s="19">
        <v>10000000</v>
      </c>
      <c r="I21" s="19">
        <v>1350000</v>
      </c>
      <c r="J21" s="20">
        <v>0.54</v>
      </c>
      <c r="K21" s="17" t="s">
        <v>259</v>
      </c>
      <c r="L21" s="21" t="s">
        <v>483</v>
      </c>
    </row>
    <row r="22" spans="1:12" x14ac:dyDescent="0.2">
      <c r="A22" s="17" t="s">
        <v>481</v>
      </c>
      <c r="B22" s="17">
        <v>0</v>
      </c>
      <c r="C22" s="17" t="s">
        <v>183</v>
      </c>
      <c r="D22" s="17" t="s">
        <v>278</v>
      </c>
      <c r="E22" s="18">
        <v>44316</v>
      </c>
      <c r="F22" s="18">
        <v>44316</v>
      </c>
      <c r="G22" s="19">
        <v>1</v>
      </c>
      <c r="H22" s="19">
        <v>10000000</v>
      </c>
      <c r="I22" s="19">
        <v>123457</v>
      </c>
      <c r="J22" s="20">
        <v>0.81</v>
      </c>
      <c r="K22" s="17" t="s">
        <v>259</v>
      </c>
      <c r="L22" s="21" t="s">
        <v>484</v>
      </c>
    </row>
    <row r="23" spans="1:12" x14ac:dyDescent="0.2">
      <c r="A23" s="17" t="s">
        <v>544</v>
      </c>
      <c r="B23" s="17">
        <v>0</v>
      </c>
      <c r="C23" s="17" t="s">
        <v>183</v>
      </c>
      <c r="D23" s="17" t="s">
        <v>278</v>
      </c>
      <c r="E23" s="18"/>
      <c r="F23" s="18"/>
      <c r="G23" s="19"/>
      <c r="H23" s="19">
        <v>100000000</v>
      </c>
      <c r="I23" s="19">
        <v>7500000</v>
      </c>
      <c r="J23" s="20">
        <v>4.2999999999999997E-2</v>
      </c>
      <c r="K23" s="17" t="s">
        <v>259</v>
      </c>
    </row>
    <row r="24" spans="1:12" x14ac:dyDescent="0.2">
      <c r="A24" s="17" t="s">
        <v>544</v>
      </c>
      <c r="B24" s="17">
        <v>0</v>
      </c>
      <c r="C24" s="17" t="s">
        <v>188</v>
      </c>
      <c r="D24" s="17" t="s">
        <v>278</v>
      </c>
      <c r="E24" s="18"/>
      <c r="F24" s="18"/>
      <c r="G24" s="19"/>
      <c r="H24" s="19">
        <v>100000000</v>
      </c>
      <c r="I24" s="19">
        <v>3460000</v>
      </c>
      <c r="J24" s="20">
        <v>0.08</v>
      </c>
      <c r="K24" s="17" t="s">
        <v>259</v>
      </c>
      <c r="L24" s="21" t="s">
        <v>545</v>
      </c>
    </row>
    <row r="25" spans="1:12" x14ac:dyDescent="0.2">
      <c r="A25" s="17" t="s">
        <v>544</v>
      </c>
      <c r="B25" s="17">
        <v>0</v>
      </c>
      <c r="C25" s="17" t="s">
        <v>188</v>
      </c>
      <c r="D25" s="17" t="s">
        <v>278</v>
      </c>
      <c r="E25" s="18"/>
      <c r="F25" s="18"/>
      <c r="G25" s="19"/>
      <c r="H25" s="19">
        <v>100000000</v>
      </c>
      <c r="I25" s="19">
        <v>2150000</v>
      </c>
      <c r="J25" s="20">
        <v>6.7000000000000004E-2</v>
      </c>
      <c r="K25" s="17" t="s">
        <v>259</v>
      </c>
    </row>
    <row r="26" spans="1:12" x14ac:dyDescent="0.2">
      <c r="A26" s="17" t="s">
        <v>544</v>
      </c>
      <c r="B26" s="17">
        <v>1</v>
      </c>
      <c r="C26" s="17" t="s">
        <v>188</v>
      </c>
      <c r="D26" s="17" t="s">
        <v>278</v>
      </c>
      <c r="E26" s="18"/>
      <c r="F26" s="18"/>
      <c r="G26" s="19"/>
      <c r="H26" s="19">
        <v>100000000</v>
      </c>
      <c r="I26" s="19">
        <v>7000000</v>
      </c>
      <c r="J26" s="20">
        <v>7.4999999999999997E-2</v>
      </c>
      <c r="K26" s="17" t="s">
        <v>259</v>
      </c>
    </row>
    <row r="27" spans="1:12" x14ac:dyDescent="0.2">
      <c r="A27" s="17" t="s">
        <v>544</v>
      </c>
      <c r="B27" s="17">
        <v>0</v>
      </c>
      <c r="C27" s="17" t="s">
        <v>183</v>
      </c>
      <c r="D27" s="17" t="s">
        <v>278</v>
      </c>
      <c r="E27" s="18">
        <v>44256</v>
      </c>
      <c r="F27" s="18">
        <v>44258</v>
      </c>
      <c r="G27" s="19">
        <v>3</v>
      </c>
      <c r="H27" s="19">
        <v>100000000</v>
      </c>
      <c r="I27" s="19">
        <v>1000000</v>
      </c>
      <c r="J27" s="20">
        <v>0.1</v>
      </c>
      <c r="K27" s="17" t="s">
        <v>259</v>
      </c>
    </row>
    <row r="28" spans="1:12" x14ac:dyDescent="0.2">
      <c r="A28" s="17" t="s">
        <v>544</v>
      </c>
      <c r="B28" s="17">
        <v>0</v>
      </c>
      <c r="C28" s="17" t="s">
        <v>183</v>
      </c>
      <c r="D28" s="17" t="s">
        <v>278</v>
      </c>
      <c r="E28" s="18">
        <v>44258</v>
      </c>
      <c r="F28" s="18">
        <v>44262</v>
      </c>
      <c r="G28" s="19">
        <v>5</v>
      </c>
      <c r="H28" s="19">
        <v>100000000</v>
      </c>
      <c r="I28" s="19">
        <v>3000000</v>
      </c>
      <c r="J28" s="20">
        <v>0.12</v>
      </c>
      <c r="K28" s="17" t="s">
        <v>259</v>
      </c>
    </row>
    <row r="29" spans="1:12" x14ac:dyDescent="0.2">
      <c r="A29" s="17" t="s">
        <v>6</v>
      </c>
      <c r="B29" s="17"/>
      <c r="C29" s="17" t="s">
        <v>188</v>
      </c>
      <c r="D29" s="17" t="s">
        <v>278</v>
      </c>
      <c r="E29" s="18"/>
      <c r="F29" s="18"/>
      <c r="G29" s="19"/>
      <c r="H29" s="19"/>
      <c r="I29" s="19">
        <v>133333334</v>
      </c>
      <c r="J29" s="20">
        <v>1.2500000000000001E-2</v>
      </c>
      <c r="K29" s="17" t="s">
        <v>259</v>
      </c>
    </row>
    <row r="30" spans="1:12" x14ac:dyDescent="0.2">
      <c r="A30" s="17" t="s">
        <v>6</v>
      </c>
      <c r="B30" s="17">
        <v>0</v>
      </c>
      <c r="C30" s="17" t="s">
        <v>183</v>
      </c>
      <c r="D30" s="17" t="s">
        <v>278</v>
      </c>
      <c r="E30" s="18">
        <v>44104</v>
      </c>
      <c r="F30" s="18">
        <v>44114</v>
      </c>
      <c r="G30" s="19">
        <v>10</v>
      </c>
      <c r="H30" s="19">
        <v>1000000000</v>
      </c>
      <c r="I30" s="19">
        <v>100000000</v>
      </c>
      <c r="J30" s="20">
        <v>0.02</v>
      </c>
      <c r="K30" s="17" t="s">
        <v>259</v>
      </c>
    </row>
    <row r="31" spans="1:12" x14ac:dyDescent="0.2">
      <c r="A31" s="17" t="s">
        <v>76</v>
      </c>
      <c r="B31" s="17">
        <v>0</v>
      </c>
      <c r="C31" s="17" t="s">
        <v>188</v>
      </c>
      <c r="D31" s="17" t="s">
        <v>278</v>
      </c>
      <c r="E31" s="18"/>
      <c r="F31" s="18"/>
      <c r="G31" s="19"/>
      <c r="H31" s="19">
        <v>6000000000</v>
      </c>
      <c r="I31" s="19">
        <v>600000000</v>
      </c>
      <c r="J31" s="20">
        <v>8.3999999999999995E-3</v>
      </c>
      <c r="K31" s="17" t="s">
        <v>259</v>
      </c>
      <c r="L31" s="21" t="s">
        <v>616</v>
      </c>
    </row>
    <row r="32" spans="1:12" x14ac:dyDescent="0.2">
      <c r="A32" s="17" t="s">
        <v>76</v>
      </c>
      <c r="B32" s="17">
        <v>0</v>
      </c>
      <c r="C32" s="17" t="s">
        <v>183</v>
      </c>
      <c r="D32" s="17" t="s">
        <v>278</v>
      </c>
      <c r="E32" s="18">
        <v>43601</v>
      </c>
      <c r="F32" s="18">
        <v>43601</v>
      </c>
      <c r="G32" s="19">
        <v>1</v>
      </c>
      <c r="H32" s="19">
        <v>6000000000</v>
      </c>
      <c r="I32" s="19">
        <v>900000000</v>
      </c>
      <c r="J32" s="20">
        <v>6.0000000000000001E-3</v>
      </c>
      <c r="K32" s="17" t="s">
        <v>259</v>
      </c>
    </row>
    <row r="33" spans="1:12" x14ac:dyDescent="0.2">
      <c r="A33" s="17" t="s">
        <v>221</v>
      </c>
      <c r="B33" s="17">
        <v>0</v>
      </c>
      <c r="C33" s="17" t="s">
        <v>183</v>
      </c>
      <c r="D33" s="17" t="s">
        <v>278</v>
      </c>
      <c r="E33" s="18">
        <v>43026</v>
      </c>
      <c r="F33" s="18">
        <v>43056</v>
      </c>
      <c r="G33" s="19">
        <v>31</v>
      </c>
      <c r="H33" s="19">
        <v>60000000</v>
      </c>
      <c r="I33" s="19">
        <f>H33*84%</f>
        <v>50400000</v>
      </c>
      <c r="J33" s="20">
        <v>1</v>
      </c>
      <c r="K33" s="17" t="s">
        <v>259</v>
      </c>
      <c r="L33" s="21" t="s">
        <v>766</v>
      </c>
    </row>
    <row r="34" spans="1:12" x14ac:dyDescent="0.2">
      <c r="A34" s="17" t="s">
        <v>103</v>
      </c>
      <c r="B34" s="17">
        <v>1</v>
      </c>
      <c r="C34" s="17" t="s">
        <v>188</v>
      </c>
      <c r="D34" s="17" t="s">
        <v>278</v>
      </c>
      <c r="E34" s="18"/>
      <c r="F34" s="18"/>
      <c r="G34" s="19"/>
      <c r="H34" s="19">
        <f>500000000/5%</f>
        <v>10000000000</v>
      </c>
      <c r="I34" s="19">
        <v>500000000</v>
      </c>
      <c r="J34" s="20">
        <v>4.4000000000000003E-3</v>
      </c>
      <c r="K34" s="17" t="s">
        <v>259</v>
      </c>
    </row>
    <row r="35" spans="1:12" x14ac:dyDescent="0.2">
      <c r="A35" s="17" t="s">
        <v>103</v>
      </c>
      <c r="B35" s="17">
        <v>1</v>
      </c>
      <c r="C35" s="17" t="s">
        <v>188</v>
      </c>
      <c r="D35" s="17" t="s">
        <v>278</v>
      </c>
      <c r="E35" s="18"/>
      <c r="F35" s="18"/>
      <c r="G35" s="19"/>
      <c r="H35" s="19">
        <f>500000000/5%</f>
        <v>10000000000</v>
      </c>
      <c r="I35" s="19">
        <v>2500000000</v>
      </c>
      <c r="J35" s="20">
        <v>5.4999999999999997E-3</v>
      </c>
      <c r="K35" s="17" t="s">
        <v>259</v>
      </c>
      <c r="L35" s="21" t="s">
        <v>297</v>
      </c>
    </row>
    <row r="36" spans="1:12" x14ac:dyDescent="0.2">
      <c r="A36" s="17" t="s">
        <v>103</v>
      </c>
      <c r="B36" s="17">
        <v>0</v>
      </c>
      <c r="C36" s="17" t="s">
        <v>183</v>
      </c>
      <c r="D36" s="17" t="s">
        <v>278</v>
      </c>
      <c r="E36" s="18">
        <v>43359</v>
      </c>
      <c r="F36" s="18">
        <v>43364</v>
      </c>
      <c r="G36" s="19">
        <f>F36-E36</f>
        <v>5</v>
      </c>
      <c r="H36" s="19">
        <f>500000000/5%</f>
        <v>10000000000</v>
      </c>
      <c r="I36" s="19">
        <v>500000000</v>
      </c>
      <c r="J36" s="20">
        <v>6.6E-3</v>
      </c>
      <c r="K36" s="17" t="s">
        <v>259</v>
      </c>
    </row>
    <row r="37" spans="1:12" x14ac:dyDescent="0.2">
      <c r="A37" s="17" t="s">
        <v>39</v>
      </c>
      <c r="B37" s="17"/>
      <c r="C37" s="17" t="s">
        <v>183</v>
      </c>
      <c r="D37" s="17" t="s">
        <v>278</v>
      </c>
      <c r="E37" s="18">
        <v>44032</v>
      </c>
      <c r="F37" s="18">
        <v>44032</v>
      </c>
      <c r="G37" s="19">
        <v>1</v>
      </c>
      <c r="H37" s="19">
        <v>100000000</v>
      </c>
      <c r="I37" s="19">
        <v>5000000</v>
      </c>
      <c r="J37" s="20">
        <v>0.02</v>
      </c>
      <c r="K37" s="17" t="s">
        <v>159</v>
      </c>
      <c r="L37" s="21" t="s">
        <v>314</v>
      </c>
    </row>
    <row r="38" spans="1:12" x14ac:dyDescent="0.2">
      <c r="A38" s="17" t="s">
        <v>195</v>
      </c>
      <c r="B38" s="17">
        <v>1</v>
      </c>
      <c r="C38" s="17" t="s">
        <v>183</v>
      </c>
      <c r="D38" s="17" t="s">
        <v>278</v>
      </c>
      <c r="E38" s="18"/>
      <c r="F38" s="18">
        <v>43059</v>
      </c>
      <c r="G38" s="19"/>
      <c r="H38" s="19">
        <v>450000000</v>
      </c>
      <c r="I38" s="19">
        <f>450000000*12%</f>
        <v>54000000</v>
      </c>
      <c r="J38" s="20">
        <v>0.1</v>
      </c>
      <c r="K38" s="17" t="s">
        <v>259</v>
      </c>
      <c r="L38" s="21" t="s">
        <v>438</v>
      </c>
    </row>
    <row r="39" spans="1:12" x14ac:dyDescent="0.2">
      <c r="A39" s="17" t="s">
        <v>195</v>
      </c>
      <c r="B39" s="17">
        <v>0</v>
      </c>
      <c r="C39" s="17" t="s">
        <v>183</v>
      </c>
      <c r="D39" s="17" t="s">
        <v>278</v>
      </c>
      <c r="E39" s="18">
        <v>43082</v>
      </c>
      <c r="F39" s="18">
        <v>43089</v>
      </c>
      <c r="G39" s="19">
        <v>8</v>
      </c>
      <c r="H39" s="19">
        <v>450000000</v>
      </c>
      <c r="I39" s="19">
        <f>H39*28%</f>
        <v>126000000.00000001</v>
      </c>
      <c r="J39" s="20">
        <f>1/2995</f>
        <v>3.33889816360601E-4</v>
      </c>
      <c r="K39" s="17" t="s">
        <v>2</v>
      </c>
      <c r="L39" s="21" t="s">
        <v>439</v>
      </c>
    </row>
    <row r="40" spans="1:12" x14ac:dyDescent="0.2">
      <c r="A40" s="17" t="s">
        <v>732</v>
      </c>
      <c r="B40" s="17">
        <v>0</v>
      </c>
      <c r="C40" s="17" t="s">
        <v>183</v>
      </c>
      <c r="D40" s="17" t="s">
        <v>278</v>
      </c>
      <c r="E40" s="18">
        <v>43254</v>
      </c>
      <c r="F40" s="18">
        <v>43260</v>
      </c>
      <c r="G40" s="19">
        <v>7</v>
      </c>
      <c r="H40" s="19">
        <v>66000000</v>
      </c>
      <c r="I40" s="19">
        <f>H40*20.6%</f>
        <v>13596000.000000002</v>
      </c>
      <c r="J40" s="20">
        <v>0.73</v>
      </c>
      <c r="K40" s="17" t="s">
        <v>259</v>
      </c>
      <c r="L40" s="21" t="s">
        <v>733</v>
      </c>
    </row>
    <row r="41" spans="1:12" x14ac:dyDescent="0.2">
      <c r="A41" s="17" t="s">
        <v>81</v>
      </c>
      <c r="B41" s="17">
        <v>1</v>
      </c>
      <c r="C41" s="17" t="s">
        <v>188</v>
      </c>
      <c r="D41" s="17" t="s">
        <v>278</v>
      </c>
      <c r="E41" s="18">
        <v>43252</v>
      </c>
      <c r="F41" s="18">
        <v>43281</v>
      </c>
      <c r="G41" s="19">
        <f>F41-E41</f>
        <v>29</v>
      </c>
      <c r="H41" s="19">
        <f>I41/5%</f>
        <v>2000000000</v>
      </c>
      <c r="I41" s="19">
        <v>100000000</v>
      </c>
      <c r="J41" s="20">
        <v>0.02</v>
      </c>
      <c r="K41" s="17" t="s">
        <v>295</v>
      </c>
    </row>
    <row r="42" spans="1:12" x14ac:dyDescent="0.2">
      <c r="A42" s="17" t="s">
        <v>81</v>
      </c>
      <c r="B42" s="17">
        <v>1</v>
      </c>
      <c r="C42" s="17" t="s">
        <v>188</v>
      </c>
      <c r="D42" s="17" t="s">
        <v>278</v>
      </c>
      <c r="E42" s="18">
        <v>43435</v>
      </c>
      <c r="F42" s="18">
        <v>43465</v>
      </c>
      <c r="G42" s="19">
        <f>F42-E42</f>
        <v>30</v>
      </c>
      <c r="H42" s="19">
        <f>I42/5%</f>
        <v>2000000000</v>
      </c>
      <c r="I42" s="19">
        <v>100000000</v>
      </c>
      <c r="J42" s="20">
        <v>0.02</v>
      </c>
      <c r="K42" s="17" t="s">
        <v>295</v>
      </c>
    </row>
    <row r="43" spans="1:12" x14ac:dyDescent="0.2">
      <c r="A43" s="17" t="s">
        <v>81</v>
      </c>
      <c r="B43" s="17">
        <v>0</v>
      </c>
      <c r="C43" s="17" t="s">
        <v>183</v>
      </c>
      <c r="D43" s="17" t="s">
        <v>278</v>
      </c>
      <c r="E43" s="18">
        <v>43580</v>
      </c>
      <c r="F43" s="18">
        <v>43580</v>
      </c>
      <c r="G43" s="19">
        <v>1</v>
      </c>
      <c r="H43" s="19">
        <f>I42/5%</f>
        <v>2000000000</v>
      </c>
      <c r="I43" s="19">
        <v>140000000</v>
      </c>
      <c r="J43" s="20">
        <v>1.7999999999999999E-2</v>
      </c>
      <c r="K43" s="17" t="s">
        <v>295</v>
      </c>
    </row>
    <row r="44" spans="1:12" x14ac:dyDescent="0.2">
      <c r="A44" s="17" t="s">
        <v>238</v>
      </c>
      <c r="B44" s="17">
        <v>1</v>
      </c>
      <c r="C44" s="17" t="s">
        <v>188</v>
      </c>
      <c r="D44" s="17" t="s">
        <v>278</v>
      </c>
      <c r="E44" s="18">
        <v>42983</v>
      </c>
      <c r="F44" s="18">
        <v>42983</v>
      </c>
      <c r="G44" s="19">
        <v>1</v>
      </c>
      <c r="H44" s="19">
        <v>100000000</v>
      </c>
      <c r="I44" s="19">
        <v>15000000</v>
      </c>
      <c r="J44" s="20">
        <v>0.66</v>
      </c>
      <c r="K44" s="17" t="s">
        <v>259</v>
      </c>
      <c r="L44" s="21" t="s">
        <v>380</v>
      </c>
    </row>
    <row r="45" spans="1:12" x14ac:dyDescent="0.2">
      <c r="A45" s="17" t="s">
        <v>238</v>
      </c>
      <c r="B45" s="17">
        <v>1</v>
      </c>
      <c r="C45" s="17" t="s">
        <v>188</v>
      </c>
      <c r="D45" s="17" t="s">
        <v>278</v>
      </c>
      <c r="E45" s="18">
        <v>42984</v>
      </c>
      <c r="F45" s="18">
        <v>42984</v>
      </c>
      <c r="G45" s="19">
        <v>1</v>
      </c>
      <c r="H45" s="19">
        <v>100000000</v>
      </c>
      <c r="I45" s="19">
        <v>15000000</v>
      </c>
      <c r="J45" s="20">
        <v>0.66</v>
      </c>
      <c r="K45" s="17" t="s">
        <v>259</v>
      </c>
    </row>
    <row r="46" spans="1:12" x14ac:dyDescent="0.2">
      <c r="A46" s="17" t="s">
        <v>238</v>
      </c>
      <c r="B46" s="17">
        <v>0</v>
      </c>
      <c r="C46" s="17" t="s">
        <v>183</v>
      </c>
      <c r="D46" s="17" t="s">
        <v>278</v>
      </c>
      <c r="E46" s="18">
        <v>42985</v>
      </c>
      <c r="F46" s="18">
        <v>43017</v>
      </c>
      <c r="G46" s="19">
        <v>33</v>
      </c>
      <c r="H46" s="19">
        <v>100000000</v>
      </c>
      <c r="I46" s="19"/>
      <c r="J46" s="20"/>
      <c r="K46" s="17"/>
    </row>
    <row r="47" spans="1:12" x14ac:dyDescent="0.2">
      <c r="A47" s="17" t="s">
        <v>108</v>
      </c>
      <c r="B47" s="17">
        <v>0</v>
      </c>
      <c r="C47" s="17" t="s">
        <v>183</v>
      </c>
      <c r="D47" s="17" t="s">
        <v>278</v>
      </c>
      <c r="E47" s="18">
        <v>43253</v>
      </c>
      <c r="F47" s="18">
        <v>43313</v>
      </c>
      <c r="G47" s="19">
        <v>60</v>
      </c>
      <c r="H47" s="19">
        <v>1000000000</v>
      </c>
      <c r="I47" s="19">
        <v>650000000</v>
      </c>
      <c r="J47" s="20">
        <v>0.02</v>
      </c>
      <c r="K47" s="17" t="s">
        <v>259</v>
      </c>
      <c r="L47" s="21" t="s">
        <v>361</v>
      </c>
    </row>
    <row r="48" spans="1:12" x14ac:dyDescent="0.2">
      <c r="A48" s="17" t="s">
        <v>236</v>
      </c>
      <c r="B48" s="17">
        <v>0</v>
      </c>
      <c r="C48" s="17" t="s">
        <v>183</v>
      </c>
      <c r="D48" s="17" t="s">
        <v>278</v>
      </c>
      <c r="E48" s="18">
        <v>43017</v>
      </c>
      <c r="F48" s="18">
        <v>43018</v>
      </c>
      <c r="G48" s="19">
        <v>2</v>
      </c>
      <c r="H48" s="19">
        <v>500000000</v>
      </c>
      <c r="I48" s="19">
        <v>150000000</v>
      </c>
      <c r="J48" s="20">
        <v>1E-3</v>
      </c>
      <c r="K48" s="17" t="s">
        <v>2</v>
      </c>
      <c r="L48" s="21" t="s">
        <v>462</v>
      </c>
    </row>
    <row r="49" spans="1:12" x14ac:dyDescent="0.2">
      <c r="A49" s="17" t="s">
        <v>456</v>
      </c>
      <c r="B49" s="17">
        <v>0</v>
      </c>
      <c r="C49" s="17" t="s">
        <v>183</v>
      </c>
      <c r="D49" s="17" t="s">
        <v>278</v>
      </c>
      <c r="E49" s="18">
        <v>42985</v>
      </c>
      <c r="F49" s="18">
        <v>43040</v>
      </c>
      <c r="G49" s="19">
        <v>56</v>
      </c>
      <c r="H49" s="19">
        <v>150000000</v>
      </c>
      <c r="I49" s="19">
        <f>H49*69%</f>
        <v>103499999.99999999</v>
      </c>
      <c r="J49" s="20">
        <f>1/505</f>
        <v>1.9801980198019802E-3</v>
      </c>
      <c r="K49" s="17" t="s">
        <v>2</v>
      </c>
      <c r="L49" s="21" t="s">
        <v>455</v>
      </c>
    </row>
    <row r="50" spans="1:12" x14ac:dyDescent="0.2">
      <c r="A50" s="17" t="s">
        <v>291</v>
      </c>
      <c r="B50" s="17">
        <v>0</v>
      </c>
      <c r="C50" s="17" t="s">
        <v>183</v>
      </c>
      <c r="D50" s="17" t="s">
        <v>278</v>
      </c>
      <c r="E50" s="18">
        <v>43617</v>
      </c>
      <c r="F50" s="18">
        <v>43830</v>
      </c>
      <c r="G50" s="19">
        <f>F50-E50</f>
        <v>213</v>
      </c>
      <c r="H50" s="19">
        <v>8000000</v>
      </c>
      <c r="I50" s="19">
        <v>6800000</v>
      </c>
      <c r="J50" s="20">
        <v>0.86</v>
      </c>
      <c r="K50" s="17" t="s">
        <v>286</v>
      </c>
      <c r="L50" s="21" t="s">
        <v>292</v>
      </c>
    </row>
    <row r="51" spans="1:12" x14ac:dyDescent="0.2">
      <c r="A51" s="17" t="s">
        <v>35</v>
      </c>
      <c r="B51" s="17">
        <v>0</v>
      </c>
      <c r="C51" s="17" t="s">
        <v>183</v>
      </c>
      <c r="D51" s="17" t="s">
        <v>278</v>
      </c>
      <c r="E51" s="18">
        <v>43675</v>
      </c>
      <c r="F51" s="18">
        <v>43675</v>
      </c>
      <c r="G51" s="19">
        <v>1</v>
      </c>
      <c r="H51" s="19">
        <v>1000000000</v>
      </c>
      <c r="I51" s="19">
        <v>50000000</v>
      </c>
      <c r="J51" s="20">
        <v>0.04</v>
      </c>
      <c r="K51" s="17" t="s">
        <v>259</v>
      </c>
      <c r="L51" s="21" t="s">
        <v>333</v>
      </c>
    </row>
    <row r="52" spans="1:12" x14ac:dyDescent="0.2">
      <c r="A52" s="17" t="s">
        <v>65</v>
      </c>
      <c r="B52" s="17">
        <v>0</v>
      </c>
      <c r="C52" s="17" t="s">
        <v>183</v>
      </c>
      <c r="D52" s="17" t="s">
        <v>278</v>
      </c>
      <c r="E52" s="18">
        <v>43669</v>
      </c>
      <c r="F52" s="18">
        <v>43686</v>
      </c>
      <c r="G52" s="19">
        <v>17</v>
      </c>
      <c r="H52" s="19">
        <v>250000000</v>
      </c>
      <c r="I52" s="19">
        <f>H52*40%</f>
        <v>100000000</v>
      </c>
      <c r="J52" s="20">
        <v>0.2</v>
      </c>
      <c r="K52" s="17" t="s">
        <v>259</v>
      </c>
      <c r="L52" s="21" t="s">
        <v>475</v>
      </c>
    </row>
    <row r="53" spans="1:12" x14ac:dyDescent="0.2">
      <c r="A53" s="17" t="s">
        <v>40</v>
      </c>
      <c r="B53" s="17">
        <v>0</v>
      </c>
      <c r="C53" s="17" t="s">
        <v>188</v>
      </c>
      <c r="D53" s="17" t="s">
        <v>278</v>
      </c>
      <c r="E53" s="18"/>
      <c r="F53" s="18"/>
      <c r="G53" s="19"/>
      <c r="H53" s="19">
        <v>24900000</v>
      </c>
      <c r="I53" s="19"/>
      <c r="J53" s="20">
        <v>0.5</v>
      </c>
      <c r="K53" s="17" t="s">
        <v>259</v>
      </c>
      <c r="L53" s="21" t="s">
        <v>338</v>
      </c>
    </row>
    <row r="54" spans="1:12" x14ac:dyDescent="0.2">
      <c r="A54" s="17" t="s">
        <v>40</v>
      </c>
      <c r="B54" s="17">
        <v>0</v>
      </c>
      <c r="C54" s="17" t="s">
        <v>183</v>
      </c>
      <c r="D54" s="17" t="s">
        <v>278</v>
      </c>
      <c r="E54" s="18">
        <v>44027</v>
      </c>
      <c r="F54" s="18">
        <v>44027</v>
      </c>
      <c r="G54" s="19">
        <v>1</v>
      </c>
      <c r="H54" s="19">
        <v>720000000</v>
      </c>
      <c r="I54" s="19">
        <v>33984000</v>
      </c>
      <c r="J54" s="20">
        <v>0.5</v>
      </c>
      <c r="K54" s="17" t="s">
        <v>259</v>
      </c>
      <c r="L54" s="21" t="s">
        <v>338</v>
      </c>
    </row>
    <row r="55" spans="1:12" x14ac:dyDescent="0.2">
      <c r="A55" s="17" t="s">
        <v>29</v>
      </c>
      <c r="B55" s="17">
        <v>0</v>
      </c>
      <c r="C55" s="17" t="s">
        <v>183</v>
      </c>
      <c r="D55" s="17" t="s">
        <v>278</v>
      </c>
      <c r="E55" s="18">
        <v>44061</v>
      </c>
      <c r="F55" s="18">
        <v>44062</v>
      </c>
      <c r="G55" s="19">
        <v>1</v>
      </c>
      <c r="H55" s="19">
        <v>24000000</v>
      </c>
      <c r="I55" s="19">
        <v>1920000</v>
      </c>
      <c r="J55" s="20">
        <v>2.5</v>
      </c>
      <c r="K55" s="17" t="s">
        <v>259</v>
      </c>
      <c r="L55" s="21" t="s">
        <v>312</v>
      </c>
    </row>
    <row r="56" spans="1:12" x14ac:dyDescent="0.2">
      <c r="A56" s="17" t="s">
        <v>409</v>
      </c>
      <c r="B56" s="17">
        <v>1</v>
      </c>
      <c r="C56" s="17" t="s">
        <v>183</v>
      </c>
      <c r="D56" s="17" t="s">
        <v>278</v>
      </c>
      <c r="E56" s="18">
        <v>43109</v>
      </c>
      <c r="F56" s="18">
        <v>43139</v>
      </c>
      <c r="G56" s="19">
        <v>30</v>
      </c>
      <c r="H56" s="19">
        <v>350000000</v>
      </c>
      <c r="I56" s="19">
        <f>H56*30%</f>
        <v>105000000</v>
      </c>
      <c r="J56" s="20">
        <v>7.0000000000000007E-2</v>
      </c>
      <c r="K56" s="17" t="s">
        <v>259</v>
      </c>
      <c r="L56" s="21" t="s">
        <v>408</v>
      </c>
    </row>
    <row r="57" spans="1:12" x14ac:dyDescent="0.2">
      <c r="A57" s="17" t="s">
        <v>409</v>
      </c>
      <c r="B57" s="17">
        <v>0</v>
      </c>
      <c r="C57" s="17" t="s">
        <v>183</v>
      </c>
      <c r="D57" s="17" t="s">
        <v>278</v>
      </c>
      <c r="E57" s="18">
        <v>36902</v>
      </c>
      <c r="F57" s="18">
        <v>43142</v>
      </c>
      <c r="G57" s="19">
        <v>32</v>
      </c>
      <c r="H57" s="19">
        <v>350000000</v>
      </c>
      <c r="I57" s="19">
        <f>H57*75%</f>
        <v>262500000</v>
      </c>
      <c r="J57" s="20">
        <v>0.1</v>
      </c>
      <c r="K57" s="17" t="s">
        <v>259</v>
      </c>
    </row>
    <row r="58" spans="1:12" x14ac:dyDescent="0.2">
      <c r="A58" s="17" t="s">
        <v>271</v>
      </c>
      <c r="B58" s="17">
        <v>0</v>
      </c>
      <c r="C58" s="17" t="s">
        <v>183</v>
      </c>
      <c r="D58" s="17" t="s">
        <v>270</v>
      </c>
      <c r="E58" s="18">
        <v>44131</v>
      </c>
      <c r="F58" s="18">
        <v>44138</v>
      </c>
      <c r="G58" s="19">
        <f>F58-E58</f>
        <v>7</v>
      </c>
      <c r="H58" s="19">
        <v>270000000</v>
      </c>
      <c r="I58" s="19">
        <f>11%*H58</f>
        <v>29700000</v>
      </c>
      <c r="J58" s="20">
        <v>0.1</v>
      </c>
      <c r="K58" s="17" t="s">
        <v>259</v>
      </c>
      <c r="L58" s="21" t="s">
        <v>273</v>
      </c>
    </row>
    <row r="59" spans="1:12" x14ac:dyDescent="0.2">
      <c r="A59" s="17" t="s">
        <v>271</v>
      </c>
      <c r="B59" s="17">
        <v>0</v>
      </c>
      <c r="C59" s="17" t="s">
        <v>188</v>
      </c>
      <c r="D59" s="17" t="s">
        <v>278</v>
      </c>
      <c r="E59" s="18"/>
      <c r="F59" s="18"/>
      <c r="G59" s="19"/>
      <c r="H59" s="19">
        <v>270000000</v>
      </c>
      <c r="I59" s="19">
        <f>4%*H59</f>
        <v>10800000</v>
      </c>
      <c r="J59" s="20">
        <v>0.08</v>
      </c>
      <c r="K59" s="17" t="s">
        <v>259</v>
      </c>
      <c r="L59" s="21" t="s">
        <v>274</v>
      </c>
    </row>
    <row r="60" spans="1:12" x14ac:dyDescent="0.2">
      <c r="A60" s="17" t="s">
        <v>271</v>
      </c>
      <c r="B60" s="17">
        <v>0</v>
      </c>
      <c r="C60" s="17" t="s">
        <v>188</v>
      </c>
      <c r="D60" s="17" t="s">
        <v>278</v>
      </c>
      <c r="E60" s="18"/>
      <c r="F60" s="18"/>
      <c r="G60" s="19"/>
      <c r="H60" s="19">
        <v>270000000</v>
      </c>
      <c r="I60" s="19">
        <v>10800000</v>
      </c>
      <c r="J60" s="20">
        <v>0.08</v>
      </c>
      <c r="K60" s="17" t="s">
        <v>259</v>
      </c>
    </row>
    <row r="61" spans="1:12" x14ac:dyDescent="0.2">
      <c r="A61" s="17" t="s">
        <v>271</v>
      </c>
      <c r="B61" s="17">
        <v>0</v>
      </c>
      <c r="C61" s="17" t="s">
        <v>183</v>
      </c>
      <c r="D61" s="17" t="s">
        <v>278</v>
      </c>
      <c r="E61" s="18">
        <v>44138</v>
      </c>
      <c r="F61" s="18">
        <v>44139</v>
      </c>
      <c r="G61" s="19">
        <v>2</v>
      </c>
      <c r="H61" s="19">
        <v>270000000</v>
      </c>
      <c r="I61" s="19">
        <v>29700000</v>
      </c>
      <c r="J61" s="20">
        <v>0.1</v>
      </c>
      <c r="K61" s="17" t="s">
        <v>259</v>
      </c>
    </row>
    <row r="62" spans="1:12" x14ac:dyDescent="0.2">
      <c r="A62" s="17" t="s">
        <v>56</v>
      </c>
      <c r="B62" s="17">
        <v>0</v>
      </c>
      <c r="C62" s="17" t="s">
        <v>183</v>
      </c>
      <c r="D62" s="17" t="s">
        <v>278</v>
      </c>
      <c r="E62" s="18">
        <v>44028</v>
      </c>
      <c r="F62" s="18">
        <v>44029</v>
      </c>
      <c r="G62" s="19">
        <v>2</v>
      </c>
      <c r="H62" s="19">
        <v>100000000</v>
      </c>
      <c r="I62" s="19">
        <v>27370000</v>
      </c>
      <c r="J62" s="20">
        <v>0.47299999999999998</v>
      </c>
      <c r="K62" s="17" t="s">
        <v>259</v>
      </c>
      <c r="L62" s="21" t="s">
        <v>346</v>
      </c>
    </row>
    <row r="63" spans="1:12" x14ac:dyDescent="0.2">
      <c r="A63" s="17" t="s">
        <v>155</v>
      </c>
      <c r="B63" s="17">
        <v>0</v>
      </c>
      <c r="C63" s="17" t="s">
        <v>183</v>
      </c>
      <c r="D63" s="17" t="s">
        <v>278</v>
      </c>
      <c r="E63" s="18">
        <v>43137</v>
      </c>
      <c r="F63" s="18">
        <v>43152</v>
      </c>
      <c r="G63" s="19">
        <v>16</v>
      </c>
      <c r="H63" s="19">
        <v>50000000000</v>
      </c>
      <c r="I63" s="19">
        <v>20000000000</v>
      </c>
      <c r="J63" s="20">
        <v>1.1999999999999999E-3</v>
      </c>
      <c r="K63" s="17" t="s">
        <v>259</v>
      </c>
      <c r="L63" s="21" t="s">
        <v>760</v>
      </c>
    </row>
    <row r="64" spans="1:12" x14ac:dyDescent="0.2">
      <c r="A64" s="17" t="s">
        <v>122</v>
      </c>
      <c r="B64" s="17">
        <v>0</v>
      </c>
      <c r="C64" s="17"/>
      <c r="D64" s="17" t="s">
        <v>278</v>
      </c>
      <c r="E64" s="18">
        <v>43248</v>
      </c>
      <c r="F64" s="18">
        <v>43261</v>
      </c>
      <c r="G64" s="19">
        <v>13</v>
      </c>
      <c r="H64" s="19">
        <v>2000000000</v>
      </c>
      <c r="I64" s="19">
        <v>325000000</v>
      </c>
      <c r="J64" s="24">
        <f>1/20000</f>
        <v>5.0000000000000002E-5</v>
      </c>
      <c r="K64" s="17" t="s">
        <v>2</v>
      </c>
      <c r="L64" s="21" t="s">
        <v>298</v>
      </c>
    </row>
    <row r="65" spans="1:12" x14ac:dyDescent="0.2">
      <c r="A65" s="17" t="s">
        <v>543</v>
      </c>
      <c r="B65" s="17">
        <v>0</v>
      </c>
      <c r="C65" s="17" t="s">
        <v>183</v>
      </c>
      <c r="D65" s="17" t="s">
        <v>278</v>
      </c>
      <c r="E65" s="18">
        <v>44270</v>
      </c>
      <c r="F65" s="18">
        <v>44271</v>
      </c>
      <c r="G65" s="19">
        <v>2</v>
      </c>
      <c r="H65" s="19">
        <v>10000000</v>
      </c>
      <c r="I65" s="19">
        <v>100000</v>
      </c>
      <c r="J65" s="20">
        <v>2.2000000000000002</v>
      </c>
      <c r="K65" s="17" t="s">
        <v>259</v>
      </c>
      <c r="L65" s="21" t="s">
        <v>542</v>
      </c>
    </row>
    <row r="66" spans="1:12" x14ac:dyDescent="0.2">
      <c r="A66" s="17" t="s">
        <v>180</v>
      </c>
      <c r="B66" s="17">
        <v>0</v>
      </c>
      <c r="C66" s="17" t="s">
        <v>183</v>
      </c>
      <c r="D66" s="17" t="s">
        <v>402</v>
      </c>
      <c r="E66" s="18">
        <v>43070</v>
      </c>
      <c r="F66" s="18">
        <v>43097</v>
      </c>
      <c r="G66" s="19">
        <v>28</v>
      </c>
      <c r="H66" s="19">
        <v>660000000</v>
      </c>
      <c r="I66" s="19">
        <f>H66*51%</f>
        <v>336600000</v>
      </c>
      <c r="J66" s="20">
        <v>1E-4</v>
      </c>
      <c r="K66" s="17" t="s">
        <v>2</v>
      </c>
      <c r="L66" s="21" t="s">
        <v>448</v>
      </c>
    </row>
    <row r="67" spans="1:12" x14ac:dyDescent="0.2">
      <c r="A67" s="17" t="s">
        <v>48</v>
      </c>
      <c r="B67" s="17">
        <v>0</v>
      </c>
      <c r="C67" s="17" t="s">
        <v>183</v>
      </c>
      <c r="D67" s="17" t="s">
        <v>278</v>
      </c>
      <c r="E67" s="18">
        <v>43888</v>
      </c>
      <c r="F67" s="18">
        <v>43889</v>
      </c>
      <c r="G67" s="19">
        <v>1</v>
      </c>
      <c r="H67" s="19">
        <v>100000000</v>
      </c>
      <c r="I67" s="19">
        <v>3000000</v>
      </c>
      <c r="J67" s="20">
        <v>0.08</v>
      </c>
      <c r="K67" s="17" t="s">
        <v>259</v>
      </c>
      <c r="L67" s="21" t="s">
        <v>320</v>
      </c>
    </row>
    <row r="68" spans="1:12" x14ac:dyDescent="0.2">
      <c r="A68" s="17" t="s">
        <v>163</v>
      </c>
      <c r="B68" s="17">
        <v>0</v>
      </c>
      <c r="C68" s="17" t="s">
        <v>183</v>
      </c>
      <c r="D68" s="17" t="s">
        <v>278</v>
      </c>
      <c r="E68" s="18">
        <v>43131</v>
      </c>
      <c r="F68" s="18">
        <v>43133</v>
      </c>
      <c r="G68" s="19">
        <v>3</v>
      </c>
      <c r="H68" s="19">
        <v>500000000</v>
      </c>
      <c r="I68" s="19">
        <v>150000000</v>
      </c>
      <c r="J68" s="20">
        <v>2.2471910112359551E-4</v>
      </c>
      <c r="K68" s="17" t="s">
        <v>2</v>
      </c>
      <c r="L68" s="21" t="s">
        <v>356</v>
      </c>
    </row>
    <row r="69" spans="1:12" x14ac:dyDescent="0.2">
      <c r="A69" s="17" t="s">
        <v>163</v>
      </c>
      <c r="B69" s="17">
        <v>1</v>
      </c>
      <c r="C69" s="17" t="s">
        <v>188</v>
      </c>
      <c r="D69" s="17" t="s">
        <v>278</v>
      </c>
      <c r="E69" s="18">
        <v>43075</v>
      </c>
      <c r="F69" s="18">
        <v>43084</v>
      </c>
      <c r="G69" s="19">
        <v>10</v>
      </c>
      <c r="H69" s="19">
        <v>500000000</v>
      </c>
      <c r="I69" s="19">
        <v>5000000</v>
      </c>
      <c r="J69" s="20"/>
      <c r="K69" s="17"/>
      <c r="L69" s="21" t="s">
        <v>356</v>
      </c>
    </row>
    <row r="70" spans="1:12" x14ac:dyDescent="0.2">
      <c r="A70" s="17" t="s">
        <v>163</v>
      </c>
      <c r="B70" s="17">
        <v>1</v>
      </c>
      <c r="C70" s="17" t="s">
        <v>183</v>
      </c>
      <c r="D70" s="17" t="s">
        <v>278</v>
      </c>
      <c r="E70" s="18">
        <v>43102</v>
      </c>
      <c r="F70" s="18">
        <v>43119</v>
      </c>
      <c r="G70" s="19">
        <v>18</v>
      </c>
      <c r="H70" s="19">
        <v>500000000</v>
      </c>
      <c r="I70" s="19">
        <v>5000000</v>
      </c>
      <c r="J70" s="20"/>
      <c r="K70" s="17"/>
      <c r="L70" s="21" t="s">
        <v>356</v>
      </c>
    </row>
    <row r="71" spans="1:12" x14ac:dyDescent="0.2">
      <c r="A71" s="17" t="s">
        <v>144</v>
      </c>
      <c r="B71" s="17">
        <v>0</v>
      </c>
      <c r="C71" s="17" t="s">
        <v>183</v>
      </c>
      <c r="D71" s="17" t="s">
        <v>278</v>
      </c>
      <c r="E71" s="18">
        <v>43074</v>
      </c>
      <c r="F71" s="18">
        <v>43164</v>
      </c>
      <c r="G71" s="19">
        <v>91</v>
      </c>
      <c r="H71" s="19">
        <v>400000000</v>
      </c>
      <c r="I71" s="19">
        <v>280000000</v>
      </c>
      <c r="J71" s="20">
        <v>4.0000000000000002E-4</v>
      </c>
      <c r="K71" s="17" t="s">
        <v>2</v>
      </c>
      <c r="L71" s="21" t="s">
        <v>355</v>
      </c>
    </row>
    <row r="72" spans="1:12" x14ac:dyDescent="0.2">
      <c r="A72" s="17" t="s">
        <v>64</v>
      </c>
      <c r="B72" s="17">
        <v>0</v>
      </c>
      <c r="C72" s="17" t="s">
        <v>183</v>
      </c>
      <c r="D72" s="17" t="s">
        <v>278</v>
      </c>
      <c r="E72" s="18">
        <v>43655</v>
      </c>
      <c r="F72" s="18">
        <v>43683</v>
      </c>
      <c r="G72" s="19">
        <v>29</v>
      </c>
      <c r="H72" s="19">
        <v>1000000000</v>
      </c>
      <c r="I72" s="19">
        <v>500000000</v>
      </c>
      <c r="J72" s="20">
        <v>0.1</v>
      </c>
      <c r="K72" s="17" t="s">
        <v>286</v>
      </c>
      <c r="L72" s="21" t="s">
        <v>743</v>
      </c>
    </row>
    <row r="73" spans="1:12" x14ac:dyDescent="0.2">
      <c r="A73" s="17" t="s">
        <v>591</v>
      </c>
      <c r="B73" s="17">
        <v>0</v>
      </c>
      <c r="C73" s="17" t="s">
        <v>188</v>
      </c>
      <c r="D73" s="17" t="s">
        <v>278</v>
      </c>
      <c r="E73" s="18"/>
      <c r="F73" s="18"/>
      <c r="G73" s="19"/>
      <c r="H73" s="19">
        <v>3968584074</v>
      </c>
      <c r="I73" s="19">
        <f>H73*25%</f>
        <v>992146018.5</v>
      </c>
      <c r="J73" s="20">
        <v>8.0000000000000002E-3</v>
      </c>
      <c r="K73" s="17" t="s">
        <v>259</v>
      </c>
      <c r="L73" s="21" t="s">
        <v>592</v>
      </c>
    </row>
    <row r="74" spans="1:12" x14ac:dyDescent="0.2">
      <c r="A74" s="17" t="s">
        <v>25</v>
      </c>
      <c r="B74" s="17">
        <v>0</v>
      </c>
      <c r="C74" s="17" t="s">
        <v>183</v>
      </c>
      <c r="D74" s="17" t="s">
        <v>278</v>
      </c>
      <c r="E74" s="18">
        <v>43714</v>
      </c>
      <c r="F74" s="18">
        <v>44077</v>
      </c>
      <c r="G74" s="19">
        <v>363</v>
      </c>
      <c r="H74" s="19"/>
      <c r="I74" s="19"/>
      <c r="J74" s="20">
        <v>0.01</v>
      </c>
      <c r="K74" s="17" t="s">
        <v>259</v>
      </c>
      <c r="L74" s="21" t="s">
        <v>308</v>
      </c>
    </row>
    <row r="75" spans="1:12" x14ac:dyDescent="0.2">
      <c r="A75" s="17" t="s">
        <v>580</v>
      </c>
      <c r="B75" s="17">
        <v>0</v>
      </c>
      <c r="C75" s="17" t="s">
        <v>183</v>
      </c>
      <c r="D75" s="17" t="s">
        <v>278</v>
      </c>
      <c r="E75" s="18">
        <v>44196</v>
      </c>
      <c r="F75" s="18">
        <v>44196</v>
      </c>
      <c r="G75" s="19">
        <v>1</v>
      </c>
      <c r="H75" s="19">
        <v>1000000000</v>
      </c>
      <c r="I75" s="19">
        <v>50000000</v>
      </c>
      <c r="J75" s="20">
        <v>8.0000000000000002E-3</v>
      </c>
      <c r="K75" s="17" t="s">
        <v>259</v>
      </c>
      <c r="L75" s="21" t="s">
        <v>581</v>
      </c>
    </row>
    <row r="76" spans="1:12" x14ac:dyDescent="0.2">
      <c r="A76" s="17" t="s">
        <v>182</v>
      </c>
      <c r="B76" s="17">
        <v>0</v>
      </c>
      <c r="C76" s="17" t="s">
        <v>183</v>
      </c>
      <c r="D76" s="17" t="s">
        <v>278</v>
      </c>
      <c r="E76" s="18">
        <v>43067</v>
      </c>
      <c r="F76" s="18">
        <v>43097</v>
      </c>
      <c r="G76" s="19">
        <v>31</v>
      </c>
      <c r="H76" s="19">
        <v>400000000</v>
      </c>
      <c r="I76" s="19">
        <v>80000000</v>
      </c>
      <c r="J76" s="20">
        <v>1.48</v>
      </c>
      <c r="K76" s="17" t="s">
        <v>259</v>
      </c>
      <c r="L76" s="21" t="s">
        <v>763</v>
      </c>
    </row>
    <row r="77" spans="1:12" x14ac:dyDescent="0.2">
      <c r="A77" s="17" t="s">
        <v>659</v>
      </c>
      <c r="B77" s="17">
        <v>0</v>
      </c>
      <c r="C77" s="17" t="s">
        <v>183</v>
      </c>
      <c r="D77" s="17" t="s">
        <v>278</v>
      </c>
      <c r="E77" s="18">
        <v>44314</v>
      </c>
      <c r="F77" s="18">
        <v>44314</v>
      </c>
      <c r="G77" s="19">
        <v>1</v>
      </c>
      <c r="H77" s="19">
        <v>100000000</v>
      </c>
      <c r="I77" s="19">
        <v>2000000</v>
      </c>
      <c r="J77" s="20">
        <v>0.05</v>
      </c>
      <c r="K77" s="17" t="s">
        <v>259</v>
      </c>
      <c r="L77" s="21" t="s">
        <v>658</v>
      </c>
    </row>
    <row r="78" spans="1:12" x14ac:dyDescent="0.2">
      <c r="A78" s="17" t="s">
        <v>550</v>
      </c>
      <c r="B78" s="17">
        <v>0</v>
      </c>
      <c r="C78" s="17" t="s">
        <v>188</v>
      </c>
      <c r="D78" s="17" t="s">
        <v>278</v>
      </c>
      <c r="E78" s="18"/>
      <c r="F78" s="18"/>
      <c r="G78" s="19"/>
      <c r="H78" s="19">
        <v>125000000</v>
      </c>
      <c r="I78" s="19">
        <v>35000000</v>
      </c>
      <c r="J78" s="20">
        <v>5.1499999999999997E-2</v>
      </c>
      <c r="K78" s="17" t="s">
        <v>259</v>
      </c>
      <c r="L78" s="21" t="s">
        <v>551</v>
      </c>
    </row>
    <row r="79" spans="1:12" x14ac:dyDescent="0.2">
      <c r="A79" s="17" t="s">
        <v>550</v>
      </c>
      <c r="B79" s="17">
        <v>0</v>
      </c>
      <c r="C79" s="17" t="s">
        <v>183</v>
      </c>
      <c r="D79" s="17" t="s">
        <v>278</v>
      </c>
      <c r="E79" s="18">
        <v>44260</v>
      </c>
      <c r="F79" s="18">
        <v>44260</v>
      </c>
      <c r="G79" s="19">
        <v>1</v>
      </c>
      <c r="H79" s="19">
        <v>125000000</v>
      </c>
      <c r="I79" s="19">
        <v>120000</v>
      </c>
      <c r="J79" s="20">
        <v>6.4000000000000001E-2</v>
      </c>
      <c r="K79" s="17" t="s">
        <v>259</v>
      </c>
    </row>
    <row r="80" spans="1:12" x14ac:dyDescent="0.2">
      <c r="A80" s="17" t="s">
        <v>87</v>
      </c>
      <c r="B80" s="17">
        <v>1</v>
      </c>
      <c r="C80" s="17" t="s">
        <v>188</v>
      </c>
      <c r="D80" s="17" t="s">
        <v>278</v>
      </c>
      <c r="E80" s="18"/>
      <c r="F80" s="18"/>
      <c r="G80" s="19"/>
      <c r="H80" s="19">
        <v>10000000000</v>
      </c>
      <c r="I80" s="19">
        <v>1500000000</v>
      </c>
      <c r="J80" s="20">
        <v>8.0000000000000002E-3</v>
      </c>
      <c r="K80" s="17" t="s">
        <v>259</v>
      </c>
      <c r="L80" s="21" t="s">
        <v>622</v>
      </c>
    </row>
    <row r="81" spans="1:12" x14ac:dyDescent="0.2">
      <c r="A81" s="17" t="s">
        <v>87</v>
      </c>
      <c r="B81" s="17">
        <v>0</v>
      </c>
      <c r="C81" s="17" t="s">
        <v>183</v>
      </c>
      <c r="D81" s="17" t="s">
        <v>278</v>
      </c>
      <c r="E81" s="18">
        <v>43565</v>
      </c>
      <c r="F81" s="18">
        <v>43565</v>
      </c>
      <c r="G81" s="19">
        <v>1</v>
      </c>
      <c r="H81" s="19">
        <v>10000000000</v>
      </c>
      <c r="I81" s="19">
        <v>500000000</v>
      </c>
      <c r="J81" s="20">
        <v>5.0000000000000001E-3</v>
      </c>
      <c r="K81" s="17" t="s">
        <v>259</v>
      </c>
    </row>
    <row r="82" spans="1:12" x14ac:dyDescent="0.2">
      <c r="A82" s="17" t="s">
        <v>176</v>
      </c>
      <c r="B82" s="17">
        <v>0</v>
      </c>
      <c r="C82" s="17" t="s">
        <v>183</v>
      </c>
      <c r="D82" s="17" t="s">
        <v>278</v>
      </c>
      <c r="E82" s="18">
        <v>43069</v>
      </c>
      <c r="F82" s="18">
        <v>43101</v>
      </c>
      <c r="G82" s="19">
        <v>33</v>
      </c>
      <c r="H82" s="19">
        <v>250000000</v>
      </c>
      <c r="I82" s="19">
        <v>150000000</v>
      </c>
      <c r="J82" s="20">
        <v>1.1599999999999999</v>
      </c>
      <c r="K82" s="17" t="s">
        <v>259</v>
      </c>
      <c r="L82" s="21" t="s">
        <v>762</v>
      </c>
    </row>
    <row r="83" spans="1:12" x14ac:dyDescent="0.2">
      <c r="A83" s="17" t="s">
        <v>166</v>
      </c>
      <c r="B83" s="17">
        <v>1</v>
      </c>
      <c r="C83" s="17" t="s">
        <v>188</v>
      </c>
      <c r="D83" s="17" t="s">
        <v>278</v>
      </c>
      <c r="E83" s="18">
        <v>43116</v>
      </c>
      <c r="F83" s="18">
        <v>43117</v>
      </c>
      <c r="G83" s="19">
        <v>2</v>
      </c>
      <c r="H83" s="19">
        <v>500000000</v>
      </c>
      <c r="I83" s="19">
        <v>127243330</v>
      </c>
      <c r="J83" s="20">
        <v>9.4307500000000002E-2</v>
      </c>
      <c r="K83" s="17" t="s">
        <v>259</v>
      </c>
      <c r="L83" s="21" t="s">
        <v>401</v>
      </c>
    </row>
    <row r="84" spans="1:12" x14ac:dyDescent="0.2">
      <c r="A84" s="17" t="s">
        <v>166</v>
      </c>
      <c r="B84" s="17">
        <v>0</v>
      </c>
      <c r="C84" s="17" t="s">
        <v>183</v>
      </c>
      <c r="D84" s="17" t="s">
        <v>278</v>
      </c>
      <c r="E84" s="18">
        <v>43118</v>
      </c>
      <c r="F84" s="18">
        <v>43120</v>
      </c>
      <c r="G84" s="19">
        <v>3</v>
      </c>
      <c r="H84" s="19">
        <v>500000000</v>
      </c>
      <c r="I84" s="19">
        <v>37756670</v>
      </c>
      <c r="J84" s="20">
        <v>0.12</v>
      </c>
      <c r="K84" s="17" t="s">
        <v>259</v>
      </c>
      <c r="L84" s="21" t="s">
        <v>401</v>
      </c>
    </row>
    <row r="85" spans="1:12" x14ac:dyDescent="0.2">
      <c r="A85" s="17" t="s">
        <v>573</v>
      </c>
      <c r="B85" s="17">
        <v>0</v>
      </c>
      <c r="C85" s="17" t="s">
        <v>188</v>
      </c>
      <c r="D85" s="17" t="s">
        <v>278</v>
      </c>
      <c r="E85" s="18"/>
      <c r="F85" s="18"/>
      <c r="G85" s="19"/>
      <c r="H85" s="19">
        <v>160000000</v>
      </c>
      <c r="I85" s="19">
        <v>2240000</v>
      </c>
      <c r="J85" s="20">
        <v>9.3799999999999994E-2</v>
      </c>
      <c r="K85" s="17" t="s">
        <v>259</v>
      </c>
    </row>
    <row r="86" spans="1:12" x14ac:dyDescent="0.2">
      <c r="A86" s="17" t="s">
        <v>573</v>
      </c>
      <c r="B86" s="17">
        <v>0</v>
      </c>
      <c r="C86" s="17" t="s">
        <v>188</v>
      </c>
      <c r="D86" s="17" t="s">
        <v>278</v>
      </c>
      <c r="E86" s="18"/>
      <c r="F86" s="18"/>
      <c r="G86" s="19"/>
      <c r="H86" s="19">
        <v>160000000</v>
      </c>
      <c r="I86" s="19">
        <v>800000</v>
      </c>
      <c r="J86" s="20">
        <v>6.25E-2</v>
      </c>
      <c r="K86" s="17" t="s">
        <v>259</v>
      </c>
      <c r="L86" s="21" t="s">
        <v>574</v>
      </c>
    </row>
    <row r="87" spans="1:12" x14ac:dyDescent="0.2">
      <c r="A87" s="17" t="s">
        <v>573</v>
      </c>
      <c r="B87" s="17">
        <v>0</v>
      </c>
      <c r="C87" s="17" t="s">
        <v>188</v>
      </c>
      <c r="D87" s="17" t="s">
        <v>278</v>
      </c>
      <c r="E87" s="18"/>
      <c r="F87" s="18"/>
      <c r="G87" s="19"/>
      <c r="H87" s="19">
        <v>160000000</v>
      </c>
      <c r="I87" s="19">
        <v>10800000</v>
      </c>
      <c r="J87" s="20">
        <v>0.125</v>
      </c>
      <c r="K87" s="17" t="s">
        <v>259</v>
      </c>
    </row>
    <row r="88" spans="1:12" x14ac:dyDescent="0.2">
      <c r="A88" s="17" t="s">
        <v>573</v>
      </c>
      <c r="B88" s="17">
        <v>0</v>
      </c>
      <c r="C88" s="17" t="s">
        <v>183</v>
      </c>
      <c r="D88" s="17" t="s">
        <v>278</v>
      </c>
      <c r="E88" s="18">
        <v>44228</v>
      </c>
      <c r="F88" s="18">
        <v>44228</v>
      </c>
      <c r="G88" s="19">
        <v>1</v>
      </c>
      <c r="H88" s="19">
        <v>160000000</v>
      </c>
      <c r="I88" s="19">
        <v>120000</v>
      </c>
      <c r="J88" s="20">
        <v>0.125</v>
      </c>
      <c r="K88" s="17" t="s">
        <v>259</v>
      </c>
    </row>
    <row r="89" spans="1:12" x14ac:dyDescent="0.2">
      <c r="A89" s="17" t="s">
        <v>145</v>
      </c>
      <c r="B89" s="17">
        <v>1</v>
      </c>
      <c r="C89" s="17" t="s">
        <v>188</v>
      </c>
      <c r="D89" s="17" t="s">
        <v>278</v>
      </c>
      <c r="E89" s="18">
        <v>43065</v>
      </c>
      <c r="F89" s="18">
        <v>43160</v>
      </c>
      <c r="G89" s="19">
        <f>F89-E89</f>
        <v>95</v>
      </c>
      <c r="H89" s="19">
        <v>25000000000</v>
      </c>
      <c r="I89" s="19">
        <f>10%*H89</f>
        <v>2500000000</v>
      </c>
      <c r="J89" s="20">
        <v>0.01</v>
      </c>
      <c r="K89" s="17" t="s">
        <v>259</v>
      </c>
      <c r="L89" s="21" t="s">
        <v>288</v>
      </c>
    </row>
    <row r="90" spans="1:12" x14ac:dyDescent="0.2">
      <c r="A90" s="17" t="s">
        <v>145</v>
      </c>
      <c r="B90" s="17">
        <v>0</v>
      </c>
      <c r="C90" s="17" t="s">
        <v>183</v>
      </c>
      <c r="D90" s="17" t="s">
        <v>278</v>
      </c>
      <c r="E90" s="18">
        <v>43160</v>
      </c>
      <c r="F90" s="18">
        <v>43160</v>
      </c>
      <c r="G90" s="19">
        <v>1</v>
      </c>
      <c r="H90" s="19">
        <v>25000000000</v>
      </c>
      <c r="I90" s="19">
        <v>5770000000</v>
      </c>
      <c r="J90" s="20">
        <v>2.1999999999999999E-2</v>
      </c>
      <c r="K90" s="17" t="s">
        <v>259</v>
      </c>
      <c r="L90" s="21" t="s">
        <v>289</v>
      </c>
    </row>
    <row r="91" spans="1:12" x14ac:dyDescent="0.2">
      <c r="A91" s="17" t="s">
        <v>33</v>
      </c>
      <c r="B91" s="17">
        <v>0</v>
      </c>
      <c r="C91" s="17" t="s">
        <v>183</v>
      </c>
      <c r="D91" s="17" t="s">
        <v>278</v>
      </c>
      <c r="E91" s="18">
        <v>44042</v>
      </c>
      <c r="F91" s="18">
        <v>44043</v>
      </c>
      <c r="G91" s="19">
        <v>1</v>
      </c>
      <c r="H91" s="19">
        <v>2500000000</v>
      </c>
      <c r="I91" s="19">
        <f>1000000/0.024</f>
        <v>41666666.666666664</v>
      </c>
      <c r="J91" s="20">
        <v>2.4E-2</v>
      </c>
      <c r="K91" s="17" t="s">
        <v>259</v>
      </c>
      <c r="L91" s="21" t="s">
        <v>319</v>
      </c>
    </row>
    <row r="92" spans="1:12" x14ac:dyDescent="0.2">
      <c r="A92" s="17" t="s">
        <v>200</v>
      </c>
      <c r="B92" s="17">
        <v>1</v>
      </c>
      <c r="C92" s="17" t="s">
        <v>183</v>
      </c>
      <c r="D92" s="17" t="s">
        <v>278</v>
      </c>
      <c r="E92" s="18">
        <v>43059</v>
      </c>
      <c r="F92" s="18">
        <v>43072</v>
      </c>
      <c r="G92" s="19">
        <v>14</v>
      </c>
      <c r="H92" s="19">
        <v>500000000</v>
      </c>
      <c r="I92" s="19">
        <f>H92*3.8%</f>
        <v>19000000</v>
      </c>
      <c r="J92" s="20">
        <v>1.6500000000000001E-2</v>
      </c>
      <c r="K92" s="17" t="s">
        <v>259</v>
      </c>
      <c r="L92" s="21" t="s">
        <v>459</v>
      </c>
    </row>
    <row r="93" spans="1:12" x14ac:dyDescent="0.2">
      <c r="A93" s="17" t="s">
        <v>200</v>
      </c>
      <c r="B93" s="17">
        <v>0</v>
      </c>
      <c r="C93" s="17" t="s">
        <v>183</v>
      </c>
      <c r="D93" s="17" t="s">
        <v>278</v>
      </c>
      <c r="E93" s="18">
        <v>43085</v>
      </c>
      <c r="F93" s="18">
        <v>43085</v>
      </c>
      <c r="G93" s="19">
        <v>1</v>
      </c>
      <c r="H93" s="19">
        <v>500000000</v>
      </c>
      <c r="I93" s="19">
        <f>H93*18.2%</f>
        <v>91000000</v>
      </c>
      <c r="J93" s="20">
        <v>1.6500000000000001E-2</v>
      </c>
      <c r="K93" s="17" t="s">
        <v>259</v>
      </c>
      <c r="L93" s="21" t="s">
        <v>460</v>
      </c>
    </row>
    <row r="94" spans="1:12" x14ac:dyDescent="0.2">
      <c r="A94" s="17" t="s">
        <v>102</v>
      </c>
      <c r="B94" s="17">
        <v>0</v>
      </c>
      <c r="C94" s="17" t="s">
        <v>188</v>
      </c>
      <c r="D94" s="17" t="s">
        <v>278</v>
      </c>
      <c r="E94" s="18">
        <v>43361</v>
      </c>
      <c r="F94" s="18">
        <v>43365</v>
      </c>
      <c r="G94" s="19">
        <v>5</v>
      </c>
      <c r="H94" s="19">
        <v>1000000000</v>
      </c>
      <c r="I94" s="19">
        <v>400000000</v>
      </c>
      <c r="J94" s="20">
        <v>2.3699999999999999E-2</v>
      </c>
      <c r="K94" s="17" t="s">
        <v>259</v>
      </c>
      <c r="L94" s="21" t="s">
        <v>727</v>
      </c>
    </row>
    <row r="95" spans="1:12" x14ac:dyDescent="0.2">
      <c r="A95" s="17" t="s">
        <v>262</v>
      </c>
      <c r="B95" s="17">
        <v>0</v>
      </c>
      <c r="C95" s="17" t="s">
        <v>183</v>
      </c>
      <c r="D95" s="17" t="s">
        <v>278</v>
      </c>
      <c r="E95" s="18">
        <v>44150</v>
      </c>
      <c r="F95" s="18">
        <v>44157</v>
      </c>
      <c r="G95" s="19">
        <v>8</v>
      </c>
      <c r="H95" s="19">
        <v>1000000000</v>
      </c>
      <c r="I95" s="19">
        <f>H95*13%</f>
        <v>130000000</v>
      </c>
      <c r="J95" s="20">
        <v>0.03</v>
      </c>
      <c r="K95" s="17" t="s">
        <v>259</v>
      </c>
    </row>
    <row r="96" spans="1:12" x14ac:dyDescent="0.2">
      <c r="A96" s="17" t="s">
        <v>262</v>
      </c>
      <c r="B96" s="17">
        <v>0</v>
      </c>
      <c r="C96" s="17" t="s">
        <v>188</v>
      </c>
      <c r="D96" s="17" t="s">
        <v>278</v>
      </c>
      <c r="E96" s="18"/>
      <c r="F96" s="18"/>
      <c r="G96" s="19"/>
      <c r="H96" s="19">
        <v>1000000000</v>
      </c>
      <c r="I96" s="19">
        <f>H96*20%</f>
        <v>200000000</v>
      </c>
      <c r="J96" s="20">
        <v>8.0000000000000002E-3</v>
      </c>
      <c r="K96" s="17" t="s">
        <v>259</v>
      </c>
    </row>
    <row r="97" spans="1:12" x14ac:dyDescent="0.2">
      <c r="A97" s="17" t="s">
        <v>262</v>
      </c>
      <c r="B97" s="17">
        <v>0</v>
      </c>
      <c r="C97" s="17" t="s">
        <v>188</v>
      </c>
      <c r="D97" s="17" t="s">
        <v>278</v>
      </c>
      <c r="E97" s="18"/>
      <c r="F97" s="18"/>
      <c r="G97" s="19"/>
      <c r="H97" s="19">
        <v>1000000000</v>
      </c>
      <c r="I97" s="19">
        <f>H97*2%</f>
        <v>20000000</v>
      </c>
      <c r="J97" s="20">
        <v>0.02</v>
      </c>
      <c r="K97" s="17" t="s">
        <v>259</v>
      </c>
    </row>
    <row r="98" spans="1:12" x14ac:dyDescent="0.2">
      <c r="A98" s="17" t="s">
        <v>262</v>
      </c>
      <c r="B98" s="17">
        <v>0</v>
      </c>
      <c r="C98" s="17" t="s">
        <v>268</v>
      </c>
      <c r="D98" s="17" t="s">
        <v>278</v>
      </c>
      <c r="E98" s="18"/>
      <c r="F98" s="18"/>
      <c r="G98" s="19"/>
      <c r="H98" s="19">
        <v>1000000000</v>
      </c>
      <c r="I98" s="19">
        <f>H98*5%</f>
        <v>50000000</v>
      </c>
      <c r="J98" s="20">
        <v>5.0000000000000001E-3</v>
      </c>
      <c r="K98" s="17" t="s">
        <v>259</v>
      </c>
    </row>
    <row r="99" spans="1:12" x14ac:dyDescent="0.2">
      <c r="A99" s="17" t="s">
        <v>73</v>
      </c>
      <c r="B99" s="17">
        <v>0</v>
      </c>
      <c r="C99" s="17" t="s">
        <v>188</v>
      </c>
      <c r="D99" s="17" t="s">
        <v>278</v>
      </c>
      <c r="E99" s="18"/>
      <c r="F99" s="18"/>
      <c r="G99" s="19"/>
      <c r="H99" s="19">
        <v>10000000000</v>
      </c>
      <c r="I99" s="19">
        <v>961538462</v>
      </c>
      <c r="J99" s="20">
        <v>5.0000000000000001E-3</v>
      </c>
      <c r="K99" s="17" t="s">
        <v>259</v>
      </c>
      <c r="L99" s="21" t="s">
        <v>744</v>
      </c>
    </row>
    <row r="100" spans="1:12" x14ac:dyDescent="0.2">
      <c r="A100" s="17" t="s">
        <v>73</v>
      </c>
      <c r="B100" s="17">
        <v>0</v>
      </c>
      <c r="C100" s="17" t="s">
        <v>188</v>
      </c>
      <c r="D100" s="17" t="s">
        <v>278</v>
      </c>
      <c r="E100" s="18"/>
      <c r="F100" s="18"/>
      <c r="G100" s="19"/>
      <c r="H100" s="19">
        <v>10000000000</v>
      </c>
      <c r="I100" s="19">
        <v>169230769</v>
      </c>
      <c r="J100" s="20">
        <v>5.8999999999999999E-3</v>
      </c>
      <c r="K100" s="17" t="s">
        <v>259</v>
      </c>
    </row>
    <row r="101" spans="1:12" x14ac:dyDescent="0.2">
      <c r="A101" s="17" t="s">
        <v>73</v>
      </c>
      <c r="B101" s="17">
        <v>0</v>
      </c>
      <c r="C101" s="17" t="s">
        <v>183</v>
      </c>
      <c r="D101" s="17" t="s">
        <v>278</v>
      </c>
      <c r="E101" s="18">
        <v>43625</v>
      </c>
      <c r="F101" s="18">
        <v>43627</v>
      </c>
      <c r="G101" s="19">
        <v>3</v>
      </c>
      <c r="H101" s="19">
        <v>10000000000</v>
      </c>
      <c r="I101" s="19">
        <v>58823529</v>
      </c>
      <c r="J101" s="20">
        <v>8.5000000000000006E-3</v>
      </c>
      <c r="K101" s="17" t="s">
        <v>259</v>
      </c>
    </row>
    <row r="102" spans="1:12" x14ac:dyDescent="0.2">
      <c r="A102" s="17" t="s">
        <v>198</v>
      </c>
      <c r="B102" s="17">
        <v>0</v>
      </c>
      <c r="C102" s="17" t="s">
        <v>183</v>
      </c>
      <c r="D102" s="17" t="s">
        <v>278</v>
      </c>
      <c r="E102" s="18">
        <v>43088</v>
      </c>
      <c r="F102" s="18">
        <v>43088</v>
      </c>
      <c r="G102" s="19">
        <v>1</v>
      </c>
      <c r="H102" s="19">
        <v>160000000</v>
      </c>
      <c r="I102" s="19">
        <f>H102*72.5%</f>
        <v>116000000</v>
      </c>
      <c r="J102" s="20">
        <f>1/900</f>
        <v>1.1111111111111111E-3</v>
      </c>
      <c r="K102" s="17" t="s">
        <v>2</v>
      </c>
      <c r="L102" s="21" t="s">
        <v>449</v>
      </c>
    </row>
    <row r="103" spans="1:12" x14ac:dyDescent="0.2">
      <c r="A103" s="17" t="s">
        <v>95</v>
      </c>
      <c r="B103" s="17">
        <v>0</v>
      </c>
      <c r="C103" s="17" t="s">
        <v>188</v>
      </c>
      <c r="D103" s="17" t="s">
        <v>278</v>
      </c>
      <c r="E103" s="18">
        <v>43415</v>
      </c>
      <c r="F103" s="18">
        <v>43425</v>
      </c>
      <c r="G103" s="19">
        <v>11</v>
      </c>
      <c r="H103" s="19">
        <v>10000000000</v>
      </c>
      <c r="I103" s="19">
        <f>H103*9%</f>
        <v>900000000</v>
      </c>
      <c r="J103" s="20">
        <v>1.8200000000000001E-2</v>
      </c>
      <c r="K103" s="17" t="s">
        <v>259</v>
      </c>
      <c r="L103" s="21" t="s">
        <v>746</v>
      </c>
    </row>
    <row r="104" spans="1:12" x14ac:dyDescent="0.2">
      <c r="A104" s="17" t="s">
        <v>92</v>
      </c>
      <c r="B104" s="17">
        <v>0</v>
      </c>
      <c r="C104" s="17" t="s">
        <v>183</v>
      </c>
      <c r="D104" s="17" t="s">
        <v>278</v>
      </c>
      <c r="E104" s="18">
        <v>43493</v>
      </c>
      <c r="F104" s="18">
        <v>43493</v>
      </c>
      <c r="G104" s="19">
        <v>1</v>
      </c>
      <c r="H104" s="19">
        <v>990000000000</v>
      </c>
      <c r="I104" s="19">
        <v>59400000000</v>
      </c>
      <c r="J104" s="20">
        <v>1.2E-4</v>
      </c>
      <c r="K104" s="17" t="s">
        <v>259</v>
      </c>
      <c r="L104" s="21" t="s">
        <v>729</v>
      </c>
    </row>
    <row r="105" spans="1:12" x14ac:dyDescent="0.2">
      <c r="A105" s="17" t="s">
        <v>648</v>
      </c>
      <c r="B105" s="17">
        <v>0</v>
      </c>
      <c r="C105" s="17" t="s">
        <v>188</v>
      </c>
      <c r="D105" s="17" t="s">
        <v>278</v>
      </c>
      <c r="E105" s="18"/>
      <c r="F105" s="18">
        <v>44295</v>
      </c>
      <c r="G105" s="19"/>
      <c r="H105" s="19">
        <v>255000000</v>
      </c>
      <c r="I105" s="19">
        <v>35000000</v>
      </c>
      <c r="J105" s="20">
        <v>0.02</v>
      </c>
      <c r="K105" s="17" t="s">
        <v>259</v>
      </c>
      <c r="L105" s="21" t="s">
        <v>647</v>
      </c>
    </row>
    <row r="106" spans="1:12" x14ac:dyDescent="0.2">
      <c r="A106" s="17" t="s">
        <v>648</v>
      </c>
      <c r="B106" s="17">
        <v>0</v>
      </c>
      <c r="C106" s="17" t="s">
        <v>188</v>
      </c>
      <c r="D106" s="17" t="s">
        <v>278</v>
      </c>
      <c r="E106" s="18"/>
      <c r="F106" s="18">
        <v>44295</v>
      </c>
      <c r="G106" s="19"/>
      <c r="H106" s="19">
        <v>255000000</v>
      </c>
      <c r="I106" s="19">
        <v>30000000</v>
      </c>
      <c r="J106" s="20">
        <v>0.04</v>
      </c>
      <c r="K106" s="17" t="s">
        <v>259</v>
      </c>
      <c r="L106" s="21" t="s">
        <v>649</v>
      </c>
    </row>
    <row r="107" spans="1:12" x14ac:dyDescent="0.2">
      <c r="A107" s="17" t="s">
        <v>648</v>
      </c>
      <c r="B107" s="17">
        <v>0</v>
      </c>
      <c r="C107" s="17" t="s">
        <v>183</v>
      </c>
      <c r="D107" s="17" t="s">
        <v>278</v>
      </c>
      <c r="E107" s="18">
        <v>44307</v>
      </c>
      <c r="F107" s="18">
        <v>44308</v>
      </c>
      <c r="G107" s="19">
        <v>2</v>
      </c>
      <c r="H107" s="19">
        <v>255000000</v>
      </c>
      <c r="I107" s="19">
        <v>3333330</v>
      </c>
      <c r="J107" s="20">
        <v>0.06</v>
      </c>
      <c r="K107" s="17" t="s">
        <v>259</v>
      </c>
      <c r="L107" s="21" t="s">
        <v>650</v>
      </c>
    </row>
    <row r="108" spans="1:12" x14ac:dyDescent="0.2">
      <c r="A108" s="17" t="s">
        <v>208</v>
      </c>
      <c r="B108" s="17">
        <v>1</v>
      </c>
      <c r="C108" s="17" t="s">
        <v>183</v>
      </c>
      <c r="D108" s="17" t="s">
        <v>278</v>
      </c>
      <c r="E108" s="18">
        <v>43015</v>
      </c>
      <c r="F108" s="18">
        <v>43022</v>
      </c>
      <c r="G108" s="19">
        <v>8</v>
      </c>
      <c r="H108" s="19">
        <v>86206896</v>
      </c>
      <c r="I108" s="19">
        <f>H108-I109</f>
        <v>11206896</v>
      </c>
      <c r="J108" s="20">
        <v>0.95</v>
      </c>
      <c r="K108" s="17" t="s">
        <v>259</v>
      </c>
      <c r="L108" s="21" t="s">
        <v>410</v>
      </c>
    </row>
    <row r="109" spans="1:12" x14ac:dyDescent="0.2">
      <c r="A109" s="17" t="s">
        <v>208</v>
      </c>
      <c r="B109" s="17">
        <v>0</v>
      </c>
      <c r="C109" s="17" t="s">
        <v>183</v>
      </c>
      <c r="D109" s="17" t="s">
        <v>278</v>
      </c>
      <c r="E109" s="18">
        <v>43024</v>
      </c>
      <c r="F109" s="18">
        <v>43069</v>
      </c>
      <c r="G109" s="19">
        <v>46</v>
      </c>
      <c r="H109" s="19">
        <v>86206896</v>
      </c>
      <c r="I109" s="19">
        <v>75000000</v>
      </c>
      <c r="J109" s="20">
        <v>1</v>
      </c>
      <c r="K109" s="17" t="s">
        <v>259</v>
      </c>
    </row>
    <row r="110" spans="1:12" x14ac:dyDescent="0.2">
      <c r="A110" s="17" t="s">
        <v>208</v>
      </c>
      <c r="B110" s="17">
        <v>1</v>
      </c>
      <c r="C110" s="17" t="s">
        <v>183</v>
      </c>
      <c r="D110" s="17" t="s">
        <v>278</v>
      </c>
      <c r="E110" s="18"/>
      <c r="F110" s="18"/>
      <c r="G110" s="19"/>
      <c r="H110" s="19">
        <v>86206896</v>
      </c>
      <c r="I110" s="25">
        <v>7500000</v>
      </c>
      <c r="J110" s="20">
        <v>0.95</v>
      </c>
      <c r="K110" s="17" t="s">
        <v>259</v>
      </c>
      <c r="L110" s="21" t="s">
        <v>410</v>
      </c>
    </row>
    <row r="111" spans="1:12" x14ac:dyDescent="0.2">
      <c r="A111" s="17" t="s">
        <v>208</v>
      </c>
      <c r="B111" s="17">
        <v>0</v>
      </c>
      <c r="C111" s="17" t="s">
        <v>183</v>
      </c>
      <c r="D111" s="17" t="s">
        <v>278</v>
      </c>
      <c r="E111" s="18">
        <v>43023</v>
      </c>
      <c r="F111" s="18">
        <v>43070</v>
      </c>
      <c r="G111" s="19">
        <v>47</v>
      </c>
      <c r="H111" s="19">
        <v>86206896</v>
      </c>
      <c r="I111" s="19">
        <f>75000000-I110</f>
        <v>67500000</v>
      </c>
      <c r="J111" s="20">
        <v>1</v>
      </c>
      <c r="K111" s="17" t="s">
        <v>259</v>
      </c>
    </row>
    <row r="112" spans="1:12" x14ac:dyDescent="0.2">
      <c r="A112" s="17" t="s">
        <v>232</v>
      </c>
      <c r="B112" s="17">
        <v>0</v>
      </c>
      <c r="C112" s="17" t="s">
        <v>183</v>
      </c>
      <c r="D112" s="17" t="s">
        <v>278</v>
      </c>
      <c r="E112" s="18">
        <v>43024</v>
      </c>
      <c r="F112" s="18">
        <v>43025</v>
      </c>
      <c r="G112" s="19">
        <v>2</v>
      </c>
      <c r="H112" s="19">
        <v>306250000</v>
      </c>
      <c r="I112" s="19">
        <f>H112*40%</f>
        <v>122500000</v>
      </c>
      <c r="J112" s="20">
        <v>0.44</v>
      </c>
      <c r="K112" s="17" t="s">
        <v>259</v>
      </c>
      <c r="L112" s="21" t="s">
        <v>693</v>
      </c>
    </row>
    <row r="113" spans="1:12" x14ac:dyDescent="0.2">
      <c r="A113" s="17" t="s">
        <v>130</v>
      </c>
      <c r="B113" s="17">
        <v>0</v>
      </c>
      <c r="C113" s="17" t="s">
        <v>183</v>
      </c>
      <c r="D113" s="17" t="s">
        <v>278</v>
      </c>
      <c r="E113" s="18">
        <v>43190</v>
      </c>
      <c r="F113" s="18">
        <v>43221</v>
      </c>
      <c r="G113" s="19">
        <v>32</v>
      </c>
      <c r="H113" s="19">
        <v>1000000000</v>
      </c>
      <c r="I113" s="19">
        <v>350000000</v>
      </c>
      <c r="J113" s="20">
        <v>0.01</v>
      </c>
      <c r="K113" s="17" t="s">
        <v>259</v>
      </c>
      <c r="L113" s="21" t="s">
        <v>366</v>
      </c>
    </row>
    <row r="114" spans="1:12" x14ac:dyDescent="0.2">
      <c r="A114" s="17" t="s">
        <v>124</v>
      </c>
      <c r="B114" s="17">
        <v>0</v>
      </c>
      <c r="C114" s="17" t="s">
        <v>183</v>
      </c>
      <c r="D114" s="17" t="s">
        <v>278</v>
      </c>
      <c r="E114" s="18"/>
      <c r="F114" s="18">
        <v>43247</v>
      </c>
      <c r="G114" s="19"/>
      <c r="H114" s="19">
        <v>1800000000</v>
      </c>
      <c r="I114" s="19">
        <f>H114*40%</f>
        <v>720000000</v>
      </c>
      <c r="J114" s="20">
        <f>1/15000</f>
        <v>6.666666666666667E-5</v>
      </c>
      <c r="K114" s="17" t="s">
        <v>2</v>
      </c>
      <c r="L114" s="21" t="s">
        <v>354</v>
      </c>
    </row>
    <row r="115" spans="1:12" x14ac:dyDescent="0.2">
      <c r="A115" s="17" t="s">
        <v>124</v>
      </c>
      <c r="B115" s="17">
        <v>0</v>
      </c>
      <c r="C115" s="17" t="s">
        <v>183</v>
      </c>
      <c r="D115" s="17" t="s">
        <v>278</v>
      </c>
      <c r="E115" s="18"/>
      <c r="F115" s="18">
        <v>43247</v>
      </c>
      <c r="G115" s="19"/>
      <c r="H115" s="19">
        <v>1800000000</v>
      </c>
      <c r="I115" s="19">
        <v>720000000</v>
      </c>
      <c r="J115" s="20">
        <v>3.8199999999999998E-2</v>
      </c>
      <c r="K115" s="17" t="s">
        <v>259</v>
      </c>
      <c r="L115" s="21" t="s">
        <v>354</v>
      </c>
    </row>
    <row r="116" spans="1:12" x14ac:dyDescent="0.2">
      <c r="A116" s="17" t="s">
        <v>535</v>
      </c>
      <c r="B116" s="17">
        <v>0</v>
      </c>
      <c r="C116" s="17" t="s">
        <v>183</v>
      </c>
      <c r="D116" s="17" t="s">
        <v>278</v>
      </c>
      <c r="E116" s="18">
        <v>44278</v>
      </c>
      <c r="F116" s="18">
        <v>44278</v>
      </c>
      <c r="G116" s="19">
        <v>1</v>
      </c>
      <c r="H116" s="19">
        <v>155000000</v>
      </c>
      <c r="I116" s="19">
        <v>1000000</v>
      </c>
      <c r="J116" s="20">
        <v>0.1</v>
      </c>
      <c r="K116" s="17" t="s">
        <v>259</v>
      </c>
      <c r="L116" s="21" t="s">
        <v>536</v>
      </c>
    </row>
    <row r="117" spans="1:12" x14ac:dyDescent="0.2">
      <c r="A117" s="17" t="s">
        <v>504</v>
      </c>
      <c r="B117" s="17">
        <v>1</v>
      </c>
      <c r="C117" s="17" t="s">
        <v>188</v>
      </c>
      <c r="D117" s="17" t="s">
        <v>278</v>
      </c>
      <c r="E117" s="18">
        <v>44305</v>
      </c>
      <c r="F117" s="18">
        <v>44313</v>
      </c>
      <c r="G117" s="19">
        <v>9</v>
      </c>
      <c r="H117" s="19">
        <v>500000000</v>
      </c>
      <c r="I117" s="19">
        <v>100000000</v>
      </c>
      <c r="J117" s="20">
        <v>3.2000000000000001E-2</v>
      </c>
      <c r="K117" s="17" t="s">
        <v>259</v>
      </c>
      <c r="L117" s="21" t="s">
        <v>503</v>
      </c>
    </row>
    <row r="118" spans="1:12" x14ac:dyDescent="0.2">
      <c r="A118" s="17" t="s">
        <v>504</v>
      </c>
      <c r="B118" s="17">
        <v>0</v>
      </c>
      <c r="C118" s="17" t="s">
        <v>183</v>
      </c>
      <c r="D118" s="17" t="s">
        <v>278</v>
      </c>
      <c r="E118" s="18"/>
      <c r="F118" s="18"/>
      <c r="G118" s="19"/>
      <c r="H118" s="19">
        <v>500000000</v>
      </c>
      <c r="I118" s="19">
        <v>150000000</v>
      </c>
      <c r="J118" s="20">
        <v>1.6E-2</v>
      </c>
      <c r="K118" s="17" t="s">
        <v>259</v>
      </c>
    </row>
    <row r="119" spans="1:12" x14ac:dyDescent="0.2">
      <c r="A119" s="17" t="s">
        <v>197</v>
      </c>
      <c r="B119" s="17">
        <v>0</v>
      </c>
      <c r="C119" s="17" t="s">
        <v>183</v>
      </c>
      <c r="D119" s="17" t="s">
        <v>278</v>
      </c>
      <c r="E119" s="18">
        <v>43067</v>
      </c>
      <c r="F119" s="18">
        <v>43088</v>
      </c>
      <c r="G119" s="19">
        <v>22</v>
      </c>
      <c r="H119" s="19">
        <v>1000000000</v>
      </c>
      <c r="I119" s="19">
        <v>400000000</v>
      </c>
      <c r="J119" s="20">
        <f>1/16</f>
        <v>6.25E-2</v>
      </c>
      <c r="K119" s="17" t="s">
        <v>259</v>
      </c>
      <c r="L119" s="21" t="s">
        <v>411</v>
      </c>
    </row>
    <row r="120" spans="1:12" x14ac:dyDescent="0.2">
      <c r="A120" s="17" t="s">
        <v>136</v>
      </c>
      <c r="B120" s="17">
        <v>0</v>
      </c>
      <c r="C120" s="17" t="s">
        <v>183</v>
      </c>
      <c r="D120" s="17" t="s">
        <v>278</v>
      </c>
      <c r="E120" s="18">
        <v>43175</v>
      </c>
      <c r="F120" s="18">
        <v>43181</v>
      </c>
      <c r="G120" s="19">
        <v>7</v>
      </c>
      <c r="H120" s="19">
        <v>650000000</v>
      </c>
      <c r="I120" s="19">
        <v>325000000</v>
      </c>
      <c r="J120" s="20">
        <v>3</v>
      </c>
      <c r="K120" s="17" t="s">
        <v>259</v>
      </c>
      <c r="L120" s="21" t="s">
        <v>758</v>
      </c>
    </row>
    <row r="121" spans="1:12" x14ac:dyDescent="0.2">
      <c r="A121" s="17" t="s">
        <v>59</v>
      </c>
      <c r="B121" s="17">
        <v>1</v>
      </c>
      <c r="C121" s="17" t="s">
        <v>301</v>
      </c>
      <c r="D121" s="17" t="s">
        <v>278</v>
      </c>
      <c r="E121" s="18"/>
      <c r="F121" s="18"/>
      <c r="G121" s="19"/>
      <c r="H121" s="19">
        <v>1100000000000</v>
      </c>
      <c r="I121" s="19"/>
      <c r="J121" s="20"/>
      <c r="K121" s="17"/>
      <c r="L121" s="21" t="s">
        <v>303</v>
      </c>
    </row>
    <row r="122" spans="1:12" x14ac:dyDescent="0.2">
      <c r="A122" s="17" t="s">
        <v>59</v>
      </c>
      <c r="B122" s="17">
        <v>0</v>
      </c>
      <c r="C122" s="17" t="s">
        <v>188</v>
      </c>
      <c r="D122" s="17" t="s">
        <v>278</v>
      </c>
      <c r="E122" s="18">
        <v>43717</v>
      </c>
      <c r="F122" s="18">
        <v>43718</v>
      </c>
      <c r="G122" s="19">
        <v>1</v>
      </c>
      <c r="H122" s="19">
        <v>1100000000000</v>
      </c>
      <c r="I122" s="19">
        <v>333333333</v>
      </c>
      <c r="J122" s="20">
        <v>3.0000000000000001E-3</v>
      </c>
      <c r="K122" s="17" t="s">
        <v>259</v>
      </c>
      <c r="L122" s="21" t="s">
        <v>303</v>
      </c>
    </row>
    <row r="123" spans="1:12" x14ac:dyDescent="0.2">
      <c r="A123" s="17" t="s">
        <v>59</v>
      </c>
      <c r="B123" s="17">
        <v>0</v>
      </c>
      <c r="C123" s="17" t="s">
        <v>183</v>
      </c>
      <c r="D123" s="17" t="s">
        <v>278</v>
      </c>
      <c r="E123" s="18">
        <v>44299</v>
      </c>
      <c r="F123" s="18">
        <v>44299</v>
      </c>
      <c r="G123" s="19">
        <v>1</v>
      </c>
      <c r="H123" s="19">
        <v>1100000000000</v>
      </c>
      <c r="I123" s="19">
        <v>200000000</v>
      </c>
      <c r="J123" s="20">
        <v>3.5000000000000003E-2</v>
      </c>
      <c r="K123" s="17" t="s">
        <v>259</v>
      </c>
    </row>
    <row r="124" spans="1:12" x14ac:dyDescent="0.2">
      <c r="A124" s="17" t="s">
        <v>59</v>
      </c>
      <c r="B124" s="17">
        <v>0</v>
      </c>
      <c r="C124" s="17"/>
      <c r="D124" s="17" t="s">
        <v>278</v>
      </c>
      <c r="E124" s="18">
        <v>44299</v>
      </c>
      <c r="F124" s="18">
        <v>44299</v>
      </c>
      <c r="G124" s="19">
        <v>1</v>
      </c>
      <c r="H124" s="19">
        <v>1100000000000</v>
      </c>
      <c r="I124" s="19">
        <v>125000000</v>
      </c>
      <c r="J124" s="20">
        <v>0.02</v>
      </c>
      <c r="K124" s="17" t="s">
        <v>259</v>
      </c>
    </row>
    <row r="125" spans="1:12" x14ac:dyDescent="0.2">
      <c r="A125" s="17" t="s">
        <v>59</v>
      </c>
      <c r="B125" s="17">
        <v>0</v>
      </c>
      <c r="C125" s="17"/>
      <c r="D125" s="17" t="s">
        <v>278</v>
      </c>
      <c r="E125" s="18">
        <v>44299</v>
      </c>
      <c r="F125" s="18">
        <v>44299</v>
      </c>
      <c r="G125" s="19">
        <v>1</v>
      </c>
      <c r="H125" s="19">
        <v>1100000000000</v>
      </c>
      <c r="I125" s="19">
        <v>700000000</v>
      </c>
      <c r="J125" s="20">
        <v>2.4E-2</v>
      </c>
      <c r="K125" s="17" t="s">
        <v>259</v>
      </c>
    </row>
    <row r="126" spans="1:12" x14ac:dyDescent="0.2">
      <c r="A126" s="17" t="s">
        <v>59</v>
      </c>
      <c r="B126" s="17">
        <v>0</v>
      </c>
      <c r="C126" s="17"/>
      <c r="D126" s="17" t="s">
        <v>278</v>
      </c>
      <c r="E126" s="18"/>
      <c r="F126" s="18">
        <v>44307</v>
      </c>
      <c r="G126" s="19"/>
      <c r="H126" s="19">
        <v>1100000000000</v>
      </c>
      <c r="I126" s="19">
        <v>50000000</v>
      </c>
      <c r="J126" s="20">
        <v>0.02</v>
      </c>
      <c r="K126" s="17" t="s">
        <v>259</v>
      </c>
    </row>
    <row r="127" spans="1:12" x14ac:dyDescent="0.2">
      <c r="A127" s="17" t="s">
        <v>59</v>
      </c>
      <c r="B127" s="17">
        <v>0</v>
      </c>
      <c r="C127" s="17"/>
      <c r="D127" s="17" t="s">
        <v>278</v>
      </c>
      <c r="E127" s="18"/>
      <c r="F127" s="18">
        <v>44342</v>
      </c>
      <c r="G127" s="19"/>
      <c r="H127" s="19">
        <v>1100000000000</v>
      </c>
      <c r="I127" s="19"/>
      <c r="J127" s="20">
        <v>0.02</v>
      </c>
      <c r="K127" s="17" t="s">
        <v>259</v>
      </c>
      <c r="L127" s="21" t="s">
        <v>303</v>
      </c>
    </row>
    <row r="128" spans="1:12" x14ac:dyDescent="0.2">
      <c r="A128" s="17" t="s">
        <v>5</v>
      </c>
      <c r="B128" s="17">
        <v>1</v>
      </c>
      <c r="C128" s="17" t="s">
        <v>183</v>
      </c>
      <c r="D128" s="17" t="s">
        <v>278</v>
      </c>
      <c r="E128" s="18">
        <v>42893</v>
      </c>
      <c r="F128" s="18">
        <v>42893</v>
      </c>
      <c r="G128" s="19">
        <v>1</v>
      </c>
      <c r="H128" s="19">
        <v>500000000</v>
      </c>
      <c r="I128" s="19">
        <f>H128*25%</f>
        <v>125000000</v>
      </c>
      <c r="J128" s="20">
        <f>1/2210</f>
        <v>4.5248868778280545E-4</v>
      </c>
      <c r="K128" s="17" t="s">
        <v>2</v>
      </c>
      <c r="L128" s="21" t="s">
        <v>412</v>
      </c>
    </row>
    <row r="129" spans="1:12" x14ac:dyDescent="0.2">
      <c r="A129" s="17" t="s">
        <v>146</v>
      </c>
      <c r="B129" s="17">
        <v>0</v>
      </c>
      <c r="C129" s="17" t="s">
        <v>183</v>
      </c>
      <c r="D129" s="17" t="s">
        <v>278</v>
      </c>
      <c r="E129" s="18">
        <v>43093</v>
      </c>
      <c r="F129" s="18">
        <v>43159</v>
      </c>
      <c r="G129" s="19">
        <v>67</v>
      </c>
      <c r="H129" s="19">
        <v>60000000</v>
      </c>
      <c r="I129" s="19">
        <f>H129*83%</f>
        <v>49800000</v>
      </c>
      <c r="J129" s="20">
        <v>2.5000000000000001E-3</v>
      </c>
      <c r="K129" s="17" t="s">
        <v>2</v>
      </c>
      <c r="L129" s="21" t="s">
        <v>759</v>
      </c>
    </row>
    <row r="130" spans="1:12" x14ac:dyDescent="0.2">
      <c r="A130" s="17" t="s">
        <v>173</v>
      </c>
      <c r="B130" s="17">
        <v>0</v>
      </c>
      <c r="C130" s="17" t="s">
        <v>183</v>
      </c>
      <c r="D130" s="17" t="s">
        <v>278</v>
      </c>
      <c r="E130" s="18">
        <v>43076</v>
      </c>
      <c r="F130" s="18">
        <v>43110</v>
      </c>
      <c r="G130" s="19">
        <f>F130-E130</f>
        <v>34</v>
      </c>
      <c r="H130" s="19">
        <v>1000000000</v>
      </c>
      <c r="I130" s="19">
        <f>H130*53.5%</f>
        <v>535000000.00000006</v>
      </c>
      <c r="J130" s="20">
        <v>0.1</v>
      </c>
      <c r="K130" s="17" t="s">
        <v>259</v>
      </c>
      <c r="L130" s="21" t="s">
        <v>290</v>
      </c>
    </row>
    <row r="131" spans="1:12" x14ac:dyDescent="0.2">
      <c r="A131" s="17" t="s">
        <v>173</v>
      </c>
      <c r="B131" s="17">
        <v>0</v>
      </c>
      <c r="C131" s="17" t="s">
        <v>183</v>
      </c>
      <c r="D131" s="17" t="s">
        <v>402</v>
      </c>
      <c r="E131" s="18">
        <v>43076</v>
      </c>
      <c r="F131" s="18">
        <v>43110</v>
      </c>
      <c r="G131" s="19">
        <v>35</v>
      </c>
      <c r="H131" s="19">
        <v>1000000000</v>
      </c>
      <c r="I131" s="19">
        <v>53500000</v>
      </c>
      <c r="J131" s="20">
        <v>0.1</v>
      </c>
      <c r="K131" s="17" t="s">
        <v>259</v>
      </c>
      <c r="L131" s="21" t="s">
        <v>413</v>
      </c>
    </row>
    <row r="132" spans="1:12" x14ac:dyDescent="0.2">
      <c r="A132" s="17" t="s">
        <v>651</v>
      </c>
      <c r="B132" s="17">
        <v>0</v>
      </c>
      <c r="C132" s="17" t="s">
        <v>188</v>
      </c>
      <c r="D132" s="17" t="s">
        <v>278</v>
      </c>
      <c r="E132" s="18"/>
      <c r="F132" s="18"/>
      <c r="G132" s="19"/>
      <c r="H132" s="19">
        <v>1000000000</v>
      </c>
      <c r="I132" s="19">
        <v>199999999</v>
      </c>
      <c r="J132" s="20">
        <v>0.06</v>
      </c>
      <c r="K132" s="17" t="s">
        <v>259</v>
      </c>
      <c r="L132" s="21" t="s">
        <v>652</v>
      </c>
    </row>
    <row r="133" spans="1:12" x14ac:dyDescent="0.2">
      <c r="A133" s="17" t="s">
        <v>651</v>
      </c>
      <c r="B133" s="17">
        <v>1</v>
      </c>
      <c r="C133" s="17" t="s">
        <v>188</v>
      </c>
      <c r="D133" s="17" t="s">
        <v>278</v>
      </c>
      <c r="E133" s="18"/>
      <c r="F133" s="18"/>
      <c r="G133" s="19"/>
      <c r="H133" s="19">
        <v>1000000000</v>
      </c>
      <c r="I133" s="19">
        <v>25000000</v>
      </c>
      <c r="J133" s="20">
        <v>0.2</v>
      </c>
      <c r="K133" s="17" t="s">
        <v>259</v>
      </c>
      <c r="L133" s="21" t="s">
        <v>653</v>
      </c>
    </row>
    <row r="134" spans="1:12" x14ac:dyDescent="0.2">
      <c r="A134" s="17" t="s">
        <v>651</v>
      </c>
      <c r="B134" s="17">
        <v>0</v>
      </c>
      <c r="C134" s="17" t="s">
        <v>183</v>
      </c>
      <c r="D134" s="17" t="s">
        <v>278</v>
      </c>
      <c r="E134" s="18">
        <v>44306</v>
      </c>
      <c r="F134" s="18">
        <v>44307</v>
      </c>
      <c r="G134" s="19">
        <v>2</v>
      </c>
      <c r="H134" s="19">
        <v>1000000000</v>
      </c>
      <c r="I134" s="19">
        <v>75000000</v>
      </c>
      <c r="J134" s="20">
        <v>0.2</v>
      </c>
      <c r="K134" s="17" t="s">
        <v>259</v>
      </c>
      <c r="L134" s="21" t="s">
        <v>654</v>
      </c>
    </row>
    <row r="135" spans="1:12" x14ac:dyDescent="0.2">
      <c r="A135" s="17" t="s">
        <v>651</v>
      </c>
      <c r="B135" s="17">
        <v>0</v>
      </c>
      <c r="C135" s="17" t="s">
        <v>183</v>
      </c>
      <c r="D135" s="17" t="s">
        <v>402</v>
      </c>
      <c r="E135" s="18">
        <v>44307</v>
      </c>
      <c r="F135" s="18">
        <v>44308</v>
      </c>
      <c r="G135" s="19">
        <v>2</v>
      </c>
      <c r="H135" s="19">
        <v>1000000000</v>
      </c>
      <c r="I135" s="19">
        <v>35000000</v>
      </c>
      <c r="J135" s="20">
        <v>0.35</v>
      </c>
      <c r="K135" s="17" t="s">
        <v>259</v>
      </c>
      <c r="L135" s="21" t="s">
        <v>655</v>
      </c>
    </row>
    <row r="136" spans="1:12" x14ac:dyDescent="0.2">
      <c r="A136" s="17" t="s">
        <v>651</v>
      </c>
      <c r="B136" s="17">
        <v>0</v>
      </c>
      <c r="C136" s="17" t="s">
        <v>183</v>
      </c>
      <c r="D136" s="17" t="s">
        <v>278</v>
      </c>
      <c r="E136" s="18">
        <v>44307</v>
      </c>
      <c r="F136" s="18">
        <v>44308</v>
      </c>
      <c r="G136" s="19">
        <v>2</v>
      </c>
      <c r="H136" s="19">
        <v>1000000000</v>
      </c>
      <c r="I136" s="19">
        <v>40000000</v>
      </c>
      <c r="J136" s="20">
        <v>0.28999999999999998</v>
      </c>
      <c r="K136" s="17" t="s">
        <v>259</v>
      </c>
    </row>
    <row r="137" spans="1:12" x14ac:dyDescent="0.2">
      <c r="A137" s="17" t="s">
        <v>651</v>
      </c>
      <c r="B137" s="17">
        <v>0</v>
      </c>
      <c r="C137" s="17" t="s">
        <v>183</v>
      </c>
      <c r="D137" s="17" t="s">
        <v>278</v>
      </c>
      <c r="E137" s="18">
        <v>44320</v>
      </c>
      <c r="F137" s="18">
        <v>44320</v>
      </c>
      <c r="G137" s="19">
        <v>1</v>
      </c>
      <c r="H137" s="19">
        <v>1000000000</v>
      </c>
      <c r="I137" s="19">
        <v>37727469</v>
      </c>
      <c r="J137" s="20">
        <v>0.2</v>
      </c>
      <c r="K137" s="17" t="s">
        <v>259</v>
      </c>
    </row>
    <row r="138" spans="1:12" x14ac:dyDescent="0.2">
      <c r="A138" s="17" t="s">
        <v>651</v>
      </c>
      <c r="B138" s="17">
        <v>0</v>
      </c>
      <c r="C138" s="17" t="s">
        <v>183</v>
      </c>
      <c r="D138" s="17" t="s">
        <v>402</v>
      </c>
      <c r="E138" s="18">
        <v>43012</v>
      </c>
      <c r="F138" s="18">
        <v>43085</v>
      </c>
      <c r="G138" s="19">
        <v>74</v>
      </c>
      <c r="H138" s="19">
        <v>300000000</v>
      </c>
      <c r="I138" s="19">
        <f>H138*93%</f>
        <v>279000000</v>
      </c>
      <c r="J138" s="20">
        <f>1/4</f>
        <v>0.25</v>
      </c>
      <c r="K138" s="17" t="s">
        <v>259</v>
      </c>
      <c r="L138" s="21" t="s">
        <v>707</v>
      </c>
    </row>
    <row r="139" spans="1:12" x14ac:dyDescent="0.2">
      <c r="A139" s="17" t="s">
        <v>245</v>
      </c>
      <c r="B139" s="17">
        <v>1</v>
      </c>
      <c r="C139" s="17" t="s">
        <v>183</v>
      </c>
      <c r="D139" s="17" t="s">
        <v>278</v>
      </c>
      <c r="E139" s="18">
        <v>42989</v>
      </c>
      <c r="F139" s="18">
        <v>43001</v>
      </c>
      <c r="G139" s="19">
        <v>13</v>
      </c>
      <c r="H139" s="19">
        <v>2000000005</v>
      </c>
      <c r="I139" s="19">
        <f>H139*75%</f>
        <v>1500000003.75</v>
      </c>
      <c r="J139" s="20">
        <v>0.01</v>
      </c>
      <c r="K139" s="17" t="s">
        <v>259</v>
      </c>
      <c r="L139" s="21" t="s">
        <v>414</v>
      </c>
    </row>
    <row r="140" spans="1:12" x14ac:dyDescent="0.2">
      <c r="A140" s="17" t="s">
        <v>78</v>
      </c>
      <c r="B140" s="17">
        <v>1</v>
      </c>
      <c r="C140" s="17" t="s">
        <v>188</v>
      </c>
      <c r="D140" s="17" t="s">
        <v>278</v>
      </c>
      <c r="E140" s="18"/>
      <c r="F140" s="18"/>
      <c r="G140" s="19"/>
      <c r="H140" s="19">
        <v>1000000000</v>
      </c>
      <c r="I140" s="19">
        <v>100000000</v>
      </c>
      <c r="J140" s="20">
        <v>0.02</v>
      </c>
      <c r="K140" s="17" t="s">
        <v>259</v>
      </c>
      <c r="L140" s="21" t="s">
        <v>480</v>
      </c>
    </row>
    <row r="141" spans="1:12" x14ac:dyDescent="0.2">
      <c r="A141" s="17" t="s">
        <v>78</v>
      </c>
      <c r="B141" s="17">
        <v>0</v>
      </c>
      <c r="C141" s="17" t="s">
        <v>183</v>
      </c>
      <c r="D141" s="17" t="s">
        <v>278</v>
      </c>
      <c r="E141" s="18">
        <v>43590</v>
      </c>
      <c r="F141" s="18">
        <v>43595</v>
      </c>
      <c r="G141" s="19">
        <v>6</v>
      </c>
      <c r="H141" s="19">
        <v>1000000000</v>
      </c>
      <c r="I141" s="19">
        <v>150000000</v>
      </c>
      <c r="J141" s="20">
        <v>1.4999999999999999E-2</v>
      </c>
      <c r="K141" s="17" t="s">
        <v>259</v>
      </c>
    </row>
    <row r="142" spans="1:12" x14ac:dyDescent="0.2">
      <c r="A142" s="17" t="s">
        <v>16</v>
      </c>
      <c r="B142" s="17">
        <v>0</v>
      </c>
      <c r="C142" s="17" t="s">
        <v>183</v>
      </c>
      <c r="D142" s="17" t="s">
        <v>278</v>
      </c>
      <c r="E142" s="18">
        <v>44107</v>
      </c>
      <c r="F142" s="18">
        <v>44109</v>
      </c>
      <c r="G142" s="19">
        <v>2</v>
      </c>
      <c r="H142" s="19">
        <v>6000000000</v>
      </c>
      <c r="I142" s="19">
        <v>83333333</v>
      </c>
      <c r="J142" s="20">
        <v>6.0000000000000001E-3</v>
      </c>
      <c r="K142" s="17" t="s">
        <v>259</v>
      </c>
      <c r="L142" s="21" t="s">
        <v>306</v>
      </c>
    </row>
    <row r="143" spans="1:12" x14ac:dyDescent="0.2">
      <c r="A143" s="17" t="s">
        <v>16</v>
      </c>
      <c r="B143" s="17">
        <v>0</v>
      </c>
      <c r="C143" s="17" t="s">
        <v>188</v>
      </c>
      <c r="D143" s="17" t="s">
        <v>278</v>
      </c>
      <c r="E143" s="18"/>
      <c r="F143" s="18"/>
      <c r="G143" s="19">
        <v>300</v>
      </c>
      <c r="H143" s="19">
        <v>6000000000</v>
      </c>
      <c r="I143" s="19">
        <v>862500000</v>
      </c>
      <c r="J143" s="20">
        <v>5.1999999999999998E-3</v>
      </c>
      <c r="K143" s="17" t="s">
        <v>259</v>
      </c>
      <c r="L143" s="21" t="s">
        <v>306</v>
      </c>
    </row>
    <row r="144" spans="1:12" x14ac:dyDescent="0.2">
      <c r="A144" s="17" t="s">
        <v>74</v>
      </c>
      <c r="B144" s="17">
        <v>1</v>
      </c>
      <c r="C144" s="17" t="s">
        <v>188</v>
      </c>
      <c r="D144" s="17" t="s">
        <v>278</v>
      </c>
      <c r="E144" s="18"/>
      <c r="F144" s="18">
        <v>43257</v>
      </c>
      <c r="G144" s="19"/>
      <c r="H144" s="19">
        <v>2000000000</v>
      </c>
      <c r="I144" s="19">
        <v>200200000</v>
      </c>
      <c r="J144" s="20">
        <v>8.0000000000000002E-3</v>
      </c>
      <c r="K144" s="17" t="s">
        <v>259</v>
      </c>
      <c r="L144" s="21" t="s">
        <v>476</v>
      </c>
    </row>
    <row r="145" spans="1:12" x14ac:dyDescent="0.2">
      <c r="A145" s="17" t="s">
        <v>74</v>
      </c>
      <c r="B145" s="17">
        <v>0</v>
      </c>
      <c r="C145" s="17" t="s">
        <v>183</v>
      </c>
      <c r="D145" s="17" t="s">
        <v>278</v>
      </c>
      <c r="E145" s="18">
        <v>43620</v>
      </c>
      <c r="F145" s="18">
        <v>43620</v>
      </c>
      <c r="G145" s="19">
        <v>1</v>
      </c>
      <c r="H145" s="19">
        <v>2000000000</v>
      </c>
      <c r="I145" s="19">
        <v>600000000</v>
      </c>
      <c r="J145" s="20">
        <v>0.08</v>
      </c>
      <c r="K145" s="17" t="s">
        <v>259</v>
      </c>
    </row>
    <row r="146" spans="1:12" x14ac:dyDescent="0.2">
      <c r="A146" s="17" t="s">
        <v>178</v>
      </c>
      <c r="B146" s="17">
        <v>1</v>
      </c>
      <c r="C146" s="17" t="s">
        <v>183</v>
      </c>
      <c r="D146" s="17" t="s">
        <v>278</v>
      </c>
      <c r="E146" s="18">
        <v>43062</v>
      </c>
      <c r="F146" s="18" t="s">
        <v>416</v>
      </c>
      <c r="G146" s="19">
        <v>37</v>
      </c>
      <c r="H146" s="19">
        <v>20000000</v>
      </c>
      <c r="I146" s="19">
        <f>H146*82%</f>
        <v>16399999.999999998</v>
      </c>
      <c r="J146" s="20">
        <f>1/520</f>
        <v>1.9230769230769232E-3</v>
      </c>
      <c r="K146" s="17" t="s">
        <v>259</v>
      </c>
      <c r="L146" s="21" t="s">
        <v>415</v>
      </c>
    </row>
    <row r="147" spans="1:12" x14ac:dyDescent="0.2">
      <c r="A147" s="17" t="s">
        <v>94</v>
      </c>
      <c r="B147" s="17">
        <v>1</v>
      </c>
      <c r="C147" s="17" t="s">
        <v>188</v>
      </c>
      <c r="D147" s="17" t="s">
        <v>278</v>
      </c>
      <c r="E147" s="18">
        <v>43291</v>
      </c>
      <c r="F147" s="18">
        <v>43297</v>
      </c>
      <c r="G147" s="19">
        <v>7</v>
      </c>
      <c r="H147" s="19">
        <v>6500000000</v>
      </c>
      <c r="I147" s="19">
        <f>H147*20%</f>
        <v>1300000000</v>
      </c>
      <c r="J147" s="20">
        <v>1.8700000000000001E-2</v>
      </c>
      <c r="K147" s="17" t="s">
        <v>259</v>
      </c>
      <c r="L147" s="21" t="s">
        <v>624</v>
      </c>
    </row>
    <row r="148" spans="1:12" x14ac:dyDescent="0.2">
      <c r="A148" s="17" t="s">
        <v>227</v>
      </c>
      <c r="B148" s="17">
        <v>1</v>
      </c>
      <c r="C148" s="17" t="s">
        <v>183</v>
      </c>
      <c r="D148" s="17" t="s">
        <v>278</v>
      </c>
      <c r="E148" s="18">
        <v>43003</v>
      </c>
      <c r="F148" s="18">
        <v>42980</v>
      </c>
      <c r="G148" s="19">
        <v>8</v>
      </c>
      <c r="H148" s="19">
        <v>1800000000</v>
      </c>
      <c r="I148" s="19">
        <v>50000000</v>
      </c>
      <c r="J148" s="20">
        <v>1E-3</v>
      </c>
      <c r="K148" s="17" t="s">
        <v>2</v>
      </c>
      <c r="L148" s="21" t="s">
        <v>697</v>
      </c>
    </row>
    <row r="149" spans="1:12" x14ac:dyDescent="0.2">
      <c r="A149" s="17" t="s">
        <v>227</v>
      </c>
      <c r="B149" s="17">
        <v>0</v>
      </c>
      <c r="C149" s="17" t="s">
        <v>183</v>
      </c>
      <c r="D149" s="17" t="s">
        <v>278</v>
      </c>
      <c r="E149" s="18">
        <v>43010</v>
      </c>
      <c r="F149" s="18">
        <v>43038</v>
      </c>
      <c r="G149" s="19">
        <v>29</v>
      </c>
      <c r="H149" s="19">
        <v>1800000000</v>
      </c>
      <c r="I149" s="19">
        <v>150000000</v>
      </c>
      <c r="J149" s="20">
        <v>1E-3</v>
      </c>
      <c r="K149" s="17" t="s">
        <v>2</v>
      </c>
      <c r="L149" s="21" t="s">
        <v>698</v>
      </c>
    </row>
    <row r="150" spans="1:12" x14ac:dyDescent="0.2">
      <c r="A150" s="17" t="s">
        <v>105</v>
      </c>
      <c r="B150" s="17">
        <v>1</v>
      </c>
      <c r="C150" s="17" t="s">
        <v>188</v>
      </c>
      <c r="D150" s="17" t="s">
        <v>278</v>
      </c>
      <c r="E150" s="18"/>
      <c r="F150" s="18"/>
      <c r="G150" s="19"/>
      <c r="H150" s="19">
        <v>10000000000</v>
      </c>
      <c r="I150" s="19">
        <v>373500000</v>
      </c>
      <c r="J150" s="20">
        <f>1/74750</f>
        <v>1.3377926421404682E-5</v>
      </c>
      <c r="K150" s="17" t="s">
        <v>2</v>
      </c>
      <c r="L150" s="21" t="s">
        <v>628</v>
      </c>
    </row>
    <row r="151" spans="1:12" x14ac:dyDescent="0.2">
      <c r="A151" s="17" t="s">
        <v>105</v>
      </c>
      <c r="B151" s="17">
        <v>0</v>
      </c>
      <c r="C151" s="17" t="s">
        <v>183</v>
      </c>
      <c r="D151" s="17" t="s">
        <v>278</v>
      </c>
      <c r="E151" s="18">
        <v>43338</v>
      </c>
      <c r="F151" s="18">
        <v>43347</v>
      </c>
      <c r="G151" s="19">
        <v>10</v>
      </c>
      <c r="H151" s="19">
        <v>10000000000</v>
      </c>
      <c r="I151" s="19">
        <v>325000000</v>
      </c>
      <c r="J151" s="20">
        <f>1/65000</f>
        <v>1.5384615384615384E-5</v>
      </c>
      <c r="K151" s="17" t="s">
        <v>2</v>
      </c>
    </row>
    <row r="152" spans="1:12" x14ac:dyDescent="0.2">
      <c r="A152" s="17" t="s">
        <v>175</v>
      </c>
      <c r="B152" s="17">
        <v>0</v>
      </c>
      <c r="C152" s="17" t="s">
        <v>183</v>
      </c>
      <c r="D152" s="17" t="s">
        <v>278</v>
      </c>
      <c r="E152" s="18">
        <v>43039</v>
      </c>
      <c r="F152" s="18">
        <v>43105</v>
      </c>
      <c r="G152" s="19">
        <f>F152-E152</f>
        <v>66</v>
      </c>
      <c r="H152" s="19">
        <v>300000000</v>
      </c>
      <c r="I152" s="19">
        <v>300000000</v>
      </c>
      <c r="J152" s="20">
        <v>1E-4</v>
      </c>
      <c r="K152" s="17" t="s">
        <v>293</v>
      </c>
      <c r="L152" s="21" t="s">
        <v>294</v>
      </c>
    </row>
    <row r="153" spans="1:12" x14ac:dyDescent="0.2">
      <c r="A153" s="17" t="s">
        <v>175</v>
      </c>
      <c r="B153" s="17">
        <v>0</v>
      </c>
      <c r="C153" s="17" t="s">
        <v>183</v>
      </c>
      <c r="D153" s="17" t="s">
        <v>278</v>
      </c>
      <c r="E153" s="18">
        <v>43039</v>
      </c>
      <c r="F153" s="18">
        <v>43101</v>
      </c>
      <c r="G153" s="19">
        <v>67</v>
      </c>
      <c r="H153" s="19">
        <v>300000000</v>
      </c>
      <c r="I153" s="19">
        <v>210000000</v>
      </c>
      <c r="J153" s="20">
        <v>1E-4</v>
      </c>
      <c r="K153" s="17" t="s">
        <v>293</v>
      </c>
      <c r="L153" s="21" t="s">
        <v>294</v>
      </c>
    </row>
    <row r="154" spans="1:12" x14ac:dyDescent="0.2">
      <c r="A154" s="17" t="s">
        <v>19</v>
      </c>
      <c r="B154" s="17">
        <v>1</v>
      </c>
      <c r="C154" s="17" t="s">
        <v>188</v>
      </c>
      <c r="D154" s="17" t="s">
        <v>278</v>
      </c>
      <c r="E154" s="18"/>
      <c r="F154" s="18"/>
      <c r="G154" s="19"/>
      <c r="H154" s="19">
        <v>20000000</v>
      </c>
      <c r="I154" s="19">
        <v>1000000</v>
      </c>
      <c r="J154" s="20">
        <v>0.5</v>
      </c>
      <c r="K154" s="17" t="s">
        <v>259</v>
      </c>
    </row>
    <row r="155" spans="1:12" x14ac:dyDescent="0.2">
      <c r="A155" s="17" t="s">
        <v>19</v>
      </c>
      <c r="B155" s="17">
        <v>1</v>
      </c>
      <c r="C155" s="17" t="s">
        <v>188</v>
      </c>
      <c r="D155" s="17" t="s">
        <v>278</v>
      </c>
      <c r="E155" s="18"/>
      <c r="F155" s="18"/>
      <c r="G155" s="19"/>
      <c r="H155" s="19">
        <v>20000000</v>
      </c>
      <c r="I155" s="19">
        <v>2000000</v>
      </c>
      <c r="J155" s="20">
        <v>1</v>
      </c>
      <c r="K155" s="17" t="s">
        <v>259</v>
      </c>
      <c r="L155" s="16" t="s">
        <v>296</v>
      </c>
    </row>
    <row r="156" spans="1:12" x14ac:dyDescent="0.2">
      <c r="A156" s="17" t="s">
        <v>19</v>
      </c>
      <c r="B156" s="17">
        <v>0</v>
      </c>
      <c r="C156" s="17" t="s">
        <v>183</v>
      </c>
      <c r="D156" s="17" t="s">
        <v>186</v>
      </c>
      <c r="E156" s="18">
        <v>44092</v>
      </c>
      <c r="F156" s="18">
        <v>44092</v>
      </c>
      <c r="G156" s="19">
        <v>1</v>
      </c>
      <c r="H156" s="19">
        <v>20000000</v>
      </c>
      <c r="I156" s="19">
        <v>100000</v>
      </c>
      <c r="J156" s="20">
        <v>2</v>
      </c>
      <c r="K156" s="17" t="s">
        <v>259</v>
      </c>
    </row>
    <row r="157" spans="1:12" x14ac:dyDescent="0.2">
      <c r="A157" s="17" t="s">
        <v>247</v>
      </c>
      <c r="B157" s="17">
        <v>0</v>
      </c>
      <c r="C157" s="17" t="s">
        <v>183</v>
      </c>
      <c r="D157" s="17" t="s">
        <v>278</v>
      </c>
      <c r="E157" s="18">
        <v>42962</v>
      </c>
      <c r="F157" s="18">
        <v>42993</v>
      </c>
      <c r="G157" s="19">
        <v>32</v>
      </c>
      <c r="H157" s="19">
        <v>100000000</v>
      </c>
      <c r="I157" s="19">
        <f>H157*68%</f>
        <v>68000000</v>
      </c>
      <c r="J157" s="20">
        <v>8.7480000000000002E-2</v>
      </c>
      <c r="K157" s="17" t="s">
        <v>259</v>
      </c>
      <c r="L157" s="21" t="s">
        <v>433</v>
      </c>
    </row>
    <row r="158" spans="1:12" x14ac:dyDescent="0.2">
      <c r="A158" s="17" t="s">
        <v>91</v>
      </c>
      <c r="B158" s="17">
        <v>1</v>
      </c>
      <c r="C158" s="17" t="s">
        <v>188</v>
      </c>
      <c r="D158" s="17" t="s">
        <v>278</v>
      </c>
      <c r="E158" s="18">
        <v>43133</v>
      </c>
      <c r="F158" s="18">
        <v>43182</v>
      </c>
      <c r="G158" s="19">
        <v>43</v>
      </c>
      <c r="H158" s="19">
        <v>750000000</v>
      </c>
      <c r="I158" s="19">
        <v>250000000</v>
      </c>
      <c r="J158" s="20">
        <v>0.125</v>
      </c>
      <c r="K158" s="17" t="s">
        <v>259</v>
      </c>
      <c r="L158" s="21" t="s">
        <v>623</v>
      </c>
    </row>
    <row r="159" spans="1:12" x14ac:dyDescent="0.2">
      <c r="A159" s="17" t="s">
        <v>46</v>
      </c>
      <c r="B159" s="17">
        <v>1</v>
      </c>
      <c r="C159" s="17" t="s">
        <v>188</v>
      </c>
      <c r="D159" s="17" t="s">
        <v>278</v>
      </c>
      <c r="E159" s="18">
        <v>42948</v>
      </c>
      <c r="F159" s="18">
        <v>42949</v>
      </c>
      <c r="G159" s="19">
        <v>1</v>
      </c>
      <c r="H159" s="19">
        <v>1000000000</v>
      </c>
      <c r="I159" s="19">
        <v>20000000</v>
      </c>
      <c r="J159" s="20">
        <v>5.0000000000000001E-3</v>
      </c>
      <c r="K159" s="17" t="s">
        <v>259</v>
      </c>
      <c r="L159" s="21" t="s">
        <v>302</v>
      </c>
    </row>
    <row r="160" spans="1:12" x14ac:dyDescent="0.2">
      <c r="A160" s="17" t="s">
        <v>46</v>
      </c>
      <c r="B160" s="17">
        <v>1</v>
      </c>
      <c r="C160" s="17" t="s">
        <v>359</v>
      </c>
      <c r="D160" s="17" t="s">
        <v>278</v>
      </c>
      <c r="E160" s="18">
        <v>43561</v>
      </c>
      <c r="F160" s="18">
        <v>43607</v>
      </c>
      <c r="G160" s="19">
        <v>46</v>
      </c>
      <c r="H160" s="19">
        <v>1000000000</v>
      </c>
      <c r="I160" s="19">
        <v>50000000</v>
      </c>
      <c r="J160" s="20">
        <v>0.01</v>
      </c>
      <c r="K160" s="17" t="s">
        <v>259</v>
      </c>
      <c r="L160" s="21" t="s">
        <v>302</v>
      </c>
    </row>
    <row r="161" spans="1:12" x14ac:dyDescent="0.2">
      <c r="A161" s="17" t="s">
        <v>46</v>
      </c>
      <c r="B161" s="17">
        <v>0</v>
      </c>
      <c r="C161" s="17" t="s">
        <v>188</v>
      </c>
      <c r="D161" s="17" t="s">
        <v>278</v>
      </c>
      <c r="E161" s="18">
        <v>43943</v>
      </c>
      <c r="F161" s="18">
        <v>43944</v>
      </c>
      <c r="G161" s="19">
        <v>1</v>
      </c>
      <c r="H161" s="19">
        <v>1000000000</v>
      </c>
      <c r="I161" s="19">
        <v>100000000</v>
      </c>
      <c r="J161" s="20">
        <v>1.4999999999999999E-2</v>
      </c>
      <c r="K161" s="17" t="s">
        <v>259</v>
      </c>
      <c r="L161" s="21" t="s">
        <v>302</v>
      </c>
    </row>
    <row r="162" spans="1:12" x14ac:dyDescent="0.2">
      <c r="A162" s="17" t="s">
        <v>142</v>
      </c>
      <c r="B162" s="17">
        <v>0</v>
      </c>
      <c r="C162" s="17" t="s">
        <v>188</v>
      </c>
      <c r="D162" s="17" t="s">
        <v>278</v>
      </c>
      <c r="E162" s="18">
        <v>43137</v>
      </c>
      <c r="F162" s="18">
        <v>43160</v>
      </c>
      <c r="G162" s="19">
        <v>24</v>
      </c>
      <c r="H162" s="19">
        <v>299792458</v>
      </c>
      <c r="I162" s="19">
        <f>H162*50%</f>
        <v>149896229</v>
      </c>
      <c r="J162" s="20">
        <v>0.57999999999999996</v>
      </c>
      <c r="K162" s="17" t="s">
        <v>259</v>
      </c>
      <c r="L162" s="21" t="s">
        <v>689</v>
      </c>
    </row>
    <row r="163" spans="1:12" x14ac:dyDescent="0.2">
      <c r="A163" s="17" t="s">
        <v>577</v>
      </c>
      <c r="B163" s="17">
        <v>0</v>
      </c>
      <c r="C163" s="17" t="s">
        <v>188</v>
      </c>
      <c r="D163" s="17" t="s">
        <v>278</v>
      </c>
      <c r="E163" s="18"/>
      <c r="F163" s="18"/>
      <c r="G163" s="19"/>
      <c r="H163" s="19">
        <v>10000000000</v>
      </c>
      <c r="I163" s="19">
        <v>333333333</v>
      </c>
      <c r="J163" s="20">
        <v>3.0000000000000001E-3</v>
      </c>
      <c r="K163" s="17" t="s">
        <v>259</v>
      </c>
      <c r="L163" s="21" t="s">
        <v>576</v>
      </c>
    </row>
    <row r="164" spans="1:12" x14ac:dyDescent="0.2">
      <c r="A164" s="17" t="s">
        <v>577</v>
      </c>
      <c r="B164" s="17">
        <v>0</v>
      </c>
      <c r="C164" s="17" t="s">
        <v>188</v>
      </c>
      <c r="D164" s="17" t="s">
        <v>278</v>
      </c>
      <c r="E164" s="18"/>
      <c r="F164" s="18"/>
      <c r="G164" s="19"/>
      <c r="H164" s="19">
        <v>10000000000</v>
      </c>
      <c r="I164" s="19">
        <v>222222222</v>
      </c>
      <c r="J164" s="20">
        <v>4.4999999999999997E-3</v>
      </c>
      <c r="K164" s="17" t="s">
        <v>259</v>
      </c>
      <c r="L164" s="21" t="s">
        <v>578</v>
      </c>
    </row>
    <row r="165" spans="1:12" x14ac:dyDescent="0.2">
      <c r="A165" s="17" t="s">
        <v>577</v>
      </c>
      <c r="B165" s="17">
        <v>0</v>
      </c>
      <c r="C165" s="17" t="s">
        <v>183</v>
      </c>
      <c r="D165" s="17" t="s">
        <v>278</v>
      </c>
      <c r="E165" s="18">
        <v>44208</v>
      </c>
      <c r="F165" s="18">
        <v>44208</v>
      </c>
      <c r="G165" s="19">
        <v>1</v>
      </c>
      <c r="H165" s="19">
        <v>10000000000</v>
      </c>
      <c r="I165" s="19">
        <v>166666667</v>
      </c>
      <c r="J165" s="20">
        <v>6.0000000000000001E-3</v>
      </c>
      <c r="K165" s="17" t="s">
        <v>259</v>
      </c>
    </row>
    <row r="166" spans="1:12" x14ac:dyDescent="0.2">
      <c r="A166" s="17" t="s">
        <v>120</v>
      </c>
      <c r="B166" s="17">
        <v>0</v>
      </c>
      <c r="C166" s="17" t="s">
        <v>183</v>
      </c>
      <c r="D166" s="17" t="s">
        <v>278</v>
      </c>
      <c r="E166" s="18">
        <v>43235</v>
      </c>
      <c r="F166" s="18">
        <v>43256</v>
      </c>
      <c r="G166" s="19">
        <v>22</v>
      </c>
      <c r="H166" s="19">
        <v>300000000</v>
      </c>
      <c r="I166" s="19">
        <f>H166*33%</f>
        <v>99000000</v>
      </c>
      <c r="J166" s="20">
        <f>1/3770</f>
        <v>2.652519893899204E-4</v>
      </c>
      <c r="K166" s="17" t="s">
        <v>2</v>
      </c>
      <c r="L166" s="21" t="s">
        <v>642</v>
      </c>
    </row>
    <row r="167" spans="1:12" x14ac:dyDescent="0.2">
      <c r="A167" s="17" t="s">
        <v>164</v>
      </c>
      <c r="B167" s="17">
        <v>0</v>
      </c>
      <c r="C167" s="17" t="s">
        <v>183</v>
      </c>
      <c r="D167" s="17" t="s">
        <v>278</v>
      </c>
      <c r="E167" s="18" t="s">
        <v>382</v>
      </c>
      <c r="F167" s="18">
        <v>42764</v>
      </c>
      <c r="G167" s="19">
        <v>1</v>
      </c>
      <c r="H167" s="19">
        <v>100000000</v>
      </c>
      <c r="I167" s="19">
        <v>50000000</v>
      </c>
      <c r="J167" s="20">
        <v>0.5</v>
      </c>
      <c r="K167" s="17" t="s">
        <v>259</v>
      </c>
      <c r="L167" s="21" t="s">
        <v>383</v>
      </c>
    </row>
    <row r="168" spans="1:12" x14ac:dyDescent="0.2">
      <c r="A168" s="17" t="s">
        <v>213</v>
      </c>
      <c r="B168" s="17">
        <v>1</v>
      </c>
      <c r="C168" s="17" t="s">
        <v>188</v>
      </c>
      <c r="D168" s="17" t="s">
        <v>278</v>
      </c>
      <c r="E168" s="18">
        <v>42958</v>
      </c>
      <c r="F168" s="18">
        <v>46638</v>
      </c>
      <c r="G168" s="19">
        <v>29</v>
      </c>
      <c r="H168" s="19">
        <v>3000000000</v>
      </c>
      <c r="I168" s="19">
        <v>25000000</v>
      </c>
      <c r="J168" s="20">
        <f>1/25000</f>
        <v>4.0000000000000003E-5</v>
      </c>
      <c r="K168" s="17" t="s">
        <v>2</v>
      </c>
      <c r="L168" s="21" t="s">
        <v>390</v>
      </c>
    </row>
    <row r="169" spans="1:12" x14ac:dyDescent="0.2">
      <c r="A169" s="17" t="s">
        <v>213</v>
      </c>
      <c r="B169" s="17">
        <v>0</v>
      </c>
      <c r="C169" s="17" t="s">
        <v>183</v>
      </c>
      <c r="D169" s="17" t="s">
        <v>278</v>
      </c>
      <c r="E169" s="18">
        <v>43037</v>
      </c>
      <c r="F169" s="18">
        <v>43068</v>
      </c>
      <c r="G169" s="19">
        <v>30</v>
      </c>
      <c r="H169" s="19">
        <v>3000000000</v>
      </c>
      <c r="I169" s="19">
        <f>H169*51%</f>
        <v>1530000000</v>
      </c>
      <c r="J169" s="20">
        <f>1/10000</f>
        <v>1E-4</v>
      </c>
      <c r="K169" s="17" t="s">
        <v>2</v>
      </c>
      <c r="L169" s="21" t="s">
        <v>390</v>
      </c>
    </row>
    <row r="170" spans="1:12" x14ac:dyDescent="0.2">
      <c r="A170" s="17" t="s">
        <v>139</v>
      </c>
      <c r="B170" s="17">
        <v>1</v>
      </c>
      <c r="C170" s="17" t="s">
        <v>183</v>
      </c>
      <c r="D170" s="17" t="s">
        <v>278</v>
      </c>
      <c r="E170" s="18">
        <v>43142</v>
      </c>
      <c r="F170" s="18">
        <v>43170</v>
      </c>
      <c r="G170" s="19">
        <v>30</v>
      </c>
      <c r="H170" s="19">
        <v>10000000000</v>
      </c>
      <c r="I170" s="19">
        <v>1250000000</v>
      </c>
      <c r="J170" s="20">
        <v>0.04</v>
      </c>
      <c r="K170" s="17" t="s">
        <v>259</v>
      </c>
      <c r="L170" s="21" t="s">
        <v>686</v>
      </c>
    </row>
    <row r="171" spans="1:12" x14ac:dyDescent="0.2">
      <c r="A171" s="17" t="s">
        <v>202</v>
      </c>
      <c r="B171" s="17">
        <v>0</v>
      </c>
      <c r="C171" s="17" t="s">
        <v>183</v>
      </c>
      <c r="D171" s="17" t="s">
        <v>278</v>
      </c>
      <c r="E171" s="18">
        <v>43084</v>
      </c>
      <c r="F171" s="18">
        <v>43085</v>
      </c>
      <c r="G171" s="19">
        <v>2</v>
      </c>
      <c r="H171" s="19">
        <v>10000000000</v>
      </c>
      <c r="I171" s="19">
        <v>1500000000</v>
      </c>
      <c r="J171" s="20">
        <v>1.5800000000000002E-2</v>
      </c>
      <c r="K171" s="17" t="s">
        <v>259</v>
      </c>
      <c r="L171" s="21" t="s">
        <v>691</v>
      </c>
    </row>
    <row r="172" spans="1:12" x14ac:dyDescent="0.2">
      <c r="A172" s="17" t="s">
        <v>226</v>
      </c>
      <c r="B172" s="17">
        <v>0</v>
      </c>
      <c r="C172" s="17" t="s">
        <v>183</v>
      </c>
      <c r="D172" s="17" t="s">
        <v>278</v>
      </c>
      <c r="E172" s="18">
        <v>43009</v>
      </c>
      <c r="F172" s="18">
        <v>43040</v>
      </c>
      <c r="G172" s="19">
        <v>31</v>
      </c>
      <c r="H172" s="19">
        <v>8000000000000</v>
      </c>
      <c r="I172" s="19">
        <f>H172*3%</f>
        <v>240000000000</v>
      </c>
      <c r="J172" s="20">
        <v>1E-4</v>
      </c>
      <c r="K172" s="17" t="s">
        <v>259</v>
      </c>
      <c r="L172" s="21" t="s">
        <v>696</v>
      </c>
    </row>
    <row r="173" spans="1:12" x14ac:dyDescent="0.2">
      <c r="A173" s="17" t="s">
        <v>666</v>
      </c>
      <c r="B173" s="17">
        <v>1</v>
      </c>
      <c r="C173" s="17" t="s">
        <v>188</v>
      </c>
      <c r="D173" s="17" t="s">
        <v>278</v>
      </c>
      <c r="E173" s="18">
        <v>44287</v>
      </c>
      <c r="F173" s="18">
        <v>44300</v>
      </c>
      <c r="G173" s="19">
        <v>14</v>
      </c>
      <c r="H173" s="19">
        <v>10000000</v>
      </c>
      <c r="I173" s="19">
        <v>2000000</v>
      </c>
      <c r="J173" s="20">
        <v>0.35</v>
      </c>
      <c r="K173" s="17" t="s">
        <v>259</v>
      </c>
      <c r="L173" s="21" t="s">
        <v>664</v>
      </c>
    </row>
    <row r="174" spans="1:12" x14ac:dyDescent="0.2">
      <c r="A174" s="17" t="s">
        <v>666</v>
      </c>
      <c r="B174" s="17">
        <v>0</v>
      </c>
      <c r="C174" s="17" t="s">
        <v>188</v>
      </c>
      <c r="D174" s="17" t="s">
        <v>278</v>
      </c>
      <c r="E174" s="18">
        <v>44281</v>
      </c>
      <c r="F174" s="18">
        <v>44284</v>
      </c>
      <c r="G174" s="19">
        <v>4</v>
      </c>
      <c r="H174" s="19">
        <v>10000000</v>
      </c>
      <c r="I174" s="19">
        <v>1600000</v>
      </c>
      <c r="J174" s="20">
        <v>0.25</v>
      </c>
      <c r="K174" s="17" t="s">
        <v>259</v>
      </c>
      <c r="L174" s="21" t="s">
        <v>665</v>
      </c>
    </row>
    <row r="175" spans="1:12" x14ac:dyDescent="0.2">
      <c r="A175" s="17" t="s">
        <v>666</v>
      </c>
      <c r="B175" s="17">
        <v>0</v>
      </c>
      <c r="C175" s="17" t="s">
        <v>183</v>
      </c>
      <c r="D175" s="17" t="s">
        <v>278</v>
      </c>
      <c r="E175" s="18">
        <v>44300</v>
      </c>
      <c r="F175" s="18">
        <v>44303</v>
      </c>
      <c r="G175" s="19">
        <v>4</v>
      </c>
      <c r="H175" s="19">
        <v>10000000</v>
      </c>
      <c r="I175" s="19">
        <v>195000</v>
      </c>
      <c r="J175" s="20">
        <v>0.5</v>
      </c>
      <c r="K175" s="17" t="s">
        <v>259</v>
      </c>
      <c r="L175" s="16" t="s">
        <v>667</v>
      </c>
    </row>
    <row r="176" spans="1:12" x14ac:dyDescent="0.2">
      <c r="A176" s="17" t="s">
        <v>153</v>
      </c>
      <c r="B176" s="17">
        <v>0</v>
      </c>
      <c r="C176" s="17" t="s">
        <v>183</v>
      </c>
      <c r="D176" s="17" t="s">
        <v>278</v>
      </c>
      <c r="E176" s="18">
        <v>43125</v>
      </c>
      <c r="F176" s="18">
        <v>43156</v>
      </c>
      <c r="G176" s="19">
        <v>32</v>
      </c>
      <c r="H176" s="19">
        <v>400000000</v>
      </c>
      <c r="I176" s="19">
        <v>240000000</v>
      </c>
      <c r="J176" s="20">
        <v>1.5384599999999999E-4</v>
      </c>
      <c r="K176" s="17" t="s">
        <v>2</v>
      </c>
      <c r="L176" s="21" t="s">
        <v>417</v>
      </c>
    </row>
    <row r="177" spans="1:12" x14ac:dyDescent="0.2">
      <c r="A177" s="17" t="s">
        <v>67</v>
      </c>
      <c r="B177" s="17">
        <v>0</v>
      </c>
      <c r="C177" s="17" t="s">
        <v>183</v>
      </c>
      <c r="D177" s="17" t="s">
        <v>278</v>
      </c>
      <c r="E177" s="18">
        <v>43664</v>
      </c>
      <c r="F177" s="18">
        <v>43654</v>
      </c>
      <c r="G177" s="19">
        <v>1</v>
      </c>
      <c r="H177" s="19">
        <v>200000000</v>
      </c>
      <c r="I177" s="19">
        <v>30000000</v>
      </c>
      <c r="J177" s="20">
        <v>0.1</v>
      </c>
      <c r="K177" s="17" t="s">
        <v>259</v>
      </c>
      <c r="L177" s="21" t="s">
        <v>610</v>
      </c>
    </row>
    <row r="178" spans="1:12" x14ac:dyDescent="0.2">
      <c r="A178" s="17" t="s">
        <v>644</v>
      </c>
      <c r="B178" s="17">
        <v>0</v>
      </c>
      <c r="C178" s="17" t="s">
        <v>188</v>
      </c>
      <c r="D178" s="17" t="s">
        <v>278</v>
      </c>
      <c r="E178" s="18"/>
      <c r="F178" s="18">
        <v>44312</v>
      </c>
      <c r="G178" s="19"/>
      <c r="H178" s="19">
        <v>250000000</v>
      </c>
      <c r="I178" s="19">
        <v>18600000</v>
      </c>
      <c r="J178" s="20">
        <v>4.8000000000000001E-2</v>
      </c>
      <c r="K178" s="17" t="s">
        <v>259</v>
      </c>
      <c r="L178" s="21" t="s">
        <v>645</v>
      </c>
    </row>
    <row r="179" spans="1:12" x14ac:dyDescent="0.2">
      <c r="A179" s="17" t="s">
        <v>644</v>
      </c>
      <c r="B179" s="17">
        <v>0</v>
      </c>
      <c r="C179" s="17" t="s">
        <v>188</v>
      </c>
      <c r="D179" s="17" t="s">
        <v>278</v>
      </c>
      <c r="E179" s="18"/>
      <c r="F179" s="18">
        <v>44312</v>
      </c>
      <c r="G179" s="19"/>
      <c r="H179" s="19">
        <v>250000000</v>
      </c>
      <c r="I179" s="19">
        <v>18600000</v>
      </c>
      <c r="J179" s="20">
        <v>0.08</v>
      </c>
      <c r="K179" s="17" t="s">
        <v>259</v>
      </c>
      <c r="L179" s="21" t="s">
        <v>646</v>
      </c>
    </row>
    <row r="180" spans="1:12" x14ac:dyDescent="0.2">
      <c r="A180" s="17" t="s">
        <v>644</v>
      </c>
      <c r="B180" s="17">
        <v>0</v>
      </c>
      <c r="C180" s="17" t="s">
        <v>183</v>
      </c>
      <c r="D180" s="17" t="s">
        <v>278</v>
      </c>
      <c r="E180" s="18">
        <v>44317</v>
      </c>
      <c r="F180" s="18">
        <v>44326</v>
      </c>
      <c r="G180" s="19">
        <v>10</v>
      </c>
      <c r="H180" s="19">
        <v>250000000</v>
      </c>
      <c r="I180" s="19">
        <v>3250000</v>
      </c>
      <c r="J180" s="20">
        <v>9.4E-2</v>
      </c>
      <c r="K180" s="17" t="s">
        <v>259</v>
      </c>
      <c r="L180" s="21">
        <v>0</v>
      </c>
    </row>
    <row r="181" spans="1:12" x14ac:dyDescent="0.2">
      <c r="A181" s="17" t="s">
        <v>511</v>
      </c>
      <c r="B181" s="17">
        <v>1</v>
      </c>
      <c r="C181" s="17" t="s">
        <v>188</v>
      </c>
      <c r="D181" s="17" t="s">
        <v>278</v>
      </c>
      <c r="E181" s="18"/>
      <c r="F181" s="18"/>
      <c r="G181" s="19"/>
      <c r="H181" s="19">
        <v>10000000</v>
      </c>
      <c r="I181" s="19">
        <v>1400000</v>
      </c>
      <c r="J181" s="20">
        <v>0.75</v>
      </c>
      <c r="K181" s="17" t="s">
        <v>259</v>
      </c>
    </row>
    <row r="182" spans="1:12" x14ac:dyDescent="0.2">
      <c r="A182" s="17" t="s">
        <v>511</v>
      </c>
      <c r="B182" s="17">
        <v>1</v>
      </c>
      <c r="C182" s="17" t="s">
        <v>188</v>
      </c>
      <c r="D182" s="17" t="s">
        <v>278</v>
      </c>
      <c r="E182" s="18">
        <v>44279</v>
      </c>
      <c r="F182" s="18">
        <v>44281</v>
      </c>
      <c r="G182" s="19">
        <v>3</v>
      </c>
      <c r="H182" s="19">
        <v>10000000</v>
      </c>
      <c r="I182" s="19">
        <v>500000</v>
      </c>
      <c r="J182" s="20">
        <v>1.8</v>
      </c>
      <c r="K182" s="17" t="s">
        <v>259</v>
      </c>
      <c r="L182" s="21" t="s">
        <v>510</v>
      </c>
    </row>
    <row r="183" spans="1:12" x14ac:dyDescent="0.2">
      <c r="A183" s="17" t="s">
        <v>511</v>
      </c>
      <c r="B183" s="17">
        <v>0</v>
      </c>
      <c r="C183" s="17" t="s">
        <v>183</v>
      </c>
      <c r="D183" s="17" t="s">
        <v>278</v>
      </c>
      <c r="E183" s="18">
        <v>44300</v>
      </c>
      <c r="F183" s="18">
        <v>44300</v>
      </c>
      <c r="G183" s="19">
        <v>1</v>
      </c>
      <c r="H183" s="19">
        <v>10000000</v>
      </c>
      <c r="I183" s="19">
        <v>1000000</v>
      </c>
      <c r="J183" s="20">
        <v>2.5</v>
      </c>
      <c r="K183" s="17" t="s">
        <v>259</v>
      </c>
      <c r="L183" s="21" t="s">
        <v>512</v>
      </c>
    </row>
    <row r="184" spans="1:12" x14ac:dyDescent="0.2">
      <c r="A184" s="17" t="s">
        <v>511</v>
      </c>
      <c r="B184" s="17">
        <v>0</v>
      </c>
      <c r="C184" s="17" t="s">
        <v>183</v>
      </c>
      <c r="D184" s="17" t="s">
        <v>278</v>
      </c>
      <c r="E184" s="18">
        <v>44305</v>
      </c>
      <c r="F184" s="18">
        <v>44306</v>
      </c>
      <c r="G184" s="19">
        <v>2</v>
      </c>
      <c r="H184" s="19">
        <v>10000000</v>
      </c>
      <c r="I184" s="19">
        <v>150000</v>
      </c>
      <c r="J184" s="20">
        <v>3</v>
      </c>
      <c r="K184" s="17" t="s">
        <v>259</v>
      </c>
    </row>
    <row r="185" spans="1:12" x14ac:dyDescent="0.2">
      <c r="A185" s="17" t="s">
        <v>252</v>
      </c>
      <c r="B185" s="17">
        <v>0</v>
      </c>
      <c r="C185" s="17" t="s">
        <v>183</v>
      </c>
      <c r="D185" s="17" t="s">
        <v>278</v>
      </c>
      <c r="E185" s="18">
        <v>42931</v>
      </c>
      <c r="F185" s="18">
        <v>42973</v>
      </c>
      <c r="G185" s="19">
        <v>39</v>
      </c>
      <c r="H185" s="19">
        <v>10000000</v>
      </c>
      <c r="I185" s="19">
        <v>9000000</v>
      </c>
      <c r="J185" s="20">
        <v>0.01</v>
      </c>
      <c r="K185" s="17" t="s">
        <v>259</v>
      </c>
      <c r="L185" s="21" t="s">
        <v>725</v>
      </c>
    </row>
    <row r="186" spans="1:12" x14ac:dyDescent="0.2">
      <c r="A186" s="17" t="s">
        <v>603</v>
      </c>
      <c r="B186" s="17">
        <v>0</v>
      </c>
      <c r="C186" s="17" t="s">
        <v>183</v>
      </c>
      <c r="D186" s="17" t="s">
        <v>278</v>
      </c>
      <c r="E186" s="18">
        <v>44003</v>
      </c>
      <c r="F186" s="18">
        <v>44003</v>
      </c>
      <c r="G186" s="19">
        <v>1</v>
      </c>
      <c r="H186" s="19">
        <v>250000000</v>
      </c>
      <c r="I186" s="19">
        <v>75000000</v>
      </c>
      <c r="J186" s="20">
        <v>0.75</v>
      </c>
      <c r="K186" s="17" t="s">
        <v>259</v>
      </c>
      <c r="L186" s="21" t="s">
        <v>604</v>
      </c>
    </row>
    <row r="187" spans="1:12" x14ac:dyDescent="0.2">
      <c r="A187" s="17" t="s">
        <v>441</v>
      </c>
      <c r="B187" s="17">
        <v>0</v>
      </c>
      <c r="C187" s="17" t="s">
        <v>183</v>
      </c>
      <c r="D187" s="17" t="s">
        <v>278</v>
      </c>
      <c r="E187" s="18">
        <v>42934</v>
      </c>
      <c r="F187" s="18">
        <v>42948</v>
      </c>
      <c r="G187" s="19">
        <v>15</v>
      </c>
      <c r="H187" s="19">
        <v>1000000000</v>
      </c>
      <c r="I187" s="19">
        <v>600000000</v>
      </c>
      <c r="J187" s="20">
        <v>1.6837999999999999E-2</v>
      </c>
      <c r="K187" s="17" t="s">
        <v>259</v>
      </c>
      <c r="L187" s="21" t="s">
        <v>440</v>
      </c>
    </row>
    <row r="188" spans="1:12" x14ac:dyDescent="0.2">
      <c r="A188" s="17" t="s">
        <v>156</v>
      </c>
      <c r="B188" s="17">
        <v>0</v>
      </c>
      <c r="C188" s="17" t="s">
        <v>183</v>
      </c>
      <c r="D188" s="17" t="s">
        <v>278</v>
      </c>
      <c r="E188" s="18">
        <v>43152</v>
      </c>
      <c r="F188" s="18">
        <v>43152</v>
      </c>
      <c r="G188" s="19">
        <v>1</v>
      </c>
      <c r="H188" s="19">
        <v>1000000000</v>
      </c>
      <c r="I188" s="19">
        <v>300000000</v>
      </c>
      <c r="J188" s="20">
        <f>1/10714</f>
        <v>9.3335822288594366E-5</v>
      </c>
      <c r="K188" s="17" t="s">
        <v>2</v>
      </c>
      <c r="L188" s="21" t="s">
        <v>442</v>
      </c>
    </row>
    <row r="189" spans="1:12" x14ac:dyDescent="0.2">
      <c r="A189" s="17" t="s">
        <v>231</v>
      </c>
      <c r="B189" s="17">
        <v>0</v>
      </c>
      <c r="C189" s="17" t="s">
        <v>183</v>
      </c>
      <c r="D189" s="17" t="s">
        <v>402</v>
      </c>
      <c r="E189" s="18">
        <v>43010</v>
      </c>
      <c r="F189" s="18">
        <v>43025</v>
      </c>
      <c r="G189" s="19">
        <v>16</v>
      </c>
      <c r="H189" s="19">
        <v>1200000000</v>
      </c>
      <c r="I189" s="19">
        <f>H189*25%</f>
        <v>300000000</v>
      </c>
      <c r="J189" s="20">
        <v>3.2001000000000002E-4</v>
      </c>
      <c r="K189" s="17" t="s">
        <v>2</v>
      </c>
      <c r="L189" s="21" t="s">
        <v>443</v>
      </c>
    </row>
    <row r="190" spans="1:12" x14ac:dyDescent="0.2">
      <c r="A190" s="17" t="s">
        <v>138</v>
      </c>
      <c r="B190" s="17">
        <v>0</v>
      </c>
      <c r="C190" s="17" t="s">
        <v>188</v>
      </c>
      <c r="D190" s="17" t="s">
        <v>278</v>
      </c>
      <c r="E190" s="18">
        <v>43146</v>
      </c>
      <c r="F190" s="18">
        <v>43174</v>
      </c>
      <c r="G190" s="19">
        <v>30</v>
      </c>
      <c r="H190" s="19">
        <v>500000000</v>
      </c>
      <c r="I190" s="19">
        <v>35000000</v>
      </c>
      <c r="J190" s="20">
        <v>5.0000000000000001E-3</v>
      </c>
      <c r="K190" s="17" t="s">
        <v>2</v>
      </c>
      <c r="L190" s="21" t="s">
        <v>718</v>
      </c>
    </row>
    <row r="191" spans="1:12" x14ac:dyDescent="0.2">
      <c r="A191" s="17" t="s">
        <v>36</v>
      </c>
      <c r="B191" s="17">
        <v>0</v>
      </c>
      <c r="C191" s="17" t="s">
        <v>183</v>
      </c>
      <c r="D191" s="17" t="s">
        <v>278</v>
      </c>
      <c r="E191" s="18">
        <v>44026</v>
      </c>
      <c r="F191" s="18">
        <v>44039</v>
      </c>
      <c r="G191" s="19">
        <v>14</v>
      </c>
      <c r="H191" s="19">
        <v>100000000</v>
      </c>
      <c r="I191" s="19">
        <v>10000000</v>
      </c>
      <c r="J191" s="20">
        <v>0.05</v>
      </c>
      <c r="K191" s="17" t="s">
        <v>259</v>
      </c>
      <c r="L191" s="21" t="s">
        <v>600</v>
      </c>
    </row>
    <row r="192" spans="1:12" x14ac:dyDescent="0.2">
      <c r="A192" s="17" t="s">
        <v>113</v>
      </c>
      <c r="B192" s="17">
        <v>0</v>
      </c>
      <c r="C192" s="17" t="s">
        <v>183</v>
      </c>
      <c r="D192" s="17" t="s">
        <v>278</v>
      </c>
      <c r="E192" s="18">
        <v>43185</v>
      </c>
      <c r="F192" s="18">
        <v>43213</v>
      </c>
      <c r="G192" s="19">
        <v>29</v>
      </c>
      <c r="H192" s="19">
        <v>225000000</v>
      </c>
      <c r="I192" s="19">
        <f>H192*48%</f>
        <v>108000000</v>
      </c>
      <c r="J192" s="20">
        <f>1/4000</f>
        <v>2.5000000000000001E-4</v>
      </c>
      <c r="K192" s="17" t="s">
        <v>2</v>
      </c>
      <c r="L192" s="21" t="s">
        <v>641</v>
      </c>
    </row>
    <row r="193" spans="1:12" x14ac:dyDescent="0.2">
      <c r="A193" s="17" t="s">
        <v>107</v>
      </c>
      <c r="B193" s="17">
        <v>1</v>
      </c>
      <c r="C193" s="17" t="s">
        <v>188</v>
      </c>
      <c r="D193" s="17" t="s">
        <v>278</v>
      </c>
      <c r="E193" s="18">
        <v>43252</v>
      </c>
      <c r="F193" s="18">
        <v>43297</v>
      </c>
      <c r="G193" s="19">
        <v>46</v>
      </c>
      <c r="H193" s="19">
        <v>100000000000</v>
      </c>
      <c r="I193" s="19">
        <v>19440000000</v>
      </c>
      <c r="J193" s="20">
        <v>8.9999999999999998E-4</v>
      </c>
      <c r="K193" s="17" t="s">
        <v>259</v>
      </c>
      <c r="L193" s="21" t="s">
        <v>631</v>
      </c>
    </row>
    <row r="194" spans="1:12" x14ac:dyDescent="0.2">
      <c r="A194" s="17" t="s">
        <v>107</v>
      </c>
      <c r="B194" s="17">
        <v>0</v>
      </c>
      <c r="C194" s="17" t="s">
        <v>183</v>
      </c>
      <c r="D194" s="17" t="s">
        <v>278</v>
      </c>
      <c r="E194" s="18">
        <v>43315</v>
      </c>
      <c r="F194" s="18">
        <v>43321</v>
      </c>
      <c r="G194" s="19">
        <v>7</v>
      </c>
      <c r="H194" s="19">
        <v>100000000000</v>
      </c>
      <c r="I194" s="19">
        <v>2860000000</v>
      </c>
      <c r="J194" s="20">
        <v>1.4E-3</v>
      </c>
      <c r="K194" s="17" t="s">
        <v>259</v>
      </c>
    </row>
    <row r="195" spans="1:12" x14ac:dyDescent="0.2">
      <c r="A195" s="17" t="s">
        <v>161</v>
      </c>
      <c r="B195" s="17">
        <v>0</v>
      </c>
      <c r="C195" s="17" t="s">
        <v>183</v>
      </c>
      <c r="D195" s="17" t="s">
        <v>278</v>
      </c>
      <c r="E195" s="18">
        <v>43136</v>
      </c>
      <c r="F195" s="18">
        <v>43137</v>
      </c>
      <c r="G195" s="19">
        <v>2</v>
      </c>
      <c r="H195" s="19">
        <v>1000000000</v>
      </c>
      <c r="I195" s="19">
        <f>H195*33.33%</f>
        <v>333300000</v>
      </c>
      <c r="J195" s="20">
        <v>0.18</v>
      </c>
      <c r="K195" s="17" t="s">
        <v>259</v>
      </c>
    </row>
    <row r="196" spans="1:12" x14ac:dyDescent="0.2">
      <c r="A196" s="17" t="s">
        <v>157</v>
      </c>
      <c r="B196" s="17">
        <v>1</v>
      </c>
      <c r="C196" s="17" t="s">
        <v>183</v>
      </c>
      <c r="D196" s="17" t="s">
        <v>278</v>
      </c>
      <c r="E196" s="18">
        <v>42773</v>
      </c>
      <c r="F196" s="18">
        <v>43107</v>
      </c>
      <c r="G196" s="19">
        <v>32</v>
      </c>
      <c r="H196" s="19">
        <v>1500000000</v>
      </c>
      <c r="I196" s="19">
        <v>750000000</v>
      </c>
      <c r="J196" s="20">
        <f>1/34500</f>
        <v>2.898550724637681E-5</v>
      </c>
      <c r="K196" s="17" t="s">
        <v>2</v>
      </c>
      <c r="L196" s="21" t="s">
        <v>467</v>
      </c>
    </row>
    <row r="197" spans="1:12" x14ac:dyDescent="0.2">
      <c r="A197" s="17" t="s">
        <v>157</v>
      </c>
      <c r="B197" s="17">
        <v>1</v>
      </c>
      <c r="C197" s="17" t="s">
        <v>183</v>
      </c>
      <c r="D197" s="17" t="s">
        <v>278</v>
      </c>
      <c r="E197" s="18">
        <v>43107</v>
      </c>
      <c r="F197" s="18">
        <v>43131</v>
      </c>
      <c r="G197" s="19">
        <v>25</v>
      </c>
      <c r="H197" s="19">
        <v>1500000000</v>
      </c>
      <c r="I197" s="19">
        <v>750000000</v>
      </c>
      <c r="J197" s="20">
        <f>1/24150</f>
        <v>4.1407867494824014E-5</v>
      </c>
      <c r="K197" s="17" t="s">
        <v>2</v>
      </c>
    </row>
    <row r="198" spans="1:12" x14ac:dyDescent="0.2">
      <c r="A198" s="17" t="s">
        <v>157</v>
      </c>
      <c r="B198" s="17">
        <v>1</v>
      </c>
      <c r="C198" s="17" t="s">
        <v>183</v>
      </c>
      <c r="D198" s="17" t="s">
        <v>278</v>
      </c>
      <c r="E198" s="18">
        <v>43116</v>
      </c>
      <c r="F198" s="18">
        <v>43131</v>
      </c>
      <c r="G198" s="19">
        <v>16</v>
      </c>
      <c r="H198" s="19">
        <v>1500000000</v>
      </c>
      <c r="I198" s="19">
        <v>750000000</v>
      </c>
      <c r="J198" s="20">
        <f>1/24150</f>
        <v>4.1407867494824014E-5</v>
      </c>
      <c r="K198" s="17" t="s">
        <v>2</v>
      </c>
    </row>
    <row r="199" spans="1:12" x14ac:dyDescent="0.2">
      <c r="A199" s="17" t="s">
        <v>157</v>
      </c>
      <c r="B199" s="17">
        <v>0</v>
      </c>
      <c r="C199" s="17" t="s">
        <v>183</v>
      </c>
      <c r="D199" s="17" t="s">
        <v>278</v>
      </c>
      <c r="E199" s="18">
        <v>43132</v>
      </c>
      <c r="F199" s="18">
        <v>43144</v>
      </c>
      <c r="G199" s="19">
        <v>13</v>
      </c>
      <c r="H199" s="19">
        <v>1500000000</v>
      </c>
      <c r="I199" s="19">
        <v>750000000</v>
      </c>
      <c r="J199" s="20">
        <f>1/20000</f>
        <v>5.0000000000000002E-5</v>
      </c>
      <c r="K199" s="17" t="s">
        <v>2</v>
      </c>
    </row>
    <row r="200" spans="1:12" x14ac:dyDescent="0.2">
      <c r="A200" s="17" t="s">
        <v>98</v>
      </c>
      <c r="B200" s="17">
        <v>1</v>
      </c>
      <c r="C200" s="17" t="s">
        <v>301</v>
      </c>
      <c r="D200" s="17" t="s">
        <v>278</v>
      </c>
      <c r="E200" s="18"/>
      <c r="F200" s="18"/>
      <c r="G200" s="19"/>
      <c r="H200" s="19">
        <v>150000000000</v>
      </c>
      <c r="I200" s="19">
        <v>316500000</v>
      </c>
      <c r="J200" s="20">
        <v>0.1</v>
      </c>
      <c r="K200" s="17" t="s">
        <v>259</v>
      </c>
      <c r="L200" s="21" t="s">
        <v>353</v>
      </c>
    </row>
    <row r="201" spans="1:12" x14ac:dyDescent="0.2">
      <c r="A201" s="17" t="s">
        <v>98</v>
      </c>
      <c r="B201" s="17">
        <v>0</v>
      </c>
      <c r="C201" s="17" t="s">
        <v>183</v>
      </c>
      <c r="D201" s="17" t="s">
        <v>278</v>
      </c>
      <c r="E201" s="18"/>
      <c r="F201" s="18">
        <v>43402</v>
      </c>
      <c r="G201" s="19"/>
      <c r="H201" s="19">
        <v>150000000000</v>
      </c>
      <c r="I201" s="19">
        <f>H201/2</f>
        <v>75000000000</v>
      </c>
      <c r="J201" s="20">
        <v>2E-3</v>
      </c>
      <c r="K201" s="17" t="s">
        <v>259</v>
      </c>
      <c r="L201" s="21" t="s">
        <v>353</v>
      </c>
    </row>
    <row r="202" spans="1:12" x14ac:dyDescent="0.2">
      <c r="A202" s="17" t="s">
        <v>135</v>
      </c>
      <c r="B202" s="17">
        <v>0</v>
      </c>
      <c r="C202" s="17" t="s">
        <v>183</v>
      </c>
      <c r="D202" s="17" t="s">
        <v>278</v>
      </c>
      <c r="E202" s="18">
        <v>43183</v>
      </c>
      <c r="F202" s="18">
        <v>43187</v>
      </c>
      <c r="G202" s="19">
        <v>5</v>
      </c>
      <c r="H202" s="19">
        <v>650000000</v>
      </c>
      <c r="I202" s="19">
        <f>H202*40%</f>
        <v>260000000</v>
      </c>
      <c r="J202" s="20">
        <v>7.0499999999999993E-2</v>
      </c>
      <c r="K202" s="17" t="s">
        <v>259</v>
      </c>
      <c r="L202" s="21" t="s">
        <v>688</v>
      </c>
    </row>
    <row r="203" spans="1:12" x14ac:dyDescent="0.2">
      <c r="A203" s="17" t="s">
        <v>154</v>
      </c>
      <c r="B203" s="17">
        <v>0</v>
      </c>
      <c r="C203" s="17" t="s">
        <v>183</v>
      </c>
      <c r="D203" s="17" t="s">
        <v>278</v>
      </c>
      <c r="E203" s="18">
        <v>43154</v>
      </c>
      <c r="F203" s="18">
        <v>43154</v>
      </c>
      <c r="G203" s="19">
        <v>1</v>
      </c>
      <c r="H203" s="19">
        <v>750000000</v>
      </c>
      <c r="I203" s="19">
        <v>375000000</v>
      </c>
      <c r="J203" s="20">
        <v>0.08</v>
      </c>
      <c r="K203" s="17" t="s">
        <v>259</v>
      </c>
      <c r="L203" s="21" t="s">
        <v>444</v>
      </c>
    </row>
    <row r="204" spans="1:12" x14ac:dyDescent="0.2">
      <c r="A204" s="17" t="s">
        <v>154</v>
      </c>
      <c r="B204" s="17">
        <v>0</v>
      </c>
      <c r="C204" s="17" t="s">
        <v>183</v>
      </c>
      <c r="D204" s="17" t="s">
        <v>278</v>
      </c>
      <c r="E204" s="18">
        <v>43154</v>
      </c>
      <c r="F204" s="18">
        <v>43154</v>
      </c>
      <c r="G204" s="19">
        <v>1</v>
      </c>
      <c r="H204" s="19">
        <v>750000000</v>
      </c>
      <c r="I204" s="19">
        <v>375000000</v>
      </c>
      <c r="J204" s="20">
        <v>0.08</v>
      </c>
      <c r="K204" s="17" t="s">
        <v>259</v>
      </c>
      <c r="L204" s="21" t="s">
        <v>737</v>
      </c>
    </row>
    <row r="205" spans="1:12" x14ac:dyDescent="0.2">
      <c r="A205" s="17" t="s">
        <v>116</v>
      </c>
      <c r="B205" s="17">
        <v>0</v>
      </c>
      <c r="C205" s="17" t="s">
        <v>188</v>
      </c>
      <c r="D205" s="17" t="s">
        <v>278</v>
      </c>
      <c r="E205" s="18">
        <v>43205</v>
      </c>
      <c r="F205" s="18">
        <v>43254</v>
      </c>
      <c r="G205" s="19">
        <v>50</v>
      </c>
      <c r="H205" s="19">
        <v>10000000000</v>
      </c>
      <c r="I205" s="19">
        <v>40000000</v>
      </c>
      <c r="J205" s="20">
        <v>0.04</v>
      </c>
      <c r="K205" s="17" t="s">
        <v>259</v>
      </c>
      <c r="L205" s="21" t="s">
        <v>734</v>
      </c>
    </row>
    <row r="206" spans="1:12" x14ac:dyDescent="0.2">
      <c r="A206" s="17" t="s">
        <v>116</v>
      </c>
      <c r="B206" s="17">
        <v>1</v>
      </c>
      <c r="C206" s="17" t="s">
        <v>183</v>
      </c>
      <c r="D206" s="17" t="s">
        <v>278</v>
      </c>
      <c r="E206" s="18">
        <v>43255</v>
      </c>
      <c r="F206" s="18">
        <v>43268</v>
      </c>
      <c r="G206" s="19">
        <v>14</v>
      </c>
      <c r="H206" s="19">
        <v>1000000000</v>
      </c>
      <c r="I206" s="19">
        <v>40000000</v>
      </c>
      <c r="J206" s="20">
        <v>0.06</v>
      </c>
      <c r="K206" s="17" t="s">
        <v>259</v>
      </c>
      <c r="L206" s="21" t="s">
        <v>735</v>
      </c>
    </row>
    <row r="207" spans="1:12" x14ac:dyDescent="0.2">
      <c r="A207" s="17" t="s">
        <v>116</v>
      </c>
      <c r="B207" s="17">
        <v>0</v>
      </c>
      <c r="C207" s="17" t="s">
        <v>183</v>
      </c>
      <c r="D207" s="17" t="s">
        <v>278</v>
      </c>
      <c r="E207" s="18">
        <v>43269</v>
      </c>
      <c r="F207" s="18">
        <v>43277</v>
      </c>
      <c r="G207" s="19">
        <v>9</v>
      </c>
      <c r="H207" s="19">
        <v>1000000000</v>
      </c>
      <c r="I207" s="19">
        <v>150000000</v>
      </c>
      <c r="J207" s="20">
        <v>0.12</v>
      </c>
      <c r="K207" s="17" t="s">
        <v>259</v>
      </c>
      <c r="L207" s="16" t="s">
        <v>736</v>
      </c>
    </row>
    <row r="208" spans="1:12" x14ac:dyDescent="0.2">
      <c r="A208" s="17" t="s">
        <v>248</v>
      </c>
      <c r="B208" s="17">
        <v>0</v>
      </c>
      <c r="C208" s="17" t="s">
        <v>183</v>
      </c>
      <c r="D208" s="17" t="s">
        <v>278</v>
      </c>
      <c r="E208" s="18">
        <v>42988</v>
      </c>
      <c r="F208" s="18">
        <v>42988</v>
      </c>
      <c r="G208" s="19">
        <v>1</v>
      </c>
      <c r="H208" s="19">
        <v>100000000</v>
      </c>
      <c r="I208" s="19">
        <v>50000000</v>
      </c>
      <c r="J208" s="20">
        <f>1/489.93</f>
        <v>2.04110791337538E-3</v>
      </c>
      <c r="K208" s="17" t="s">
        <v>2</v>
      </c>
      <c r="L208" s="21" t="s">
        <v>445</v>
      </c>
    </row>
    <row r="209" spans="1:12" x14ac:dyDescent="0.2">
      <c r="A209" s="17" t="s">
        <v>110</v>
      </c>
      <c r="B209" s="17">
        <v>0</v>
      </c>
      <c r="C209" s="17" t="s">
        <v>183</v>
      </c>
      <c r="D209" s="17" t="s">
        <v>278</v>
      </c>
      <c r="E209" s="18">
        <v>43277</v>
      </c>
      <c r="F209" s="18">
        <v>43307</v>
      </c>
      <c r="G209" s="19">
        <v>31</v>
      </c>
      <c r="H209" s="19">
        <v>1000000000</v>
      </c>
      <c r="I209" s="19">
        <v>400000000</v>
      </c>
      <c r="J209" s="20">
        <v>0.05</v>
      </c>
      <c r="K209" s="17" t="s">
        <v>259</v>
      </c>
      <c r="L209" s="21" t="s">
        <v>633</v>
      </c>
    </row>
    <row r="210" spans="1:12" x14ac:dyDescent="0.2">
      <c r="A210" s="17" t="s">
        <v>673</v>
      </c>
      <c r="B210" s="17">
        <v>0</v>
      </c>
      <c r="C210" s="17" t="s">
        <v>188</v>
      </c>
      <c r="D210" s="17" t="s">
        <v>278</v>
      </c>
      <c r="E210" s="18"/>
      <c r="F210" s="18"/>
      <c r="G210" s="19"/>
      <c r="H210" s="19">
        <v>1000000000</v>
      </c>
      <c r="I210" s="19">
        <v>40000000</v>
      </c>
      <c r="J210" s="20">
        <v>6.2500000000000003E-3</v>
      </c>
      <c r="K210" s="17" t="s">
        <v>259</v>
      </c>
      <c r="L210" s="21" t="s">
        <v>674</v>
      </c>
    </row>
    <row r="211" spans="1:12" x14ac:dyDescent="0.2">
      <c r="A211" s="17" t="s">
        <v>673</v>
      </c>
      <c r="B211" s="17">
        <v>0</v>
      </c>
      <c r="C211" s="17" t="s">
        <v>188</v>
      </c>
      <c r="D211" s="17" t="s">
        <v>278</v>
      </c>
      <c r="E211" s="18"/>
      <c r="F211" s="18"/>
      <c r="G211" s="19"/>
      <c r="H211" s="19">
        <v>1000000000</v>
      </c>
      <c r="I211" s="19">
        <v>240000000</v>
      </c>
      <c r="J211" s="20">
        <v>1.2500000000000001E-2</v>
      </c>
      <c r="K211" s="17" t="s">
        <v>259</v>
      </c>
      <c r="L211" s="21" t="s">
        <v>675</v>
      </c>
    </row>
    <row r="212" spans="1:12" x14ac:dyDescent="0.2">
      <c r="A212" s="17" t="s">
        <v>673</v>
      </c>
      <c r="B212" s="17">
        <v>0</v>
      </c>
      <c r="C212" s="17" t="s">
        <v>188</v>
      </c>
      <c r="D212" s="17" t="s">
        <v>278</v>
      </c>
      <c r="E212" s="18"/>
      <c r="F212" s="18"/>
      <c r="G212" s="19"/>
      <c r="H212" s="19">
        <v>1000000000</v>
      </c>
      <c r="I212" s="19">
        <v>45000000</v>
      </c>
      <c r="J212" s="20">
        <v>0.03</v>
      </c>
      <c r="K212" s="17" t="s">
        <v>259</v>
      </c>
      <c r="L212" s="21" t="s">
        <v>676</v>
      </c>
    </row>
    <row r="213" spans="1:12" x14ac:dyDescent="0.2">
      <c r="A213" s="17" t="s">
        <v>673</v>
      </c>
      <c r="B213" s="17">
        <v>0</v>
      </c>
      <c r="C213" s="17" t="s">
        <v>183</v>
      </c>
      <c r="D213" s="17" t="s">
        <v>278</v>
      </c>
      <c r="E213" s="18">
        <v>44246</v>
      </c>
      <c r="F213" s="18">
        <v>44253</v>
      </c>
      <c r="G213" s="19">
        <v>8</v>
      </c>
      <c r="H213" s="19">
        <v>1000000000</v>
      </c>
      <c r="I213" s="19">
        <v>265000000</v>
      </c>
      <c r="J213" s="20">
        <v>0.3</v>
      </c>
      <c r="K213" s="17" t="s">
        <v>259</v>
      </c>
      <c r="L213" s="21" t="s">
        <v>676</v>
      </c>
    </row>
    <row r="214" spans="1:12" x14ac:dyDescent="0.2">
      <c r="A214" s="17" t="s">
        <v>210</v>
      </c>
      <c r="B214" s="17">
        <v>0</v>
      </c>
      <c r="C214" s="17" t="s">
        <v>183</v>
      </c>
      <c r="D214" s="17" t="s">
        <v>278</v>
      </c>
      <c r="E214" s="18">
        <v>43040</v>
      </c>
      <c r="F214" s="18">
        <v>43069</v>
      </c>
      <c r="G214" s="19">
        <v>30</v>
      </c>
      <c r="H214" s="19">
        <v>60000000</v>
      </c>
      <c r="I214" s="19">
        <v>24000000</v>
      </c>
      <c r="J214" s="20">
        <f>1/240</f>
        <v>4.1666666666666666E-3</v>
      </c>
      <c r="K214" s="17" t="s">
        <v>2</v>
      </c>
      <c r="L214" s="21" t="s">
        <v>365</v>
      </c>
    </row>
    <row r="215" spans="1:12" x14ac:dyDescent="0.2">
      <c r="A215" s="17" t="s">
        <v>230</v>
      </c>
      <c r="B215" s="17">
        <v>0</v>
      </c>
      <c r="C215" s="17" t="s">
        <v>183</v>
      </c>
      <c r="D215" s="17" t="s">
        <v>278</v>
      </c>
      <c r="E215" s="18">
        <v>42992</v>
      </c>
      <c r="F215" s="18">
        <v>43028</v>
      </c>
      <c r="G215" s="19">
        <v>37</v>
      </c>
      <c r="H215" s="19">
        <v>21000000000</v>
      </c>
      <c r="I215" s="19">
        <f>H215*29%</f>
        <v>6090000000</v>
      </c>
      <c r="J215" s="20">
        <v>0.01</v>
      </c>
      <c r="K215" s="17" t="s">
        <v>259</v>
      </c>
      <c r="L215" s="21" t="s">
        <v>723</v>
      </c>
    </row>
    <row r="216" spans="1:12" x14ac:dyDescent="0.2">
      <c r="A216" s="17" t="s">
        <v>167</v>
      </c>
      <c r="B216" s="17">
        <v>0</v>
      </c>
      <c r="C216" s="17" t="s">
        <v>183</v>
      </c>
      <c r="D216" s="17" t="s">
        <v>278</v>
      </c>
      <c r="E216" s="18">
        <v>43449</v>
      </c>
      <c r="F216" s="18">
        <v>43450</v>
      </c>
      <c r="G216" s="19">
        <v>2</v>
      </c>
      <c r="H216" s="19">
        <v>150000000</v>
      </c>
      <c r="I216" s="19">
        <f>H216*83%</f>
        <v>124500000</v>
      </c>
      <c r="J216" s="20">
        <v>0.7</v>
      </c>
      <c r="K216" s="17" t="s">
        <v>259</v>
      </c>
      <c r="L216" s="21" t="s">
        <v>400</v>
      </c>
    </row>
    <row r="217" spans="1:12" x14ac:dyDescent="0.2">
      <c r="A217" s="17" t="s">
        <v>284</v>
      </c>
      <c r="B217" s="17">
        <v>0</v>
      </c>
      <c r="C217" s="17" t="s">
        <v>183</v>
      </c>
      <c r="D217" s="17" t="s">
        <v>278</v>
      </c>
      <c r="E217" s="18">
        <v>44112</v>
      </c>
      <c r="F217" s="18">
        <v>44126</v>
      </c>
      <c r="G217" s="19">
        <v>14</v>
      </c>
      <c r="H217" s="19">
        <v>4200000000</v>
      </c>
      <c r="I217" s="19">
        <v>642000000</v>
      </c>
      <c r="J217" s="20">
        <v>3.9E-2</v>
      </c>
      <c r="K217" s="17" t="s">
        <v>259</v>
      </c>
    </row>
    <row r="218" spans="1:12" x14ac:dyDescent="0.2">
      <c r="A218" s="17" t="s">
        <v>207</v>
      </c>
      <c r="B218" s="17">
        <v>0</v>
      </c>
      <c r="C218" s="17" t="s">
        <v>183</v>
      </c>
      <c r="D218" s="17" t="s">
        <v>278</v>
      </c>
      <c r="E218" s="18">
        <v>43044</v>
      </c>
      <c r="F218" s="18">
        <v>43074</v>
      </c>
      <c r="G218" s="19">
        <v>31</v>
      </c>
      <c r="H218" s="19">
        <v>130000000</v>
      </c>
      <c r="I218" s="19">
        <v>100100000</v>
      </c>
      <c r="J218" s="20">
        <v>6.1600000000000007E-5</v>
      </c>
      <c r="K218" s="17" t="s">
        <v>2</v>
      </c>
    </row>
    <row r="219" spans="1:12" x14ac:dyDescent="0.2">
      <c r="A219" s="17" t="s">
        <v>89</v>
      </c>
      <c r="B219" s="17">
        <v>0</v>
      </c>
      <c r="C219" s="17" t="s">
        <v>183</v>
      </c>
      <c r="D219" s="17" t="s">
        <v>278</v>
      </c>
      <c r="E219" s="18">
        <v>43521</v>
      </c>
      <c r="F219" s="18">
        <v>43521</v>
      </c>
      <c r="G219" s="19">
        <v>1</v>
      </c>
      <c r="H219" s="19">
        <v>1152997575</v>
      </c>
      <c r="I219" s="19">
        <f>H219*17.6%</f>
        <v>202927573.20000002</v>
      </c>
      <c r="J219" s="20">
        <v>8.6699999999999999E-2</v>
      </c>
      <c r="K219" s="17" t="s">
        <v>259</v>
      </c>
      <c r="L219" s="21" t="s">
        <v>348</v>
      </c>
    </row>
    <row r="220" spans="1:12" x14ac:dyDescent="0.2">
      <c r="A220" s="17" t="s">
        <v>18</v>
      </c>
      <c r="B220" s="17">
        <v>0</v>
      </c>
      <c r="C220" s="17" t="s">
        <v>183</v>
      </c>
      <c r="D220" s="17" t="s">
        <v>278</v>
      </c>
      <c r="E220" s="18">
        <v>43054</v>
      </c>
      <c r="F220" s="18">
        <v>43100</v>
      </c>
      <c r="G220" s="19">
        <v>47</v>
      </c>
      <c r="H220" s="19">
        <v>425000000</v>
      </c>
      <c r="I220" s="19">
        <v>50985000</v>
      </c>
      <c r="J220" s="20">
        <v>2</v>
      </c>
      <c r="K220" s="17" t="s">
        <v>259</v>
      </c>
      <c r="L220" s="21" t="s">
        <v>694</v>
      </c>
    </row>
    <row r="221" spans="1:12" x14ac:dyDescent="0.2">
      <c r="A221" s="17" t="s">
        <v>505</v>
      </c>
      <c r="B221" s="17">
        <v>1</v>
      </c>
      <c r="C221" s="17" t="s">
        <v>188</v>
      </c>
      <c r="D221" s="17" t="s">
        <v>278</v>
      </c>
      <c r="E221" s="18"/>
      <c r="F221" s="18"/>
      <c r="G221" s="19"/>
      <c r="H221" s="19">
        <v>500000000</v>
      </c>
      <c r="I221" s="19">
        <v>94545455</v>
      </c>
      <c r="J221" s="20">
        <v>0.03</v>
      </c>
      <c r="K221" s="17" t="s">
        <v>259</v>
      </c>
      <c r="L221" s="21" t="s">
        <v>506</v>
      </c>
    </row>
    <row r="222" spans="1:12" x14ac:dyDescent="0.2">
      <c r="A222" s="17" t="s">
        <v>505</v>
      </c>
      <c r="B222" s="17">
        <v>0</v>
      </c>
      <c r="C222" s="17" t="s">
        <v>183</v>
      </c>
      <c r="D222" s="17" t="s">
        <v>278</v>
      </c>
      <c r="E222" s="18">
        <v>44313</v>
      </c>
      <c r="F222" s="18">
        <v>44313</v>
      </c>
      <c r="G222" s="19">
        <v>1</v>
      </c>
      <c r="H222" s="19">
        <v>500000000</v>
      </c>
      <c r="I222" s="19">
        <v>5454545</v>
      </c>
      <c r="J222" s="20">
        <v>3.3000000000000002E-2</v>
      </c>
      <c r="K222" s="17" t="s">
        <v>259</v>
      </c>
    </row>
    <row r="223" spans="1:12" x14ac:dyDescent="0.2">
      <c r="A223" s="17" t="s">
        <v>216</v>
      </c>
      <c r="B223" s="17">
        <v>1</v>
      </c>
      <c r="C223" s="17" t="s">
        <v>188</v>
      </c>
      <c r="D223" s="17" t="s">
        <v>278</v>
      </c>
      <c r="E223" s="18">
        <v>43032</v>
      </c>
      <c r="F223" s="18">
        <v>43032</v>
      </c>
      <c r="G223" s="19">
        <v>1</v>
      </c>
      <c r="H223" s="19">
        <v>1000000000</v>
      </c>
      <c r="I223" s="19">
        <v>40185768</v>
      </c>
      <c r="J223" s="20">
        <v>1.65E-4</v>
      </c>
      <c r="K223" s="17" t="s">
        <v>2</v>
      </c>
      <c r="L223" s="21" t="s">
        <v>376</v>
      </c>
    </row>
    <row r="224" spans="1:12" x14ac:dyDescent="0.2">
      <c r="A224" s="17" t="s">
        <v>216</v>
      </c>
      <c r="B224" s="17">
        <v>0</v>
      </c>
      <c r="C224" s="17" t="s">
        <v>183</v>
      </c>
      <c r="D224" s="17" t="s">
        <v>278</v>
      </c>
      <c r="E224" s="18">
        <v>43032</v>
      </c>
      <c r="F224" s="18">
        <v>43063</v>
      </c>
      <c r="G224" s="19">
        <v>32</v>
      </c>
      <c r="H224" s="19">
        <v>1000000000</v>
      </c>
      <c r="I224" s="19">
        <v>200000000</v>
      </c>
      <c r="J224" s="20">
        <f>1/4000</f>
        <v>2.5000000000000001E-4</v>
      </c>
      <c r="K224" s="17" t="s">
        <v>2</v>
      </c>
      <c r="L224" s="21" t="s">
        <v>377</v>
      </c>
    </row>
    <row r="225" spans="1:12" x14ac:dyDescent="0.2">
      <c r="A225" s="17" t="s">
        <v>15</v>
      </c>
      <c r="B225" s="17">
        <v>0</v>
      </c>
      <c r="C225" s="17" t="s">
        <v>183</v>
      </c>
      <c r="D225" s="17" t="s">
        <v>278</v>
      </c>
      <c r="E225" s="18">
        <v>44096</v>
      </c>
      <c r="F225" s="18">
        <v>44106</v>
      </c>
      <c r="G225" s="19">
        <f>F225-E225</f>
        <v>10</v>
      </c>
      <c r="H225" s="19">
        <v>1250000000</v>
      </c>
      <c r="I225" s="19">
        <v>100000000</v>
      </c>
      <c r="J225" s="20">
        <v>0.1</v>
      </c>
      <c r="K225" s="17" t="s">
        <v>259</v>
      </c>
    </row>
    <row r="226" spans="1:12" x14ac:dyDescent="0.2">
      <c r="A226" s="17" t="s">
        <v>15</v>
      </c>
      <c r="B226" s="17">
        <v>0</v>
      </c>
      <c r="C226" s="17" t="s">
        <v>183</v>
      </c>
      <c r="D226" s="17" t="s">
        <v>184</v>
      </c>
      <c r="E226" s="18">
        <v>44110</v>
      </c>
      <c r="F226" s="18">
        <v>44110</v>
      </c>
      <c r="G226" s="19">
        <v>1</v>
      </c>
      <c r="H226" s="19">
        <v>1250000000</v>
      </c>
      <c r="I226" s="19">
        <v>25000000</v>
      </c>
      <c r="J226" s="20">
        <v>0.38</v>
      </c>
      <c r="K226" s="17" t="s">
        <v>259</v>
      </c>
    </row>
    <row r="227" spans="1:12" x14ac:dyDescent="0.2">
      <c r="A227" s="17" t="s">
        <v>468</v>
      </c>
      <c r="B227" s="17">
        <v>0</v>
      </c>
      <c r="C227" s="17" t="s">
        <v>183</v>
      </c>
      <c r="D227" s="17" t="s">
        <v>278</v>
      </c>
      <c r="E227" s="18">
        <v>43073</v>
      </c>
      <c r="F227" s="18">
        <v>43105</v>
      </c>
      <c r="G227" s="19">
        <v>33</v>
      </c>
      <c r="H227" s="19">
        <v>100000000</v>
      </c>
      <c r="I227" s="19">
        <v>43200000</v>
      </c>
      <c r="J227" s="20">
        <v>5.0000000000000001E-3</v>
      </c>
      <c r="K227" s="17" t="s">
        <v>2</v>
      </c>
      <c r="L227" s="21" t="s">
        <v>469</v>
      </c>
    </row>
    <row r="228" spans="1:12" x14ac:dyDescent="0.2">
      <c r="A228" s="17" t="s">
        <v>44</v>
      </c>
      <c r="B228" s="17">
        <v>0</v>
      </c>
      <c r="C228" s="17" t="s">
        <v>183</v>
      </c>
      <c r="D228" s="17" t="s">
        <v>278</v>
      </c>
      <c r="E228" s="18">
        <v>43960</v>
      </c>
      <c r="F228" s="18">
        <v>43967</v>
      </c>
      <c r="G228" s="19">
        <v>7</v>
      </c>
      <c r="H228" s="19">
        <v>500000000</v>
      </c>
      <c r="I228" s="19">
        <v>150000000</v>
      </c>
      <c r="J228" s="20">
        <v>0.1</v>
      </c>
      <c r="K228" s="17" t="s">
        <v>259</v>
      </c>
      <c r="L228" s="21" t="s">
        <v>329</v>
      </c>
    </row>
    <row r="229" spans="1:12" x14ac:dyDescent="0.2">
      <c r="A229" s="17" t="s">
        <v>82</v>
      </c>
      <c r="B229" s="17">
        <v>0</v>
      </c>
      <c r="C229" s="17" t="s">
        <v>183</v>
      </c>
      <c r="D229" s="17" t="s">
        <v>278</v>
      </c>
      <c r="E229" s="18">
        <v>43576</v>
      </c>
      <c r="F229" s="18">
        <v>43577</v>
      </c>
      <c r="G229" s="19">
        <v>2</v>
      </c>
      <c r="H229" s="19">
        <v>1000000000</v>
      </c>
      <c r="I229" s="19">
        <v>50000000</v>
      </c>
      <c r="J229" s="20">
        <v>0.02</v>
      </c>
      <c r="K229" s="17" t="s">
        <v>259</v>
      </c>
      <c r="L229" s="21" t="s">
        <v>478</v>
      </c>
    </row>
    <row r="230" spans="1:12" x14ac:dyDescent="0.2">
      <c r="A230" s="17" t="s">
        <v>82</v>
      </c>
      <c r="B230" s="17">
        <v>1</v>
      </c>
      <c r="C230" s="17" t="s">
        <v>188</v>
      </c>
      <c r="D230" s="17" t="s">
        <v>278</v>
      </c>
      <c r="E230" s="18"/>
      <c r="F230" s="18"/>
      <c r="G230" s="19"/>
      <c r="H230" s="19">
        <v>1000000000</v>
      </c>
      <c r="I230" s="19"/>
      <c r="J230" s="20">
        <v>1.7999999999999999E-2</v>
      </c>
      <c r="K230" s="17" t="s">
        <v>259</v>
      </c>
      <c r="L230" s="21" t="s">
        <v>477</v>
      </c>
    </row>
    <row r="231" spans="1:12" x14ac:dyDescent="0.2">
      <c r="A231" s="17" t="s">
        <v>495</v>
      </c>
      <c r="B231" s="17">
        <v>0</v>
      </c>
      <c r="C231" s="17" t="s">
        <v>183</v>
      </c>
      <c r="D231" s="17" t="s">
        <v>278</v>
      </c>
      <c r="E231" s="18">
        <v>44290</v>
      </c>
      <c r="F231" s="18">
        <v>44291</v>
      </c>
      <c r="G231" s="19">
        <v>2</v>
      </c>
      <c r="H231" s="19">
        <v>21000000000</v>
      </c>
      <c r="I231" s="19">
        <v>1995000000</v>
      </c>
      <c r="J231" s="20">
        <v>7.6999999999999999E-2</v>
      </c>
      <c r="K231" s="17" t="s">
        <v>259</v>
      </c>
      <c r="L231" s="21" t="s">
        <v>493</v>
      </c>
    </row>
    <row r="232" spans="1:12" x14ac:dyDescent="0.2">
      <c r="A232" s="17" t="s">
        <v>495</v>
      </c>
      <c r="B232" s="17">
        <v>1</v>
      </c>
      <c r="C232" s="17" t="s">
        <v>188</v>
      </c>
      <c r="D232" s="17" t="s">
        <v>278</v>
      </c>
      <c r="E232" s="18"/>
      <c r="F232" s="18"/>
      <c r="G232" s="19"/>
      <c r="H232" s="19">
        <v>21000000000</v>
      </c>
      <c r="I232" s="19">
        <v>525000000</v>
      </c>
      <c r="J232" s="20">
        <v>2.2800000000000001E-2</v>
      </c>
      <c r="K232" s="17" t="s">
        <v>259</v>
      </c>
      <c r="L232" s="21" t="s">
        <v>494</v>
      </c>
    </row>
    <row r="233" spans="1:12" x14ac:dyDescent="0.2">
      <c r="A233" s="17" t="s">
        <v>495</v>
      </c>
      <c r="B233" s="17">
        <v>0</v>
      </c>
      <c r="C233" s="17" t="s">
        <v>188</v>
      </c>
      <c r="D233" s="17" t="s">
        <v>278</v>
      </c>
      <c r="E233" s="18"/>
      <c r="F233" s="18"/>
      <c r="G233" s="19"/>
      <c r="H233" s="19">
        <v>21000000000</v>
      </c>
      <c r="I233" s="19">
        <v>2730000</v>
      </c>
      <c r="J233" s="20">
        <v>2.5000000000000001E-2</v>
      </c>
      <c r="K233" s="17" t="s">
        <v>259</v>
      </c>
    </row>
    <row r="234" spans="1:12" x14ac:dyDescent="0.2">
      <c r="A234" s="17" t="s">
        <v>495</v>
      </c>
      <c r="B234" s="17">
        <v>0</v>
      </c>
      <c r="C234" s="17" t="s">
        <v>183</v>
      </c>
      <c r="D234" s="17" t="s">
        <v>278</v>
      </c>
      <c r="E234" s="18">
        <v>44193</v>
      </c>
      <c r="F234" s="18">
        <v>44208</v>
      </c>
      <c r="G234" s="19">
        <v>16</v>
      </c>
      <c r="H234" s="19">
        <v>21000000000</v>
      </c>
      <c r="I234" s="19">
        <v>210000000</v>
      </c>
      <c r="J234" s="20">
        <v>7.6999999999999999E-2</v>
      </c>
      <c r="K234" s="17" t="s">
        <v>259</v>
      </c>
    </row>
    <row r="235" spans="1:12" x14ac:dyDescent="0.2">
      <c r="A235" s="17" t="s">
        <v>495</v>
      </c>
      <c r="B235" s="17">
        <v>0</v>
      </c>
      <c r="C235" s="17" t="s">
        <v>183</v>
      </c>
      <c r="D235" s="17" t="s">
        <v>278</v>
      </c>
      <c r="E235" s="18">
        <v>44193</v>
      </c>
      <c r="F235" s="18">
        <v>44208</v>
      </c>
      <c r="G235" s="19">
        <v>16</v>
      </c>
      <c r="H235" s="19">
        <v>21000000000</v>
      </c>
      <c r="I235" s="19">
        <v>210000000</v>
      </c>
      <c r="J235" s="20">
        <v>6.6000000000000003E-2</v>
      </c>
      <c r="K235" s="17" t="s">
        <v>259</v>
      </c>
    </row>
    <row r="236" spans="1:12" x14ac:dyDescent="0.2">
      <c r="A236" s="17" t="s">
        <v>495</v>
      </c>
      <c r="B236" s="17">
        <v>0</v>
      </c>
      <c r="C236" s="17" t="s">
        <v>183</v>
      </c>
      <c r="D236" s="17" t="s">
        <v>278</v>
      </c>
      <c r="E236" s="18">
        <v>44193</v>
      </c>
      <c r="F236" s="18">
        <v>44208</v>
      </c>
      <c r="G236" s="19">
        <v>16</v>
      </c>
      <c r="H236" s="19">
        <v>21000000000</v>
      </c>
      <c r="I236" s="19">
        <v>105000000</v>
      </c>
      <c r="J236" s="20">
        <v>5.8000000000000003E-2</v>
      </c>
      <c r="K236" s="17" t="s">
        <v>259</v>
      </c>
    </row>
    <row r="237" spans="1:12" x14ac:dyDescent="0.2">
      <c r="A237" s="17" t="s">
        <v>495</v>
      </c>
      <c r="B237" s="17">
        <v>0</v>
      </c>
      <c r="C237" s="17" t="s">
        <v>183</v>
      </c>
      <c r="D237" s="17" t="s">
        <v>278</v>
      </c>
      <c r="E237" s="18">
        <v>44193</v>
      </c>
      <c r="F237" s="18">
        <v>44208</v>
      </c>
      <c r="G237" s="19">
        <v>16</v>
      </c>
      <c r="H237" s="19">
        <v>21000000000</v>
      </c>
      <c r="I237" s="19">
        <v>840000000</v>
      </c>
      <c r="J237" s="20">
        <v>0.04</v>
      </c>
      <c r="K237" s="17" t="s">
        <v>259</v>
      </c>
    </row>
    <row r="238" spans="1:12" x14ac:dyDescent="0.2">
      <c r="A238" s="17" t="s">
        <v>495</v>
      </c>
      <c r="B238" s="17">
        <v>0</v>
      </c>
      <c r="C238" s="17" t="s">
        <v>183</v>
      </c>
      <c r="D238" s="17" t="s">
        <v>278</v>
      </c>
      <c r="E238" s="18">
        <v>44193</v>
      </c>
      <c r="F238" s="18">
        <v>44208</v>
      </c>
      <c r="G238" s="19">
        <v>16</v>
      </c>
      <c r="H238" s="19">
        <v>21000000000</v>
      </c>
      <c r="I238" s="19">
        <v>630000000</v>
      </c>
      <c r="J238" s="20">
        <v>3.5999999999999997E-2</v>
      </c>
      <c r="K238" s="17" t="s">
        <v>259</v>
      </c>
    </row>
    <row r="239" spans="1:12" x14ac:dyDescent="0.2">
      <c r="A239" s="17" t="s">
        <v>21</v>
      </c>
      <c r="B239" s="17">
        <v>0</v>
      </c>
      <c r="C239" s="17" t="s">
        <v>188</v>
      </c>
      <c r="D239" s="17" t="s">
        <v>278</v>
      </c>
      <c r="E239" s="18"/>
      <c r="F239" s="18"/>
      <c r="G239" s="19"/>
      <c r="H239" s="19">
        <v>100000000</v>
      </c>
      <c r="I239" s="19">
        <v>10000000</v>
      </c>
      <c r="J239" s="20">
        <v>0.05</v>
      </c>
      <c r="K239" s="17" t="s">
        <v>259</v>
      </c>
      <c r="L239" s="21" t="s">
        <v>307</v>
      </c>
    </row>
    <row r="240" spans="1:12" x14ac:dyDescent="0.2">
      <c r="A240" s="17" t="s">
        <v>21</v>
      </c>
      <c r="B240" s="17">
        <v>0</v>
      </c>
      <c r="C240" s="17" t="s">
        <v>188</v>
      </c>
      <c r="D240" s="17" t="s">
        <v>278</v>
      </c>
      <c r="E240" s="18"/>
      <c r="F240" s="18"/>
      <c r="G240" s="19"/>
      <c r="H240" s="19">
        <v>100000000</v>
      </c>
      <c r="I240" s="19">
        <v>20000000</v>
      </c>
      <c r="J240" s="20">
        <v>6.5000000000000002E-2</v>
      </c>
      <c r="K240" s="17" t="s">
        <v>259</v>
      </c>
    </row>
    <row r="241" spans="1:12" x14ac:dyDescent="0.2">
      <c r="A241" s="17" t="s">
        <v>21</v>
      </c>
      <c r="B241" s="17">
        <v>0</v>
      </c>
      <c r="C241" s="17" t="s">
        <v>188</v>
      </c>
      <c r="D241" s="17" t="s">
        <v>278</v>
      </c>
      <c r="E241" s="18"/>
      <c r="F241" s="18"/>
      <c r="G241" s="19"/>
      <c r="H241" s="19">
        <v>100000000</v>
      </c>
      <c r="I241" s="19">
        <v>625000</v>
      </c>
      <c r="J241" s="20">
        <v>0.08</v>
      </c>
      <c r="K241" s="17" t="s">
        <v>259</v>
      </c>
    </row>
    <row r="242" spans="1:12" x14ac:dyDescent="0.2">
      <c r="A242" s="17" t="s">
        <v>109</v>
      </c>
      <c r="B242" s="17">
        <v>0</v>
      </c>
      <c r="C242" s="17" t="s">
        <v>183</v>
      </c>
      <c r="D242" s="17" t="s">
        <v>278</v>
      </c>
      <c r="E242" s="18">
        <v>43252</v>
      </c>
      <c r="F242" s="18">
        <v>43312</v>
      </c>
      <c r="G242" s="19">
        <v>62</v>
      </c>
      <c r="H242" s="19">
        <v>1000000000</v>
      </c>
      <c r="I242" s="19">
        <v>600000000</v>
      </c>
      <c r="J242" s="20">
        <v>0.05</v>
      </c>
      <c r="K242" s="17" t="s">
        <v>259</v>
      </c>
      <c r="L242" s="21" t="s">
        <v>632</v>
      </c>
    </row>
    <row r="243" spans="1:12" x14ac:dyDescent="0.2">
      <c r="A243" s="17" t="s">
        <v>147</v>
      </c>
      <c r="B243" s="17">
        <v>0</v>
      </c>
      <c r="C243" s="17" t="s">
        <v>183</v>
      </c>
      <c r="D243" s="17" t="s">
        <v>278</v>
      </c>
      <c r="E243" s="18">
        <v>43138</v>
      </c>
      <c r="F243" s="18">
        <v>43159</v>
      </c>
      <c r="G243" s="19">
        <v>22</v>
      </c>
      <c r="H243" s="19">
        <v>100000000</v>
      </c>
      <c r="I243" s="19">
        <v>85000000</v>
      </c>
      <c r="J243" s="20">
        <f>1/2848.5</f>
        <v>3.5106196243637003E-4</v>
      </c>
      <c r="K243" s="17" t="s">
        <v>2</v>
      </c>
      <c r="L243" s="21" t="s">
        <v>418</v>
      </c>
    </row>
    <row r="244" spans="1:12" x14ac:dyDescent="0.2">
      <c r="A244" s="17" t="s">
        <v>228</v>
      </c>
      <c r="B244" s="17">
        <v>1</v>
      </c>
      <c r="C244" s="17" t="s">
        <v>188</v>
      </c>
      <c r="D244" s="17" t="s">
        <v>278</v>
      </c>
      <c r="E244" s="18"/>
      <c r="F244" s="18">
        <v>42993</v>
      </c>
      <c r="G244" s="19"/>
      <c r="H244" s="19">
        <v>1000000000</v>
      </c>
      <c r="I244" s="19">
        <v>400000000</v>
      </c>
      <c r="J244" s="20">
        <f>25000000/400000000</f>
        <v>6.25E-2</v>
      </c>
      <c r="K244" s="17" t="s">
        <v>259</v>
      </c>
      <c r="L244" s="21" t="s">
        <v>370</v>
      </c>
    </row>
    <row r="245" spans="1:12" x14ac:dyDescent="0.2">
      <c r="A245" s="17" t="s">
        <v>228</v>
      </c>
      <c r="B245" s="17">
        <v>0</v>
      </c>
      <c r="C245" s="17" t="s">
        <v>183</v>
      </c>
      <c r="D245" s="17" t="s">
        <v>278</v>
      </c>
      <c r="E245" s="18">
        <v>43009</v>
      </c>
      <c r="F245" s="18">
        <v>43037</v>
      </c>
      <c r="G245" s="19">
        <v>29</v>
      </c>
      <c r="H245" s="19">
        <v>1000000000</v>
      </c>
      <c r="I245" s="19">
        <v>400000000000</v>
      </c>
      <c r="J245" s="20">
        <v>3.3300000000000002E-4</v>
      </c>
      <c r="K245" s="17" t="s">
        <v>2</v>
      </c>
      <c r="L245" s="21" t="s">
        <v>371</v>
      </c>
    </row>
    <row r="246" spans="1:12" x14ac:dyDescent="0.2">
      <c r="A246" s="17" t="s">
        <v>90</v>
      </c>
      <c r="B246" s="17">
        <v>1</v>
      </c>
      <c r="C246" s="17" t="s">
        <v>188</v>
      </c>
      <c r="D246" s="17" t="s">
        <v>278</v>
      </c>
      <c r="E246" s="18">
        <v>43155</v>
      </c>
      <c r="F246" s="18">
        <v>43155</v>
      </c>
      <c r="G246" s="19">
        <v>1</v>
      </c>
      <c r="H246" s="19">
        <v>1000000000</v>
      </c>
      <c r="I246" s="19">
        <v>400000000</v>
      </c>
      <c r="J246" s="20">
        <v>4.4999999999999998E-2</v>
      </c>
      <c r="K246" s="17" t="s">
        <v>259</v>
      </c>
      <c r="L246" s="21" t="s">
        <v>728</v>
      </c>
    </row>
    <row r="247" spans="1:12" x14ac:dyDescent="0.2">
      <c r="A247" s="17" t="s">
        <v>168</v>
      </c>
      <c r="B247" s="17">
        <v>0</v>
      </c>
      <c r="C247" s="17" t="s">
        <v>183</v>
      </c>
      <c r="D247" s="17" t="s">
        <v>278</v>
      </c>
      <c r="E247" s="18">
        <v>43086</v>
      </c>
      <c r="F247" s="18">
        <v>43114</v>
      </c>
      <c r="G247" s="19">
        <v>28</v>
      </c>
      <c r="H247" s="19">
        <v>1000000000</v>
      </c>
      <c r="I247" s="19">
        <v>500000000</v>
      </c>
      <c r="J247" s="20">
        <v>2.2779999999999999E-5</v>
      </c>
      <c r="K247" s="17" t="s">
        <v>2</v>
      </c>
      <c r="L247" s="21" t="s">
        <v>391</v>
      </c>
    </row>
    <row r="248" spans="1:12" x14ac:dyDescent="0.2">
      <c r="A248" s="17" t="s">
        <v>158</v>
      </c>
      <c r="B248" s="17">
        <v>0</v>
      </c>
      <c r="C248" s="17" t="s">
        <v>183</v>
      </c>
      <c r="D248" s="17" t="s">
        <v>278</v>
      </c>
      <c r="E248" s="18">
        <v>43141</v>
      </c>
      <c r="F248" s="18">
        <v>43142</v>
      </c>
      <c r="G248" s="19">
        <v>2</v>
      </c>
      <c r="H248" s="19">
        <v>164615384</v>
      </c>
      <c r="I248" s="19">
        <v>107000000</v>
      </c>
      <c r="J248" s="20">
        <v>0.1</v>
      </c>
      <c r="K248" s="17" t="s">
        <v>286</v>
      </c>
      <c r="L248" s="21" t="s">
        <v>752</v>
      </c>
    </row>
    <row r="249" spans="1:12" x14ac:dyDescent="0.2">
      <c r="A249" s="17" t="s">
        <v>204</v>
      </c>
      <c r="B249" s="17">
        <v>1</v>
      </c>
      <c r="C249" s="17" t="s">
        <v>188</v>
      </c>
      <c r="D249" s="17" t="s">
        <v>278</v>
      </c>
      <c r="E249" s="18">
        <v>43033</v>
      </c>
      <c r="F249" s="18"/>
      <c r="G249" s="19"/>
      <c r="H249" s="19">
        <v>90000000</v>
      </c>
      <c r="I249" s="19">
        <v>7200000</v>
      </c>
      <c r="J249" s="20"/>
      <c r="K249" s="17"/>
      <c r="L249" s="21" t="s">
        <v>378</v>
      </c>
    </row>
    <row r="250" spans="1:12" x14ac:dyDescent="0.2">
      <c r="A250" s="17" t="s">
        <v>204</v>
      </c>
      <c r="B250" s="17">
        <v>1</v>
      </c>
      <c r="C250" s="17" t="s">
        <v>183</v>
      </c>
      <c r="D250" s="17" t="s">
        <v>278</v>
      </c>
      <c r="E250" s="18"/>
      <c r="F250" s="18"/>
      <c r="G250" s="19"/>
      <c r="H250" s="19">
        <v>90000000</v>
      </c>
      <c r="I250" s="19">
        <v>1351351</v>
      </c>
      <c r="J250" s="20"/>
      <c r="K250" s="17"/>
    </row>
    <row r="251" spans="1:12" x14ac:dyDescent="0.2">
      <c r="A251" s="17" t="s">
        <v>204</v>
      </c>
      <c r="B251" s="17">
        <v>0</v>
      </c>
      <c r="C251" s="17" t="s">
        <v>183</v>
      </c>
      <c r="D251" s="17" t="s">
        <v>278</v>
      </c>
      <c r="E251" s="18">
        <v>43054</v>
      </c>
      <c r="F251" s="18">
        <v>43082</v>
      </c>
      <c r="G251" s="19">
        <v>50</v>
      </c>
      <c r="H251" s="19">
        <v>90000000</v>
      </c>
      <c r="I251" s="19">
        <f>H251*41%</f>
        <v>36900000</v>
      </c>
      <c r="J251" s="20">
        <f>1/708.5</f>
        <v>1.4114326040931546E-3</v>
      </c>
      <c r="K251" s="17" t="s">
        <v>2</v>
      </c>
      <c r="L251" s="21" t="s">
        <v>379</v>
      </c>
    </row>
    <row r="252" spans="1:12" x14ac:dyDescent="0.2">
      <c r="A252" s="17" t="s">
        <v>11</v>
      </c>
      <c r="B252" s="17">
        <v>0</v>
      </c>
      <c r="C252" s="17" t="s">
        <v>188</v>
      </c>
      <c r="D252" s="17" t="s">
        <v>278</v>
      </c>
      <c r="E252" s="18"/>
      <c r="F252" s="18"/>
      <c r="G252" s="19"/>
      <c r="H252" s="19">
        <v>40721578</v>
      </c>
      <c r="I252" s="19">
        <v>500000</v>
      </c>
      <c r="J252" s="20">
        <v>0.05</v>
      </c>
      <c r="K252" s="17" t="s">
        <v>684</v>
      </c>
      <c r="L252" s="21" t="s">
        <v>681</v>
      </c>
    </row>
    <row r="253" spans="1:12" x14ac:dyDescent="0.2">
      <c r="A253" s="17" t="s">
        <v>11</v>
      </c>
      <c r="B253" s="17">
        <v>1</v>
      </c>
      <c r="C253" s="17" t="s">
        <v>188</v>
      </c>
      <c r="D253" s="17" t="s">
        <v>278</v>
      </c>
      <c r="E253" s="18"/>
      <c r="F253" s="18">
        <v>44062</v>
      </c>
      <c r="G253" s="19"/>
      <c r="H253" s="19">
        <v>40721578</v>
      </c>
      <c r="I253" s="19">
        <v>500000</v>
      </c>
      <c r="J253" s="20">
        <v>0.01</v>
      </c>
      <c r="K253" s="17" t="s">
        <v>684</v>
      </c>
      <c r="L253" s="21" t="s">
        <v>682</v>
      </c>
    </row>
    <row r="254" spans="1:12" x14ac:dyDescent="0.2">
      <c r="A254" s="17" t="s">
        <v>11</v>
      </c>
      <c r="B254" s="17">
        <v>0</v>
      </c>
      <c r="C254" s="17" t="s">
        <v>183</v>
      </c>
      <c r="D254" s="17" t="s">
        <v>278</v>
      </c>
      <c r="E254" s="18">
        <v>44088</v>
      </c>
      <c r="F254" s="18">
        <v>44118</v>
      </c>
      <c r="G254" s="19">
        <v>31</v>
      </c>
      <c r="H254" s="19">
        <v>40721578</v>
      </c>
      <c r="I254" s="19">
        <v>20586874</v>
      </c>
      <c r="J254" s="20">
        <v>0.72899999999999998</v>
      </c>
      <c r="K254" s="17" t="s">
        <v>684</v>
      </c>
      <c r="L254" s="21" t="s">
        <v>683</v>
      </c>
    </row>
    <row r="255" spans="1:12" x14ac:dyDescent="0.2">
      <c r="A255" s="17" t="s">
        <v>181</v>
      </c>
      <c r="B255" s="17">
        <v>0</v>
      </c>
      <c r="C255" s="17" t="s">
        <v>183</v>
      </c>
      <c r="D255" s="17" t="s">
        <v>278</v>
      </c>
      <c r="E255" s="18">
        <v>43062</v>
      </c>
      <c r="F255" s="18">
        <v>43097</v>
      </c>
      <c r="G255" s="19">
        <v>36</v>
      </c>
      <c r="H255" s="19">
        <v>96300000</v>
      </c>
      <c r="I255" s="19">
        <f>H255*60%</f>
        <v>57780000</v>
      </c>
      <c r="J255" s="20">
        <f>1/600</f>
        <v>1.6666666666666668E-3</v>
      </c>
      <c r="K255" s="17" t="s">
        <v>2</v>
      </c>
      <c r="L255" s="21" t="s">
        <v>352</v>
      </c>
    </row>
    <row r="256" spans="1:12" x14ac:dyDescent="0.2">
      <c r="A256" s="17" t="s">
        <v>181</v>
      </c>
      <c r="B256" s="17">
        <v>1</v>
      </c>
      <c r="C256" s="17" t="s">
        <v>183</v>
      </c>
      <c r="D256" s="17" t="s">
        <v>278</v>
      </c>
      <c r="E256" s="18">
        <v>43023</v>
      </c>
      <c r="F256" s="18"/>
      <c r="G256" s="19"/>
      <c r="H256" s="19">
        <v>96300000</v>
      </c>
      <c r="I256" s="19"/>
      <c r="J256" s="20"/>
      <c r="K256" s="17"/>
      <c r="L256" s="21" t="s">
        <v>352</v>
      </c>
    </row>
    <row r="257" spans="1:12" x14ac:dyDescent="0.2">
      <c r="A257" s="17" t="s">
        <v>181</v>
      </c>
      <c r="B257" s="17">
        <v>1</v>
      </c>
      <c r="C257" s="17" t="s">
        <v>183</v>
      </c>
      <c r="D257" s="17" t="s">
        <v>278</v>
      </c>
      <c r="E257" s="18">
        <v>43062</v>
      </c>
      <c r="F257" s="18">
        <v>43097</v>
      </c>
      <c r="G257" s="19">
        <v>36</v>
      </c>
      <c r="H257" s="19">
        <v>96300000</v>
      </c>
      <c r="I257" s="19">
        <f>H257*60%</f>
        <v>57780000</v>
      </c>
      <c r="J257" s="20">
        <v>1.6666666666666668E-3</v>
      </c>
      <c r="K257" s="17" t="s">
        <v>2</v>
      </c>
      <c r="L257" s="21" t="s">
        <v>453</v>
      </c>
    </row>
    <row r="258" spans="1:12" x14ac:dyDescent="0.2">
      <c r="A258" s="17" t="s">
        <v>99</v>
      </c>
      <c r="B258" s="17">
        <v>1</v>
      </c>
      <c r="C258" s="17" t="s">
        <v>188</v>
      </c>
      <c r="D258" s="17" t="s">
        <v>278</v>
      </c>
      <c r="E258" s="18">
        <v>43285</v>
      </c>
      <c r="F258" s="18">
        <v>43312</v>
      </c>
      <c r="G258" s="19">
        <v>28</v>
      </c>
      <c r="H258" s="19">
        <v>5000000000</v>
      </c>
      <c r="I258" s="19">
        <f>H258*5%</f>
        <v>250000000</v>
      </c>
      <c r="J258" s="20">
        <v>2.6800000000000001E-2</v>
      </c>
      <c r="K258" s="17" t="s">
        <v>259</v>
      </c>
      <c r="L258" s="21" t="s">
        <v>626</v>
      </c>
    </row>
    <row r="259" spans="1:12" x14ac:dyDescent="0.2">
      <c r="A259" s="17" t="s">
        <v>99</v>
      </c>
      <c r="B259" s="17">
        <v>0</v>
      </c>
      <c r="C259" s="17" t="s">
        <v>183</v>
      </c>
      <c r="D259" s="17" t="s">
        <v>278</v>
      </c>
      <c r="E259" s="18">
        <v>43312</v>
      </c>
      <c r="F259" s="18">
        <v>43392</v>
      </c>
      <c r="G259" s="19">
        <v>81</v>
      </c>
      <c r="H259" s="19">
        <v>5000000000</v>
      </c>
      <c r="I259" s="19">
        <v>1750000000</v>
      </c>
      <c r="J259" s="20">
        <v>5.57E-2</v>
      </c>
      <c r="K259" s="17" t="s">
        <v>259</v>
      </c>
    </row>
    <row r="260" spans="1:12" x14ac:dyDescent="0.2">
      <c r="A260" s="17" t="s">
        <v>214</v>
      </c>
      <c r="B260" s="17">
        <v>0</v>
      </c>
      <c r="C260" s="17" t="s">
        <v>183</v>
      </c>
      <c r="D260" s="17" t="s">
        <v>278</v>
      </c>
      <c r="E260" s="18">
        <v>43033</v>
      </c>
      <c r="F260" s="18">
        <v>43064</v>
      </c>
      <c r="G260" s="19">
        <v>31</v>
      </c>
      <c r="H260" s="19">
        <v>1000000000</v>
      </c>
      <c r="I260" s="19">
        <v>600000000</v>
      </c>
      <c r="J260" s="20">
        <f>1/7000</f>
        <v>1.4285714285714287E-4</v>
      </c>
      <c r="K260" s="17" t="s">
        <v>2</v>
      </c>
      <c r="L260" s="21" t="s">
        <v>393</v>
      </c>
    </row>
    <row r="261" spans="1:12" x14ac:dyDescent="0.2">
      <c r="A261" s="17" t="s">
        <v>404</v>
      </c>
      <c r="B261" s="17">
        <v>0</v>
      </c>
      <c r="C261" s="17" t="s">
        <v>183</v>
      </c>
      <c r="D261" s="17" t="s">
        <v>402</v>
      </c>
      <c r="E261" s="18">
        <v>42849</v>
      </c>
      <c r="F261" s="18">
        <v>42849</v>
      </c>
      <c r="G261" s="19">
        <v>1</v>
      </c>
      <c r="H261" s="19">
        <v>10000000</v>
      </c>
      <c r="I261" s="19">
        <v>9000000</v>
      </c>
      <c r="J261" s="20">
        <v>2.2222222222222223E-4</v>
      </c>
      <c r="K261" s="17" t="s">
        <v>2</v>
      </c>
      <c r="L261" s="21" t="s">
        <v>403</v>
      </c>
    </row>
    <row r="262" spans="1:12" x14ac:dyDescent="0.2">
      <c r="A262" s="17" t="s">
        <v>209</v>
      </c>
      <c r="B262" s="17">
        <v>0</v>
      </c>
      <c r="C262" s="17" t="s">
        <v>183</v>
      </c>
      <c r="D262" s="17" t="s">
        <v>278</v>
      </c>
      <c r="E262" s="18">
        <v>43025</v>
      </c>
      <c r="F262" s="18">
        <v>43069</v>
      </c>
      <c r="G262" s="19">
        <v>45</v>
      </c>
      <c r="H262" s="19">
        <v>700000000</v>
      </c>
      <c r="I262" s="19">
        <f>H262*31%</f>
        <v>217000000</v>
      </c>
      <c r="J262" s="20">
        <v>0.15</v>
      </c>
      <c r="K262" s="17" t="s">
        <v>259</v>
      </c>
      <c r="L262" s="21" t="s">
        <v>703</v>
      </c>
    </row>
    <row r="263" spans="1:12" x14ac:dyDescent="0.2">
      <c r="A263" s="17" t="s">
        <v>8</v>
      </c>
      <c r="B263" s="17">
        <v>1</v>
      </c>
      <c r="C263" s="17" t="s">
        <v>188</v>
      </c>
      <c r="D263" s="17" t="s">
        <v>278</v>
      </c>
      <c r="E263" s="18"/>
      <c r="F263" s="18"/>
      <c r="G263" s="19"/>
      <c r="H263" s="19">
        <v>10000000000</v>
      </c>
      <c r="I263" s="19">
        <v>200000000</v>
      </c>
      <c r="J263" s="20">
        <v>2.5999999999999999E-2</v>
      </c>
      <c r="K263" s="17" t="s">
        <v>259</v>
      </c>
      <c r="L263" s="23" t="s">
        <v>281</v>
      </c>
    </row>
    <row r="264" spans="1:12" x14ac:dyDescent="0.2">
      <c r="A264" s="17" t="s">
        <v>8</v>
      </c>
      <c r="B264" s="17">
        <v>1</v>
      </c>
      <c r="C264" s="17" t="s">
        <v>188</v>
      </c>
      <c r="D264" s="17" t="s">
        <v>278</v>
      </c>
      <c r="E264" s="18"/>
      <c r="F264" s="18"/>
      <c r="G264" s="19"/>
      <c r="H264" s="19">
        <v>10000000000</v>
      </c>
      <c r="I264" s="19">
        <v>3400000000</v>
      </c>
      <c r="J264" s="20">
        <v>3.0000000000000001E-3</v>
      </c>
      <c r="K264" s="17" t="s">
        <v>259</v>
      </c>
      <c r="L264" s="16" t="s">
        <v>282</v>
      </c>
    </row>
    <row r="265" spans="1:12" x14ac:dyDescent="0.2">
      <c r="A265" s="17" t="s">
        <v>8</v>
      </c>
      <c r="B265" s="17">
        <v>0</v>
      </c>
      <c r="C265" s="17" t="s">
        <v>183</v>
      </c>
      <c r="D265" s="17" t="s">
        <v>278</v>
      </c>
      <c r="E265" s="18">
        <v>44126</v>
      </c>
      <c r="F265" s="18">
        <v>44127</v>
      </c>
      <c r="G265" s="19">
        <v>2</v>
      </c>
      <c r="H265" s="19">
        <v>10000000000</v>
      </c>
      <c r="I265" s="19">
        <v>400000000</v>
      </c>
      <c r="J265" s="20">
        <v>0.03</v>
      </c>
      <c r="K265" s="17" t="s">
        <v>259</v>
      </c>
      <c r="L265" s="21" t="s">
        <v>276</v>
      </c>
    </row>
    <row r="266" spans="1:12" x14ac:dyDescent="0.2">
      <c r="A266" s="17" t="s">
        <v>83</v>
      </c>
      <c r="B266" s="17">
        <v>0</v>
      </c>
      <c r="C266" s="17" t="s">
        <v>183</v>
      </c>
      <c r="D266" s="17" t="s">
        <v>278</v>
      </c>
      <c r="E266" s="18">
        <v>43563</v>
      </c>
      <c r="F266" s="18">
        <v>43576</v>
      </c>
      <c r="G266" s="19">
        <v>13</v>
      </c>
      <c r="H266" s="19">
        <v>1000000000</v>
      </c>
      <c r="I266" s="19">
        <v>300000000</v>
      </c>
      <c r="J266" s="20">
        <v>0.5</v>
      </c>
      <c r="K266" s="17" t="s">
        <v>259</v>
      </c>
      <c r="L266" s="21" t="s">
        <v>326</v>
      </c>
    </row>
    <row r="267" spans="1:12" x14ac:dyDescent="0.2">
      <c r="A267" s="17" t="s">
        <v>203</v>
      </c>
      <c r="B267" s="17">
        <v>0</v>
      </c>
      <c r="C267" s="17" t="s">
        <v>183</v>
      </c>
      <c r="D267" s="17" t="s">
        <v>278</v>
      </c>
      <c r="E267" s="18">
        <v>43082</v>
      </c>
      <c r="F267" s="18">
        <v>43083</v>
      </c>
      <c r="G267" s="19">
        <v>1</v>
      </c>
      <c r="H267" s="19">
        <v>1000000000</v>
      </c>
      <c r="I267" s="19">
        <v>300000000</v>
      </c>
      <c r="J267" s="20">
        <v>1.429E-4</v>
      </c>
      <c r="K267" s="17" t="s">
        <v>2</v>
      </c>
      <c r="L267" s="21" t="s">
        <v>450</v>
      </c>
    </row>
    <row r="268" spans="1:12" x14ac:dyDescent="0.2">
      <c r="A268" s="17" t="s">
        <v>49</v>
      </c>
      <c r="B268" s="17">
        <v>0</v>
      </c>
      <c r="C268" s="17" t="s">
        <v>183</v>
      </c>
      <c r="D268" s="17" t="s">
        <v>278</v>
      </c>
      <c r="E268" s="18">
        <v>43885</v>
      </c>
      <c r="F268" s="18">
        <v>43885</v>
      </c>
      <c r="G268" s="19">
        <v>1</v>
      </c>
      <c r="H268" s="19">
        <v>5000000000</v>
      </c>
      <c r="I268" s="19">
        <v>400000000</v>
      </c>
      <c r="J268" s="20">
        <v>0.01</v>
      </c>
      <c r="K268" s="17" t="s">
        <v>259</v>
      </c>
      <c r="L268" s="21" t="s">
        <v>330</v>
      </c>
    </row>
    <row r="269" spans="1:12" x14ac:dyDescent="0.2">
      <c r="A269" s="17" t="s">
        <v>419</v>
      </c>
      <c r="B269" s="17">
        <v>0</v>
      </c>
      <c r="C269" s="17" t="s">
        <v>183</v>
      </c>
      <c r="D269" s="17" t="s">
        <v>278</v>
      </c>
      <c r="E269" s="18">
        <v>43132</v>
      </c>
      <c r="F269" s="18">
        <v>43159</v>
      </c>
      <c r="G269" s="19">
        <v>28</v>
      </c>
      <c r="H269" s="19">
        <v>50000000</v>
      </c>
      <c r="I269" s="19">
        <v>40000000</v>
      </c>
      <c r="J269" s="20">
        <v>5.0000000000000001E-3</v>
      </c>
      <c r="K269" s="17" t="s">
        <v>2</v>
      </c>
      <c r="L269" s="21" t="s">
        <v>420</v>
      </c>
    </row>
    <row r="270" spans="1:12" x14ac:dyDescent="0.2">
      <c r="A270" s="17" t="s">
        <v>596</v>
      </c>
      <c r="B270" s="17">
        <v>0</v>
      </c>
      <c r="C270" s="17" t="s">
        <v>183</v>
      </c>
      <c r="D270" s="17" t="s">
        <v>278</v>
      </c>
      <c r="E270" s="18">
        <v>44075</v>
      </c>
      <c r="F270" s="18">
        <v>44086</v>
      </c>
      <c r="G270" s="19">
        <v>12</v>
      </c>
      <c r="H270" s="19">
        <v>10000000000</v>
      </c>
      <c r="I270" s="19">
        <v>423000000</v>
      </c>
      <c r="J270" s="20">
        <v>13</v>
      </c>
      <c r="K270" s="17" t="s">
        <v>259</v>
      </c>
      <c r="L270" s="21" t="s">
        <v>597</v>
      </c>
    </row>
    <row r="271" spans="1:12" x14ac:dyDescent="0.2">
      <c r="A271" s="17" t="s">
        <v>129</v>
      </c>
      <c r="B271" s="17">
        <v>0</v>
      </c>
      <c r="C271" s="17" t="s">
        <v>183</v>
      </c>
      <c r="D271" s="17" t="s">
        <v>278</v>
      </c>
      <c r="E271" s="18">
        <v>43224</v>
      </c>
      <c r="F271" s="18">
        <v>43227</v>
      </c>
      <c r="G271" s="19">
        <v>3</v>
      </c>
      <c r="H271" s="19">
        <v>1300000000</v>
      </c>
      <c r="I271" s="19">
        <f>H271*80%</f>
        <v>1040000000</v>
      </c>
      <c r="J271" s="20">
        <v>2.9600000000000001E-2</v>
      </c>
      <c r="K271" s="17" t="s">
        <v>259</v>
      </c>
      <c r="L271" s="21" t="s">
        <v>755</v>
      </c>
    </row>
    <row r="272" spans="1:12" x14ac:dyDescent="0.2">
      <c r="A272" s="17" t="s">
        <v>132</v>
      </c>
      <c r="B272" s="17">
        <v>0</v>
      </c>
      <c r="C272" s="17" t="s">
        <v>183</v>
      </c>
      <c r="D272" s="17" t="s">
        <v>278</v>
      </c>
      <c r="E272" s="18">
        <v>42823</v>
      </c>
      <c r="F272" s="18">
        <v>42853</v>
      </c>
      <c r="G272" s="19">
        <v>31</v>
      </c>
      <c r="H272" s="19">
        <v>177000000000</v>
      </c>
      <c r="I272" s="19">
        <f>H272*75%</f>
        <v>132750000000</v>
      </c>
      <c r="J272" s="20">
        <v>0.15359</v>
      </c>
      <c r="K272" s="17" t="s">
        <v>259</v>
      </c>
      <c r="L272" s="21" t="s">
        <v>709</v>
      </c>
    </row>
    <row r="273" spans="1:12" x14ac:dyDescent="0.2">
      <c r="A273" s="17" t="s">
        <v>152</v>
      </c>
      <c r="B273" s="17">
        <v>0</v>
      </c>
      <c r="C273" s="17" t="s">
        <v>183</v>
      </c>
      <c r="D273" s="17" t="s">
        <v>278</v>
      </c>
      <c r="E273" s="18">
        <v>43123</v>
      </c>
      <c r="F273" s="18">
        <v>43159</v>
      </c>
      <c r="G273" s="19">
        <v>36</v>
      </c>
      <c r="H273" s="19">
        <v>500000000</v>
      </c>
      <c r="I273" s="19">
        <v>300000000</v>
      </c>
      <c r="J273" s="20">
        <v>1.52</v>
      </c>
      <c r="K273" s="17" t="s">
        <v>259</v>
      </c>
      <c r="L273" s="21" t="s">
        <v>751</v>
      </c>
    </row>
    <row r="274" spans="1:12" x14ac:dyDescent="0.2">
      <c r="A274" s="17" t="s">
        <v>421</v>
      </c>
      <c r="B274" s="17">
        <v>0</v>
      </c>
      <c r="C274" s="17" t="s">
        <v>183</v>
      </c>
      <c r="D274" s="17" t="s">
        <v>278</v>
      </c>
      <c r="E274" s="18">
        <v>42919</v>
      </c>
      <c r="F274" s="18">
        <v>42961</v>
      </c>
      <c r="G274" s="19">
        <v>43</v>
      </c>
      <c r="H274" s="19">
        <v>500000000</v>
      </c>
      <c r="I274" s="19">
        <v>375000000</v>
      </c>
      <c r="J274" s="20">
        <v>2.2749999999999999E-2</v>
      </c>
      <c r="K274" s="17" t="s">
        <v>259</v>
      </c>
      <c r="L274" s="21" t="s">
        <v>422</v>
      </c>
    </row>
    <row r="275" spans="1:12" x14ac:dyDescent="0.2">
      <c r="A275" s="17" t="s">
        <v>106</v>
      </c>
      <c r="B275" s="17">
        <v>0</v>
      </c>
      <c r="C275" s="17" t="s">
        <v>188</v>
      </c>
      <c r="D275" s="17" t="s">
        <v>278</v>
      </c>
      <c r="E275" s="18"/>
      <c r="F275" s="18"/>
      <c r="G275" s="19"/>
      <c r="H275" s="19">
        <v>469213710</v>
      </c>
      <c r="I275" s="19">
        <v>115989629</v>
      </c>
      <c r="J275" s="20">
        <v>0.879</v>
      </c>
      <c r="K275" s="17" t="s">
        <v>701</v>
      </c>
      <c r="L275" s="21" t="s">
        <v>700</v>
      </c>
    </row>
    <row r="276" spans="1:12" x14ac:dyDescent="0.2">
      <c r="A276" s="17" t="s">
        <v>106</v>
      </c>
      <c r="B276" s="17">
        <v>0</v>
      </c>
      <c r="C276" s="17" t="s">
        <v>188</v>
      </c>
      <c r="D276" s="17" t="s">
        <v>278</v>
      </c>
      <c r="E276" s="18"/>
      <c r="F276" s="18"/>
      <c r="G276" s="19"/>
      <c r="H276" s="19">
        <v>469213710</v>
      </c>
      <c r="I276" s="19">
        <v>32094217</v>
      </c>
      <c r="J276" s="20">
        <v>1.9</v>
      </c>
      <c r="K276" s="17" t="s">
        <v>701</v>
      </c>
      <c r="L276" s="16" t="s">
        <v>702</v>
      </c>
    </row>
    <row r="277" spans="1:12" x14ac:dyDescent="0.2">
      <c r="A277" s="17" t="s">
        <v>106</v>
      </c>
      <c r="B277" s="17">
        <v>1</v>
      </c>
      <c r="C277" s="17" t="s">
        <v>188</v>
      </c>
      <c r="D277" s="17" t="s">
        <v>278</v>
      </c>
      <c r="E277" s="18"/>
      <c r="F277" s="18">
        <v>43341</v>
      </c>
      <c r="G277" s="19"/>
      <c r="H277" s="19">
        <v>469213710</v>
      </c>
      <c r="I277" s="19">
        <f>H277*4.75</f>
        <v>2228765122.5</v>
      </c>
      <c r="J277" s="20">
        <f>102000000/2228765123</f>
        <v>4.576525312039352E-2</v>
      </c>
      <c r="K277" s="17" t="s">
        <v>701</v>
      </c>
    </row>
    <row r="278" spans="1:12" x14ac:dyDescent="0.2">
      <c r="A278" s="17" t="s">
        <v>524</v>
      </c>
      <c r="B278" s="17">
        <v>1</v>
      </c>
      <c r="C278" s="17" t="s">
        <v>188</v>
      </c>
      <c r="D278" s="17" t="s">
        <v>278</v>
      </c>
      <c r="E278" s="18"/>
      <c r="F278" s="18"/>
      <c r="G278" s="19"/>
      <c r="H278" s="19">
        <v>10000000</v>
      </c>
      <c r="I278" s="19">
        <v>1500000</v>
      </c>
      <c r="J278" s="20">
        <v>3.33</v>
      </c>
      <c r="K278" s="17" t="s">
        <v>259</v>
      </c>
      <c r="L278" s="21" t="s">
        <v>523</v>
      </c>
    </row>
    <row r="279" spans="1:12" x14ac:dyDescent="0.2">
      <c r="A279" s="17" t="s">
        <v>524</v>
      </c>
      <c r="B279" s="17">
        <v>0</v>
      </c>
      <c r="C279" s="17" t="s">
        <v>183</v>
      </c>
      <c r="D279" s="17" t="s">
        <v>278</v>
      </c>
      <c r="E279" s="18">
        <v>44285</v>
      </c>
      <c r="F279" s="18">
        <v>44285</v>
      </c>
      <c r="G279" s="19">
        <v>1</v>
      </c>
      <c r="H279" s="19">
        <v>10000000</v>
      </c>
      <c r="I279" s="19">
        <v>1000000</v>
      </c>
      <c r="J279" s="20">
        <v>50</v>
      </c>
      <c r="K279" s="17" t="s">
        <v>259</v>
      </c>
      <c r="L279" s="21" t="s">
        <v>525</v>
      </c>
    </row>
    <row r="280" spans="1:12" x14ac:dyDescent="0.2">
      <c r="A280" s="17" t="s">
        <v>119</v>
      </c>
      <c r="B280" s="17">
        <v>0</v>
      </c>
      <c r="C280" s="17" t="s">
        <v>183</v>
      </c>
      <c r="D280" s="17" t="s">
        <v>278</v>
      </c>
      <c r="E280" s="18">
        <v>43221</v>
      </c>
      <c r="F280" s="18">
        <v>43258</v>
      </c>
      <c r="G280" s="19">
        <v>38</v>
      </c>
      <c r="H280" s="19">
        <v>22490000000</v>
      </c>
      <c r="I280" s="19">
        <f>H280*37.35%</f>
        <v>8400015000</v>
      </c>
      <c r="J280" s="20">
        <v>5.0000000000000001E-3</v>
      </c>
      <c r="K280" s="17" t="s">
        <v>259</v>
      </c>
      <c r="L280" s="21" t="s">
        <v>754</v>
      </c>
    </row>
    <row r="281" spans="1:12" x14ac:dyDescent="0.2">
      <c r="A281" s="17" t="s">
        <v>114</v>
      </c>
      <c r="B281" s="17">
        <v>0</v>
      </c>
      <c r="C281" s="17" t="s">
        <v>183</v>
      </c>
      <c r="D281" s="17" t="s">
        <v>278</v>
      </c>
      <c r="E281" s="18">
        <v>43262</v>
      </c>
      <c r="F281" s="18">
        <v>43280</v>
      </c>
      <c r="G281" s="19">
        <v>19</v>
      </c>
      <c r="H281" s="19">
        <v>1000000000</v>
      </c>
      <c r="I281" s="19">
        <v>434300000</v>
      </c>
      <c r="J281" s="20">
        <v>1.2800000000000001E-2</v>
      </c>
      <c r="K281" s="17" t="s">
        <v>259</v>
      </c>
      <c r="L281" s="21" t="s">
        <v>637</v>
      </c>
    </row>
    <row r="282" spans="1:12" x14ac:dyDescent="0.2">
      <c r="A282" s="17" t="s">
        <v>394</v>
      </c>
      <c r="B282" s="17">
        <v>0</v>
      </c>
      <c r="C282" s="17" t="s">
        <v>183</v>
      </c>
      <c r="D282" s="17" t="s">
        <v>278</v>
      </c>
      <c r="E282" s="18">
        <v>43076</v>
      </c>
      <c r="F282" s="18">
        <v>43132</v>
      </c>
      <c r="G282" s="19">
        <v>26</v>
      </c>
      <c r="H282" s="19">
        <v>62500000</v>
      </c>
      <c r="I282" s="19">
        <f>H282*64%</f>
        <v>40000000</v>
      </c>
      <c r="J282" s="20">
        <v>1E-3</v>
      </c>
      <c r="K282" s="17" t="s">
        <v>2</v>
      </c>
      <c r="L282" s="21" t="s">
        <v>395</v>
      </c>
    </row>
    <row r="283" spans="1:12" x14ac:dyDescent="0.2">
      <c r="A283" s="17" t="s">
        <v>9</v>
      </c>
      <c r="B283" s="17">
        <v>0</v>
      </c>
      <c r="C283" s="17" t="s">
        <v>183</v>
      </c>
      <c r="D283" s="17" t="s">
        <v>278</v>
      </c>
      <c r="E283" s="18">
        <v>44123</v>
      </c>
      <c r="F283" s="18">
        <v>44124</v>
      </c>
      <c r="G283" s="19">
        <v>1</v>
      </c>
      <c r="H283" s="19">
        <v>100000000</v>
      </c>
      <c r="I283" s="19">
        <v>9000000</v>
      </c>
      <c r="J283" s="20">
        <v>0.4</v>
      </c>
      <c r="K283" s="17" t="s">
        <v>259</v>
      </c>
      <c r="L283" s="21" t="s">
        <v>317</v>
      </c>
    </row>
    <row r="284" spans="1:12" x14ac:dyDescent="0.2">
      <c r="A284" s="17" t="s">
        <v>243</v>
      </c>
      <c r="B284" s="17">
        <v>0</v>
      </c>
      <c r="C284" s="17" t="s">
        <v>183</v>
      </c>
      <c r="D284" s="17" t="s">
        <v>278</v>
      </c>
      <c r="E284" s="18">
        <v>42984</v>
      </c>
      <c r="F284" s="18">
        <v>43005</v>
      </c>
      <c r="G284" s="19">
        <v>20</v>
      </c>
      <c r="H284" s="19">
        <v>49145000</v>
      </c>
      <c r="I284" s="19">
        <f>H284*92.5%</f>
        <v>45459125</v>
      </c>
      <c r="J284" s="20">
        <v>1.02</v>
      </c>
      <c r="K284" s="17" t="s">
        <v>259</v>
      </c>
      <c r="L284" s="21" t="s">
        <v>704</v>
      </c>
    </row>
    <row r="285" spans="1:12" x14ac:dyDescent="0.2">
      <c r="A285" s="17" t="s">
        <v>85</v>
      </c>
      <c r="B285" s="17">
        <v>0</v>
      </c>
      <c r="C285" s="17" t="s">
        <v>183</v>
      </c>
      <c r="D285" s="17" t="s">
        <v>278</v>
      </c>
      <c r="E285" s="18">
        <v>43573</v>
      </c>
      <c r="F285" s="18">
        <v>43573</v>
      </c>
      <c r="G285" s="19">
        <v>1</v>
      </c>
      <c r="H285" s="19">
        <v>200000000</v>
      </c>
      <c r="I285" s="19">
        <v>40000000</v>
      </c>
      <c r="J285" s="20">
        <v>0.56999999999999995</v>
      </c>
      <c r="K285" s="17" t="s">
        <v>259</v>
      </c>
      <c r="L285" s="21" t="s">
        <v>621</v>
      </c>
    </row>
    <row r="286" spans="1:12" x14ac:dyDescent="0.2">
      <c r="A286" s="17" t="s">
        <v>140</v>
      </c>
      <c r="B286" s="17">
        <v>0</v>
      </c>
      <c r="C286" s="17" t="s">
        <v>183</v>
      </c>
      <c r="D286" s="17" t="s">
        <v>278</v>
      </c>
      <c r="E286" s="18">
        <v>42794</v>
      </c>
      <c r="F286" s="18">
        <v>42799</v>
      </c>
      <c r="G286" s="19">
        <v>6</v>
      </c>
      <c r="H286" s="19">
        <v>1800000000</v>
      </c>
      <c r="I286" s="19">
        <v>900000000</v>
      </c>
      <c r="J286" s="20">
        <f>1/70588.23529</f>
        <v>1.4166666667493057E-5</v>
      </c>
      <c r="K286" s="17" t="s">
        <v>2</v>
      </c>
      <c r="L286" s="21" t="s">
        <v>446</v>
      </c>
    </row>
    <row r="287" spans="1:12" x14ac:dyDescent="0.2">
      <c r="A287" s="17" t="s">
        <v>123</v>
      </c>
      <c r="B287" s="17">
        <v>0</v>
      </c>
      <c r="C287" s="17" t="s">
        <v>188</v>
      </c>
      <c r="D287" s="17" t="s">
        <v>278</v>
      </c>
      <c r="E287" s="18"/>
      <c r="F287" s="18">
        <v>43247</v>
      </c>
      <c r="G287" s="19"/>
      <c r="H287" s="19">
        <v>297000000</v>
      </c>
      <c r="I287" s="19">
        <f>297000000*65%</f>
        <v>193050000</v>
      </c>
      <c r="J287" s="20">
        <v>0.1</v>
      </c>
      <c r="K287" s="17" t="s">
        <v>259</v>
      </c>
      <c r="L287" s="21" t="s">
        <v>369</v>
      </c>
    </row>
    <row r="288" spans="1:12" x14ac:dyDescent="0.2">
      <c r="A288" s="17" t="s">
        <v>485</v>
      </c>
      <c r="B288" s="17">
        <v>1</v>
      </c>
      <c r="C288" s="17" t="s">
        <v>188</v>
      </c>
      <c r="D288" s="17" t="s">
        <v>278</v>
      </c>
      <c r="E288" s="18">
        <v>44308</v>
      </c>
      <c r="F288" s="18">
        <v>44314</v>
      </c>
      <c r="G288" s="19">
        <v>7</v>
      </c>
      <c r="H288" s="19">
        <v>30000</v>
      </c>
      <c r="I288" s="19">
        <v>1200</v>
      </c>
      <c r="J288" s="20">
        <v>6.04</v>
      </c>
      <c r="K288" s="17" t="s">
        <v>259</v>
      </c>
      <c r="L288" s="21" t="s">
        <v>486</v>
      </c>
    </row>
    <row r="289" spans="1:12" x14ac:dyDescent="0.2">
      <c r="A289" s="17" t="s">
        <v>485</v>
      </c>
      <c r="B289" s="17">
        <v>1</v>
      </c>
      <c r="C289" s="17" t="s">
        <v>188</v>
      </c>
      <c r="D289" s="17" t="s">
        <v>278</v>
      </c>
      <c r="E289" s="18">
        <v>44308</v>
      </c>
      <c r="F289" s="18">
        <v>44314</v>
      </c>
      <c r="G289" s="19">
        <v>7</v>
      </c>
      <c r="H289" s="19">
        <v>30000</v>
      </c>
      <c r="I289" s="19">
        <v>6300</v>
      </c>
      <c r="J289" s="20">
        <v>3.92</v>
      </c>
      <c r="K289" s="17" t="s">
        <v>259</v>
      </c>
      <c r="L289" s="21" t="s">
        <v>487</v>
      </c>
    </row>
    <row r="290" spans="1:12" x14ac:dyDescent="0.2">
      <c r="A290" s="17" t="s">
        <v>14</v>
      </c>
      <c r="B290" s="17">
        <v>0</v>
      </c>
      <c r="C290" s="17" t="s">
        <v>188</v>
      </c>
      <c r="D290" s="17" t="s">
        <v>278</v>
      </c>
      <c r="E290" s="18">
        <v>44113</v>
      </c>
      <c r="F290" s="18">
        <v>44113</v>
      </c>
      <c r="G290" s="19">
        <v>1</v>
      </c>
      <c r="H290" s="19">
        <v>150000000</v>
      </c>
      <c r="I290" s="19">
        <v>150000000</v>
      </c>
      <c r="J290" s="20">
        <v>0.1</v>
      </c>
      <c r="K290" s="17" t="s">
        <v>259</v>
      </c>
      <c r="L290" s="21" t="s">
        <v>305</v>
      </c>
    </row>
    <row r="291" spans="1:12" x14ac:dyDescent="0.2">
      <c r="A291" s="17" t="s">
        <v>189</v>
      </c>
      <c r="B291" s="17">
        <v>0</v>
      </c>
      <c r="C291" s="17" t="s">
        <v>183</v>
      </c>
      <c r="D291" s="17" t="s">
        <v>278</v>
      </c>
      <c r="E291" s="18">
        <v>43066</v>
      </c>
      <c r="F291" s="18">
        <v>43096</v>
      </c>
      <c r="G291" s="19">
        <v>31</v>
      </c>
      <c r="H291" s="19">
        <v>200000000</v>
      </c>
      <c r="I291" s="19">
        <v>120000000</v>
      </c>
      <c r="J291" s="20">
        <v>0.22500000000000001</v>
      </c>
      <c r="K291" s="17" t="s">
        <v>259</v>
      </c>
      <c r="L291" s="21" t="s">
        <v>423</v>
      </c>
    </row>
    <row r="292" spans="1:12" x14ac:dyDescent="0.2">
      <c r="A292" s="17" t="s">
        <v>45</v>
      </c>
      <c r="B292" s="17">
        <v>0</v>
      </c>
      <c r="C292" s="17" t="s">
        <v>188</v>
      </c>
      <c r="D292" s="17" t="s">
        <v>278</v>
      </c>
      <c r="E292" s="18">
        <v>43862</v>
      </c>
      <c r="F292" s="18">
        <v>43863</v>
      </c>
      <c r="G292" s="19">
        <v>2</v>
      </c>
      <c r="H292" s="19">
        <v>9900000000</v>
      </c>
      <c r="I292" s="19">
        <f>H292*11%</f>
        <v>1089000000</v>
      </c>
      <c r="J292" s="20" t="s">
        <v>605</v>
      </c>
      <c r="K292" s="17" t="s">
        <v>259</v>
      </c>
      <c r="L292" s="21" t="s">
        <v>606</v>
      </c>
    </row>
    <row r="293" spans="1:12" x14ac:dyDescent="0.2">
      <c r="A293" s="17" t="s">
        <v>45</v>
      </c>
      <c r="B293" s="17">
        <v>0</v>
      </c>
      <c r="C293" s="17" t="s">
        <v>183</v>
      </c>
      <c r="D293" s="17" t="s">
        <v>278</v>
      </c>
      <c r="E293" s="18">
        <v>43956</v>
      </c>
      <c r="F293" s="18">
        <v>43957</v>
      </c>
      <c r="G293" s="19">
        <v>2</v>
      </c>
      <c r="H293" s="19">
        <v>9900000000</v>
      </c>
      <c r="I293" s="19">
        <v>396000000</v>
      </c>
      <c r="J293" s="20">
        <v>2.0200000000000001E-3</v>
      </c>
      <c r="K293" s="17" t="s">
        <v>259</v>
      </c>
    </row>
    <row r="294" spans="1:12" x14ac:dyDescent="0.2">
      <c r="A294" s="17" t="s">
        <v>54</v>
      </c>
      <c r="B294" s="17">
        <v>0</v>
      </c>
      <c r="C294" s="17" t="s">
        <v>183</v>
      </c>
      <c r="D294" s="17" t="s">
        <v>278</v>
      </c>
      <c r="E294" s="18">
        <v>43761</v>
      </c>
      <c r="F294" s="18">
        <v>43762</v>
      </c>
      <c r="G294" s="19">
        <v>1</v>
      </c>
      <c r="H294" s="19">
        <v>100000000</v>
      </c>
      <c r="I294" s="19">
        <v>6520000</v>
      </c>
      <c r="J294" s="20">
        <v>0.46</v>
      </c>
      <c r="K294" s="17" t="s">
        <v>259</v>
      </c>
      <c r="L294" s="21" t="s">
        <v>331</v>
      </c>
    </row>
    <row r="295" spans="1:12" x14ac:dyDescent="0.2">
      <c r="A295" s="17" t="s">
        <v>52</v>
      </c>
      <c r="B295" s="17">
        <v>0</v>
      </c>
      <c r="C295" s="17" t="s">
        <v>183</v>
      </c>
      <c r="D295" s="17" t="s">
        <v>278</v>
      </c>
      <c r="E295" s="18">
        <v>43774</v>
      </c>
      <c r="F295" s="18">
        <v>43798</v>
      </c>
      <c r="G295" s="19">
        <v>25</v>
      </c>
      <c r="H295" s="19">
        <v>1000000000</v>
      </c>
      <c r="I295" s="19">
        <v>700000000</v>
      </c>
      <c r="J295" s="20">
        <v>1</v>
      </c>
      <c r="K295" s="17" t="s">
        <v>259</v>
      </c>
      <c r="L295" s="21" t="s">
        <v>360</v>
      </c>
    </row>
    <row r="296" spans="1:12" x14ac:dyDescent="0.2">
      <c r="A296" s="17" t="s">
        <v>662</v>
      </c>
      <c r="B296" s="17">
        <v>0</v>
      </c>
      <c r="C296" s="17" t="s">
        <v>188</v>
      </c>
      <c r="D296" s="17" t="s">
        <v>278</v>
      </c>
      <c r="E296" s="18"/>
      <c r="F296" s="18"/>
      <c r="G296" s="19"/>
      <c r="H296" s="19">
        <v>100000000</v>
      </c>
      <c r="I296" s="19">
        <v>35000000</v>
      </c>
      <c r="J296" s="20">
        <v>6.4000000000000001E-2</v>
      </c>
      <c r="K296" s="17" t="s">
        <v>259</v>
      </c>
      <c r="L296" s="21" t="s">
        <v>663</v>
      </c>
    </row>
    <row r="297" spans="1:12" x14ac:dyDescent="0.2">
      <c r="A297" s="17" t="s">
        <v>662</v>
      </c>
      <c r="B297" s="17">
        <v>0</v>
      </c>
      <c r="C297" s="17" t="s">
        <v>183</v>
      </c>
      <c r="D297" s="17" t="s">
        <v>278</v>
      </c>
      <c r="E297" s="18">
        <v>44302</v>
      </c>
      <c r="F297" s="18">
        <v>44303</v>
      </c>
      <c r="G297" s="19">
        <v>2</v>
      </c>
      <c r="H297" s="19">
        <v>100000000</v>
      </c>
      <c r="I297" s="19">
        <v>2000000</v>
      </c>
      <c r="J297" s="20">
        <v>0.09</v>
      </c>
      <c r="K297" s="17" t="s">
        <v>259</v>
      </c>
    </row>
    <row r="298" spans="1:12" x14ac:dyDescent="0.2">
      <c r="A298" s="17" t="s">
        <v>30</v>
      </c>
      <c r="B298" s="17">
        <v>0</v>
      </c>
      <c r="C298" s="17" t="s">
        <v>183</v>
      </c>
      <c r="D298" s="17" t="s">
        <v>278</v>
      </c>
      <c r="E298" s="18">
        <v>44056</v>
      </c>
      <c r="F298" s="18">
        <v>44057</v>
      </c>
      <c r="G298" s="19">
        <v>1</v>
      </c>
      <c r="H298" s="19"/>
      <c r="I298" s="19"/>
      <c r="J298" s="20">
        <f>1/600</f>
        <v>1.6666666666666668E-3</v>
      </c>
      <c r="K298" s="17" t="s">
        <v>2</v>
      </c>
      <c r="L298" s="21" t="s">
        <v>313</v>
      </c>
    </row>
    <row r="299" spans="1:12" x14ac:dyDescent="0.2">
      <c r="A299" s="17" t="s">
        <v>169</v>
      </c>
      <c r="B299" s="17">
        <v>1</v>
      </c>
      <c r="C299" s="17" t="s">
        <v>188</v>
      </c>
      <c r="D299" s="17" t="s">
        <v>436</v>
      </c>
      <c r="E299" s="18">
        <v>43054</v>
      </c>
      <c r="F299" s="18">
        <v>43083</v>
      </c>
      <c r="G299" s="19">
        <v>30</v>
      </c>
      <c r="H299" s="19">
        <v>6000000000</v>
      </c>
      <c r="I299" s="19"/>
      <c r="J299" s="20">
        <v>0.01</v>
      </c>
      <c r="K299" s="17" t="s">
        <v>259</v>
      </c>
      <c r="L299" s="21" t="s">
        <v>437</v>
      </c>
    </row>
    <row r="300" spans="1:12" x14ac:dyDescent="0.2">
      <c r="A300" s="17" t="s">
        <v>169</v>
      </c>
      <c r="B300" s="17">
        <v>1</v>
      </c>
      <c r="C300" s="17" t="s">
        <v>183</v>
      </c>
      <c r="D300" s="17" t="s">
        <v>278</v>
      </c>
      <c r="E300" s="18">
        <v>43084</v>
      </c>
      <c r="F300" s="18">
        <v>43093</v>
      </c>
      <c r="G300" s="19">
        <v>10</v>
      </c>
      <c r="H300" s="19">
        <v>6000000000</v>
      </c>
      <c r="I300" s="19"/>
      <c r="J300" s="20">
        <v>1.4999999999999999E-2</v>
      </c>
      <c r="K300" s="17" t="s">
        <v>259</v>
      </c>
    </row>
    <row r="301" spans="1:12" x14ac:dyDescent="0.2">
      <c r="A301" s="17" t="s">
        <v>169</v>
      </c>
      <c r="B301" s="17">
        <v>0</v>
      </c>
      <c r="C301" s="17" t="s">
        <v>183</v>
      </c>
      <c r="D301" s="17" t="s">
        <v>278</v>
      </c>
      <c r="E301" s="18">
        <v>43115</v>
      </c>
      <c r="F301" s="18">
        <v>43132</v>
      </c>
      <c r="G301" s="19">
        <v>18</v>
      </c>
      <c r="H301" s="19">
        <v>6000000000</v>
      </c>
      <c r="I301" s="19">
        <f>H301*33%</f>
        <v>1980000000</v>
      </c>
      <c r="J301" s="20">
        <v>1.4999999999999999E-2</v>
      </c>
      <c r="K301" s="17" t="s">
        <v>259</v>
      </c>
    </row>
    <row r="302" spans="1:12" x14ac:dyDescent="0.2">
      <c r="A302" s="17" t="s">
        <v>246</v>
      </c>
      <c r="B302" s="17">
        <v>0</v>
      </c>
      <c r="C302" s="17" t="s">
        <v>183</v>
      </c>
      <c r="D302" s="17" t="s">
        <v>278</v>
      </c>
      <c r="E302" s="18">
        <v>42975</v>
      </c>
      <c r="F302" s="18">
        <v>42994</v>
      </c>
      <c r="G302" s="19">
        <v>20</v>
      </c>
      <c r="H302" s="19">
        <v>600000000</v>
      </c>
      <c r="I302" s="19">
        <f>H302*74%</f>
        <v>444000000</v>
      </c>
      <c r="J302" s="20">
        <f>1/3000</f>
        <v>3.3333333333333332E-4</v>
      </c>
      <c r="K302" s="17" t="s">
        <v>2</v>
      </c>
      <c r="L302" s="21" t="s">
        <v>712</v>
      </c>
    </row>
    <row r="303" spans="1:12" x14ac:dyDescent="0.2">
      <c r="A303" s="17" t="s">
        <v>244</v>
      </c>
      <c r="B303" s="17">
        <v>0</v>
      </c>
      <c r="C303" s="17" t="s">
        <v>183</v>
      </c>
      <c r="D303" s="17" t="s">
        <v>278</v>
      </c>
      <c r="E303" s="18">
        <v>42989</v>
      </c>
      <c r="F303" s="18">
        <v>43002</v>
      </c>
      <c r="G303" s="19">
        <v>13</v>
      </c>
      <c r="H303" s="19">
        <v>1000000000000</v>
      </c>
      <c r="I303" s="19">
        <v>620000000000</v>
      </c>
      <c r="J303" s="20">
        <v>1E-4</v>
      </c>
      <c r="K303" s="17" t="s">
        <v>259</v>
      </c>
      <c r="L303" s="21" t="s">
        <v>724</v>
      </c>
    </row>
    <row r="304" spans="1:12" x14ac:dyDescent="0.2">
      <c r="A304" s="17" t="s">
        <v>541</v>
      </c>
      <c r="B304" s="17">
        <v>0</v>
      </c>
      <c r="C304" s="17" t="s">
        <v>188</v>
      </c>
      <c r="D304" s="17" t="s">
        <v>278</v>
      </c>
      <c r="E304" s="18"/>
      <c r="F304" s="18"/>
      <c r="G304" s="19"/>
      <c r="H304" s="19">
        <v>100000000</v>
      </c>
      <c r="I304" s="19">
        <f>300000/0.1</f>
        <v>3000000</v>
      </c>
      <c r="J304" s="20">
        <v>0.1</v>
      </c>
      <c r="K304" s="17" t="s">
        <v>259</v>
      </c>
      <c r="L304" s="21" t="s">
        <v>542</v>
      </c>
    </row>
    <row r="305" spans="1:12" x14ac:dyDescent="0.2">
      <c r="A305" s="17" t="s">
        <v>541</v>
      </c>
      <c r="B305" s="17">
        <v>0</v>
      </c>
      <c r="C305" s="17" t="s">
        <v>188</v>
      </c>
      <c r="D305" s="17" t="s">
        <v>278</v>
      </c>
      <c r="E305" s="18"/>
      <c r="F305" s="18"/>
      <c r="G305" s="19"/>
      <c r="H305" s="19">
        <v>100000000</v>
      </c>
      <c r="I305" s="19">
        <f>1500000/0.2</f>
        <v>7500000</v>
      </c>
      <c r="J305" s="20">
        <v>0.2</v>
      </c>
      <c r="K305" s="17" t="s">
        <v>259</v>
      </c>
    </row>
    <row r="306" spans="1:12" x14ac:dyDescent="0.2">
      <c r="A306" s="17" t="s">
        <v>541</v>
      </c>
      <c r="B306" s="17">
        <v>1</v>
      </c>
      <c r="C306" s="17" t="s">
        <v>188</v>
      </c>
      <c r="D306" s="17" t="s">
        <v>278</v>
      </c>
      <c r="E306" s="18"/>
      <c r="F306" s="18"/>
      <c r="G306" s="19"/>
      <c r="H306" s="19">
        <v>100000000</v>
      </c>
      <c r="I306" s="19">
        <f>3200000/0.32</f>
        <v>10000000</v>
      </c>
      <c r="J306" s="20">
        <v>0.32</v>
      </c>
      <c r="K306" s="17" t="s">
        <v>259</v>
      </c>
    </row>
    <row r="307" spans="1:12" x14ac:dyDescent="0.2">
      <c r="A307" s="17" t="s">
        <v>541</v>
      </c>
      <c r="B307" s="17">
        <v>0</v>
      </c>
      <c r="C307" s="17" t="s">
        <v>183</v>
      </c>
      <c r="D307" s="17" t="s">
        <v>278</v>
      </c>
      <c r="E307" s="18">
        <v>44271</v>
      </c>
      <c r="F307" s="18">
        <v>44271</v>
      </c>
      <c r="G307" s="19"/>
      <c r="H307" s="19">
        <v>100000000</v>
      </c>
      <c r="I307" s="19">
        <f>200000/0.4</f>
        <v>500000</v>
      </c>
      <c r="J307" s="20">
        <v>0.4</v>
      </c>
      <c r="K307" s="17" t="s">
        <v>259</v>
      </c>
    </row>
    <row r="308" spans="1:12" x14ac:dyDescent="0.2">
      <c r="A308" s="17" t="s">
        <v>517</v>
      </c>
      <c r="B308" s="17">
        <v>1</v>
      </c>
      <c r="C308" s="17" t="s">
        <v>188</v>
      </c>
      <c r="D308" s="17" t="s">
        <v>278</v>
      </c>
      <c r="E308" s="18"/>
      <c r="F308" s="18"/>
      <c r="G308" s="19"/>
      <c r="H308" s="19">
        <v>10000000</v>
      </c>
      <c r="I308" s="19">
        <v>1000000</v>
      </c>
      <c r="J308" s="20">
        <v>0.3</v>
      </c>
      <c r="K308" s="17" t="s">
        <v>259</v>
      </c>
      <c r="L308" s="21" t="s">
        <v>515</v>
      </c>
    </row>
    <row r="309" spans="1:12" x14ac:dyDescent="0.2">
      <c r="A309" s="17" t="s">
        <v>517</v>
      </c>
      <c r="B309" s="17">
        <v>1</v>
      </c>
      <c r="C309" s="17" t="s">
        <v>188</v>
      </c>
      <c r="D309" s="17" t="s">
        <v>278</v>
      </c>
      <c r="E309" s="18"/>
      <c r="F309" s="18"/>
      <c r="G309" s="19"/>
      <c r="H309" s="19">
        <v>10000000</v>
      </c>
      <c r="I309" s="19">
        <v>1350000</v>
      </c>
      <c r="J309" s="20">
        <v>0.6</v>
      </c>
      <c r="K309" s="17" t="s">
        <v>259</v>
      </c>
      <c r="L309" s="21" t="s">
        <v>516</v>
      </c>
    </row>
    <row r="310" spans="1:12" x14ac:dyDescent="0.2">
      <c r="A310" s="17" t="s">
        <v>517</v>
      </c>
      <c r="B310" s="17">
        <v>0</v>
      </c>
      <c r="C310" s="17" t="s">
        <v>183</v>
      </c>
      <c r="D310" s="17" t="s">
        <v>402</v>
      </c>
      <c r="E310" s="18">
        <v>44295</v>
      </c>
      <c r="F310" s="18">
        <v>44295</v>
      </c>
      <c r="G310" s="19">
        <v>1</v>
      </c>
      <c r="H310" s="19">
        <v>10000000</v>
      </c>
      <c r="I310" s="19">
        <v>200000</v>
      </c>
      <c r="J310" s="20">
        <v>1</v>
      </c>
      <c r="K310" s="17" t="s">
        <v>259</v>
      </c>
    </row>
    <row r="311" spans="1:12" x14ac:dyDescent="0.2">
      <c r="A311" s="17" t="s">
        <v>548</v>
      </c>
      <c r="B311" s="17">
        <v>0</v>
      </c>
      <c r="C311" s="17" t="s">
        <v>188</v>
      </c>
      <c r="D311" s="17" t="s">
        <v>278</v>
      </c>
      <c r="E311" s="18"/>
      <c r="F311" s="18"/>
      <c r="G311" s="19"/>
      <c r="H311" s="19">
        <v>1000000000</v>
      </c>
      <c r="I311" s="19">
        <v>90000000</v>
      </c>
      <c r="J311" s="20">
        <v>0.03</v>
      </c>
      <c r="K311" s="17" t="s">
        <v>259</v>
      </c>
      <c r="L311" s="21" t="s">
        <v>549</v>
      </c>
    </row>
    <row r="312" spans="1:12" x14ac:dyDescent="0.2">
      <c r="A312" s="17" t="s">
        <v>548</v>
      </c>
      <c r="B312" s="17">
        <v>0</v>
      </c>
      <c r="C312" s="17" t="s">
        <v>183</v>
      </c>
      <c r="D312" s="17" t="s">
        <v>278</v>
      </c>
      <c r="E312" s="18">
        <v>44256</v>
      </c>
      <c r="F312" s="18">
        <v>44259</v>
      </c>
      <c r="G312" s="19">
        <v>4</v>
      </c>
      <c r="H312" s="19">
        <v>1000000000</v>
      </c>
      <c r="I312" s="19">
        <v>15000000</v>
      </c>
      <c r="J312" s="20">
        <v>5.0000000000000001E-3</v>
      </c>
      <c r="K312" s="17" t="s">
        <v>259</v>
      </c>
    </row>
    <row r="313" spans="1:12" x14ac:dyDescent="0.2">
      <c r="A313" s="17" t="s">
        <v>171</v>
      </c>
      <c r="B313" s="17">
        <v>0</v>
      </c>
      <c r="C313" s="17" t="s">
        <v>183</v>
      </c>
      <c r="D313" s="17" t="s">
        <v>278</v>
      </c>
      <c r="E313" s="18">
        <v>43105</v>
      </c>
      <c r="F313" s="18">
        <v>43113</v>
      </c>
      <c r="G313" s="19">
        <v>9</v>
      </c>
      <c r="H313" s="19">
        <v>250000000</v>
      </c>
      <c r="I313" s="19">
        <f>H313*60%</f>
        <v>150000000</v>
      </c>
      <c r="J313" s="20">
        <v>0.13</v>
      </c>
      <c r="K313" s="17" t="s">
        <v>259</v>
      </c>
      <c r="L313" s="21" t="s">
        <v>761</v>
      </c>
    </row>
    <row r="314" spans="1:12" x14ac:dyDescent="0.2">
      <c r="A314" s="17" t="s">
        <v>100</v>
      </c>
      <c r="B314" s="17">
        <v>0</v>
      </c>
      <c r="C314" s="17" t="s">
        <v>183</v>
      </c>
      <c r="D314" s="17" t="s">
        <v>278</v>
      </c>
      <c r="E314" s="18">
        <v>43362</v>
      </c>
      <c r="F314" s="18">
        <v>43368</v>
      </c>
      <c r="G314" s="19">
        <v>6</v>
      </c>
      <c r="H314" s="19">
        <v>10000000000</v>
      </c>
      <c r="I314" s="19"/>
      <c r="J314" s="20">
        <v>0.01</v>
      </c>
      <c r="K314" s="17" t="s">
        <v>259</v>
      </c>
      <c r="L314" s="21" t="s">
        <v>304</v>
      </c>
    </row>
    <row r="315" spans="1:12" x14ac:dyDescent="0.2">
      <c r="A315" s="17" t="s">
        <v>100</v>
      </c>
      <c r="B315" s="17">
        <v>0</v>
      </c>
      <c r="C315" s="17" t="s">
        <v>183</v>
      </c>
      <c r="D315" s="17" t="s">
        <v>278</v>
      </c>
      <c r="E315" s="18">
        <v>43368</v>
      </c>
      <c r="F315" s="18">
        <v>43375</v>
      </c>
      <c r="G315" s="19">
        <v>7</v>
      </c>
      <c r="H315" s="19">
        <v>10000000000</v>
      </c>
      <c r="I315" s="19"/>
      <c r="J315" s="20">
        <v>1.2500000000000001E-2</v>
      </c>
      <c r="K315" s="17" t="s">
        <v>259</v>
      </c>
    </row>
    <row r="316" spans="1:12" x14ac:dyDescent="0.2">
      <c r="A316" s="17" t="s">
        <v>237</v>
      </c>
      <c r="B316" s="17">
        <v>0</v>
      </c>
      <c r="C316" s="17" t="s">
        <v>183</v>
      </c>
      <c r="D316" s="17" t="s">
        <v>278</v>
      </c>
      <c r="E316" s="18">
        <v>42968</v>
      </c>
      <c r="F316" s="18">
        <v>43018</v>
      </c>
      <c r="G316" s="19">
        <v>51</v>
      </c>
      <c r="H316" s="19">
        <v>1000000000</v>
      </c>
      <c r="I316" s="19">
        <v>500000000</v>
      </c>
      <c r="J316" s="20">
        <f>1/714</f>
        <v>1.4005602240896359E-3</v>
      </c>
      <c r="K316" s="17" t="s">
        <v>2</v>
      </c>
      <c r="L316" s="21" t="s">
        <v>424</v>
      </c>
    </row>
    <row r="317" spans="1:12" x14ac:dyDescent="0.2">
      <c r="A317" s="17" t="s">
        <v>172</v>
      </c>
      <c r="B317" s="17">
        <v>0</v>
      </c>
      <c r="C317" s="17" t="s">
        <v>183</v>
      </c>
      <c r="D317" s="17" t="s">
        <v>278</v>
      </c>
      <c r="E317" s="18">
        <v>43054</v>
      </c>
      <c r="F317" s="18">
        <v>43112</v>
      </c>
      <c r="G317" s="19">
        <v>59</v>
      </c>
      <c r="H317" s="19">
        <v>300000000</v>
      </c>
      <c r="I317" s="19">
        <v>180000000</v>
      </c>
      <c r="J317" s="20">
        <v>0.08</v>
      </c>
      <c r="K317" s="17" t="s">
        <v>259</v>
      </c>
      <c r="L317" s="21" t="s">
        <v>447</v>
      </c>
    </row>
    <row r="318" spans="1:12" x14ac:dyDescent="0.2">
      <c r="A318" s="17" t="s">
        <v>126</v>
      </c>
      <c r="B318" s="17">
        <v>0</v>
      </c>
      <c r="C318" s="17" t="s">
        <v>183</v>
      </c>
      <c r="D318" s="17" t="s">
        <v>278</v>
      </c>
      <c r="E318" s="18">
        <v>43247</v>
      </c>
      <c r="F318" s="18">
        <v>43247</v>
      </c>
      <c r="G318" s="19">
        <v>1</v>
      </c>
      <c r="H318" s="19">
        <v>1600000000</v>
      </c>
      <c r="I318" s="19">
        <f>H318*25%</f>
        <v>400000000</v>
      </c>
      <c r="J318" s="20">
        <v>0.72</v>
      </c>
      <c r="K318" s="17" t="s">
        <v>259</v>
      </c>
      <c r="L318" s="21" t="s">
        <v>733</v>
      </c>
    </row>
    <row r="319" spans="1:12" x14ac:dyDescent="0.2">
      <c r="A319" s="17" t="s">
        <v>211</v>
      </c>
      <c r="B319" s="17">
        <v>0</v>
      </c>
      <c r="C319" s="17" t="s">
        <v>183</v>
      </c>
      <c r="D319" s="17" t="s">
        <v>278</v>
      </c>
      <c r="E319" s="18">
        <v>43064</v>
      </c>
      <c r="F319" s="18">
        <v>43068</v>
      </c>
      <c r="G319" s="19">
        <v>5</v>
      </c>
      <c r="H319" s="19">
        <v>1300000000</v>
      </c>
      <c r="I319" s="19">
        <f>H319*75%</f>
        <v>975000000</v>
      </c>
      <c r="J319" s="20">
        <f>1/27500</f>
        <v>3.6363636363636364E-5</v>
      </c>
      <c r="K319" s="17" t="s">
        <v>2</v>
      </c>
      <c r="L319" s="21" t="s">
        <v>764</v>
      </c>
    </row>
    <row r="320" spans="1:12" x14ac:dyDescent="0.2">
      <c r="A320" s="17" t="s">
        <v>77</v>
      </c>
      <c r="B320" s="17">
        <v>0</v>
      </c>
      <c r="C320" s="17" t="s">
        <v>188</v>
      </c>
      <c r="D320" s="17" t="s">
        <v>278</v>
      </c>
      <c r="E320" s="18">
        <v>43589</v>
      </c>
      <c r="F320" s="18">
        <v>43597</v>
      </c>
      <c r="G320" s="19">
        <v>9</v>
      </c>
      <c r="H320" s="19">
        <v>1000000000</v>
      </c>
      <c r="I320" s="19">
        <v>1000000000</v>
      </c>
      <c r="J320" s="20">
        <v>1</v>
      </c>
      <c r="K320" s="17" t="s">
        <v>259</v>
      </c>
      <c r="L320" s="21" t="s">
        <v>745</v>
      </c>
    </row>
    <row r="321" spans="1:12" x14ac:dyDescent="0.2">
      <c r="A321" s="17" t="s">
        <v>206</v>
      </c>
      <c r="B321" s="17">
        <v>0</v>
      </c>
      <c r="C321" s="17" t="s">
        <v>183</v>
      </c>
      <c r="D321" s="17" t="s">
        <v>278</v>
      </c>
      <c r="E321" s="18">
        <v>43046</v>
      </c>
      <c r="F321" s="18">
        <v>43076</v>
      </c>
      <c r="G321" s="19">
        <v>31</v>
      </c>
      <c r="H321" s="19">
        <v>1000000000</v>
      </c>
      <c r="I321" s="19">
        <v>400000000</v>
      </c>
      <c r="J321" s="20">
        <f>1/3000</f>
        <v>3.3333333333333332E-4</v>
      </c>
      <c r="K321" s="17" t="s">
        <v>2</v>
      </c>
      <c r="L321" s="21" t="s">
        <v>463</v>
      </c>
    </row>
    <row r="322" spans="1:12" x14ac:dyDescent="0.2">
      <c r="A322" s="17" t="s">
        <v>22</v>
      </c>
      <c r="B322" s="17">
        <v>1</v>
      </c>
      <c r="C322" s="17" t="s">
        <v>183</v>
      </c>
      <c r="D322" s="17" t="s">
        <v>278</v>
      </c>
      <c r="E322" s="18">
        <v>44087</v>
      </c>
      <c r="F322" s="18">
        <v>44087</v>
      </c>
      <c r="G322" s="19">
        <v>1</v>
      </c>
      <c r="H322" s="19">
        <v>1000000</v>
      </c>
      <c r="I322" s="19">
        <v>100000</v>
      </c>
      <c r="J322" s="20">
        <v>52</v>
      </c>
      <c r="K322" s="17" t="s">
        <v>259</v>
      </c>
      <c r="L322" s="21" t="s">
        <v>340</v>
      </c>
    </row>
    <row r="323" spans="1:12" x14ac:dyDescent="0.2">
      <c r="A323" s="17" t="s">
        <v>22</v>
      </c>
      <c r="B323" s="17">
        <v>0</v>
      </c>
      <c r="C323" s="17" t="s">
        <v>183</v>
      </c>
      <c r="D323" s="17" t="s">
        <v>278</v>
      </c>
      <c r="E323" s="18">
        <v>44087</v>
      </c>
      <c r="F323" s="18">
        <v>44087</v>
      </c>
      <c r="G323" s="19">
        <v>1</v>
      </c>
      <c r="H323" s="19">
        <v>1000000</v>
      </c>
      <c r="I323" s="19">
        <v>900000</v>
      </c>
      <c r="J323" s="20">
        <v>52</v>
      </c>
      <c r="K323" s="17" t="s">
        <v>259</v>
      </c>
      <c r="L323" s="21" t="s">
        <v>340</v>
      </c>
    </row>
    <row r="324" spans="1:12" x14ac:dyDescent="0.2">
      <c r="A324" s="17" t="s">
        <v>20</v>
      </c>
      <c r="B324" s="17">
        <v>0</v>
      </c>
      <c r="C324" s="17" t="s">
        <v>183</v>
      </c>
      <c r="D324" s="17" t="s">
        <v>278</v>
      </c>
      <c r="E324" s="18">
        <v>44091</v>
      </c>
      <c r="F324" s="18">
        <v>44091</v>
      </c>
      <c r="G324" s="19">
        <v>1</v>
      </c>
      <c r="H324" s="19">
        <v>10000000000</v>
      </c>
      <c r="I324" s="19">
        <f>310000/0.005</f>
        <v>62000000</v>
      </c>
      <c r="J324" s="20">
        <v>5.0000000000000001E-3</v>
      </c>
      <c r="K324" s="17" t="s">
        <v>259</v>
      </c>
      <c r="L324" s="21" t="s">
        <v>339</v>
      </c>
    </row>
    <row r="325" spans="1:12" x14ac:dyDescent="0.2">
      <c r="A325" s="17" t="s">
        <v>519</v>
      </c>
      <c r="B325" s="17">
        <v>1</v>
      </c>
      <c r="C325" s="17" t="s">
        <v>188</v>
      </c>
      <c r="D325" s="17" t="s">
        <v>278</v>
      </c>
      <c r="E325" s="18"/>
      <c r="F325" s="18"/>
      <c r="G325" s="19"/>
      <c r="H325" s="19">
        <v>100000000</v>
      </c>
      <c r="I325" s="19">
        <v>20000000</v>
      </c>
      <c r="J325" s="20">
        <v>4.7500000000000001E-2</v>
      </c>
      <c r="K325" s="17" t="s">
        <v>259</v>
      </c>
      <c r="L325" s="21" t="s">
        <v>518</v>
      </c>
    </row>
    <row r="326" spans="1:12" x14ac:dyDescent="0.2">
      <c r="A326" s="17" t="s">
        <v>519</v>
      </c>
      <c r="B326" s="17">
        <v>0</v>
      </c>
      <c r="C326" s="17" t="s">
        <v>183</v>
      </c>
      <c r="D326" s="17" t="s">
        <v>278</v>
      </c>
      <c r="E326" s="18">
        <v>44293</v>
      </c>
      <c r="F326" s="18">
        <v>44293</v>
      </c>
      <c r="G326" s="19">
        <v>1</v>
      </c>
      <c r="H326" s="19">
        <v>100000000</v>
      </c>
      <c r="I326" s="19">
        <v>3000000</v>
      </c>
      <c r="J326" s="20">
        <v>0.05</v>
      </c>
      <c r="K326" s="17" t="s">
        <v>259</v>
      </c>
      <c r="L326" s="21" t="s">
        <v>520</v>
      </c>
    </row>
    <row r="327" spans="1:12" x14ac:dyDescent="0.2">
      <c r="A327" s="17" t="s">
        <v>133</v>
      </c>
      <c r="B327" s="17">
        <v>1</v>
      </c>
      <c r="C327" s="17" t="s">
        <v>183</v>
      </c>
      <c r="D327" s="17" t="s">
        <v>278</v>
      </c>
      <c r="E327" s="18">
        <v>43168</v>
      </c>
      <c r="F327" s="18">
        <v>43175</v>
      </c>
      <c r="G327" s="19">
        <v>8</v>
      </c>
      <c r="H327" s="19">
        <v>1000000000</v>
      </c>
      <c r="I327" s="19">
        <f>H327*40%</f>
        <v>400000000</v>
      </c>
      <c r="J327" s="20">
        <v>1.66666E-2</v>
      </c>
      <c r="K327" s="17" t="s">
        <v>259</v>
      </c>
      <c r="L327" s="21" t="s">
        <v>756</v>
      </c>
    </row>
    <row r="328" spans="1:12" x14ac:dyDescent="0.2">
      <c r="A328" s="17" t="s">
        <v>133</v>
      </c>
      <c r="B328" s="17">
        <v>0</v>
      </c>
      <c r="C328" s="17" t="s">
        <v>183</v>
      </c>
      <c r="D328" s="17" t="s">
        <v>278</v>
      </c>
      <c r="E328" s="18">
        <v>43182</v>
      </c>
      <c r="F328" s="18">
        <v>43189</v>
      </c>
      <c r="G328" s="19">
        <v>8</v>
      </c>
      <c r="H328" s="19">
        <v>1000000000</v>
      </c>
      <c r="I328" s="19">
        <v>100000000</v>
      </c>
      <c r="J328" s="20">
        <v>0.02</v>
      </c>
      <c r="K328" s="17" t="s">
        <v>259</v>
      </c>
      <c r="L328" s="21" t="s">
        <v>757</v>
      </c>
    </row>
    <row r="329" spans="1:12" x14ac:dyDescent="0.2">
      <c r="A329" s="17" t="s">
        <v>498</v>
      </c>
      <c r="B329" s="17">
        <v>1</v>
      </c>
      <c r="C329" s="17" t="s">
        <v>188</v>
      </c>
      <c r="D329" s="17" t="s">
        <v>278</v>
      </c>
      <c r="E329" s="18"/>
      <c r="F329" s="18"/>
      <c r="G329" s="19"/>
      <c r="H329" s="19">
        <v>150000000</v>
      </c>
      <c r="I329" s="19">
        <v>36666666</v>
      </c>
      <c r="J329" s="20">
        <v>0.03</v>
      </c>
      <c r="K329" s="17" t="s">
        <v>259</v>
      </c>
      <c r="L329" s="21" t="s">
        <v>499</v>
      </c>
    </row>
    <row r="330" spans="1:12" x14ac:dyDescent="0.2">
      <c r="A330" s="17" t="s">
        <v>498</v>
      </c>
      <c r="B330" s="17">
        <v>0</v>
      </c>
      <c r="C330" s="17" t="s">
        <v>183</v>
      </c>
      <c r="D330" s="17" t="s">
        <v>278</v>
      </c>
      <c r="E330" s="18">
        <v>44317</v>
      </c>
      <c r="F330" s="18">
        <v>44318</v>
      </c>
      <c r="G330" s="19">
        <v>2</v>
      </c>
      <c r="H330" s="19">
        <v>150000000</v>
      </c>
      <c r="I330" s="19">
        <v>416666</v>
      </c>
      <c r="J330" s="20">
        <v>3.5999999999999997E-2</v>
      </c>
      <c r="K330" s="17" t="s">
        <v>259</v>
      </c>
    </row>
    <row r="331" spans="1:12" x14ac:dyDescent="0.2">
      <c r="A331" s="17" t="s">
        <v>498</v>
      </c>
      <c r="B331" s="17">
        <v>0</v>
      </c>
      <c r="C331" s="17" t="s">
        <v>183</v>
      </c>
      <c r="D331" s="17" t="s">
        <v>278</v>
      </c>
      <c r="E331" s="18">
        <v>44314</v>
      </c>
      <c r="F331" s="18">
        <v>44319</v>
      </c>
      <c r="G331" s="19">
        <v>6</v>
      </c>
      <c r="H331" s="19">
        <v>150000000</v>
      </c>
      <c r="I331" s="19">
        <v>4333333</v>
      </c>
      <c r="J331" s="20">
        <v>3.5999999999999997E-2</v>
      </c>
      <c r="K331" s="17" t="s">
        <v>259</v>
      </c>
    </row>
    <row r="332" spans="1:12" x14ac:dyDescent="0.2">
      <c r="A332" s="17" t="s">
        <v>498</v>
      </c>
      <c r="B332" s="17">
        <v>1</v>
      </c>
      <c r="C332" s="17" t="s">
        <v>188</v>
      </c>
      <c r="D332" s="17" t="s">
        <v>278</v>
      </c>
      <c r="E332" s="18"/>
      <c r="F332" s="18"/>
      <c r="G332" s="19"/>
      <c r="H332" s="19">
        <v>150000000</v>
      </c>
      <c r="I332" s="19">
        <v>11500000</v>
      </c>
      <c r="J332" s="20">
        <v>0.02</v>
      </c>
      <c r="K332" s="17" t="s">
        <v>259</v>
      </c>
    </row>
    <row r="333" spans="1:12" x14ac:dyDescent="0.2">
      <c r="A333" s="17" t="s">
        <v>275</v>
      </c>
      <c r="B333" s="17">
        <v>0</v>
      </c>
      <c r="C333" s="17" t="s">
        <v>183</v>
      </c>
      <c r="D333" s="17" t="s">
        <v>278</v>
      </c>
      <c r="E333" s="18">
        <v>44140</v>
      </c>
      <c r="F333" s="18">
        <v>44140</v>
      </c>
      <c r="G333" s="19">
        <v>1</v>
      </c>
      <c r="H333" s="19">
        <v>100000000</v>
      </c>
      <c r="I333" s="19">
        <v>285714</v>
      </c>
      <c r="J333" s="20">
        <v>0.35</v>
      </c>
      <c r="K333" s="17" t="s">
        <v>259</v>
      </c>
    </row>
    <row r="334" spans="1:12" x14ac:dyDescent="0.2">
      <c r="A334" s="17" t="s">
        <v>150</v>
      </c>
      <c r="B334" s="17">
        <v>1</v>
      </c>
      <c r="C334" s="17" t="s">
        <v>188</v>
      </c>
      <c r="D334" s="17" t="s">
        <v>278</v>
      </c>
      <c r="E334" s="18">
        <v>43123</v>
      </c>
      <c r="F334" s="18">
        <v>43134</v>
      </c>
      <c r="G334" s="19">
        <v>12</v>
      </c>
      <c r="H334" s="19">
        <v>1000000000</v>
      </c>
      <c r="I334" s="19">
        <v>90000000</v>
      </c>
      <c r="J334" s="20">
        <f>1/60000</f>
        <v>1.6666666666666667E-5</v>
      </c>
      <c r="K334" s="17" t="s">
        <v>2</v>
      </c>
      <c r="L334" s="21" t="s">
        <v>435</v>
      </c>
    </row>
    <row r="335" spans="1:12" x14ac:dyDescent="0.2">
      <c r="A335" s="17" t="s">
        <v>150</v>
      </c>
      <c r="B335" s="17">
        <v>1</v>
      </c>
      <c r="C335" s="17" t="s">
        <v>183</v>
      </c>
      <c r="D335" s="17" t="s">
        <v>278</v>
      </c>
      <c r="E335" s="18">
        <v>43123</v>
      </c>
      <c r="F335" s="18">
        <v>43134</v>
      </c>
      <c r="G335" s="19">
        <v>12</v>
      </c>
      <c r="H335" s="19">
        <v>1000000000</v>
      </c>
      <c r="I335" s="19">
        <v>175000000</v>
      </c>
      <c r="J335" s="20">
        <f>1/50000</f>
        <v>2.0000000000000002E-5</v>
      </c>
      <c r="K335" s="17" t="s">
        <v>2</v>
      </c>
    </row>
    <row r="336" spans="1:12" x14ac:dyDescent="0.2">
      <c r="A336" s="17" t="s">
        <v>150</v>
      </c>
      <c r="B336" s="17">
        <v>0</v>
      </c>
      <c r="C336" s="17" t="s">
        <v>183</v>
      </c>
      <c r="D336" s="17" t="s">
        <v>278</v>
      </c>
      <c r="E336" s="18">
        <v>43148</v>
      </c>
      <c r="F336" s="18">
        <v>43159</v>
      </c>
      <c r="G336" s="19">
        <v>12</v>
      </c>
      <c r="H336" s="19">
        <v>1000000000</v>
      </c>
      <c r="I336" s="19">
        <v>385000000</v>
      </c>
      <c r="J336" s="20">
        <f>1/40000</f>
        <v>2.5000000000000001E-5</v>
      </c>
      <c r="K336" s="17" t="s">
        <v>2</v>
      </c>
    </row>
    <row r="337" spans="1:12" x14ac:dyDescent="0.2">
      <c r="A337" s="17" t="s">
        <v>143</v>
      </c>
      <c r="B337" s="17">
        <v>0</v>
      </c>
      <c r="C337" s="17" t="s">
        <v>183</v>
      </c>
      <c r="D337" s="17" t="s">
        <v>278</v>
      </c>
      <c r="E337" s="18">
        <v>43159</v>
      </c>
      <c r="F337" s="18">
        <v>43160</v>
      </c>
      <c r="G337" s="19">
        <v>2</v>
      </c>
      <c r="H337" s="19">
        <v>220000000</v>
      </c>
      <c r="I337" s="19">
        <f>H337*28.4</f>
        <v>6248000000</v>
      </c>
      <c r="J337" s="20">
        <v>0.4</v>
      </c>
      <c r="K337" s="17" t="s">
        <v>259</v>
      </c>
      <c r="L337" s="21" t="s">
        <v>687</v>
      </c>
    </row>
    <row r="338" spans="1:12" x14ac:dyDescent="0.2">
      <c r="A338" s="17" t="s">
        <v>253</v>
      </c>
      <c r="B338" s="17">
        <v>0</v>
      </c>
      <c r="C338" s="17" t="s">
        <v>183</v>
      </c>
      <c r="D338" s="17" t="s">
        <v>278</v>
      </c>
      <c r="E338" s="18">
        <v>42963</v>
      </c>
      <c r="F338" s="18">
        <v>42965</v>
      </c>
      <c r="G338" s="19">
        <v>3</v>
      </c>
      <c r="H338" s="19">
        <v>2190000000</v>
      </c>
      <c r="I338" s="19">
        <f>H338*40%</f>
        <v>876000000</v>
      </c>
      <c r="J338" s="20">
        <f>24/1000</f>
        <v>2.4E-2</v>
      </c>
      <c r="K338" s="17" t="s">
        <v>259</v>
      </c>
      <c r="L338" s="21" t="s">
        <v>470</v>
      </c>
    </row>
    <row r="339" spans="1:12" x14ac:dyDescent="0.2">
      <c r="A339" s="17" t="s">
        <v>571</v>
      </c>
      <c r="B339" s="17">
        <v>0</v>
      </c>
      <c r="C339" s="17" t="s">
        <v>183</v>
      </c>
      <c r="D339" s="17" t="s">
        <v>278</v>
      </c>
      <c r="E339" s="18">
        <v>44228</v>
      </c>
      <c r="F339" s="18">
        <v>44228</v>
      </c>
      <c r="G339" s="19">
        <v>1</v>
      </c>
      <c r="H339" s="19">
        <v>10000000000</v>
      </c>
      <c r="I339" s="19">
        <v>500000000</v>
      </c>
      <c r="J339" s="20">
        <v>0.15</v>
      </c>
      <c r="K339" s="17" t="s">
        <v>259</v>
      </c>
      <c r="L339" s="21" t="s">
        <v>572</v>
      </c>
    </row>
    <row r="340" spans="1:12" x14ac:dyDescent="0.2">
      <c r="A340" s="17" t="s">
        <v>112</v>
      </c>
      <c r="B340" s="17">
        <v>0</v>
      </c>
      <c r="C340" s="17" t="s">
        <v>183</v>
      </c>
      <c r="D340" s="17" t="s">
        <v>278</v>
      </c>
      <c r="E340" s="18">
        <v>43282</v>
      </c>
      <c r="F340" s="18">
        <v>43282</v>
      </c>
      <c r="G340" s="19">
        <v>1</v>
      </c>
      <c r="H340" s="19">
        <v>500000000</v>
      </c>
      <c r="I340" s="19">
        <v>125000000</v>
      </c>
      <c r="J340" s="20">
        <f>1/10000</f>
        <v>1E-4</v>
      </c>
      <c r="K340" s="17" t="s">
        <v>2</v>
      </c>
    </row>
    <row r="341" spans="1:12" x14ac:dyDescent="0.2">
      <c r="A341" s="17" t="s">
        <v>639</v>
      </c>
      <c r="B341" s="17">
        <v>1</v>
      </c>
      <c r="C341" s="17" t="s">
        <v>188</v>
      </c>
      <c r="D341" s="17" t="s">
        <v>278</v>
      </c>
      <c r="E341" s="18">
        <v>43236</v>
      </c>
      <c r="F341" s="18">
        <v>43261</v>
      </c>
      <c r="G341" s="19">
        <v>26</v>
      </c>
      <c r="H341" s="19">
        <v>500000000</v>
      </c>
      <c r="I341" s="19">
        <v>125000000</v>
      </c>
      <c r="J341" s="20">
        <f>1/13500</f>
        <v>7.4074074074074073E-5</v>
      </c>
      <c r="K341" s="17" t="s">
        <v>2</v>
      </c>
      <c r="L341" s="21" t="s">
        <v>640</v>
      </c>
    </row>
    <row r="342" spans="1:12" x14ac:dyDescent="0.2">
      <c r="A342" s="17" t="s">
        <v>554</v>
      </c>
      <c r="B342" s="17">
        <v>0</v>
      </c>
      <c r="C342" s="17" t="s">
        <v>183</v>
      </c>
      <c r="D342" s="17" t="s">
        <v>278</v>
      </c>
      <c r="E342" s="18">
        <v>44247</v>
      </c>
      <c r="F342" s="18">
        <v>44252</v>
      </c>
      <c r="G342" s="19">
        <v>6</v>
      </c>
      <c r="H342" s="19">
        <v>100000000</v>
      </c>
      <c r="I342" s="19">
        <v>700000</v>
      </c>
      <c r="J342" s="20">
        <v>3.9</v>
      </c>
      <c r="K342" s="17" t="s">
        <v>259</v>
      </c>
      <c r="L342" s="26" t="s">
        <v>555</v>
      </c>
    </row>
    <row r="343" spans="1:12" x14ac:dyDescent="0.2">
      <c r="A343" s="17" t="s">
        <v>17</v>
      </c>
      <c r="B343" s="17">
        <v>0</v>
      </c>
      <c r="C343" s="17" t="s">
        <v>268</v>
      </c>
      <c r="D343" s="17" t="s">
        <v>278</v>
      </c>
      <c r="E343" s="18"/>
      <c r="F343" s="18"/>
      <c r="G343" s="19"/>
      <c r="H343" s="19">
        <v>7000000000</v>
      </c>
      <c r="I343" s="19">
        <f>750000/J343</f>
        <v>1500000000</v>
      </c>
      <c r="J343" s="20">
        <v>5.0000000000000001E-4</v>
      </c>
      <c r="K343" s="17" t="s">
        <v>259</v>
      </c>
      <c r="L343" s="21" t="s">
        <v>285</v>
      </c>
    </row>
    <row r="344" spans="1:12" x14ac:dyDescent="0.2">
      <c r="A344" s="17" t="s">
        <v>17</v>
      </c>
      <c r="B344" s="17">
        <v>0</v>
      </c>
      <c r="C344" s="17" t="s">
        <v>188</v>
      </c>
      <c r="D344" s="17" t="s">
        <v>278</v>
      </c>
      <c r="E344" s="18"/>
      <c r="F344" s="18"/>
      <c r="G344" s="19"/>
      <c r="H344" s="19">
        <v>7000000000</v>
      </c>
      <c r="I344" s="19">
        <f>2000000/J344</f>
        <v>1250000000</v>
      </c>
      <c r="J344" s="20">
        <v>1.6000000000000001E-3</v>
      </c>
      <c r="K344" s="17" t="s">
        <v>259</v>
      </c>
    </row>
    <row r="345" spans="1:12" x14ac:dyDescent="0.2">
      <c r="A345" s="17" t="s">
        <v>258</v>
      </c>
      <c r="B345" s="17">
        <v>0</v>
      </c>
      <c r="C345" s="17" t="s">
        <v>183</v>
      </c>
      <c r="D345" s="17" t="s">
        <v>278</v>
      </c>
      <c r="E345" s="18">
        <v>42872</v>
      </c>
      <c r="F345" s="18">
        <v>42903</v>
      </c>
      <c r="G345" s="19">
        <v>31</v>
      </c>
      <c r="H345" s="19">
        <v>31587682</v>
      </c>
      <c r="I345" s="19">
        <f>H345*30%</f>
        <v>9476304.5999999996</v>
      </c>
      <c r="J345" s="20">
        <f>1/132.74</f>
        <v>7.5335241826126253E-3</v>
      </c>
      <c r="K345" s="17" t="s">
        <v>2</v>
      </c>
      <c r="L345" s="21" t="s">
        <v>699</v>
      </c>
    </row>
    <row r="346" spans="1:12" x14ac:dyDescent="0.2">
      <c r="A346" s="17" t="s">
        <v>111</v>
      </c>
      <c r="B346" s="17">
        <v>0</v>
      </c>
      <c r="C346" s="17" t="s">
        <v>183</v>
      </c>
      <c r="D346" s="17" t="s">
        <v>402</v>
      </c>
      <c r="E346" s="18">
        <v>43251</v>
      </c>
      <c r="F346" s="18">
        <v>43294</v>
      </c>
      <c r="G346" s="19">
        <v>44</v>
      </c>
      <c r="H346" s="19">
        <v>400000000</v>
      </c>
      <c r="I346" s="19">
        <v>260000000</v>
      </c>
      <c r="J346" s="20">
        <v>7.0000000000000007E-2</v>
      </c>
      <c r="K346" s="17" t="s">
        <v>259</v>
      </c>
      <c r="L346" s="21" t="s">
        <v>749</v>
      </c>
    </row>
    <row r="347" spans="1:12" x14ac:dyDescent="0.2">
      <c r="A347" s="17" t="s">
        <v>367</v>
      </c>
      <c r="B347" s="17">
        <v>0</v>
      </c>
      <c r="C347" s="17" t="s">
        <v>183</v>
      </c>
      <c r="D347" s="17" t="s">
        <v>278</v>
      </c>
      <c r="E347" s="18">
        <v>43132</v>
      </c>
      <c r="F347" s="18">
        <v>43132</v>
      </c>
      <c r="G347" s="19">
        <v>1</v>
      </c>
      <c r="H347" s="19">
        <v>500000000</v>
      </c>
      <c r="I347" s="19">
        <f>H347*35%</f>
        <v>175000000</v>
      </c>
      <c r="J347" s="20">
        <v>0.25</v>
      </c>
      <c r="K347" s="17" t="s">
        <v>259</v>
      </c>
      <c r="L347" s="21" t="s">
        <v>368</v>
      </c>
    </row>
    <row r="348" spans="1:12" x14ac:dyDescent="0.2">
      <c r="A348" s="17" t="s">
        <v>507</v>
      </c>
      <c r="B348" s="17">
        <v>1</v>
      </c>
      <c r="C348" s="17" t="s">
        <v>188</v>
      </c>
      <c r="D348" s="17" t="s">
        <v>278</v>
      </c>
      <c r="E348" s="18"/>
      <c r="F348" s="18">
        <v>44291</v>
      </c>
      <c r="G348" s="19"/>
      <c r="H348" s="19">
        <v>120000000</v>
      </c>
      <c r="I348" s="19">
        <v>3000000</v>
      </c>
      <c r="J348" s="20" t="s">
        <v>508</v>
      </c>
      <c r="K348" s="17" t="s">
        <v>259</v>
      </c>
      <c r="L348" s="21" t="s">
        <v>509</v>
      </c>
    </row>
    <row r="349" spans="1:12" x14ac:dyDescent="0.2">
      <c r="A349" s="17" t="s">
        <v>507</v>
      </c>
      <c r="B349" s="17">
        <v>1</v>
      </c>
      <c r="C349" s="17" t="s">
        <v>188</v>
      </c>
      <c r="D349" s="17" t="s">
        <v>278</v>
      </c>
      <c r="E349" s="18"/>
      <c r="F349" s="18">
        <v>44291</v>
      </c>
      <c r="G349" s="19"/>
      <c r="H349" s="19">
        <v>120000000</v>
      </c>
      <c r="I349" s="19">
        <v>7000000</v>
      </c>
      <c r="J349" s="20">
        <v>6.5000000000000002E-2</v>
      </c>
      <c r="K349" s="17" t="s">
        <v>259</v>
      </c>
    </row>
    <row r="350" spans="1:12" x14ac:dyDescent="0.2">
      <c r="A350" s="17" t="s">
        <v>507</v>
      </c>
      <c r="B350" s="17">
        <v>1</v>
      </c>
      <c r="C350" s="17" t="s">
        <v>188</v>
      </c>
      <c r="D350" s="17" t="s">
        <v>278</v>
      </c>
      <c r="E350" s="18"/>
      <c r="F350" s="18">
        <v>44291</v>
      </c>
      <c r="G350" s="19"/>
      <c r="H350" s="19">
        <v>120000000</v>
      </c>
      <c r="I350" s="19">
        <v>10000000</v>
      </c>
      <c r="J350" s="20">
        <v>7.4999999999999997E-2</v>
      </c>
      <c r="K350" s="17" t="s">
        <v>259</v>
      </c>
    </row>
    <row r="351" spans="1:12" x14ac:dyDescent="0.2">
      <c r="A351" s="17" t="s">
        <v>507</v>
      </c>
      <c r="B351" s="17">
        <v>1</v>
      </c>
      <c r="C351" s="17" t="s">
        <v>188</v>
      </c>
      <c r="D351" s="17" t="s">
        <v>278</v>
      </c>
      <c r="E351" s="18"/>
      <c r="F351" s="18">
        <v>44291</v>
      </c>
      <c r="G351" s="19"/>
      <c r="H351" s="19">
        <v>120000000</v>
      </c>
      <c r="I351" s="19">
        <v>10000000</v>
      </c>
      <c r="J351" s="20">
        <v>8.5000000000000006E-2</v>
      </c>
      <c r="K351" s="17" t="s">
        <v>259</v>
      </c>
    </row>
    <row r="352" spans="1:12" x14ac:dyDescent="0.2">
      <c r="A352" s="17" t="s">
        <v>507</v>
      </c>
      <c r="B352" s="17">
        <v>0</v>
      </c>
      <c r="C352" s="17" t="s">
        <v>183</v>
      </c>
      <c r="D352" s="17" t="s">
        <v>278</v>
      </c>
      <c r="E352" s="18">
        <v>44307</v>
      </c>
      <c r="F352" s="18">
        <v>44308</v>
      </c>
      <c r="G352" s="19">
        <v>2</v>
      </c>
      <c r="H352" s="19">
        <v>120000000</v>
      </c>
      <c r="I352" s="19">
        <v>2000000</v>
      </c>
      <c r="J352" s="20">
        <v>0.1</v>
      </c>
      <c r="K352" s="17" t="s">
        <v>259</v>
      </c>
    </row>
    <row r="353" spans="1:12" x14ac:dyDescent="0.2">
      <c r="A353" s="17" t="s">
        <v>715</v>
      </c>
      <c r="B353" s="17">
        <v>0</v>
      </c>
      <c r="C353" s="17" t="s">
        <v>183</v>
      </c>
      <c r="D353" s="17" t="s">
        <v>186</v>
      </c>
      <c r="E353" s="18">
        <v>43269</v>
      </c>
      <c r="F353" s="18">
        <v>43276</v>
      </c>
      <c r="G353" s="19">
        <v>8</v>
      </c>
      <c r="H353" s="19">
        <v>10000000</v>
      </c>
      <c r="I353" s="19">
        <v>8000000</v>
      </c>
      <c r="J353" s="20">
        <v>2.7699999999999999E-3</v>
      </c>
      <c r="K353" s="17" t="s">
        <v>2</v>
      </c>
      <c r="L353" s="21" t="s">
        <v>716</v>
      </c>
    </row>
    <row r="354" spans="1:12" x14ac:dyDescent="0.2">
      <c r="A354" s="17" t="s">
        <v>491</v>
      </c>
      <c r="B354" s="17">
        <v>0</v>
      </c>
      <c r="C354" s="17" t="s">
        <v>183</v>
      </c>
      <c r="D354" s="17" t="s">
        <v>278</v>
      </c>
      <c r="E354" s="18">
        <v>44299</v>
      </c>
      <c r="F354" s="18">
        <v>44299</v>
      </c>
      <c r="G354" s="19">
        <v>1</v>
      </c>
      <c r="H354" s="19" t="s">
        <v>492</v>
      </c>
      <c r="I354" s="19" t="s">
        <v>185</v>
      </c>
      <c r="J354" s="20"/>
      <c r="K354" s="17"/>
      <c r="L354" s="21" t="s">
        <v>490</v>
      </c>
    </row>
    <row r="355" spans="1:12" x14ac:dyDescent="0.2">
      <c r="A355" s="17" t="s">
        <v>425</v>
      </c>
      <c r="B355" s="17">
        <v>0</v>
      </c>
      <c r="C355" s="17" t="s">
        <v>183</v>
      </c>
      <c r="D355" s="17" t="s">
        <v>278</v>
      </c>
      <c r="E355" s="18">
        <v>42781</v>
      </c>
      <c r="F355" s="18">
        <v>42782</v>
      </c>
      <c r="G355" s="19">
        <v>2</v>
      </c>
      <c r="H355" s="19">
        <v>750000000</v>
      </c>
      <c r="I355" s="19"/>
      <c r="J355" s="20">
        <v>5.83</v>
      </c>
      <c r="K355" s="17" t="s">
        <v>259</v>
      </c>
      <c r="L355" s="21" t="s">
        <v>426</v>
      </c>
    </row>
    <row r="356" spans="1:12" x14ac:dyDescent="0.2">
      <c r="A356" s="17" t="s">
        <v>96</v>
      </c>
      <c r="B356" s="17">
        <v>1</v>
      </c>
      <c r="C356" s="17" t="s">
        <v>188</v>
      </c>
      <c r="D356" s="17" t="s">
        <v>278</v>
      </c>
      <c r="E356" s="18">
        <v>43404</v>
      </c>
      <c r="F356" s="18">
        <v>43423</v>
      </c>
      <c r="G356" s="19">
        <v>41</v>
      </c>
      <c r="H356" s="19">
        <v>2000000000</v>
      </c>
      <c r="I356" s="19">
        <f>H356*17</f>
        <v>34000000000</v>
      </c>
      <c r="J356" s="20">
        <v>8.2500000000000004E-2</v>
      </c>
      <c r="K356" s="17" t="s">
        <v>259</v>
      </c>
      <c r="L356" s="21" t="s">
        <v>625</v>
      </c>
    </row>
    <row r="357" spans="1:12" x14ac:dyDescent="0.2">
      <c r="A357" s="17" t="s">
        <v>96</v>
      </c>
      <c r="B357" s="17">
        <v>0</v>
      </c>
      <c r="C357" s="17" t="s">
        <v>188</v>
      </c>
      <c r="D357" s="17" t="s">
        <v>278</v>
      </c>
      <c r="E357" s="18">
        <v>43382</v>
      </c>
      <c r="F357" s="18">
        <v>43422</v>
      </c>
      <c r="G357" s="19">
        <v>41</v>
      </c>
      <c r="H357" s="19">
        <v>2400000000</v>
      </c>
      <c r="I357" s="19">
        <f>H357*17%</f>
        <v>408000000</v>
      </c>
      <c r="J357" s="20">
        <v>8.2500000000000004E-2</v>
      </c>
      <c r="K357" s="17" t="s">
        <v>259</v>
      </c>
      <c r="L357" s="21" t="s">
        <v>747</v>
      </c>
    </row>
    <row r="358" spans="1:12" x14ac:dyDescent="0.2">
      <c r="A358" s="17" t="s">
        <v>513</v>
      </c>
      <c r="B358" s="17">
        <v>1</v>
      </c>
      <c r="C358" s="17" t="s">
        <v>188</v>
      </c>
      <c r="D358" s="17" t="s">
        <v>278</v>
      </c>
      <c r="E358" s="18"/>
      <c r="F358" s="18"/>
      <c r="G358" s="19"/>
      <c r="H358" s="19">
        <v>10000000</v>
      </c>
      <c r="I358" s="19">
        <v>560000</v>
      </c>
      <c r="J358" s="20">
        <v>0.7</v>
      </c>
      <c r="K358" s="17" t="s">
        <v>259</v>
      </c>
    </row>
    <row r="359" spans="1:12" x14ac:dyDescent="0.2">
      <c r="A359" s="17" t="s">
        <v>513</v>
      </c>
      <c r="B359" s="17">
        <v>0</v>
      </c>
      <c r="C359" s="17" t="s">
        <v>183</v>
      </c>
      <c r="D359" s="17" t="s">
        <v>278</v>
      </c>
      <c r="E359" s="18">
        <v>44302</v>
      </c>
      <c r="F359" s="18">
        <v>44302</v>
      </c>
      <c r="G359" s="19">
        <v>1</v>
      </c>
      <c r="H359" s="19">
        <v>10000000</v>
      </c>
      <c r="I359" s="19">
        <v>145000</v>
      </c>
      <c r="J359" s="20">
        <v>0.72499999999999998</v>
      </c>
      <c r="K359" s="17" t="s">
        <v>259</v>
      </c>
      <c r="L359" s="21" t="s">
        <v>514</v>
      </c>
    </row>
    <row r="360" spans="1:12" x14ac:dyDescent="0.2">
      <c r="A360" s="17" t="s">
        <v>251</v>
      </c>
      <c r="B360" s="17">
        <v>0</v>
      </c>
      <c r="C360" s="17" t="s">
        <v>183</v>
      </c>
      <c r="D360" s="17" t="s">
        <v>278</v>
      </c>
      <c r="E360" s="18">
        <v>42978</v>
      </c>
      <c r="F360" s="18">
        <v>42978</v>
      </c>
      <c r="G360" s="19">
        <v>1</v>
      </c>
      <c r="H360" s="19">
        <v>402400000</v>
      </c>
      <c r="I360" s="19">
        <v>201200000</v>
      </c>
      <c r="J360" s="20">
        <f>1/2400</f>
        <v>4.1666666666666669E-4</v>
      </c>
      <c r="K360" s="17" t="s">
        <v>2</v>
      </c>
      <c r="L360" s="21" t="s">
        <v>451</v>
      </c>
    </row>
    <row r="361" spans="1:12" x14ac:dyDescent="0.2">
      <c r="A361" s="17" t="s">
        <v>41</v>
      </c>
      <c r="B361" s="17">
        <v>0</v>
      </c>
      <c r="C361" s="17"/>
      <c r="D361" s="17" t="s">
        <v>278</v>
      </c>
      <c r="E361" s="18">
        <v>44026</v>
      </c>
      <c r="F361" s="18">
        <v>44027</v>
      </c>
      <c r="G361" s="19">
        <v>1</v>
      </c>
      <c r="H361" s="19">
        <v>230000000</v>
      </c>
      <c r="I361" s="19">
        <v>1610000</v>
      </c>
      <c r="J361" s="20">
        <v>0.5</v>
      </c>
      <c r="K361" s="17" t="s">
        <v>259</v>
      </c>
      <c r="L361" s="21" t="s">
        <v>315</v>
      </c>
    </row>
    <row r="362" spans="1:12" x14ac:dyDescent="0.2">
      <c r="A362" s="17" t="s">
        <v>222</v>
      </c>
      <c r="B362" s="17">
        <v>0</v>
      </c>
      <c r="C362" s="17" t="s">
        <v>183</v>
      </c>
      <c r="D362" s="17" t="s">
        <v>278</v>
      </c>
      <c r="E362" s="18">
        <v>42990</v>
      </c>
      <c r="F362" s="18" t="s">
        <v>472</v>
      </c>
      <c r="G362" s="19">
        <v>58</v>
      </c>
      <c r="H362" s="19">
        <v>314159265</v>
      </c>
      <c r="I362" s="19">
        <f>H362*60%</f>
        <v>188495559</v>
      </c>
      <c r="J362" s="20">
        <f>1/1164</f>
        <v>8.5910652920962198E-4</v>
      </c>
      <c r="K362" s="17" t="s">
        <v>2</v>
      </c>
      <c r="L362" s="21" t="s">
        <v>471</v>
      </c>
    </row>
    <row r="363" spans="1:12" x14ac:dyDescent="0.2">
      <c r="A363" s="17" t="s">
        <v>165</v>
      </c>
      <c r="B363" s="17">
        <v>0</v>
      </c>
      <c r="C363" s="17" t="s">
        <v>183</v>
      </c>
      <c r="D363" s="17" t="s">
        <v>278</v>
      </c>
      <c r="E363" s="18">
        <v>43123</v>
      </c>
      <c r="F363" s="18">
        <v>43123</v>
      </c>
      <c r="G363" s="19">
        <v>1</v>
      </c>
      <c r="H363" s="19">
        <v>500000000</v>
      </c>
      <c r="I363" s="19">
        <v>400000000</v>
      </c>
      <c r="J363" s="20">
        <v>8.6400000000000005E-2</v>
      </c>
      <c r="K363" s="17" t="s">
        <v>259</v>
      </c>
      <c r="L363" s="21" t="s">
        <v>741</v>
      </c>
    </row>
    <row r="364" spans="1:12" x14ac:dyDescent="0.2">
      <c r="A364" s="17" t="s">
        <v>656</v>
      </c>
      <c r="B364" s="17">
        <v>0</v>
      </c>
      <c r="C364" s="17" t="s">
        <v>183</v>
      </c>
      <c r="D364" s="17" t="s">
        <v>278</v>
      </c>
      <c r="E364" s="18">
        <v>44316</v>
      </c>
      <c r="F364" s="18">
        <v>44316</v>
      </c>
      <c r="G364" s="19">
        <v>1</v>
      </c>
      <c r="H364" s="19">
        <v>210000000</v>
      </c>
      <c r="I364" s="19">
        <f>300000/0.185</f>
        <v>1621621.6216216215</v>
      </c>
      <c r="J364" s="20">
        <v>0.185</v>
      </c>
      <c r="K364" s="17" t="s">
        <v>259</v>
      </c>
      <c r="L364" s="21" t="s">
        <v>657</v>
      </c>
    </row>
    <row r="365" spans="1:12" x14ac:dyDescent="0.2">
      <c r="A365" s="17" t="s">
        <v>714</v>
      </c>
      <c r="B365" s="17">
        <v>0</v>
      </c>
      <c r="C365" s="17" t="s">
        <v>183</v>
      </c>
      <c r="D365" s="17" t="s">
        <v>278</v>
      </c>
      <c r="E365" s="18">
        <v>42997</v>
      </c>
      <c r="F365" s="18">
        <v>43032</v>
      </c>
      <c r="G365" s="19">
        <v>36</v>
      </c>
      <c r="H365" s="19">
        <v>30000000</v>
      </c>
      <c r="I365" s="19">
        <f>H365*88%</f>
        <v>26400000</v>
      </c>
      <c r="J365" s="20">
        <v>0.89</v>
      </c>
      <c r="K365" s="17" t="s">
        <v>259</v>
      </c>
      <c r="L365" s="21" t="s">
        <v>713</v>
      </c>
    </row>
    <row r="366" spans="1:12" x14ac:dyDescent="0.2">
      <c r="A366" s="17" t="s">
        <v>199</v>
      </c>
      <c r="B366" s="17">
        <v>0</v>
      </c>
      <c r="C366" s="17" t="s">
        <v>183</v>
      </c>
      <c r="D366" s="17" t="s">
        <v>278</v>
      </c>
      <c r="E366" s="18">
        <v>43056</v>
      </c>
      <c r="F366" s="18">
        <v>43086</v>
      </c>
      <c r="G366" s="19">
        <v>31</v>
      </c>
      <c r="H366" s="19">
        <v>1500000000</v>
      </c>
      <c r="I366" s="19">
        <v>1500000000</v>
      </c>
      <c r="J366" s="20">
        <v>0.36</v>
      </c>
      <c r="K366" s="17" t="s">
        <v>259</v>
      </c>
      <c r="L366" s="21" t="s">
        <v>710</v>
      </c>
    </row>
    <row r="367" spans="1:12" x14ac:dyDescent="0.2">
      <c r="A367" s="17" t="s">
        <v>104</v>
      </c>
      <c r="B367" s="17">
        <v>0</v>
      </c>
      <c r="C367" s="17" t="s">
        <v>183</v>
      </c>
      <c r="D367" s="17" t="s">
        <v>278</v>
      </c>
      <c r="E367" s="18">
        <v>43346</v>
      </c>
      <c r="F367" s="18">
        <v>43357</v>
      </c>
      <c r="G367" s="19">
        <v>11</v>
      </c>
      <c r="H367" s="19">
        <v>50000000</v>
      </c>
      <c r="I367" s="19">
        <v>25000000</v>
      </c>
      <c r="J367" s="20">
        <v>1</v>
      </c>
      <c r="K367" s="17" t="s">
        <v>259</v>
      </c>
      <c r="L367" s="21" t="s">
        <v>328</v>
      </c>
    </row>
    <row r="368" spans="1:12" x14ac:dyDescent="0.2">
      <c r="A368" s="17" t="s">
        <v>134</v>
      </c>
      <c r="B368" s="17">
        <v>1</v>
      </c>
      <c r="C368" s="17" t="s">
        <v>188</v>
      </c>
      <c r="D368" s="17" t="s">
        <v>278</v>
      </c>
      <c r="E368" s="18">
        <v>43160</v>
      </c>
      <c r="F368" s="18">
        <v>43175</v>
      </c>
      <c r="G368" s="19">
        <f>F368-E368</f>
        <v>15</v>
      </c>
      <c r="H368" s="19">
        <v>1000000000</v>
      </c>
      <c r="I368" s="19">
        <f>H368*52.5%</f>
        <v>525000000</v>
      </c>
      <c r="J368" s="20">
        <v>0.1</v>
      </c>
      <c r="K368" s="17" t="s">
        <v>259</v>
      </c>
    </row>
    <row r="369" spans="1:12" x14ac:dyDescent="0.2">
      <c r="A369" s="17" t="s">
        <v>201</v>
      </c>
      <c r="B369" s="17">
        <v>1</v>
      </c>
      <c r="C369" s="17" t="s">
        <v>183</v>
      </c>
      <c r="D369" s="17" t="s">
        <v>278</v>
      </c>
      <c r="E369" s="18">
        <v>43059</v>
      </c>
      <c r="F369" s="18">
        <v>43066</v>
      </c>
      <c r="G369" s="19">
        <v>8</v>
      </c>
      <c r="H369" s="19">
        <v>400000000</v>
      </c>
      <c r="I369" s="19">
        <v>20000000</v>
      </c>
      <c r="J369" s="20">
        <v>0.7</v>
      </c>
      <c r="K369" s="17" t="s">
        <v>259</v>
      </c>
      <c r="L369" s="21" t="s">
        <v>452</v>
      </c>
    </row>
    <row r="370" spans="1:12" x14ac:dyDescent="0.2">
      <c r="A370" s="17" t="s">
        <v>201</v>
      </c>
      <c r="B370" s="17">
        <v>0</v>
      </c>
      <c r="C370" s="17" t="s">
        <v>183</v>
      </c>
      <c r="D370" s="17" t="s">
        <v>278</v>
      </c>
      <c r="E370" s="18">
        <v>43070</v>
      </c>
      <c r="F370" s="18">
        <v>43084</v>
      </c>
      <c r="G370" s="19">
        <v>15</v>
      </c>
      <c r="H370" s="19">
        <v>400000000</v>
      </c>
      <c r="I370" s="19">
        <v>200000000</v>
      </c>
      <c r="J370" s="20">
        <v>1</v>
      </c>
      <c r="K370" s="17" t="s">
        <v>259</v>
      </c>
      <c r="L370" s="21" t="s">
        <v>452</v>
      </c>
    </row>
    <row r="371" spans="1:12" x14ac:dyDescent="0.2">
      <c r="A371" s="17" t="s">
        <v>57</v>
      </c>
      <c r="B371" s="17">
        <v>0</v>
      </c>
      <c r="C371" s="17" t="s">
        <v>183</v>
      </c>
      <c r="D371" s="17" t="s">
        <v>278</v>
      </c>
      <c r="E371" s="18">
        <v>43719</v>
      </c>
      <c r="F371" s="18">
        <v>43719</v>
      </c>
      <c r="G371" s="19">
        <v>1</v>
      </c>
      <c r="H371" s="19">
        <v>10000000000</v>
      </c>
      <c r="I371" s="19">
        <v>750000000</v>
      </c>
      <c r="J371" s="20">
        <v>2.2000000000000001E-3</v>
      </c>
      <c r="K371" s="17" t="s">
        <v>259</v>
      </c>
      <c r="L371" s="26" t="s">
        <v>335</v>
      </c>
    </row>
    <row r="372" spans="1:12" x14ac:dyDescent="0.2">
      <c r="A372" s="17" t="s">
        <v>149</v>
      </c>
      <c r="B372" s="17">
        <v>0</v>
      </c>
      <c r="C372" s="17" t="s">
        <v>183</v>
      </c>
      <c r="D372" s="17" t="s">
        <v>278</v>
      </c>
      <c r="E372" s="18">
        <v>43122</v>
      </c>
      <c r="F372" s="18">
        <v>43159</v>
      </c>
      <c r="G372" s="19">
        <v>38</v>
      </c>
      <c r="H372" s="19">
        <v>50000000</v>
      </c>
      <c r="I372" s="19">
        <v>35000000</v>
      </c>
      <c r="J372" s="20">
        <f>1/1000</f>
        <v>1E-3</v>
      </c>
      <c r="K372" s="17" t="s">
        <v>259</v>
      </c>
      <c r="L372" s="21" t="s">
        <v>427</v>
      </c>
    </row>
    <row r="373" spans="1:12" x14ac:dyDescent="0.2">
      <c r="A373" s="17" t="s">
        <v>234</v>
      </c>
      <c r="B373" s="17">
        <v>0</v>
      </c>
      <c r="C373" s="17" t="s">
        <v>183</v>
      </c>
      <c r="D373" s="17" t="s">
        <v>278</v>
      </c>
      <c r="E373" s="18">
        <v>43005</v>
      </c>
      <c r="F373" s="18">
        <v>43021</v>
      </c>
      <c r="G373" s="19">
        <v>17</v>
      </c>
      <c r="H373" s="19">
        <v>860000000</v>
      </c>
      <c r="I373" s="19">
        <f>H373*37%</f>
        <v>318200000</v>
      </c>
      <c r="J373" s="20">
        <v>0.1</v>
      </c>
      <c r="K373" s="17" t="s">
        <v>259</v>
      </c>
      <c r="L373" s="21" t="s">
        <v>692</v>
      </c>
    </row>
    <row r="374" spans="1:12" x14ac:dyDescent="0.2">
      <c r="A374" s="17" t="s">
        <v>174</v>
      </c>
      <c r="B374" s="17">
        <v>1</v>
      </c>
      <c r="C374" s="17" t="s">
        <v>188</v>
      </c>
      <c r="D374" s="17" t="s">
        <v>402</v>
      </c>
      <c r="E374" s="18">
        <v>43033</v>
      </c>
      <c r="F374" s="18">
        <v>43101</v>
      </c>
      <c r="G374" s="19">
        <v>69</v>
      </c>
      <c r="H374" s="19">
        <v>100000000</v>
      </c>
      <c r="I374" s="19">
        <v>45000000</v>
      </c>
      <c r="J374" s="20">
        <f>21000000/45000000</f>
        <v>0.46666666666666667</v>
      </c>
      <c r="K374" s="17" t="s">
        <v>259</v>
      </c>
      <c r="L374" s="21" t="s">
        <v>406</v>
      </c>
    </row>
    <row r="375" spans="1:12" x14ac:dyDescent="0.2">
      <c r="A375" s="17" t="s">
        <v>174</v>
      </c>
      <c r="B375" s="17">
        <v>0</v>
      </c>
      <c r="C375" s="17" t="s">
        <v>183</v>
      </c>
      <c r="D375" s="17" t="s">
        <v>278</v>
      </c>
      <c r="E375" s="18">
        <v>43107</v>
      </c>
      <c r="F375" s="18">
        <v>43146</v>
      </c>
      <c r="G375" s="19">
        <v>40</v>
      </c>
      <c r="H375" s="19">
        <v>100000000</v>
      </c>
      <c r="I375" s="19">
        <v>15000000</v>
      </c>
      <c r="J375" s="20">
        <v>1E-3</v>
      </c>
      <c r="K375" s="17" t="s">
        <v>2</v>
      </c>
      <c r="L375" s="21" t="s">
        <v>405</v>
      </c>
    </row>
    <row r="376" spans="1:12" x14ac:dyDescent="0.2">
      <c r="A376" s="17" t="s">
        <v>563</v>
      </c>
      <c r="B376" s="17">
        <v>1</v>
      </c>
      <c r="C376" s="17" t="s">
        <v>183</v>
      </c>
      <c r="D376" s="17" t="s">
        <v>278</v>
      </c>
      <c r="E376" s="18"/>
      <c r="F376" s="18">
        <v>44196</v>
      </c>
      <c r="G376" s="19"/>
      <c r="H376" s="19">
        <v>50000000</v>
      </c>
      <c r="I376" s="19">
        <v>4000000</v>
      </c>
      <c r="J376" s="20">
        <v>0.25</v>
      </c>
      <c r="K376" s="17" t="s">
        <v>259</v>
      </c>
      <c r="L376" s="21" t="s">
        <v>562</v>
      </c>
    </row>
    <row r="377" spans="1:12" x14ac:dyDescent="0.2">
      <c r="A377" s="17" t="s">
        <v>563</v>
      </c>
      <c r="B377" s="17">
        <v>0</v>
      </c>
      <c r="C377" s="17" t="s">
        <v>183</v>
      </c>
      <c r="D377" s="17" t="s">
        <v>187</v>
      </c>
      <c r="E377" s="18" t="s">
        <v>564</v>
      </c>
      <c r="F377" s="18">
        <v>44233</v>
      </c>
      <c r="G377" s="19">
        <v>5</v>
      </c>
      <c r="H377" s="19">
        <v>50000000</v>
      </c>
      <c r="I377" s="19">
        <v>6000000</v>
      </c>
      <c r="J377" s="20">
        <v>0.73</v>
      </c>
      <c r="K377" s="17" t="s">
        <v>259</v>
      </c>
    </row>
    <row r="378" spans="1:12" x14ac:dyDescent="0.2">
      <c r="A378" s="17" t="s">
        <v>86</v>
      </c>
      <c r="B378" s="17">
        <v>0</v>
      </c>
      <c r="C378" s="17" t="s">
        <v>183</v>
      </c>
      <c r="D378" s="17" t="s">
        <v>278</v>
      </c>
      <c r="E378" s="18">
        <v>43566</v>
      </c>
      <c r="F378" s="18">
        <v>43566</v>
      </c>
      <c r="G378" s="19">
        <v>1</v>
      </c>
      <c r="H378" s="19">
        <v>10000000000</v>
      </c>
      <c r="I378" s="19">
        <f>H378*20%</f>
        <v>2000000000</v>
      </c>
      <c r="J378" s="20">
        <v>1.4E-3</v>
      </c>
      <c r="K378" s="17" t="s">
        <v>259</v>
      </c>
      <c r="L378" s="21" t="s">
        <v>479</v>
      </c>
    </row>
    <row r="379" spans="1:12" x14ac:dyDescent="0.2">
      <c r="A379" s="17" t="s">
        <v>634</v>
      </c>
      <c r="B379" s="17">
        <v>1</v>
      </c>
      <c r="C379" s="17" t="s">
        <v>188</v>
      </c>
      <c r="D379" s="17" t="s">
        <v>278</v>
      </c>
      <c r="E379" s="18">
        <v>44263</v>
      </c>
      <c r="F379" s="18">
        <v>44265</v>
      </c>
      <c r="G379" s="19">
        <v>3</v>
      </c>
      <c r="H379" s="19">
        <v>300000000</v>
      </c>
      <c r="I379" s="19">
        <v>25000000</v>
      </c>
      <c r="J379" s="20">
        <v>8.0000000000000002E-3</v>
      </c>
      <c r="K379" s="17" t="s">
        <v>259</v>
      </c>
      <c r="L379" s="21" t="s">
        <v>635</v>
      </c>
    </row>
    <row r="380" spans="1:12" x14ac:dyDescent="0.2">
      <c r="A380" s="17" t="s">
        <v>634</v>
      </c>
      <c r="B380" s="17">
        <v>0</v>
      </c>
      <c r="C380" s="17" t="s">
        <v>183</v>
      </c>
      <c r="D380" s="17" t="s">
        <v>278</v>
      </c>
      <c r="E380" s="18">
        <v>44272</v>
      </c>
      <c r="F380" s="18">
        <v>44275</v>
      </c>
      <c r="G380" s="19">
        <v>4</v>
      </c>
      <c r="H380" s="19">
        <v>300000000</v>
      </c>
      <c r="I380" s="19">
        <v>10000000</v>
      </c>
      <c r="J380" s="20">
        <v>2.4E-2</v>
      </c>
      <c r="K380" s="17" t="s">
        <v>259</v>
      </c>
      <c r="L380" s="21" t="s">
        <v>636</v>
      </c>
    </row>
    <row r="381" spans="1:12" x14ac:dyDescent="0.2">
      <c r="A381" s="17" t="s">
        <v>97</v>
      </c>
      <c r="B381" s="17">
        <v>0</v>
      </c>
      <c r="C381" s="17" t="s">
        <v>183</v>
      </c>
      <c r="D381" s="17" t="s">
        <v>278</v>
      </c>
      <c r="E381" s="18">
        <v>43363</v>
      </c>
      <c r="F381" s="18">
        <v>43404</v>
      </c>
      <c r="G381" s="19">
        <v>42</v>
      </c>
      <c r="H381" s="19">
        <v>10000000000</v>
      </c>
      <c r="I381" s="19">
        <f>H381*30%</f>
        <v>3000000000</v>
      </c>
      <c r="J381" s="20">
        <v>1.4E-3</v>
      </c>
      <c r="K381" s="17" t="s">
        <v>259</v>
      </c>
      <c r="L381" s="21" t="s">
        <v>748</v>
      </c>
    </row>
    <row r="382" spans="1:12" x14ac:dyDescent="0.2">
      <c r="A382" s="17" t="s">
        <v>539</v>
      </c>
      <c r="B382" s="17">
        <v>0</v>
      </c>
      <c r="C382" s="17" t="s">
        <v>188</v>
      </c>
      <c r="D382" s="17" t="s">
        <v>278</v>
      </c>
      <c r="E382" s="18"/>
      <c r="F382" s="18"/>
      <c r="G382" s="19"/>
      <c r="H382" s="19">
        <v>100000000</v>
      </c>
      <c r="I382" s="19">
        <v>8000000</v>
      </c>
      <c r="J382" s="20">
        <v>7.0000000000000007E-2</v>
      </c>
      <c r="K382" s="17" t="s">
        <v>259</v>
      </c>
    </row>
    <row r="383" spans="1:12" x14ac:dyDescent="0.2">
      <c r="A383" s="17" t="s">
        <v>539</v>
      </c>
      <c r="B383" s="17">
        <v>0</v>
      </c>
      <c r="C383" s="17" t="s">
        <v>188</v>
      </c>
      <c r="D383" s="17" t="s">
        <v>278</v>
      </c>
      <c r="E383" s="18"/>
      <c r="F383" s="18"/>
      <c r="G383" s="19"/>
      <c r="H383" s="19">
        <v>100000000</v>
      </c>
      <c r="I383" s="19">
        <v>15800000</v>
      </c>
      <c r="J383" s="20">
        <v>0.12</v>
      </c>
      <c r="K383" s="17" t="s">
        <v>259</v>
      </c>
      <c r="L383" s="21" t="s">
        <v>540</v>
      </c>
    </row>
    <row r="384" spans="1:12" x14ac:dyDescent="0.2">
      <c r="A384" s="17" t="s">
        <v>539</v>
      </c>
      <c r="B384" s="17">
        <v>1</v>
      </c>
      <c r="C384" s="17" t="s">
        <v>188</v>
      </c>
      <c r="D384" s="17" t="s">
        <v>278</v>
      </c>
      <c r="E384" s="18"/>
      <c r="F384" s="18"/>
      <c r="G384" s="19"/>
      <c r="H384" s="19">
        <v>100000000</v>
      </c>
      <c r="I384" s="19">
        <v>500000</v>
      </c>
      <c r="J384" s="20">
        <v>0.15</v>
      </c>
      <c r="K384" s="17" t="s">
        <v>259</v>
      </c>
    </row>
    <row r="385" spans="1:12" x14ac:dyDescent="0.2">
      <c r="A385" s="17" t="s">
        <v>539</v>
      </c>
      <c r="B385" s="17">
        <v>0</v>
      </c>
      <c r="C385" s="17" t="s">
        <v>183</v>
      </c>
      <c r="D385" s="17" t="s">
        <v>278</v>
      </c>
      <c r="E385" s="18">
        <v>44273</v>
      </c>
      <c r="F385" s="18">
        <v>44273</v>
      </c>
      <c r="G385" s="19">
        <v>1</v>
      </c>
      <c r="H385" s="19">
        <v>100000000</v>
      </c>
      <c r="I385" s="19">
        <v>1200000</v>
      </c>
      <c r="J385" s="20">
        <v>0.16700000000000001</v>
      </c>
      <c r="K385" s="17" t="s">
        <v>259</v>
      </c>
    </row>
    <row r="386" spans="1:12" x14ac:dyDescent="0.2">
      <c r="A386" s="17" t="s">
        <v>26</v>
      </c>
      <c r="B386" s="17">
        <v>0</v>
      </c>
      <c r="C386" s="17" t="s">
        <v>183</v>
      </c>
      <c r="D386" s="17" t="s">
        <v>310</v>
      </c>
      <c r="E386" s="18">
        <v>44074</v>
      </c>
      <c r="F386" s="18">
        <v>44074</v>
      </c>
      <c r="G386" s="19">
        <v>1</v>
      </c>
      <c r="H386" s="19">
        <v>100000000</v>
      </c>
      <c r="I386" s="19">
        <v>2400000</v>
      </c>
      <c r="J386" s="20">
        <v>0.08</v>
      </c>
      <c r="K386" s="17" t="s">
        <v>259</v>
      </c>
      <c r="L386" s="21" t="s">
        <v>309</v>
      </c>
    </row>
    <row r="387" spans="1:12" x14ac:dyDescent="0.2">
      <c r="A387" s="17" t="s">
        <v>257</v>
      </c>
      <c r="B387" s="17">
        <v>1</v>
      </c>
      <c r="C387" s="17" t="s">
        <v>188</v>
      </c>
      <c r="D387" s="17" t="s">
        <v>278</v>
      </c>
      <c r="E387" s="18">
        <v>42909</v>
      </c>
      <c r="F387" s="18">
        <v>42888</v>
      </c>
      <c r="G387" s="19">
        <v>1</v>
      </c>
      <c r="H387" s="19"/>
      <c r="I387" s="19">
        <f>25000000/0.35</f>
        <v>71428571.428571433</v>
      </c>
      <c r="J387" s="20">
        <v>0.35</v>
      </c>
      <c r="K387" s="17" t="s">
        <v>259</v>
      </c>
      <c r="L387" s="21" t="s">
        <v>753</v>
      </c>
    </row>
    <row r="388" spans="1:12" x14ac:dyDescent="0.2">
      <c r="A388" s="17" t="s">
        <v>28</v>
      </c>
      <c r="B388" s="17">
        <v>0</v>
      </c>
      <c r="C388" s="17" t="s">
        <v>188</v>
      </c>
      <c r="D388" s="17" t="s">
        <v>278</v>
      </c>
      <c r="E388" s="18">
        <v>44063</v>
      </c>
      <c r="F388" s="18">
        <v>44063</v>
      </c>
      <c r="G388" s="19">
        <v>1</v>
      </c>
      <c r="H388" s="19">
        <v>9900000</v>
      </c>
      <c r="I388" s="19">
        <v>2499750</v>
      </c>
      <c r="J388" s="20">
        <v>0.1</v>
      </c>
      <c r="K388" s="17" t="s">
        <v>259</v>
      </c>
      <c r="L388" s="21" t="s">
        <v>343</v>
      </c>
    </row>
    <row r="389" spans="1:12" x14ac:dyDescent="0.2">
      <c r="A389" s="17" t="s">
        <v>42</v>
      </c>
      <c r="B389" s="17">
        <v>0</v>
      </c>
      <c r="C389" s="17" t="s">
        <v>183</v>
      </c>
      <c r="D389" s="17" t="s">
        <v>278</v>
      </c>
      <c r="E389" s="18">
        <v>44026</v>
      </c>
      <c r="F389" s="18">
        <v>44026</v>
      </c>
      <c r="G389" s="19">
        <v>1</v>
      </c>
      <c r="H389" s="19">
        <v>100000000</v>
      </c>
      <c r="I389" s="19">
        <v>45000000</v>
      </c>
      <c r="J389" s="20">
        <v>0.1</v>
      </c>
      <c r="K389" s="17" t="s">
        <v>259</v>
      </c>
      <c r="L389" s="26" t="s">
        <v>345</v>
      </c>
    </row>
    <row r="390" spans="1:12" x14ac:dyDescent="0.2">
      <c r="A390" s="17" t="s">
        <v>141</v>
      </c>
      <c r="B390" s="17">
        <v>1</v>
      </c>
      <c r="C390" s="17" t="s">
        <v>183</v>
      </c>
      <c r="D390" s="17" t="s">
        <v>278</v>
      </c>
      <c r="E390" s="18">
        <v>42972</v>
      </c>
      <c r="F390" s="18" t="s">
        <v>373</v>
      </c>
      <c r="G390" s="19">
        <v>1</v>
      </c>
      <c r="H390" s="19">
        <v>100000000</v>
      </c>
      <c r="I390" s="19">
        <v>10000000</v>
      </c>
      <c r="J390" s="20">
        <v>2.5000000000000001E-2</v>
      </c>
      <c r="K390" s="17" t="s">
        <v>259</v>
      </c>
      <c r="L390" s="21" t="s">
        <v>372</v>
      </c>
    </row>
    <row r="391" spans="1:12" x14ac:dyDescent="0.2">
      <c r="A391" s="17" t="s">
        <v>141</v>
      </c>
      <c r="B391" s="17">
        <v>0</v>
      </c>
      <c r="C391" s="17" t="s">
        <v>183</v>
      </c>
      <c r="D391" s="17" t="s">
        <v>278</v>
      </c>
      <c r="E391" s="18">
        <v>43023</v>
      </c>
      <c r="F391" s="18">
        <v>43069</v>
      </c>
      <c r="G391" s="19">
        <v>47</v>
      </c>
      <c r="H391" s="19">
        <v>100000000</v>
      </c>
      <c r="I391" s="19">
        <v>50000000</v>
      </c>
      <c r="J391" s="20">
        <v>7.4999999999999997E-2</v>
      </c>
      <c r="K391" s="17" t="s">
        <v>259</v>
      </c>
      <c r="L391" s="21" t="s">
        <v>374</v>
      </c>
    </row>
    <row r="392" spans="1:12" x14ac:dyDescent="0.2">
      <c r="A392" s="17" t="s">
        <v>223</v>
      </c>
      <c r="B392" s="17">
        <v>0</v>
      </c>
      <c r="C392" s="17" t="s">
        <v>183</v>
      </c>
      <c r="D392" s="17" t="s">
        <v>278</v>
      </c>
      <c r="E392" s="18">
        <v>43040</v>
      </c>
      <c r="F392" s="18">
        <v>43053</v>
      </c>
      <c r="G392" s="19">
        <f>F392-E392</f>
        <v>13</v>
      </c>
      <c r="H392" s="19">
        <v>100000000</v>
      </c>
      <c r="I392" s="19">
        <v>51000000</v>
      </c>
      <c r="J392" s="20">
        <v>0.1</v>
      </c>
      <c r="K392" s="17" t="s">
        <v>259</v>
      </c>
    </row>
    <row r="393" spans="1:12" x14ac:dyDescent="0.2">
      <c r="A393" s="17" t="s">
        <v>223</v>
      </c>
      <c r="B393" s="17">
        <v>1</v>
      </c>
      <c r="C393" s="17"/>
      <c r="D393" s="17"/>
      <c r="E393" s="18">
        <v>42951</v>
      </c>
      <c r="F393" s="18">
        <v>42961</v>
      </c>
      <c r="G393" s="19">
        <v>11</v>
      </c>
      <c r="H393" s="19">
        <v>100000000</v>
      </c>
      <c r="I393" s="19"/>
      <c r="J393" s="20"/>
      <c r="K393" s="17"/>
      <c r="L393" s="21" t="s">
        <v>398</v>
      </c>
    </row>
    <row r="394" spans="1:12" x14ac:dyDescent="0.2">
      <c r="A394" s="17" t="s">
        <v>546</v>
      </c>
      <c r="B394" s="17">
        <v>0</v>
      </c>
      <c r="C394" s="17" t="s">
        <v>188</v>
      </c>
      <c r="D394" s="17" t="s">
        <v>278</v>
      </c>
      <c r="E394" s="18"/>
      <c r="F394" s="18"/>
      <c r="G394" s="19"/>
      <c r="H394" s="19">
        <v>60000000</v>
      </c>
      <c r="I394" s="19">
        <v>5700000</v>
      </c>
      <c r="J394" s="20">
        <v>4.4999999999999998E-2</v>
      </c>
      <c r="K394" s="17" t="s">
        <v>259</v>
      </c>
      <c r="L394" s="21" t="s">
        <v>547</v>
      </c>
    </row>
    <row r="395" spans="1:12" x14ac:dyDescent="0.2">
      <c r="A395" s="17" t="s">
        <v>546</v>
      </c>
      <c r="B395" s="17">
        <v>0</v>
      </c>
      <c r="C395" s="17" t="s">
        <v>188</v>
      </c>
      <c r="D395" s="17" t="s">
        <v>278</v>
      </c>
      <c r="E395" s="18"/>
      <c r="F395" s="18"/>
      <c r="G395" s="19"/>
      <c r="H395" s="19">
        <v>60000000</v>
      </c>
      <c r="I395" s="19">
        <v>5100000</v>
      </c>
      <c r="J395" s="20">
        <v>0.09</v>
      </c>
      <c r="K395" s="17" t="s">
        <v>259</v>
      </c>
    </row>
    <row r="396" spans="1:12" x14ac:dyDescent="0.2">
      <c r="A396" s="17" t="s">
        <v>546</v>
      </c>
      <c r="B396" s="17">
        <v>0</v>
      </c>
      <c r="C396" s="17" t="s">
        <v>188</v>
      </c>
      <c r="D396" s="17" t="s">
        <v>278</v>
      </c>
      <c r="E396" s="18"/>
      <c r="F396" s="18"/>
      <c r="G396" s="19"/>
      <c r="H396" s="19">
        <v>60000000</v>
      </c>
      <c r="I396" s="19">
        <v>5400000</v>
      </c>
      <c r="J396" s="20">
        <v>6.5000000000000002E-2</v>
      </c>
      <c r="K396" s="17" t="s">
        <v>259</v>
      </c>
    </row>
    <row r="397" spans="1:12" x14ac:dyDescent="0.2">
      <c r="A397" s="17" t="s">
        <v>546</v>
      </c>
      <c r="B397" s="17">
        <v>0</v>
      </c>
      <c r="C397" s="17" t="s">
        <v>183</v>
      </c>
      <c r="D397" s="17" t="s">
        <v>278</v>
      </c>
      <c r="E397" s="18">
        <v>44259</v>
      </c>
      <c r="F397" s="18">
        <v>44261</v>
      </c>
      <c r="G397" s="19">
        <v>3</v>
      </c>
      <c r="H397" s="19">
        <v>60000000</v>
      </c>
      <c r="I397" s="19">
        <v>2400000</v>
      </c>
      <c r="J397" s="20">
        <v>0.12</v>
      </c>
      <c r="K397" s="17" t="s">
        <v>259</v>
      </c>
    </row>
    <row r="398" spans="1:12" x14ac:dyDescent="0.2">
      <c r="A398" s="17" t="s">
        <v>69</v>
      </c>
      <c r="B398" s="17">
        <v>0</v>
      </c>
      <c r="C398" s="17" t="s">
        <v>183</v>
      </c>
      <c r="D398" s="17" t="s">
        <v>278</v>
      </c>
      <c r="E398" s="18">
        <v>43624</v>
      </c>
      <c r="F398" s="18">
        <v>43639</v>
      </c>
      <c r="G398" s="19">
        <v>16</v>
      </c>
      <c r="H398" s="19">
        <v>750000000</v>
      </c>
      <c r="I398" s="19">
        <f>H398*60%</f>
        <v>450000000</v>
      </c>
      <c r="J398" s="20">
        <v>0.45800000000000002</v>
      </c>
      <c r="K398" s="17" t="s">
        <v>2</v>
      </c>
      <c r="L398" s="21" t="s">
        <v>612</v>
      </c>
    </row>
    <row r="399" spans="1:12" x14ac:dyDescent="0.2">
      <c r="A399" s="17" t="s">
        <v>60</v>
      </c>
      <c r="B399" s="17">
        <v>0</v>
      </c>
      <c r="C399" s="17" t="s">
        <v>183</v>
      </c>
      <c r="D399" s="17" t="s">
        <v>278</v>
      </c>
      <c r="E399" s="18">
        <v>44067</v>
      </c>
      <c r="F399" s="18">
        <v>44068</v>
      </c>
      <c r="G399" s="19">
        <v>2</v>
      </c>
      <c r="H399" s="19">
        <v>1033200000</v>
      </c>
      <c r="I399" s="19">
        <v>580968360</v>
      </c>
      <c r="J399" s="20">
        <v>7.7429999999999999E-2</v>
      </c>
      <c r="K399" s="17" t="s">
        <v>259</v>
      </c>
      <c r="L399" s="21" t="s">
        <v>347</v>
      </c>
    </row>
    <row r="400" spans="1:12" x14ac:dyDescent="0.2">
      <c r="A400" s="17" t="s">
        <v>23</v>
      </c>
      <c r="B400" s="17">
        <v>0</v>
      </c>
      <c r="C400" s="17" t="s">
        <v>183</v>
      </c>
      <c r="D400" s="17" t="s">
        <v>278</v>
      </c>
      <c r="E400" s="18">
        <v>44083</v>
      </c>
      <c r="F400" s="18">
        <v>44087</v>
      </c>
      <c r="G400" s="19">
        <v>5</v>
      </c>
      <c r="H400" s="19">
        <v>150000000</v>
      </c>
      <c r="I400" s="19">
        <f>7150000/1.3</f>
        <v>5500000</v>
      </c>
      <c r="J400" s="20">
        <v>1.3</v>
      </c>
      <c r="K400" s="17" t="s">
        <v>259</v>
      </c>
      <c r="L400" s="21" t="s">
        <v>341</v>
      </c>
    </row>
    <row r="401" spans="1:12" x14ac:dyDescent="0.2">
      <c r="A401" s="17" t="s">
        <v>670</v>
      </c>
      <c r="B401" s="17">
        <v>0</v>
      </c>
      <c r="C401" s="17" t="s">
        <v>188</v>
      </c>
      <c r="D401" s="17" t="s">
        <v>278</v>
      </c>
      <c r="E401" s="18"/>
      <c r="F401" s="18"/>
      <c r="G401" s="19"/>
      <c r="H401" s="19">
        <v>200000000</v>
      </c>
      <c r="I401" s="19">
        <f>220000/0.04</f>
        <v>5500000</v>
      </c>
      <c r="J401" s="20">
        <v>0.04</v>
      </c>
      <c r="K401" s="17" t="s">
        <v>259</v>
      </c>
    </row>
    <row r="402" spans="1:12" x14ac:dyDescent="0.2">
      <c r="A402" s="17" t="s">
        <v>670</v>
      </c>
      <c r="B402" s="17">
        <v>0</v>
      </c>
      <c r="C402" s="17" t="s">
        <v>188</v>
      </c>
      <c r="D402" s="17" t="s">
        <v>278</v>
      </c>
      <c r="E402" s="18"/>
      <c r="F402" s="18"/>
      <c r="G402" s="19"/>
      <c r="H402" s="19">
        <v>200000000</v>
      </c>
      <c r="I402" s="19">
        <v>4000000</v>
      </c>
      <c r="J402" s="20">
        <v>0.03</v>
      </c>
      <c r="K402" s="17" t="s">
        <v>259</v>
      </c>
      <c r="L402" s="21" t="s">
        <v>671</v>
      </c>
    </row>
    <row r="403" spans="1:12" x14ac:dyDescent="0.2">
      <c r="A403" s="17" t="s">
        <v>670</v>
      </c>
      <c r="B403" s="17">
        <v>0</v>
      </c>
      <c r="C403" s="17" t="s">
        <v>188</v>
      </c>
      <c r="D403" s="17" t="s">
        <v>278</v>
      </c>
      <c r="E403" s="18"/>
      <c r="F403" s="18"/>
      <c r="G403" s="19"/>
      <c r="H403" s="19">
        <v>200000000</v>
      </c>
      <c r="I403" s="19">
        <f>1100000/0.06</f>
        <v>18333333.333333336</v>
      </c>
      <c r="J403" s="20">
        <v>0.06</v>
      </c>
      <c r="K403" s="17" t="s">
        <v>259</v>
      </c>
      <c r="L403" s="21" t="s">
        <v>672</v>
      </c>
    </row>
    <row r="404" spans="1:12" x14ac:dyDescent="0.2">
      <c r="A404" s="17" t="s">
        <v>670</v>
      </c>
      <c r="B404" s="17">
        <v>1</v>
      </c>
      <c r="C404" s="17" t="s">
        <v>188</v>
      </c>
      <c r="D404" s="17" t="s">
        <v>278</v>
      </c>
      <c r="E404" s="18"/>
      <c r="F404" s="18"/>
      <c r="G404" s="19"/>
      <c r="H404" s="19">
        <v>200000000</v>
      </c>
      <c r="I404" s="19">
        <f>825000/0.75</f>
        <v>1100000</v>
      </c>
      <c r="J404" s="20">
        <v>7.4999999999999997E-2</v>
      </c>
      <c r="K404" s="17" t="s">
        <v>259</v>
      </c>
    </row>
    <row r="405" spans="1:12" x14ac:dyDescent="0.2">
      <c r="A405" s="17" t="s">
        <v>670</v>
      </c>
      <c r="B405" s="17">
        <v>0</v>
      </c>
      <c r="C405" s="17" t="s">
        <v>183</v>
      </c>
      <c r="D405" s="17" t="s">
        <v>278</v>
      </c>
      <c r="E405" s="18">
        <v>44271</v>
      </c>
      <c r="F405" s="18">
        <v>44271</v>
      </c>
      <c r="G405" s="19">
        <v>1</v>
      </c>
      <c r="H405" s="19">
        <v>200000000</v>
      </c>
      <c r="I405" s="19">
        <v>250000</v>
      </c>
      <c r="J405" s="20">
        <v>0.1</v>
      </c>
      <c r="K405" s="17" t="s">
        <v>259</v>
      </c>
    </row>
    <row r="406" spans="1:12" x14ac:dyDescent="0.2">
      <c r="A406" s="17" t="s">
        <v>670</v>
      </c>
      <c r="B406" s="17">
        <v>0</v>
      </c>
      <c r="C406" s="17" t="s">
        <v>183</v>
      </c>
      <c r="D406" s="17" t="s">
        <v>278</v>
      </c>
      <c r="E406" s="18">
        <v>44271</v>
      </c>
      <c r="F406" s="18">
        <v>44271</v>
      </c>
      <c r="G406" s="19">
        <v>1</v>
      </c>
      <c r="H406" s="19">
        <v>200000000</v>
      </c>
      <c r="I406" s="19">
        <v>1000000</v>
      </c>
      <c r="J406" s="20">
        <v>0.1</v>
      </c>
      <c r="K406" s="17" t="s">
        <v>259</v>
      </c>
    </row>
    <row r="407" spans="1:12" x14ac:dyDescent="0.2">
      <c r="A407" s="17" t="s">
        <v>256</v>
      </c>
      <c r="B407" s="17">
        <v>0</v>
      </c>
      <c r="C407" s="17" t="s">
        <v>183</v>
      </c>
      <c r="D407" s="17" t="s">
        <v>278</v>
      </c>
      <c r="E407" s="18">
        <v>42885</v>
      </c>
      <c r="F407" s="18">
        <v>42915</v>
      </c>
      <c r="G407" s="19">
        <v>31</v>
      </c>
      <c r="H407" s="19">
        <v>3969565</v>
      </c>
      <c r="I407" s="19">
        <f>H407*93%</f>
        <v>3691695.45</v>
      </c>
      <c r="J407" s="20">
        <v>10</v>
      </c>
      <c r="K407" s="17" t="s">
        <v>259</v>
      </c>
      <c r="L407" s="21" t="s">
        <v>428</v>
      </c>
    </row>
    <row r="408" spans="1:12" x14ac:dyDescent="0.2">
      <c r="A408" s="17" t="s">
        <v>63</v>
      </c>
      <c r="B408" s="17">
        <v>0</v>
      </c>
      <c r="C408" s="17" t="s">
        <v>183</v>
      </c>
      <c r="D408" s="17" t="s">
        <v>278</v>
      </c>
      <c r="E408" s="18">
        <v>43699</v>
      </c>
      <c r="F408" s="18">
        <v>43699</v>
      </c>
      <c r="G408" s="19">
        <v>1</v>
      </c>
      <c r="H408" s="19">
        <v>1000000000000</v>
      </c>
      <c r="I408" s="19">
        <f>H408*20%</f>
        <v>200000000000</v>
      </c>
      <c r="J408" s="20">
        <v>2.5000000000000001E-3</v>
      </c>
      <c r="K408" s="17" t="s">
        <v>259</v>
      </c>
      <c r="L408" s="21" t="s">
        <v>608</v>
      </c>
    </row>
    <row r="409" spans="1:12" x14ac:dyDescent="0.2">
      <c r="A409" s="17" t="s">
        <v>34</v>
      </c>
      <c r="B409" s="17">
        <v>0</v>
      </c>
      <c r="C409" s="17" t="s">
        <v>188</v>
      </c>
      <c r="D409" s="17" t="s">
        <v>278</v>
      </c>
      <c r="E409" s="18">
        <v>44039</v>
      </c>
      <c r="F409" s="18">
        <v>44043</v>
      </c>
      <c r="G409" s="19">
        <v>5</v>
      </c>
      <c r="H409" s="19">
        <v>120000000</v>
      </c>
      <c r="I409" s="19">
        <v>60000000</v>
      </c>
      <c r="J409" s="20">
        <v>0.22</v>
      </c>
      <c r="K409" s="17" t="s">
        <v>259</v>
      </c>
      <c r="L409" s="21" t="s">
        <v>337</v>
      </c>
    </row>
    <row r="410" spans="1:12" x14ac:dyDescent="0.2">
      <c r="A410" s="17" t="s">
        <v>529</v>
      </c>
      <c r="B410" s="17">
        <v>1</v>
      </c>
      <c r="C410" s="17" t="s">
        <v>188</v>
      </c>
      <c r="D410" s="17" t="s">
        <v>278</v>
      </c>
      <c r="E410" s="18"/>
      <c r="F410" s="18"/>
      <c r="G410" s="19"/>
      <c r="H410" s="19">
        <v>10000000</v>
      </c>
      <c r="I410" s="19">
        <v>3715000</v>
      </c>
      <c r="J410" s="20">
        <v>0.2</v>
      </c>
      <c r="K410" s="17" t="s">
        <v>259</v>
      </c>
      <c r="L410" s="21" t="s">
        <v>528</v>
      </c>
    </row>
    <row r="411" spans="1:12" x14ac:dyDescent="0.2">
      <c r="A411" s="17" t="s">
        <v>529</v>
      </c>
      <c r="B411" s="17">
        <v>0</v>
      </c>
      <c r="C411" s="17" t="s">
        <v>183</v>
      </c>
      <c r="D411" s="17" t="s">
        <v>278</v>
      </c>
      <c r="E411" s="18">
        <v>44286</v>
      </c>
      <c r="F411" s="18">
        <v>44286</v>
      </c>
      <c r="G411" s="19">
        <v>1</v>
      </c>
      <c r="H411" s="19">
        <v>10000000</v>
      </c>
      <c r="I411" s="19">
        <v>285000</v>
      </c>
      <c r="J411" s="20">
        <v>0.35</v>
      </c>
      <c r="K411" s="17" t="s">
        <v>259</v>
      </c>
    </row>
    <row r="412" spans="1:12" x14ac:dyDescent="0.2">
      <c r="A412" s="17" t="s">
        <v>255</v>
      </c>
      <c r="B412" s="17">
        <v>0</v>
      </c>
      <c r="C412" s="17" t="s">
        <v>183</v>
      </c>
      <c r="D412" s="17" t="s">
        <v>278</v>
      </c>
      <c r="E412" s="18">
        <v>42954</v>
      </c>
      <c r="F412" s="18">
        <v>42955</v>
      </c>
      <c r="G412" s="19">
        <v>2</v>
      </c>
      <c r="H412" s="19">
        <v>3141591653</v>
      </c>
      <c r="I412" s="19">
        <f>H412/2</f>
        <v>1570795826.5</v>
      </c>
      <c r="J412" s="20">
        <v>6.3600000000000002E-3</v>
      </c>
      <c r="K412" s="17" t="s">
        <v>259</v>
      </c>
      <c r="L412" s="21" t="s">
        <v>399</v>
      </c>
    </row>
    <row r="413" spans="1:12" x14ac:dyDescent="0.2">
      <c r="A413" s="17" t="s">
        <v>587</v>
      </c>
      <c r="B413" s="17">
        <v>0</v>
      </c>
      <c r="C413" s="17" t="s">
        <v>188</v>
      </c>
      <c r="D413" s="17" t="s">
        <v>278</v>
      </c>
      <c r="E413" s="18"/>
      <c r="F413" s="18"/>
      <c r="G413" s="19"/>
      <c r="H413" s="19">
        <v>1000000000</v>
      </c>
      <c r="I413" s="19">
        <v>50000000</v>
      </c>
      <c r="J413" s="20">
        <v>0.01</v>
      </c>
      <c r="K413" s="17" t="s">
        <v>259</v>
      </c>
    </row>
    <row r="414" spans="1:12" x14ac:dyDescent="0.2">
      <c r="A414" s="17" t="s">
        <v>587</v>
      </c>
      <c r="B414" s="17">
        <v>0</v>
      </c>
      <c r="C414" s="17" t="s">
        <v>188</v>
      </c>
      <c r="D414" s="17" t="s">
        <v>278</v>
      </c>
      <c r="E414" s="18"/>
      <c r="F414" s="18"/>
      <c r="G414" s="19"/>
      <c r="H414" s="19">
        <v>1000000000</v>
      </c>
      <c r="I414" s="19">
        <v>100000000</v>
      </c>
      <c r="J414" s="20">
        <v>1.4999999999999999E-2</v>
      </c>
      <c r="K414" s="17" t="s">
        <v>259</v>
      </c>
      <c r="L414" s="21" t="s">
        <v>588</v>
      </c>
    </row>
    <row r="415" spans="1:12" x14ac:dyDescent="0.2">
      <c r="A415" s="17" t="s">
        <v>587</v>
      </c>
      <c r="B415" s="17">
        <v>0</v>
      </c>
      <c r="C415" s="17" t="s">
        <v>188</v>
      </c>
      <c r="D415" s="17" t="s">
        <v>278</v>
      </c>
      <c r="E415" s="18"/>
      <c r="F415" s="18"/>
      <c r="G415" s="19"/>
      <c r="H415" s="19">
        <v>1000000000</v>
      </c>
      <c r="I415" s="19">
        <v>75000000</v>
      </c>
      <c r="J415" s="20">
        <v>0.02</v>
      </c>
      <c r="K415" s="17" t="s">
        <v>259</v>
      </c>
    </row>
    <row r="416" spans="1:12" x14ac:dyDescent="0.2">
      <c r="A416" s="17" t="s">
        <v>587</v>
      </c>
      <c r="B416" s="17">
        <v>0</v>
      </c>
      <c r="C416" s="17" t="s">
        <v>183</v>
      </c>
      <c r="D416" s="17" t="s">
        <v>278</v>
      </c>
      <c r="E416" s="18">
        <v>44175</v>
      </c>
      <c r="F416" s="18">
        <v>44175</v>
      </c>
      <c r="G416" s="19">
        <v>1</v>
      </c>
      <c r="H416" s="19">
        <v>1000000000</v>
      </c>
      <c r="I416" s="19">
        <f>1000000000*1%</f>
        <v>10000000</v>
      </c>
      <c r="J416" s="20">
        <v>1.4999999999999999E-2</v>
      </c>
      <c r="K416" s="17" t="s">
        <v>259</v>
      </c>
    </row>
    <row r="417" spans="1:12" x14ac:dyDescent="0.2">
      <c r="A417" s="17" t="s">
        <v>239</v>
      </c>
      <c r="B417" s="17">
        <v>0</v>
      </c>
      <c r="C417" s="17" t="s">
        <v>183</v>
      </c>
      <c r="D417" s="17" t="s">
        <v>278</v>
      </c>
      <c r="E417" s="18">
        <v>43015</v>
      </c>
      <c r="F417" s="18">
        <v>43015</v>
      </c>
      <c r="G417" s="19">
        <v>1</v>
      </c>
      <c r="H417" s="19">
        <v>165000000</v>
      </c>
      <c r="I417" s="19">
        <v>82500000</v>
      </c>
      <c r="J417" s="20">
        <v>0.34</v>
      </c>
      <c r="K417" s="17" t="s">
        <v>259</v>
      </c>
      <c r="L417" s="21" t="s">
        <v>768</v>
      </c>
    </row>
    <row r="418" spans="1:12" x14ac:dyDescent="0.2">
      <c r="A418" s="17" t="s">
        <v>194</v>
      </c>
      <c r="B418" s="17">
        <v>1</v>
      </c>
      <c r="C418" s="17" t="s">
        <v>183</v>
      </c>
      <c r="D418" s="17" t="s">
        <v>278</v>
      </c>
      <c r="E418" s="18">
        <v>43090</v>
      </c>
      <c r="F418" s="18">
        <v>43090</v>
      </c>
      <c r="G418" s="19">
        <v>1</v>
      </c>
      <c r="H418" s="19">
        <v>1000000000</v>
      </c>
      <c r="I418" s="19">
        <v>200000000</v>
      </c>
      <c r="J418" s="20">
        <v>0.12</v>
      </c>
      <c r="K418" s="17" t="s">
        <v>259</v>
      </c>
      <c r="L418" s="21" t="s">
        <v>722</v>
      </c>
    </row>
    <row r="419" spans="1:12" x14ac:dyDescent="0.2">
      <c r="A419" s="17" t="s">
        <v>72</v>
      </c>
      <c r="B419" s="17">
        <v>0</v>
      </c>
      <c r="C419" s="17" t="s">
        <v>183</v>
      </c>
      <c r="D419" s="17" t="s">
        <v>278</v>
      </c>
      <c r="E419" s="18">
        <v>43630</v>
      </c>
      <c r="F419" s="18">
        <v>43630</v>
      </c>
      <c r="G419" s="19">
        <v>1</v>
      </c>
      <c r="H419" s="19">
        <v>31415926535</v>
      </c>
      <c r="I419" s="19">
        <f>H419*31.5%</f>
        <v>9896016858.5249996</v>
      </c>
      <c r="J419" s="20">
        <v>1E-3</v>
      </c>
      <c r="K419" s="17" t="s">
        <v>259</v>
      </c>
      <c r="L419" s="21" t="s">
        <v>614</v>
      </c>
    </row>
    <row r="420" spans="1:12" x14ac:dyDescent="0.2">
      <c r="A420" s="17" t="s">
        <v>224</v>
      </c>
      <c r="B420" s="17">
        <v>0</v>
      </c>
      <c r="C420" s="17" t="s">
        <v>183</v>
      </c>
      <c r="D420" s="17" t="s">
        <v>278</v>
      </c>
      <c r="E420" s="18">
        <v>43044</v>
      </c>
      <c r="F420" s="18">
        <v>43047</v>
      </c>
      <c r="G420" s="19">
        <v>4</v>
      </c>
      <c r="H420" s="19">
        <v>1000000000</v>
      </c>
      <c r="I420" s="19">
        <v>350000000</v>
      </c>
      <c r="J420" s="20">
        <v>8.0000000000000004E-4</v>
      </c>
      <c r="K420" s="17" t="s">
        <v>2</v>
      </c>
      <c r="L420" s="21" t="s">
        <v>429</v>
      </c>
    </row>
    <row r="421" spans="1:12" x14ac:dyDescent="0.2">
      <c r="A421" s="17" t="s">
        <v>193</v>
      </c>
      <c r="B421" s="17">
        <v>0</v>
      </c>
      <c r="C421" s="17" t="s">
        <v>183</v>
      </c>
      <c r="D421" s="17" t="s">
        <v>278</v>
      </c>
      <c r="E421" s="18">
        <v>43091</v>
      </c>
      <c r="F421" s="18">
        <v>43091</v>
      </c>
      <c r="G421" s="19">
        <v>1</v>
      </c>
      <c r="H421" s="19">
        <v>600000000</v>
      </c>
      <c r="I421" s="19">
        <v>240000000</v>
      </c>
      <c r="J421" s="20">
        <f>1/520</f>
        <v>1.9230769230769232E-3</v>
      </c>
      <c r="K421" s="17" t="s">
        <v>3</v>
      </c>
      <c r="L421" s="21" t="s">
        <v>396</v>
      </c>
    </row>
    <row r="422" spans="1:12" x14ac:dyDescent="0.2">
      <c r="A422" s="17" t="s">
        <v>220</v>
      </c>
      <c r="B422" s="17">
        <v>0</v>
      </c>
      <c r="C422" s="17" t="s">
        <v>183</v>
      </c>
      <c r="D422" s="17" t="s">
        <v>278</v>
      </c>
      <c r="E422" s="18">
        <v>43055</v>
      </c>
      <c r="F422" s="18">
        <v>43057</v>
      </c>
      <c r="G422" s="19">
        <v>2</v>
      </c>
      <c r="H422" s="19">
        <v>1000000000</v>
      </c>
      <c r="I422" s="19">
        <v>650000000</v>
      </c>
      <c r="J422" s="20">
        <v>0.06</v>
      </c>
      <c r="K422" s="17" t="s">
        <v>259</v>
      </c>
      <c r="L422" s="21" t="s">
        <v>357</v>
      </c>
    </row>
    <row r="423" spans="1:12" x14ac:dyDescent="0.2">
      <c r="A423" s="17" t="s">
        <v>220</v>
      </c>
      <c r="B423" s="17">
        <v>1</v>
      </c>
      <c r="C423" s="17" t="s">
        <v>188</v>
      </c>
      <c r="D423" s="17" t="s">
        <v>278</v>
      </c>
      <c r="E423" s="18">
        <v>43018</v>
      </c>
      <c r="F423" s="18">
        <v>43046</v>
      </c>
      <c r="G423" s="19">
        <v>29</v>
      </c>
      <c r="H423" s="19">
        <v>1000000000</v>
      </c>
      <c r="I423" s="19">
        <v>11000000</v>
      </c>
      <c r="J423" s="20"/>
      <c r="K423" s="17"/>
      <c r="L423" s="21" t="s">
        <v>358</v>
      </c>
    </row>
    <row r="424" spans="1:12" x14ac:dyDescent="0.2">
      <c r="A424" s="17" t="s">
        <v>552</v>
      </c>
      <c r="B424" s="17">
        <v>0</v>
      </c>
      <c r="C424" s="17" t="s">
        <v>183</v>
      </c>
      <c r="D424" s="17" t="s">
        <v>278</v>
      </c>
      <c r="E424" s="18">
        <v>44252</v>
      </c>
      <c r="F424" s="18">
        <v>44254</v>
      </c>
      <c r="G424" s="19">
        <v>3</v>
      </c>
      <c r="H424" s="19">
        <v>100000000</v>
      </c>
      <c r="I424" s="19">
        <f>100000000*3.75%</f>
        <v>3750000</v>
      </c>
      <c r="J424" s="20">
        <v>15.4</v>
      </c>
      <c r="K424" s="17" t="s">
        <v>259</v>
      </c>
      <c r="L424" s="21" t="s">
        <v>553</v>
      </c>
    </row>
    <row r="425" spans="1:12" x14ac:dyDescent="0.2">
      <c r="A425" s="17" t="s">
        <v>526</v>
      </c>
      <c r="B425" s="17">
        <v>1</v>
      </c>
      <c r="C425" s="17" t="s">
        <v>188</v>
      </c>
      <c r="D425" s="17" t="s">
        <v>278</v>
      </c>
      <c r="E425" s="18"/>
      <c r="F425" s="18"/>
      <c r="G425" s="19"/>
      <c r="H425" s="19">
        <v>400000000</v>
      </c>
      <c r="I425" s="19">
        <v>16000000</v>
      </c>
      <c r="J425" s="20">
        <v>1.4999999999999999E-2</v>
      </c>
      <c r="K425" s="17" t="s">
        <v>259</v>
      </c>
      <c r="L425" s="21" t="s">
        <v>527</v>
      </c>
    </row>
    <row r="426" spans="1:12" x14ac:dyDescent="0.2">
      <c r="A426" s="17" t="s">
        <v>526</v>
      </c>
      <c r="B426" s="17">
        <v>1</v>
      </c>
      <c r="C426" s="17" t="s">
        <v>188</v>
      </c>
      <c r="D426" s="17" t="s">
        <v>278</v>
      </c>
      <c r="E426" s="18"/>
      <c r="F426" s="18"/>
      <c r="G426" s="19"/>
      <c r="H426" s="19">
        <v>400000000</v>
      </c>
      <c r="I426" s="19">
        <v>56000000</v>
      </c>
      <c r="J426" s="20">
        <v>2.5000000000000001E-2</v>
      </c>
      <c r="K426" s="17" t="s">
        <v>259</v>
      </c>
    </row>
    <row r="427" spans="1:12" x14ac:dyDescent="0.2">
      <c r="A427" s="17" t="s">
        <v>526</v>
      </c>
      <c r="B427" s="17">
        <v>0</v>
      </c>
      <c r="C427" s="17" t="s">
        <v>183</v>
      </c>
      <c r="D427" s="17" t="s">
        <v>402</v>
      </c>
      <c r="E427" s="18">
        <v>44286</v>
      </c>
      <c r="F427" s="18">
        <v>44286</v>
      </c>
      <c r="G427" s="19">
        <v>1</v>
      </c>
      <c r="H427" s="19">
        <v>400000000</v>
      </c>
      <c r="I427" s="19">
        <v>4000000</v>
      </c>
      <c r="J427" s="20">
        <v>0.04</v>
      </c>
      <c r="K427" s="17" t="s">
        <v>259</v>
      </c>
    </row>
    <row r="428" spans="1:12" x14ac:dyDescent="0.2">
      <c r="A428" s="17" t="s">
        <v>13</v>
      </c>
      <c r="B428" s="17">
        <v>0</v>
      </c>
      <c r="C428" s="17" t="s">
        <v>188</v>
      </c>
      <c r="D428" s="17" t="s">
        <v>278</v>
      </c>
      <c r="E428" s="18"/>
      <c r="F428" s="18"/>
      <c r="G428" s="19"/>
      <c r="H428" s="19">
        <v>1000000000</v>
      </c>
      <c r="I428" s="19">
        <v>180000000</v>
      </c>
      <c r="J428" s="20">
        <v>6.0000000000000001E-3</v>
      </c>
      <c r="K428" s="17" t="s">
        <v>259</v>
      </c>
    </row>
    <row r="429" spans="1:12" x14ac:dyDescent="0.2">
      <c r="A429" s="17" t="s">
        <v>13</v>
      </c>
      <c r="B429" s="17">
        <v>0</v>
      </c>
      <c r="C429" s="17" t="s">
        <v>183</v>
      </c>
      <c r="D429" s="17" t="s">
        <v>278</v>
      </c>
      <c r="E429" s="18">
        <v>44114</v>
      </c>
      <c r="F429" s="18">
        <v>44114</v>
      </c>
      <c r="G429" s="19">
        <v>1</v>
      </c>
      <c r="H429" s="19">
        <v>1000000000</v>
      </c>
      <c r="I429" s="19">
        <v>10000000</v>
      </c>
      <c r="J429" s="20">
        <v>8.0000000000000002E-3</v>
      </c>
      <c r="K429" s="17" t="s">
        <v>259</v>
      </c>
    </row>
    <row r="430" spans="1:12" x14ac:dyDescent="0.2">
      <c r="A430" s="17" t="s">
        <v>568</v>
      </c>
      <c r="B430" s="17">
        <v>0</v>
      </c>
      <c r="C430" s="17" t="s">
        <v>188</v>
      </c>
      <c r="D430" s="17" t="s">
        <v>278</v>
      </c>
      <c r="E430" s="18"/>
      <c r="F430" s="18"/>
      <c r="G430" s="19"/>
      <c r="H430" s="19">
        <v>1000000000</v>
      </c>
      <c r="I430" s="19">
        <v>40000000</v>
      </c>
      <c r="J430" s="20">
        <v>6.2500000000000003E-3</v>
      </c>
      <c r="K430" s="17" t="s">
        <v>259</v>
      </c>
      <c r="L430" s="21" t="s">
        <v>567</v>
      </c>
    </row>
    <row r="431" spans="1:12" x14ac:dyDescent="0.2">
      <c r="A431" s="17" t="s">
        <v>568</v>
      </c>
      <c r="B431" s="17">
        <v>0</v>
      </c>
      <c r="C431" s="17" t="s">
        <v>188</v>
      </c>
      <c r="D431" s="17" t="s">
        <v>278</v>
      </c>
      <c r="E431" s="18"/>
      <c r="F431" s="18"/>
      <c r="G431" s="19"/>
      <c r="H431" s="19">
        <v>1000000000</v>
      </c>
      <c r="I431" s="19">
        <v>109000000</v>
      </c>
      <c r="J431" s="20">
        <v>1.4999999999999999E-2</v>
      </c>
      <c r="K431" s="17" t="s">
        <v>259</v>
      </c>
    </row>
    <row r="432" spans="1:12" x14ac:dyDescent="0.2">
      <c r="A432" s="17" t="s">
        <v>568</v>
      </c>
      <c r="B432" s="17">
        <v>0</v>
      </c>
      <c r="C432" s="17" t="s">
        <v>188</v>
      </c>
      <c r="D432" s="17" t="s">
        <v>278</v>
      </c>
      <c r="E432" s="18"/>
      <c r="F432" s="18"/>
      <c r="G432" s="19"/>
      <c r="H432" s="19">
        <v>1000000000</v>
      </c>
      <c r="I432" s="19">
        <v>73000000</v>
      </c>
      <c r="J432" s="20">
        <v>2.5000000000000001E-2</v>
      </c>
      <c r="K432" s="17" t="s">
        <v>259</v>
      </c>
    </row>
    <row r="433" spans="1:12" x14ac:dyDescent="0.2">
      <c r="A433" s="17" t="s">
        <v>568</v>
      </c>
      <c r="B433" s="17">
        <v>0</v>
      </c>
      <c r="C433" s="17" t="s">
        <v>183</v>
      </c>
      <c r="D433" s="17" t="s">
        <v>278</v>
      </c>
      <c r="E433" s="18">
        <v>44231</v>
      </c>
      <c r="F433" s="18">
        <v>44234</v>
      </c>
      <c r="G433" s="19">
        <v>4</v>
      </c>
      <c r="H433" s="19">
        <v>1000000000</v>
      </c>
      <c r="I433" s="19">
        <v>20000000</v>
      </c>
      <c r="J433" s="20">
        <v>0.53</v>
      </c>
      <c r="K433" s="17" t="s">
        <v>259</v>
      </c>
    </row>
    <row r="434" spans="1:12" x14ac:dyDescent="0.2">
      <c r="A434" s="17" t="s">
        <v>225</v>
      </c>
      <c r="B434" s="17">
        <v>0</v>
      </c>
      <c r="C434" s="17" t="s">
        <v>183</v>
      </c>
      <c r="D434" s="17" t="s">
        <v>278</v>
      </c>
      <c r="E434" s="18">
        <v>43032</v>
      </c>
      <c r="F434" s="18">
        <v>43044</v>
      </c>
      <c r="G434" s="19">
        <v>13</v>
      </c>
      <c r="H434" s="19">
        <v>1000000000</v>
      </c>
      <c r="I434" s="19">
        <v>510000000</v>
      </c>
      <c r="J434" s="20">
        <v>2.5000000000000001E-4</v>
      </c>
      <c r="K434" s="17" t="s">
        <v>2</v>
      </c>
      <c r="L434" s="21" t="s">
        <v>430</v>
      </c>
    </row>
    <row r="435" spans="1:12" x14ac:dyDescent="0.2">
      <c r="A435" s="17" t="s">
        <v>241</v>
      </c>
      <c r="B435" s="17">
        <v>0</v>
      </c>
      <c r="C435" s="17" t="s">
        <v>183</v>
      </c>
      <c r="D435" s="17" t="s">
        <v>457</v>
      </c>
      <c r="E435" s="18">
        <v>42977</v>
      </c>
      <c r="F435" s="18">
        <v>43007</v>
      </c>
      <c r="G435" s="19">
        <v>30</v>
      </c>
      <c r="H435" s="19">
        <v>100000000</v>
      </c>
      <c r="I435" s="19">
        <v>51000000</v>
      </c>
      <c r="J435" s="20">
        <f>1/220</f>
        <v>4.5454545454545452E-3</v>
      </c>
      <c r="K435" s="17" t="s">
        <v>2</v>
      </c>
      <c r="L435" s="21" t="s">
        <v>458</v>
      </c>
    </row>
    <row r="436" spans="1:12" x14ac:dyDescent="0.2">
      <c r="A436" s="17" t="s">
        <v>593</v>
      </c>
      <c r="B436" s="17">
        <v>0</v>
      </c>
      <c r="C436" s="17" t="s">
        <v>188</v>
      </c>
      <c r="D436" s="17" t="s">
        <v>278</v>
      </c>
      <c r="E436" s="18"/>
      <c r="F436" s="18"/>
      <c r="G436" s="19"/>
      <c r="H436" s="19">
        <v>20000000000</v>
      </c>
      <c r="I436" s="19">
        <v>1428571429</v>
      </c>
      <c r="J436" s="20">
        <v>6.9999999999999999E-4</v>
      </c>
      <c r="K436" s="17" t="s">
        <v>259</v>
      </c>
      <c r="L436" s="21" t="s">
        <v>594</v>
      </c>
    </row>
    <row r="437" spans="1:12" x14ac:dyDescent="0.2">
      <c r="A437" s="17" t="s">
        <v>593</v>
      </c>
      <c r="B437" s="17">
        <v>0</v>
      </c>
      <c r="C437" s="17" t="s">
        <v>188</v>
      </c>
      <c r="D437" s="17" t="s">
        <v>278</v>
      </c>
      <c r="E437" s="18"/>
      <c r="F437" s="18"/>
      <c r="G437" s="19"/>
      <c r="H437" s="19">
        <v>20000000000</v>
      </c>
      <c r="I437" s="19">
        <v>1666666667</v>
      </c>
      <c r="J437" s="20">
        <v>8.9999999999999998E-4</v>
      </c>
      <c r="K437" s="17" t="s">
        <v>259</v>
      </c>
      <c r="L437" s="21" t="s">
        <v>595</v>
      </c>
    </row>
    <row r="438" spans="1:12" x14ac:dyDescent="0.2">
      <c r="A438" s="17" t="s">
        <v>593</v>
      </c>
      <c r="B438" s="17">
        <v>0</v>
      </c>
      <c r="C438" s="17" t="s">
        <v>188</v>
      </c>
      <c r="D438" s="17" t="s">
        <v>278</v>
      </c>
      <c r="E438" s="18"/>
      <c r="F438" s="18"/>
      <c r="G438" s="19"/>
      <c r="H438" s="19">
        <v>20000000000</v>
      </c>
      <c r="I438" s="19">
        <v>1120000000</v>
      </c>
      <c r="J438" s="20">
        <v>1.25E-3</v>
      </c>
      <c r="K438" s="17" t="s">
        <v>259</v>
      </c>
    </row>
    <row r="439" spans="1:12" x14ac:dyDescent="0.2">
      <c r="A439" s="17" t="s">
        <v>773</v>
      </c>
      <c r="B439" s="17">
        <v>0</v>
      </c>
      <c r="C439" s="17" t="s">
        <v>183</v>
      </c>
      <c r="D439" s="17" t="s">
        <v>278</v>
      </c>
      <c r="E439" s="18">
        <v>43144</v>
      </c>
      <c r="F439" s="18">
        <v>43146</v>
      </c>
      <c r="G439" s="19">
        <v>3</v>
      </c>
      <c r="H439" s="19">
        <v>1000000000</v>
      </c>
      <c r="I439" s="19">
        <v>500000000</v>
      </c>
      <c r="J439" s="20">
        <v>0.04</v>
      </c>
      <c r="K439" s="17" t="s">
        <v>259</v>
      </c>
      <c r="L439" s="21" t="s">
        <v>351</v>
      </c>
    </row>
    <row r="440" spans="1:12" x14ac:dyDescent="0.2">
      <c r="A440" s="17" t="s">
        <v>233</v>
      </c>
      <c r="B440" s="17">
        <v>0</v>
      </c>
      <c r="C440" s="17" t="s">
        <v>183</v>
      </c>
      <c r="D440" s="17" t="s">
        <v>278</v>
      </c>
      <c r="E440" s="18">
        <v>43021</v>
      </c>
      <c r="F440" s="18">
        <v>43023</v>
      </c>
      <c r="G440" s="19">
        <v>3</v>
      </c>
      <c r="H440" s="19">
        <v>1000000000</v>
      </c>
      <c r="I440" s="19">
        <v>500000000</v>
      </c>
      <c r="J440" s="20">
        <v>6.7199999999999996E-2</v>
      </c>
      <c r="K440" s="17" t="s">
        <v>259</v>
      </c>
      <c r="L440" s="21" t="s">
        <v>767</v>
      </c>
    </row>
    <row r="441" spans="1:12" x14ac:dyDescent="0.2">
      <c r="A441" s="17" t="s">
        <v>61</v>
      </c>
      <c r="B441" s="17">
        <v>0</v>
      </c>
      <c r="C441" s="17" t="s">
        <v>183</v>
      </c>
      <c r="D441" s="17" t="s">
        <v>278</v>
      </c>
      <c r="E441" s="18">
        <v>43679</v>
      </c>
      <c r="F441" s="18">
        <v>43700</v>
      </c>
      <c r="G441" s="19"/>
      <c r="H441" s="19">
        <v>186000000</v>
      </c>
      <c r="I441" s="19">
        <v>1400000</v>
      </c>
      <c r="J441" s="20">
        <v>0.30523</v>
      </c>
      <c r="K441" s="17" t="s">
        <v>259</v>
      </c>
      <c r="L441" s="21" t="s">
        <v>325</v>
      </c>
    </row>
    <row r="442" spans="1:12" x14ac:dyDescent="0.2">
      <c r="A442" s="17" t="s">
        <v>61</v>
      </c>
      <c r="B442" s="17">
        <v>0</v>
      </c>
      <c r="C442" s="17" t="s">
        <v>188</v>
      </c>
      <c r="D442" s="17" t="s">
        <v>278</v>
      </c>
      <c r="E442" s="18"/>
      <c r="F442" s="18"/>
      <c r="G442" s="19"/>
      <c r="H442" s="19">
        <v>186000000</v>
      </c>
      <c r="I442" s="19">
        <v>5400000</v>
      </c>
      <c r="J442" s="20">
        <v>0.30523</v>
      </c>
      <c r="K442" s="17" t="s">
        <v>259</v>
      </c>
    </row>
    <row r="443" spans="1:12" x14ac:dyDescent="0.2">
      <c r="A443" s="17" t="s">
        <v>160</v>
      </c>
      <c r="B443" s="17">
        <v>0</v>
      </c>
      <c r="C443" s="17" t="s">
        <v>183</v>
      </c>
      <c r="D443" s="17" t="s">
        <v>278</v>
      </c>
      <c r="E443" s="18">
        <v>43139</v>
      </c>
      <c r="F443" s="18">
        <v>43139</v>
      </c>
      <c r="G443" s="19">
        <v>1</v>
      </c>
      <c r="H443" s="19">
        <v>5000000000</v>
      </c>
      <c r="I443" s="19">
        <f>H443*40%</f>
        <v>2000000000</v>
      </c>
      <c r="J443" s="20">
        <v>2.5999999999999998E-5</v>
      </c>
      <c r="K443" s="17" t="s">
        <v>2</v>
      </c>
      <c r="L443" s="21" t="s">
        <v>364</v>
      </c>
    </row>
    <row r="444" spans="1:12" x14ac:dyDescent="0.2">
      <c r="A444" s="17" t="s">
        <v>384</v>
      </c>
      <c r="B444" s="17">
        <v>0</v>
      </c>
      <c r="C444" s="17" t="s">
        <v>183</v>
      </c>
      <c r="D444" s="17" t="s">
        <v>278</v>
      </c>
      <c r="E444" s="18">
        <v>42843</v>
      </c>
      <c r="F444" s="18">
        <v>46495</v>
      </c>
      <c r="G444" s="19">
        <v>1</v>
      </c>
      <c r="H444" s="19">
        <v>87000000</v>
      </c>
      <c r="I444" s="19"/>
      <c r="J444" s="20">
        <v>0.25</v>
      </c>
      <c r="K444" s="17" t="s">
        <v>259</v>
      </c>
      <c r="L444" s="21" t="s">
        <v>385</v>
      </c>
    </row>
    <row r="445" spans="1:12" x14ac:dyDescent="0.2">
      <c r="A445" s="17" t="s">
        <v>121</v>
      </c>
      <c r="B445" s="17">
        <v>0</v>
      </c>
      <c r="C445" s="17" t="s">
        <v>183</v>
      </c>
      <c r="D445" s="17" t="s">
        <v>278</v>
      </c>
      <c r="E445" s="18">
        <v>43250</v>
      </c>
      <c r="F445" s="18">
        <v>43251</v>
      </c>
      <c r="G445" s="19">
        <v>2</v>
      </c>
      <c r="H445" s="19">
        <v>129498559</v>
      </c>
      <c r="I445" s="19">
        <v>38850000</v>
      </c>
      <c r="J445" s="20">
        <v>1</v>
      </c>
      <c r="K445" s="17" t="s">
        <v>259</v>
      </c>
      <c r="L445" s="21" t="s">
        <v>643</v>
      </c>
    </row>
    <row r="446" spans="1:12" x14ac:dyDescent="0.2">
      <c r="A446" s="17" t="s">
        <v>53</v>
      </c>
      <c r="B446" s="17">
        <v>0</v>
      </c>
      <c r="C446" s="17" t="s">
        <v>188</v>
      </c>
      <c r="D446" s="17" t="s">
        <v>278</v>
      </c>
      <c r="E446" s="18"/>
      <c r="F446" s="18"/>
      <c r="G446" s="19"/>
      <c r="H446" s="19">
        <v>10000000</v>
      </c>
      <c r="I446" s="19">
        <v>650000</v>
      </c>
      <c r="J446" s="20">
        <v>0.125</v>
      </c>
      <c r="K446" s="17" t="s">
        <v>259</v>
      </c>
      <c r="L446" s="21" t="s">
        <v>668</v>
      </c>
    </row>
    <row r="447" spans="1:12" x14ac:dyDescent="0.2">
      <c r="A447" s="17" t="s">
        <v>53</v>
      </c>
      <c r="B447" s="17">
        <v>1</v>
      </c>
      <c r="C447" s="17" t="s">
        <v>188</v>
      </c>
      <c r="D447" s="17" t="s">
        <v>278</v>
      </c>
      <c r="E447" s="18"/>
      <c r="F447" s="18"/>
      <c r="G447" s="19"/>
      <c r="H447" s="19">
        <v>10000000</v>
      </c>
      <c r="I447" s="19">
        <v>2400000</v>
      </c>
      <c r="J447" s="20">
        <v>0.15</v>
      </c>
      <c r="K447" s="17" t="s">
        <v>259</v>
      </c>
      <c r="L447" s="21" t="s">
        <v>669</v>
      </c>
    </row>
    <row r="448" spans="1:12" x14ac:dyDescent="0.2">
      <c r="A448" s="17" t="s">
        <v>53</v>
      </c>
      <c r="B448" s="17">
        <v>0</v>
      </c>
      <c r="C448" s="17" t="s">
        <v>183</v>
      </c>
      <c r="D448" s="17" t="s">
        <v>278</v>
      </c>
      <c r="E448" s="18">
        <v>44296</v>
      </c>
      <c r="F448" s="18">
        <v>44296</v>
      </c>
      <c r="G448" s="19">
        <v>1</v>
      </c>
      <c r="H448" s="19">
        <v>10000000</v>
      </c>
      <c r="I448" s="19">
        <v>350000</v>
      </c>
      <c r="J448" s="20">
        <v>0.2</v>
      </c>
      <c r="K448" s="17" t="s">
        <v>259</v>
      </c>
    </row>
    <row r="449" spans="1:12" x14ac:dyDescent="0.2">
      <c r="A449" s="17" t="s">
        <v>55</v>
      </c>
      <c r="B449" s="17">
        <v>0</v>
      </c>
      <c r="C449" s="17" t="s">
        <v>188</v>
      </c>
      <c r="D449" s="17" t="s">
        <v>278</v>
      </c>
      <c r="E449" s="18">
        <v>43726</v>
      </c>
      <c r="F449" s="18">
        <v>43738</v>
      </c>
      <c r="G449" s="19">
        <v>12</v>
      </c>
      <c r="H449" s="19">
        <v>405002002</v>
      </c>
      <c r="I449" s="19">
        <v>344251702</v>
      </c>
      <c r="J449" s="20">
        <v>1.27131E-2</v>
      </c>
      <c r="K449" s="17" t="s">
        <v>259</v>
      </c>
      <c r="L449" s="21" t="s">
        <v>332</v>
      </c>
    </row>
    <row r="450" spans="1:12" x14ac:dyDescent="0.2">
      <c r="A450" s="17" t="s">
        <v>75</v>
      </c>
      <c r="B450" s="17">
        <v>0</v>
      </c>
      <c r="C450" s="17" t="s">
        <v>188</v>
      </c>
      <c r="D450" s="17" t="s">
        <v>278</v>
      </c>
      <c r="E450" s="18"/>
      <c r="F450" s="18"/>
      <c r="G450" s="19"/>
      <c r="H450" s="19">
        <v>100000000000</v>
      </c>
      <c r="I450" s="19">
        <v>12392000000</v>
      </c>
      <c r="J450" s="20">
        <v>4.0000000000000002E-4</v>
      </c>
      <c r="K450" s="17" t="s">
        <v>259</v>
      </c>
    </row>
    <row r="451" spans="1:12" x14ac:dyDescent="0.2">
      <c r="A451" s="17" t="s">
        <v>75</v>
      </c>
      <c r="B451" s="17">
        <v>0</v>
      </c>
      <c r="C451" s="17" t="s">
        <v>188</v>
      </c>
      <c r="D451" s="17" t="s">
        <v>278</v>
      </c>
      <c r="E451" s="18"/>
      <c r="F451" s="18"/>
      <c r="G451" s="19"/>
      <c r="H451" s="19">
        <v>100000000000</v>
      </c>
      <c r="I451" s="19">
        <v>1000000000</v>
      </c>
      <c r="J451" s="20">
        <v>2E-3</v>
      </c>
      <c r="K451" s="17" t="s">
        <v>259</v>
      </c>
      <c r="L451" s="21" t="s">
        <v>615</v>
      </c>
    </row>
    <row r="452" spans="1:12" x14ac:dyDescent="0.2">
      <c r="A452" s="17" t="s">
        <v>75</v>
      </c>
      <c r="B452" s="17">
        <v>0</v>
      </c>
      <c r="C452" s="17" t="s">
        <v>183</v>
      </c>
      <c r="D452" s="17" t="s">
        <v>278</v>
      </c>
      <c r="E452" s="18">
        <v>43607</v>
      </c>
      <c r="F452" s="18">
        <v>43607</v>
      </c>
      <c r="G452" s="19">
        <v>1</v>
      </c>
      <c r="H452" s="19">
        <v>100000000000</v>
      </c>
      <c r="I452" s="19">
        <v>600000000</v>
      </c>
      <c r="J452" s="20">
        <v>6.0000000000000001E-3</v>
      </c>
      <c r="K452" s="17" t="s">
        <v>259</v>
      </c>
    </row>
    <row r="453" spans="1:12" x14ac:dyDescent="0.2">
      <c r="A453" s="17" t="s">
        <v>75</v>
      </c>
      <c r="B453" s="17">
        <v>0</v>
      </c>
      <c r="C453" s="17" t="s">
        <v>183</v>
      </c>
      <c r="D453" s="17" t="s">
        <v>278</v>
      </c>
      <c r="E453" s="18">
        <v>43607</v>
      </c>
      <c r="F453" s="18">
        <v>43607</v>
      </c>
      <c r="G453" s="19">
        <v>1</v>
      </c>
      <c r="H453" s="19">
        <v>100000000000</v>
      </c>
      <c r="I453" s="19">
        <v>2400000000</v>
      </c>
      <c r="J453" s="20">
        <v>1.1000000000000001E-3</v>
      </c>
      <c r="K453" s="17" t="s">
        <v>259</v>
      </c>
    </row>
    <row r="454" spans="1:12" x14ac:dyDescent="0.2">
      <c r="A454" s="17" t="s">
        <v>249</v>
      </c>
      <c r="B454" s="17">
        <v>0</v>
      </c>
      <c r="C454" s="17" t="s">
        <v>183</v>
      </c>
      <c r="D454" s="17" t="s">
        <v>278</v>
      </c>
      <c r="E454" s="18">
        <v>42956</v>
      </c>
      <c r="F454" s="18">
        <v>42987</v>
      </c>
      <c r="G454" s="19">
        <v>32</v>
      </c>
      <c r="H454" s="19">
        <v>200000000</v>
      </c>
      <c r="I454" s="19">
        <v>70000000</v>
      </c>
      <c r="J454" s="20">
        <f>1/333</f>
        <v>3.003003003003003E-3</v>
      </c>
      <c r="K454" s="17" t="s">
        <v>2</v>
      </c>
      <c r="L454" s="21" t="s">
        <v>454</v>
      </c>
    </row>
    <row r="455" spans="1:12" x14ac:dyDescent="0.2">
      <c r="A455" s="17" t="s">
        <v>254</v>
      </c>
      <c r="B455" s="17">
        <v>0</v>
      </c>
      <c r="C455" s="17" t="s">
        <v>183</v>
      </c>
      <c r="D455" s="17" t="s">
        <v>278</v>
      </c>
      <c r="E455" s="18">
        <v>42947</v>
      </c>
      <c r="F455" s="18">
        <v>42961</v>
      </c>
      <c r="G455" s="19">
        <v>15</v>
      </c>
      <c r="H455" s="19">
        <v>120000000</v>
      </c>
      <c r="I455" s="19">
        <f>H455*45%</f>
        <v>54000000</v>
      </c>
      <c r="J455" s="20">
        <v>0.89</v>
      </c>
      <c r="K455" s="17" t="s">
        <v>259</v>
      </c>
      <c r="L455" s="21" t="s">
        <v>769</v>
      </c>
    </row>
    <row r="456" spans="1:12" x14ac:dyDescent="0.2">
      <c r="A456" s="17" t="s">
        <v>31</v>
      </c>
      <c r="B456" s="17" t="s">
        <v>599</v>
      </c>
      <c r="C456" s="17" t="s">
        <v>188</v>
      </c>
      <c r="D456" s="17" t="s">
        <v>278</v>
      </c>
      <c r="E456" s="18"/>
      <c r="F456" s="18"/>
      <c r="G456" s="19"/>
      <c r="H456" s="19">
        <v>3000000000</v>
      </c>
      <c r="I456" s="19">
        <v>120000000</v>
      </c>
      <c r="J456" s="20">
        <v>5.0000000000000001E-3</v>
      </c>
      <c r="K456" s="17" t="s">
        <v>259</v>
      </c>
      <c r="L456" s="21" t="s">
        <v>598</v>
      </c>
    </row>
    <row r="457" spans="1:12" x14ac:dyDescent="0.2">
      <c r="A457" s="17" t="s">
        <v>31</v>
      </c>
      <c r="B457" s="17">
        <v>0</v>
      </c>
      <c r="C457" s="17" t="s">
        <v>188</v>
      </c>
      <c r="D457" s="17" t="s">
        <v>278</v>
      </c>
      <c r="E457" s="18"/>
      <c r="F457" s="18"/>
      <c r="G457" s="19"/>
      <c r="H457" s="19">
        <v>3000000000</v>
      </c>
      <c r="I457" s="19">
        <v>515400000</v>
      </c>
      <c r="J457" s="20">
        <v>3.5999999999999999E-3</v>
      </c>
      <c r="K457" s="17" t="s">
        <v>259</v>
      </c>
    </row>
    <row r="458" spans="1:12" x14ac:dyDescent="0.2">
      <c r="A458" s="17" t="s">
        <v>31</v>
      </c>
      <c r="B458" s="17">
        <v>0</v>
      </c>
      <c r="C458" s="17" t="s">
        <v>183</v>
      </c>
      <c r="D458" s="17" t="s">
        <v>278</v>
      </c>
      <c r="E458" s="18">
        <v>44056</v>
      </c>
      <c r="F458" s="18">
        <v>44057</v>
      </c>
      <c r="G458" s="19">
        <v>2</v>
      </c>
      <c r="H458" s="19">
        <v>3000000000</v>
      </c>
      <c r="I458" s="19">
        <v>360000000</v>
      </c>
      <c r="J458" s="20">
        <v>8.3330000000000001E-3</v>
      </c>
      <c r="K458" s="17" t="s">
        <v>259</v>
      </c>
    </row>
    <row r="459" spans="1:12" x14ac:dyDescent="0.2">
      <c r="A459" s="17" t="s">
        <v>217</v>
      </c>
      <c r="B459" s="17">
        <v>0</v>
      </c>
      <c r="C459" s="17" t="s">
        <v>183</v>
      </c>
      <c r="D459" s="17" t="s">
        <v>278</v>
      </c>
      <c r="E459" s="18">
        <v>42948</v>
      </c>
      <c r="F459" s="18">
        <v>43061</v>
      </c>
      <c r="G459" s="19">
        <v>114</v>
      </c>
      <c r="H459" s="19">
        <v>100000000</v>
      </c>
      <c r="I459" s="19">
        <v>70000000</v>
      </c>
      <c r="J459" s="20">
        <v>1</v>
      </c>
      <c r="K459" s="17" t="s">
        <v>259</v>
      </c>
      <c r="L459" s="21" t="s">
        <v>711</v>
      </c>
    </row>
    <row r="460" spans="1:12" x14ac:dyDescent="0.2">
      <c r="A460" s="17" t="s">
        <v>118</v>
      </c>
      <c r="B460" s="17">
        <v>0</v>
      </c>
      <c r="C460" s="17" t="s">
        <v>183</v>
      </c>
      <c r="D460" s="17" t="s">
        <v>278</v>
      </c>
      <c r="E460" s="18">
        <v>43260</v>
      </c>
      <c r="F460" s="18">
        <v>43263</v>
      </c>
      <c r="G460" s="19">
        <v>4</v>
      </c>
      <c r="H460" s="19">
        <v>1000000000</v>
      </c>
      <c r="I460" s="19">
        <v>200000000</v>
      </c>
      <c r="J460" s="20">
        <v>0.8</v>
      </c>
      <c r="K460" s="17" t="s">
        <v>259</v>
      </c>
      <c r="L460" s="21" t="s">
        <v>717</v>
      </c>
    </row>
    <row r="461" spans="1:12" x14ac:dyDescent="0.2">
      <c r="A461" s="17" t="s">
        <v>566</v>
      </c>
      <c r="B461" s="17">
        <v>0</v>
      </c>
      <c r="C461" s="17" t="s">
        <v>188</v>
      </c>
      <c r="D461" s="17" t="s">
        <v>278</v>
      </c>
      <c r="E461" s="18"/>
      <c r="F461" s="18"/>
      <c r="G461" s="19"/>
      <c r="H461" s="19">
        <v>500000000</v>
      </c>
      <c r="I461" s="19">
        <v>10000000</v>
      </c>
      <c r="J461" s="20">
        <v>1.6459999999999999E-2</v>
      </c>
      <c r="K461" s="17" t="s">
        <v>259</v>
      </c>
      <c r="L461" s="21" t="s">
        <v>565</v>
      </c>
    </row>
    <row r="462" spans="1:12" x14ac:dyDescent="0.2">
      <c r="A462" s="17" t="s">
        <v>566</v>
      </c>
      <c r="B462" s="17">
        <v>0</v>
      </c>
      <c r="C462" s="17" t="s">
        <v>188</v>
      </c>
      <c r="D462" s="17" t="s">
        <v>278</v>
      </c>
      <c r="E462" s="18"/>
      <c r="F462" s="18"/>
      <c r="G462" s="19"/>
      <c r="H462" s="19">
        <v>500000000</v>
      </c>
      <c r="I462" s="19">
        <v>45000000</v>
      </c>
      <c r="J462" s="20">
        <v>1.111E-2</v>
      </c>
      <c r="K462" s="17" t="s">
        <v>259</v>
      </c>
    </row>
    <row r="463" spans="1:12" x14ac:dyDescent="0.2">
      <c r="A463" s="17" t="s">
        <v>566</v>
      </c>
      <c r="B463" s="17">
        <v>0</v>
      </c>
      <c r="C463" s="17" t="s">
        <v>188</v>
      </c>
      <c r="D463" s="17" t="s">
        <v>278</v>
      </c>
      <c r="E463" s="18"/>
      <c r="F463" s="18"/>
      <c r="G463" s="19"/>
      <c r="H463" s="19">
        <v>500000000</v>
      </c>
      <c r="I463" s="19">
        <v>20000000</v>
      </c>
      <c r="J463" s="20">
        <v>0.8</v>
      </c>
      <c r="K463" s="17" t="s">
        <v>259</v>
      </c>
    </row>
    <row r="464" spans="1:12" x14ac:dyDescent="0.2">
      <c r="A464" s="17" t="s">
        <v>566</v>
      </c>
      <c r="B464" s="17">
        <v>0</v>
      </c>
      <c r="C464" s="17" t="s">
        <v>183</v>
      </c>
      <c r="D464" s="17" t="s">
        <v>278</v>
      </c>
      <c r="E464" s="18">
        <v>44229</v>
      </c>
      <c r="F464" s="18">
        <v>44236</v>
      </c>
      <c r="G464" s="19">
        <v>8</v>
      </c>
      <c r="H464" s="19">
        <v>500000000</v>
      </c>
      <c r="I464" s="19">
        <v>50000000</v>
      </c>
      <c r="J464" s="20">
        <v>1</v>
      </c>
      <c r="K464" s="17" t="s">
        <v>259</v>
      </c>
    </row>
    <row r="465" spans="1:12" x14ac:dyDescent="0.2">
      <c r="A465" s="17" t="s">
        <v>177</v>
      </c>
      <c r="B465" s="17">
        <v>0</v>
      </c>
      <c r="C465" s="17" t="s">
        <v>183</v>
      </c>
      <c r="D465" s="17" t="s">
        <v>278</v>
      </c>
      <c r="E465" s="18">
        <v>43078</v>
      </c>
      <c r="F465" s="18">
        <v>43101</v>
      </c>
      <c r="G465" s="19">
        <v>23</v>
      </c>
      <c r="H465" s="19">
        <v>150000000</v>
      </c>
      <c r="I465" s="19">
        <v>90000000</v>
      </c>
      <c r="J465" s="20">
        <v>0.5</v>
      </c>
      <c r="K465" s="17" t="s">
        <v>259</v>
      </c>
      <c r="L465" s="21" t="s">
        <v>392</v>
      </c>
    </row>
    <row r="466" spans="1:12" x14ac:dyDescent="0.2">
      <c r="A466" s="17" t="s">
        <v>24</v>
      </c>
      <c r="B466" s="17">
        <v>0</v>
      </c>
      <c r="C466" s="17" t="s">
        <v>183</v>
      </c>
      <c r="D466" s="17" t="s">
        <v>278</v>
      </c>
      <c r="E466" s="18">
        <v>44077</v>
      </c>
      <c r="F466" s="18">
        <v>44079</v>
      </c>
      <c r="G466" s="19">
        <v>3</v>
      </c>
      <c r="H466" s="19">
        <v>4140000000</v>
      </c>
      <c r="I466" s="19">
        <f>4140000000*0.18</f>
        <v>745200000</v>
      </c>
      <c r="J466" s="20">
        <v>0.03</v>
      </c>
      <c r="K466" s="17" t="s">
        <v>259</v>
      </c>
      <c r="L466" s="21" t="s">
        <v>342</v>
      </c>
    </row>
    <row r="467" spans="1:12" x14ac:dyDescent="0.2">
      <c r="A467" s="17" t="s">
        <v>93</v>
      </c>
      <c r="B467" s="17">
        <v>0</v>
      </c>
      <c r="C467" s="17" t="s">
        <v>183</v>
      </c>
      <c r="D467" s="17" t="s">
        <v>278</v>
      </c>
      <c r="E467" s="18">
        <v>43423</v>
      </c>
      <c r="F467" s="18">
        <v>43453</v>
      </c>
      <c r="G467" s="19">
        <v>31</v>
      </c>
      <c r="H467" s="19">
        <v>350000000</v>
      </c>
      <c r="I467" s="19">
        <v>129500000</v>
      </c>
      <c r="J467" s="20">
        <v>0.2</v>
      </c>
      <c r="K467" s="17" t="s">
        <v>259</v>
      </c>
      <c r="L467" s="21" t="s">
        <v>334</v>
      </c>
    </row>
    <row r="468" spans="1:12" x14ac:dyDescent="0.2">
      <c r="A468" s="17" t="s">
        <v>501</v>
      </c>
      <c r="B468" s="17">
        <v>1</v>
      </c>
      <c r="C468" s="17" t="s">
        <v>188</v>
      </c>
      <c r="D468" s="17" t="s">
        <v>278</v>
      </c>
      <c r="E468" s="18"/>
      <c r="F468" s="18"/>
      <c r="G468" s="19"/>
      <c r="H468" s="19">
        <v>100000000</v>
      </c>
      <c r="I468" s="19">
        <v>8000000</v>
      </c>
      <c r="J468" s="20">
        <v>0.3</v>
      </c>
      <c r="K468" s="17" t="s">
        <v>259</v>
      </c>
      <c r="L468" s="21" t="s">
        <v>500</v>
      </c>
    </row>
    <row r="469" spans="1:12" x14ac:dyDescent="0.2">
      <c r="A469" s="17" t="s">
        <v>501</v>
      </c>
      <c r="B469" s="17">
        <v>0</v>
      </c>
      <c r="C469" s="17" t="s">
        <v>183</v>
      </c>
      <c r="D469" s="17" t="s">
        <v>278</v>
      </c>
      <c r="E469" s="18">
        <v>44308</v>
      </c>
      <c r="F469" s="18">
        <v>44308</v>
      </c>
      <c r="G469" s="19">
        <v>1</v>
      </c>
      <c r="H469" s="19">
        <v>100000000</v>
      </c>
      <c r="I469" s="19">
        <v>200000</v>
      </c>
      <c r="J469" s="20">
        <v>0.5</v>
      </c>
      <c r="K469" s="17" t="s">
        <v>259</v>
      </c>
      <c r="L469" s="21" t="s">
        <v>502</v>
      </c>
    </row>
    <row r="470" spans="1:12" x14ac:dyDescent="0.2">
      <c r="A470" s="17" t="s">
        <v>501</v>
      </c>
      <c r="B470" s="17">
        <v>0</v>
      </c>
      <c r="C470" s="17" t="s">
        <v>183</v>
      </c>
      <c r="D470" s="17" t="s">
        <v>278</v>
      </c>
      <c r="E470" s="18">
        <v>44312</v>
      </c>
      <c r="F470" s="18">
        <v>44312</v>
      </c>
      <c r="G470" s="19">
        <v>1</v>
      </c>
      <c r="H470" s="19">
        <v>100000000</v>
      </c>
      <c r="I470" s="19">
        <v>1100000</v>
      </c>
      <c r="J470" s="20">
        <v>0.5</v>
      </c>
      <c r="K470" s="17" t="s">
        <v>259</v>
      </c>
    </row>
    <row r="471" spans="1:12" x14ac:dyDescent="0.2">
      <c r="A471" s="17" t="s">
        <v>501</v>
      </c>
      <c r="B471" s="17">
        <v>0</v>
      </c>
      <c r="C471" s="17" t="s">
        <v>183</v>
      </c>
      <c r="D471" s="17" t="s">
        <v>278</v>
      </c>
      <c r="E471" s="18">
        <v>44310</v>
      </c>
      <c r="F471" s="18">
        <v>44313</v>
      </c>
      <c r="G471" s="19">
        <v>4</v>
      </c>
      <c r="H471" s="19">
        <v>100000000</v>
      </c>
      <c r="I471" s="19">
        <v>400000</v>
      </c>
      <c r="J471" s="20">
        <v>0.5</v>
      </c>
      <c r="K471" s="17" t="s">
        <v>259</v>
      </c>
    </row>
    <row r="472" spans="1:12" x14ac:dyDescent="0.2">
      <c r="A472" s="17" t="s">
        <v>501</v>
      </c>
      <c r="B472" s="17">
        <v>0</v>
      </c>
      <c r="C472" s="17" t="s">
        <v>183</v>
      </c>
      <c r="D472" s="17" t="s">
        <v>278</v>
      </c>
      <c r="E472" s="18">
        <v>44313</v>
      </c>
      <c r="F472" s="18">
        <v>44313</v>
      </c>
      <c r="G472" s="19">
        <v>1</v>
      </c>
      <c r="H472" s="19">
        <v>100000000</v>
      </c>
      <c r="I472" s="19">
        <v>40000</v>
      </c>
      <c r="J472" s="20">
        <v>0.5</v>
      </c>
      <c r="K472" s="17" t="s">
        <v>259</v>
      </c>
    </row>
    <row r="473" spans="1:12" x14ac:dyDescent="0.2">
      <c r="A473" s="17" t="s">
        <v>501</v>
      </c>
      <c r="B473" s="17">
        <v>0</v>
      </c>
      <c r="C473" s="17" t="s">
        <v>183</v>
      </c>
      <c r="D473" s="17" t="s">
        <v>278</v>
      </c>
      <c r="E473" s="18">
        <v>44313</v>
      </c>
      <c r="F473" s="18">
        <v>44313</v>
      </c>
      <c r="G473" s="19">
        <v>1</v>
      </c>
      <c r="H473" s="19">
        <v>100000000</v>
      </c>
      <c r="I473" s="19">
        <v>300000</v>
      </c>
      <c r="J473" s="20">
        <v>0.5</v>
      </c>
      <c r="K473" s="17" t="s">
        <v>259</v>
      </c>
    </row>
    <row r="474" spans="1:12" x14ac:dyDescent="0.2">
      <c r="A474" s="17" t="s">
        <v>212</v>
      </c>
      <c r="B474" s="17">
        <v>0</v>
      </c>
      <c r="C474" s="17" t="s">
        <v>183</v>
      </c>
      <c r="D474" s="17" t="s">
        <v>278</v>
      </c>
      <c r="E474" s="18">
        <v>43039</v>
      </c>
      <c r="F474" s="18">
        <v>43068</v>
      </c>
      <c r="G474" s="19">
        <v>30</v>
      </c>
      <c r="H474" s="19">
        <v>25000000000</v>
      </c>
      <c r="I474" s="19">
        <f>H474:H475*40%</f>
        <v>10000000000</v>
      </c>
      <c r="J474" s="20">
        <v>0.1</v>
      </c>
      <c r="K474" s="17" t="s">
        <v>259</v>
      </c>
      <c r="L474" s="21" t="s">
        <v>695</v>
      </c>
    </row>
    <row r="475" spans="1:12" x14ac:dyDescent="0.2">
      <c r="A475" s="17" t="s">
        <v>151</v>
      </c>
      <c r="B475" s="17">
        <v>0</v>
      </c>
      <c r="C475" s="17" t="s">
        <v>183</v>
      </c>
      <c r="D475" s="17" t="s">
        <v>278</v>
      </c>
      <c r="E475" s="18">
        <v>43157</v>
      </c>
      <c r="F475" s="18">
        <v>43159</v>
      </c>
      <c r="G475" s="19">
        <v>3</v>
      </c>
      <c r="H475" s="19">
        <v>100000000</v>
      </c>
      <c r="I475" s="19">
        <v>60000000</v>
      </c>
      <c r="J475" s="20">
        <v>0.67</v>
      </c>
      <c r="K475" s="17" t="s">
        <v>259</v>
      </c>
      <c r="L475" s="21" t="s">
        <v>719</v>
      </c>
    </row>
    <row r="476" spans="1:12" x14ac:dyDescent="0.2">
      <c r="A476" s="17" t="s">
        <v>47</v>
      </c>
      <c r="B476" s="17">
        <v>0</v>
      </c>
      <c r="C476" s="17" t="s">
        <v>183</v>
      </c>
      <c r="D476" s="17" t="s">
        <v>278</v>
      </c>
      <c r="E476" s="18">
        <v>43066</v>
      </c>
      <c r="F476" s="18">
        <v>43094</v>
      </c>
      <c r="G476" s="19">
        <v>31</v>
      </c>
      <c r="H476" s="19">
        <v>150000000</v>
      </c>
      <c r="I476" s="19">
        <v>105000000</v>
      </c>
      <c r="J476" s="20">
        <f>1/10</f>
        <v>0.1</v>
      </c>
      <c r="K476" s="17" t="s">
        <v>259</v>
      </c>
      <c r="L476" s="21" t="s">
        <v>375</v>
      </c>
    </row>
    <row r="477" spans="1:12" x14ac:dyDescent="0.2">
      <c r="A477" s="17" t="s">
        <v>559</v>
      </c>
      <c r="B477" s="17">
        <v>0</v>
      </c>
      <c r="C477" s="17" t="s">
        <v>183</v>
      </c>
      <c r="D477" s="17" t="s">
        <v>278</v>
      </c>
      <c r="E477" s="18">
        <v>44238</v>
      </c>
      <c r="F477" s="18">
        <v>44240</v>
      </c>
      <c r="G477" s="19">
        <v>3</v>
      </c>
      <c r="H477" s="19">
        <v>100000000</v>
      </c>
      <c r="I477" s="19">
        <v>10000000</v>
      </c>
      <c r="J477" s="20">
        <v>5</v>
      </c>
      <c r="K477" s="17" t="s">
        <v>259</v>
      </c>
      <c r="L477" s="21" t="s">
        <v>558</v>
      </c>
    </row>
    <row r="478" spans="1:12" x14ac:dyDescent="0.2">
      <c r="A478" s="17" t="s">
        <v>27</v>
      </c>
      <c r="B478" s="17">
        <v>0</v>
      </c>
      <c r="C478" s="17" t="s">
        <v>183</v>
      </c>
      <c r="D478" s="17" t="s">
        <v>278</v>
      </c>
      <c r="E478" s="18">
        <v>44057</v>
      </c>
      <c r="F478" s="18">
        <v>44064</v>
      </c>
      <c r="G478" s="19">
        <v>7</v>
      </c>
      <c r="H478" s="19"/>
      <c r="I478" s="19"/>
      <c r="J478" s="20">
        <v>0.02</v>
      </c>
      <c r="K478" s="17" t="s">
        <v>259</v>
      </c>
      <c r="L478" s="21" t="s">
        <v>311</v>
      </c>
    </row>
    <row r="479" spans="1:12" x14ac:dyDescent="0.2">
      <c r="A479" s="17" t="s">
        <v>32</v>
      </c>
      <c r="B479" s="17">
        <v>0</v>
      </c>
      <c r="C479" s="17" t="s">
        <v>183</v>
      </c>
      <c r="D479" s="17" t="s">
        <v>278</v>
      </c>
      <c r="E479" s="18">
        <v>44054</v>
      </c>
      <c r="F479" s="18">
        <v>44054</v>
      </c>
      <c r="G479" s="19">
        <v>1</v>
      </c>
      <c r="H479" s="19">
        <v>10000000000</v>
      </c>
      <c r="I479" s="19">
        <v>6000000</v>
      </c>
      <c r="J479" s="20">
        <v>0.11</v>
      </c>
      <c r="K479" s="17" t="s">
        <v>259</v>
      </c>
      <c r="L479" s="21" t="s">
        <v>318</v>
      </c>
    </row>
    <row r="480" spans="1:12" x14ac:dyDescent="0.2">
      <c r="A480" s="17" t="s">
        <v>191</v>
      </c>
      <c r="B480" s="17">
        <v>0</v>
      </c>
      <c r="C480" s="17" t="s">
        <v>183</v>
      </c>
      <c r="D480" s="17" t="s">
        <v>278</v>
      </c>
      <c r="E480" s="18">
        <v>43081</v>
      </c>
      <c r="F480" s="18">
        <v>43095</v>
      </c>
      <c r="G480" s="19">
        <v>15</v>
      </c>
      <c r="H480" s="19">
        <v>572166103</v>
      </c>
      <c r="I480" s="19">
        <f>H480*40%</f>
        <v>228866441.20000002</v>
      </c>
      <c r="J480" s="20">
        <v>1E-3</v>
      </c>
      <c r="K480" s="17" t="s">
        <v>2</v>
      </c>
      <c r="L480" s="21" t="s">
        <v>397</v>
      </c>
    </row>
    <row r="481" spans="1:12" x14ac:dyDescent="0.2">
      <c r="A481" s="17" t="s">
        <v>215</v>
      </c>
      <c r="B481" s="17">
        <v>0</v>
      </c>
      <c r="C481" s="17" t="s">
        <v>183</v>
      </c>
      <c r="D481" s="17" t="s">
        <v>278</v>
      </c>
      <c r="E481" s="18">
        <v>43048</v>
      </c>
      <c r="F481" s="18">
        <v>43063</v>
      </c>
      <c r="G481" s="19">
        <v>16</v>
      </c>
      <c r="H481" s="19">
        <v>1000000000</v>
      </c>
      <c r="I481" s="19"/>
      <c r="J481" s="20">
        <v>2.209E-4</v>
      </c>
      <c r="K481" s="17" t="s">
        <v>2</v>
      </c>
      <c r="L481" s="21" t="s">
        <v>431</v>
      </c>
    </row>
    <row r="482" spans="1:12" x14ac:dyDescent="0.2">
      <c r="A482" s="17" t="s">
        <v>488</v>
      </c>
      <c r="B482" s="17">
        <v>0</v>
      </c>
      <c r="C482" s="17" t="s">
        <v>183</v>
      </c>
      <c r="D482" s="17" t="s">
        <v>278</v>
      </c>
      <c r="E482" s="18">
        <v>44280</v>
      </c>
      <c r="F482" s="18">
        <v>44301</v>
      </c>
      <c r="G482" s="19">
        <v>22</v>
      </c>
      <c r="H482" s="19">
        <v>400000000</v>
      </c>
      <c r="I482" s="19">
        <v>160000000</v>
      </c>
      <c r="J482" s="20">
        <v>2.9999999999999997E-4</v>
      </c>
      <c r="K482" s="17" t="s">
        <v>2</v>
      </c>
      <c r="L482" s="21" t="s">
        <v>489</v>
      </c>
    </row>
    <row r="483" spans="1:12" x14ac:dyDescent="0.2">
      <c r="A483" s="17" t="s">
        <v>179</v>
      </c>
      <c r="B483" s="17">
        <v>0</v>
      </c>
      <c r="C483" s="17" t="s">
        <v>188</v>
      </c>
      <c r="D483" s="17" t="s">
        <v>278</v>
      </c>
      <c r="E483" s="18">
        <v>43098</v>
      </c>
      <c r="F483" s="18">
        <v>43098</v>
      </c>
      <c r="G483" s="19">
        <v>1</v>
      </c>
      <c r="H483" s="19">
        <v>500000000</v>
      </c>
      <c r="I483" s="19">
        <v>275000000</v>
      </c>
      <c r="J483" s="20">
        <v>0.1</v>
      </c>
      <c r="K483" s="17" t="s">
        <v>259</v>
      </c>
      <c r="L483" s="21" t="s">
        <v>720</v>
      </c>
    </row>
    <row r="484" spans="1:12" x14ac:dyDescent="0.2">
      <c r="A484" s="17" t="s">
        <v>205</v>
      </c>
      <c r="B484" s="17">
        <v>0</v>
      </c>
      <c r="C484" s="17" t="s">
        <v>183</v>
      </c>
      <c r="D484" s="17" t="s">
        <v>278</v>
      </c>
      <c r="E484" s="18">
        <v>43046</v>
      </c>
      <c r="F484" s="18">
        <v>43076</v>
      </c>
      <c r="G484" s="19">
        <v>31</v>
      </c>
      <c r="H484" s="19">
        <v>1000000000</v>
      </c>
      <c r="I484" s="19">
        <v>650000000</v>
      </c>
      <c r="J484" s="20">
        <v>1.1299999999999999E-2</v>
      </c>
      <c r="K484" s="17" t="s">
        <v>259</v>
      </c>
      <c r="L484" s="21" t="s">
        <v>473</v>
      </c>
    </row>
    <row r="485" spans="1:12" x14ac:dyDescent="0.2">
      <c r="A485" s="17" t="s">
        <v>705</v>
      </c>
      <c r="B485" s="17">
        <v>0</v>
      </c>
      <c r="C485" s="17" t="s">
        <v>183</v>
      </c>
      <c r="D485" s="17" t="s">
        <v>278</v>
      </c>
      <c r="E485" s="18">
        <v>42873</v>
      </c>
      <c r="F485" s="18">
        <v>42879</v>
      </c>
      <c r="G485" s="19">
        <v>7</v>
      </c>
      <c r="H485" s="19">
        <v>500000000</v>
      </c>
      <c r="I485" s="19">
        <v>125000000</v>
      </c>
      <c r="J485" s="20">
        <v>0.5</v>
      </c>
      <c r="K485" s="17" t="s">
        <v>259</v>
      </c>
      <c r="L485" s="21" t="s">
        <v>706</v>
      </c>
    </row>
    <row r="486" spans="1:12" x14ac:dyDescent="0.2">
      <c r="A486" s="17" t="s">
        <v>537</v>
      </c>
      <c r="B486" s="17">
        <v>0</v>
      </c>
      <c r="C486" s="17" t="s">
        <v>183</v>
      </c>
      <c r="D486" s="17" t="s">
        <v>278</v>
      </c>
      <c r="E486" s="18">
        <v>44271</v>
      </c>
      <c r="F486" s="18">
        <v>44275</v>
      </c>
      <c r="G486" s="19">
        <v>5</v>
      </c>
      <c r="H486" s="19">
        <v>100000000</v>
      </c>
      <c r="I486" s="19">
        <v>10000000</v>
      </c>
      <c r="J486" s="20">
        <v>0.06</v>
      </c>
      <c r="K486" s="17" t="s">
        <v>259</v>
      </c>
      <c r="L486" s="21" t="s">
        <v>538</v>
      </c>
    </row>
    <row r="487" spans="1:12" x14ac:dyDescent="0.2">
      <c r="A487" s="17" t="s">
        <v>37</v>
      </c>
      <c r="B487" s="17">
        <v>0</v>
      </c>
      <c r="C487" s="17" t="s">
        <v>183</v>
      </c>
      <c r="D487" s="17" t="s">
        <v>278</v>
      </c>
      <c r="E487" s="18">
        <v>44035</v>
      </c>
      <c r="F487" s="18">
        <v>44035</v>
      </c>
      <c r="G487" s="19">
        <v>1</v>
      </c>
      <c r="H487" s="19">
        <v>1000000000</v>
      </c>
      <c r="I487" s="19">
        <f>560000/0.025</f>
        <v>22400000</v>
      </c>
      <c r="J487" s="20">
        <v>2.5000000000000001E-2</v>
      </c>
      <c r="K487" s="17" t="s">
        <v>259</v>
      </c>
      <c r="L487" s="21" t="s">
        <v>344</v>
      </c>
    </row>
    <row r="488" spans="1:12" x14ac:dyDescent="0.2">
      <c r="A488" s="17" t="s">
        <v>137</v>
      </c>
      <c r="B488" s="17">
        <v>0</v>
      </c>
      <c r="C488" s="17" t="s">
        <v>183</v>
      </c>
      <c r="D488" s="17" t="s">
        <v>278</v>
      </c>
      <c r="E488" s="18">
        <v>43175</v>
      </c>
      <c r="F488" s="18">
        <v>43176</v>
      </c>
      <c r="G488" s="19">
        <v>2</v>
      </c>
      <c r="H488" s="19">
        <v>1000000000</v>
      </c>
      <c r="I488" s="19">
        <v>200000000</v>
      </c>
      <c r="J488" s="20">
        <v>1.6E-2</v>
      </c>
      <c r="K488" s="17" t="s">
        <v>259</v>
      </c>
      <c r="L488" s="21" t="s">
        <v>750</v>
      </c>
    </row>
    <row r="489" spans="1:12" x14ac:dyDescent="0.2">
      <c r="A489" s="17" t="s">
        <v>464</v>
      </c>
      <c r="B489" s="17">
        <v>0</v>
      </c>
      <c r="C489" s="17" t="s">
        <v>183</v>
      </c>
      <c r="D489" s="17" t="s">
        <v>278</v>
      </c>
      <c r="E489" s="18">
        <v>43056</v>
      </c>
      <c r="F489" s="18" t="s">
        <v>465</v>
      </c>
      <c r="G489" s="19">
        <v>24</v>
      </c>
      <c r="H489" s="19">
        <v>240000000</v>
      </c>
      <c r="I489" s="19">
        <v>120000000</v>
      </c>
      <c r="J489" s="20">
        <f>1/2000</f>
        <v>5.0000000000000001E-4</v>
      </c>
      <c r="K489" s="17" t="s">
        <v>2</v>
      </c>
      <c r="L489" s="21" t="s">
        <v>466</v>
      </c>
    </row>
    <row r="490" spans="1:12" x14ac:dyDescent="0.2">
      <c r="A490" s="17" t="s">
        <v>115</v>
      </c>
      <c r="B490" s="17">
        <v>0</v>
      </c>
      <c r="C490" s="17" t="s">
        <v>183</v>
      </c>
      <c r="D490" s="17" t="s">
        <v>278</v>
      </c>
      <c r="E490" s="18">
        <v>43259</v>
      </c>
      <c r="F490" s="18">
        <v>43280</v>
      </c>
      <c r="G490" s="19">
        <v>22</v>
      </c>
      <c r="H490" s="19">
        <v>1000000000</v>
      </c>
      <c r="I490" s="19">
        <v>400000000</v>
      </c>
      <c r="J490" s="20">
        <v>3.3099999999999997E-2</v>
      </c>
      <c r="K490" s="17" t="s">
        <v>259</v>
      </c>
      <c r="L490" s="21" t="s">
        <v>638</v>
      </c>
    </row>
    <row r="491" spans="1:12" x14ac:dyDescent="0.2">
      <c r="A491" s="17" t="s">
        <v>660</v>
      </c>
      <c r="B491" s="17">
        <v>0</v>
      </c>
      <c r="C491" s="17" t="s">
        <v>188</v>
      </c>
      <c r="D491" s="17" t="s">
        <v>278</v>
      </c>
      <c r="E491" s="18"/>
      <c r="F491" s="18"/>
      <c r="G491" s="19"/>
      <c r="H491" s="19">
        <v>250000000</v>
      </c>
      <c r="I491" s="19">
        <v>25000000</v>
      </c>
      <c r="J491" s="20">
        <v>0.01</v>
      </c>
      <c r="K491" s="17" t="s">
        <v>259</v>
      </c>
    </row>
    <row r="492" spans="1:12" x14ac:dyDescent="0.2">
      <c r="A492" s="17" t="s">
        <v>660</v>
      </c>
      <c r="B492" s="17">
        <v>1</v>
      </c>
      <c r="C492" s="17" t="s">
        <v>188</v>
      </c>
      <c r="D492" s="17" t="s">
        <v>278</v>
      </c>
      <c r="E492" s="18"/>
      <c r="F492" s="18"/>
      <c r="G492" s="19"/>
      <c r="H492" s="19">
        <v>250000000</v>
      </c>
      <c r="I492" s="19">
        <v>33333333</v>
      </c>
      <c r="J492" s="20">
        <v>0.03</v>
      </c>
      <c r="K492" s="17" t="s">
        <v>259</v>
      </c>
      <c r="L492" s="21" t="s">
        <v>661</v>
      </c>
    </row>
    <row r="493" spans="1:12" x14ac:dyDescent="0.2">
      <c r="A493" s="17" t="s">
        <v>660</v>
      </c>
      <c r="B493" s="17">
        <v>0</v>
      </c>
      <c r="C493" s="17" t="s">
        <v>188</v>
      </c>
      <c r="D493" s="17" t="s">
        <v>278</v>
      </c>
      <c r="E493" s="18"/>
      <c r="F493" s="18"/>
      <c r="G493" s="19"/>
      <c r="H493" s="19">
        <v>250000000</v>
      </c>
      <c r="I493" s="19">
        <v>25000000</v>
      </c>
      <c r="J493" s="20">
        <v>0.04</v>
      </c>
      <c r="K493" s="17" t="s">
        <v>259</v>
      </c>
    </row>
    <row r="494" spans="1:12" x14ac:dyDescent="0.2">
      <c r="A494" s="17" t="s">
        <v>660</v>
      </c>
      <c r="B494" s="17">
        <v>0</v>
      </c>
      <c r="C494" s="17" t="s">
        <v>183</v>
      </c>
      <c r="D494" s="17" t="s">
        <v>278</v>
      </c>
      <c r="E494" s="18">
        <v>44313</v>
      </c>
      <c r="F494" s="18">
        <v>44314</v>
      </c>
      <c r="G494" s="19">
        <v>2</v>
      </c>
      <c r="H494" s="19">
        <v>250000000</v>
      </c>
      <c r="I494" s="19">
        <v>500000</v>
      </c>
      <c r="J494" s="20">
        <v>0.05</v>
      </c>
      <c r="K494" s="17" t="s">
        <v>259</v>
      </c>
    </row>
    <row r="495" spans="1:12" x14ac:dyDescent="0.2">
      <c r="A495" s="17" t="s">
        <v>660</v>
      </c>
      <c r="B495" s="17">
        <v>0</v>
      </c>
      <c r="C495" s="17" t="s">
        <v>183</v>
      </c>
      <c r="D495" s="17" t="s">
        <v>278</v>
      </c>
      <c r="E495" s="18">
        <v>44312</v>
      </c>
      <c r="F495" s="18">
        <v>44314</v>
      </c>
      <c r="G495" s="19">
        <v>3</v>
      </c>
      <c r="H495" s="19">
        <v>250000000</v>
      </c>
      <c r="I495" s="19">
        <v>3300000</v>
      </c>
      <c r="J495" s="20">
        <v>0.05</v>
      </c>
      <c r="K495" s="17" t="s">
        <v>259</v>
      </c>
    </row>
    <row r="496" spans="1:12" x14ac:dyDescent="0.2">
      <c r="A496" s="17" t="s">
        <v>235</v>
      </c>
      <c r="B496" s="17">
        <v>0</v>
      </c>
      <c r="C496" s="17" t="s">
        <v>183</v>
      </c>
      <c r="D496" s="17" t="s">
        <v>278</v>
      </c>
      <c r="E496" s="18">
        <v>42998</v>
      </c>
      <c r="F496" s="18">
        <v>43019</v>
      </c>
      <c r="G496" s="19">
        <v>22</v>
      </c>
      <c r="H496" s="19">
        <v>200000000</v>
      </c>
      <c r="I496" s="19">
        <v>140000000</v>
      </c>
      <c r="J496" s="20">
        <v>0.24</v>
      </c>
      <c r="K496" s="17" t="s">
        <v>259</v>
      </c>
      <c r="L496" s="21" t="s">
        <v>708</v>
      </c>
    </row>
    <row r="497" spans="1:12" x14ac:dyDescent="0.2">
      <c r="A497" s="17" t="s">
        <v>530</v>
      </c>
      <c r="B497" s="17">
        <v>1</v>
      </c>
      <c r="C497" s="17" t="s">
        <v>188</v>
      </c>
      <c r="D497" s="17" t="s">
        <v>278</v>
      </c>
      <c r="E497" s="18"/>
      <c r="F497" s="18"/>
      <c r="G497" s="19"/>
      <c r="H497" s="19">
        <v>20000000000</v>
      </c>
      <c r="I497" s="19">
        <v>480000000</v>
      </c>
      <c r="J497" s="20">
        <v>3.7499999999999999E-3</v>
      </c>
      <c r="K497" s="17" t="s">
        <v>259</v>
      </c>
      <c r="L497" s="21" t="s">
        <v>531</v>
      </c>
    </row>
    <row r="498" spans="1:12" x14ac:dyDescent="0.2">
      <c r="A498" s="17" t="s">
        <v>530</v>
      </c>
      <c r="B498" s="17">
        <v>0</v>
      </c>
      <c r="C498" s="17" t="s">
        <v>183</v>
      </c>
      <c r="D498" s="17" t="s">
        <v>278</v>
      </c>
      <c r="E498" s="18">
        <v>44278</v>
      </c>
      <c r="F498" s="18">
        <v>44278</v>
      </c>
      <c r="G498" s="19">
        <v>1</v>
      </c>
      <c r="H498" s="19">
        <v>20000000000</v>
      </c>
      <c r="I498" s="19">
        <v>26666666</v>
      </c>
      <c r="J498" s="20">
        <v>3.7499999999999999E-3</v>
      </c>
      <c r="K498" s="17" t="s">
        <v>259</v>
      </c>
    </row>
    <row r="499" spans="1:12" x14ac:dyDescent="0.2">
      <c r="A499" s="17" t="s">
        <v>4</v>
      </c>
      <c r="B499" s="17">
        <v>0</v>
      </c>
      <c r="C499" s="17" t="s">
        <v>183</v>
      </c>
      <c r="D499" s="17" t="s">
        <v>278</v>
      </c>
      <c r="E499" s="18">
        <v>42932</v>
      </c>
      <c r="F499" s="18">
        <v>42974</v>
      </c>
      <c r="G499" s="19">
        <v>33</v>
      </c>
      <c r="H499" s="19">
        <v>710112</v>
      </c>
      <c r="I499" s="19">
        <v>624899</v>
      </c>
      <c r="J499" s="20">
        <v>8.4600000000000009</v>
      </c>
      <c r="K499" s="17" t="s">
        <v>259</v>
      </c>
      <c r="L499" s="21" t="s">
        <v>726</v>
      </c>
    </row>
    <row r="500" spans="1:12" x14ac:dyDescent="0.2">
      <c r="A500" s="17" t="s">
        <v>299</v>
      </c>
      <c r="B500" s="17">
        <v>1</v>
      </c>
      <c r="C500" s="17" t="s">
        <v>183</v>
      </c>
      <c r="D500" s="17" t="s">
        <v>278</v>
      </c>
      <c r="E500" s="18">
        <v>44286</v>
      </c>
      <c r="F500" s="18">
        <v>44293</v>
      </c>
      <c r="G500" s="19">
        <v>3</v>
      </c>
      <c r="H500" s="19">
        <v>2000000000</v>
      </c>
      <c r="I500" s="19">
        <v>75000000</v>
      </c>
      <c r="J500" s="20">
        <v>0.1</v>
      </c>
      <c r="K500" s="17" t="s">
        <v>259</v>
      </c>
      <c r="L500" s="21" t="s">
        <v>300</v>
      </c>
    </row>
    <row r="501" spans="1:12" x14ac:dyDescent="0.2">
      <c r="A501" s="17" t="s">
        <v>299</v>
      </c>
      <c r="B501" s="17">
        <v>1</v>
      </c>
      <c r="C501" s="17" t="s">
        <v>188</v>
      </c>
      <c r="D501" s="17" t="s">
        <v>278</v>
      </c>
      <c r="E501" s="18"/>
      <c r="F501" s="18"/>
      <c r="G501" s="19"/>
      <c r="H501" s="19">
        <v>2000000000</v>
      </c>
      <c r="I501" s="19">
        <v>5000000</v>
      </c>
      <c r="J501" s="20">
        <v>0.1</v>
      </c>
      <c r="K501" s="17" t="s">
        <v>259</v>
      </c>
      <c r="L501" s="21" t="s">
        <v>300</v>
      </c>
    </row>
    <row r="502" spans="1:12" x14ac:dyDescent="0.2">
      <c r="A502" s="17" t="s">
        <v>299</v>
      </c>
      <c r="B502" s="17">
        <v>1</v>
      </c>
      <c r="C502" s="17"/>
      <c r="D502" s="17"/>
      <c r="E502" s="18">
        <v>43697</v>
      </c>
      <c r="F502" s="18">
        <v>43700</v>
      </c>
      <c r="G502" s="19">
        <v>3</v>
      </c>
      <c r="H502" s="19">
        <v>2000000000</v>
      </c>
      <c r="I502" s="19"/>
      <c r="J502" s="20"/>
      <c r="K502" s="17"/>
    </row>
    <row r="503" spans="1:12" x14ac:dyDescent="0.2">
      <c r="A503" s="17" t="s">
        <v>218</v>
      </c>
      <c r="B503" s="17">
        <v>0</v>
      </c>
      <c r="C503" s="17" t="s">
        <v>183</v>
      </c>
      <c r="D503" s="17" t="s">
        <v>278</v>
      </c>
      <c r="E503" s="18">
        <v>43052</v>
      </c>
      <c r="F503" s="18">
        <v>43060</v>
      </c>
      <c r="G503" s="19">
        <v>9</v>
      </c>
      <c r="H503" s="19">
        <v>6000000000</v>
      </c>
      <c r="I503" s="19">
        <f>H503*27%</f>
        <v>1620000000</v>
      </c>
      <c r="J503" s="20">
        <f>1/21052</f>
        <v>4.7501425042751285E-5</v>
      </c>
      <c r="K503" s="17" t="s">
        <v>2</v>
      </c>
      <c r="L503" s="21" t="s">
        <v>432</v>
      </c>
    </row>
    <row r="504" spans="1:12" x14ac:dyDescent="0.2">
      <c r="A504" s="17" t="s">
        <v>62</v>
      </c>
      <c r="B504" s="17">
        <v>0</v>
      </c>
      <c r="C504" s="17" t="s">
        <v>183</v>
      </c>
      <c r="D504" s="17" t="s">
        <v>278</v>
      </c>
      <c r="E504" s="18">
        <v>43696</v>
      </c>
      <c r="F504" s="18">
        <v>43700</v>
      </c>
      <c r="G504" s="19">
        <v>5</v>
      </c>
      <c r="H504" s="19">
        <v>2000000000</v>
      </c>
      <c r="I504" s="19">
        <f>H504*35%</f>
        <v>700000000</v>
      </c>
      <c r="J504" s="20">
        <v>0.02</v>
      </c>
      <c r="K504" s="17" t="s">
        <v>259</v>
      </c>
      <c r="L504" s="21" t="s">
        <v>607</v>
      </c>
    </row>
    <row r="505" spans="1:12" x14ac:dyDescent="0.2">
      <c r="A505" s="17" t="s">
        <v>522</v>
      </c>
      <c r="B505" s="17">
        <v>1</v>
      </c>
      <c r="C505" s="17" t="s">
        <v>188</v>
      </c>
      <c r="D505" s="17" t="s">
        <v>278</v>
      </c>
      <c r="E505" s="18"/>
      <c r="F505" s="18"/>
      <c r="G505" s="19"/>
      <c r="H505" s="19">
        <v>10000000</v>
      </c>
      <c r="I505" s="19">
        <v>1500000</v>
      </c>
      <c r="J505" s="20">
        <v>0.17</v>
      </c>
      <c r="K505" s="17" t="s">
        <v>259</v>
      </c>
    </row>
    <row r="506" spans="1:12" x14ac:dyDescent="0.2">
      <c r="A506" s="17" t="s">
        <v>522</v>
      </c>
      <c r="B506" s="17">
        <v>0</v>
      </c>
      <c r="C506" s="17" t="s">
        <v>183</v>
      </c>
      <c r="D506" s="17" t="s">
        <v>278</v>
      </c>
      <c r="E506" s="18">
        <v>44292</v>
      </c>
      <c r="F506" s="18">
        <v>44292</v>
      </c>
      <c r="G506" s="19">
        <v>1</v>
      </c>
      <c r="H506" s="19">
        <v>10000000</v>
      </c>
      <c r="I506" s="19">
        <v>88888</v>
      </c>
      <c r="J506" s="20">
        <v>0.22500000000000001</v>
      </c>
      <c r="K506" s="17" t="s">
        <v>259</v>
      </c>
      <c r="L506" s="21" t="s">
        <v>521</v>
      </c>
    </row>
    <row r="507" spans="1:12" x14ac:dyDescent="0.2">
      <c r="A507" s="17" t="s">
        <v>522</v>
      </c>
      <c r="B507" s="17">
        <v>0</v>
      </c>
      <c r="C507" s="17" t="s">
        <v>183</v>
      </c>
      <c r="D507" s="17" t="s">
        <v>278</v>
      </c>
      <c r="E507" s="18">
        <v>44292</v>
      </c>
      <c r="F507" s="18">
        <v>44292</v>
      </c>
      <c r="G507" s="19">
        <v>1</v>
      </c>
      <c r="H507" s="19">
        <v>10000000</v>
      </c>
      <c r="I507" s="19">
        <v>361111</v>
      </c>
      <c r="J507" s="20">
        <v>0.22500000000000001</v>
      </c>
      <c r="K507" s="17" t="s">
        <v>259</v>
      </c>
    </row>
    <row r="508" spans="1:12" x14ac:dyDescent="0.2">
      <c r="A508" s="17" t="s">
        <v>190</v>
      </c>
      <c r="B508" s="17">
        <v>0</v>
      </c>
      <c r="C508" s="17" t="s">
        <v>183</v>
      </c>
      <c r="D508" s="17" t="s">
        <v>278</v>
      </c>
      <c r="E508" s="18">
        <v>43076</v>
      </c>
      <c r="F508" s="18">
        <v>43095</v>
      </c>
      <c r="G508" s="19">
        <v>20</v>
      </c>
      <c r="H508" s="19">
        <v>25000000</v>
      </c>
      <c r="I508" s="19">
        <v>14250000</v>
      </c>
      <c r="J508" s="20">
        <v>5.46</v>
      </c>
      <c r="K508" s="17" t="s">
        <v>259</v>
      </c>
      <c r="L508" s="21" t="s">
        <v>721</v>
      </c>
    </row>
    <row r="509" spans="1:12" x14ac:dyDescent="0.2">
      <c r="A509" s="17" t="s">
        <v>51</v>
      </c>
      <c r="B509" s="17">
        <v>0</v>
      </c>
      <c r="C509" s="17" t="s">
        <v>183</v>
      </c>
      <c r="D509" s="17" t="s">
        <v>278</v>
      </c>
      <c r="E509" s="18">
        <v>43802</v>
      </c>
      <c r="F509" s="18">
        <v>43803</v>
      </c>
      <c r="G509" s="19">
        <v>1</v>
      </c>
      <c r="H509" s="19">
        <v>10000000000</v>
      </c>
      <c r="I509" s="19">
        <v>2480000000</v>
      </c>
      <c r="J509" s="20">
        <v>5.0000000000000001E-3</v>
      </c>
      <c r="K509" s="17" t="s">
        <v>259</v>
      </c>
      <c r="L509" s="21" t="s">
        <v>323</v>
      </c>
    </row>
    <row r="510" spans="1:12" x14ac:dyDescent="0.2">
      <c r="A510" s="17" t="s">
        <v>51</v>
      </c>
      <c r="B510" s="17">
        <v>0</v>
      </c>
      <c r="C510" s="17" t="s">
        <v>188</v>
      </c>
      <c r="D510" s="17" t="s">
        <v>278</v>
      </c>
      <c r="E510" s="18"/>
      <c r="F510" s="18"/>
      <c r="G510" s="19"/>
      <c r="H510" s="19">
        <v>10000000000</v>
      </c>
      <c r="I510" s="19">
        <v>1200000000</v>
      </c>
      <c r="J510" s="20">
        <v>7.0000000000000001E-3</v>
      </c>
      <c r="K510" s="17" t="s">
        <v>259</v>
      </c>
      <c r="L510" s="21" t="s">
        <v>324</v>
      </c>
    </row>
    <row r="511" spans="1:12" x14ac:dyDescent="0.2">
      <c r="A511" s="17" t="s">
        <v>51</v>
      </c>
      <c r="B511" s="17">
        <v>0</v>
      </c>
      <c r="C511" s="17" t="s">
        <v>188</v>
      </c>
      <c r="D511" s="17" t="s">
        <v>278</v>
      </c>
      <c r="E511" s="18"/>
      <c r="F511" s="18"/>
      <c r="G511" s="19"/>
      <c r="H511" s="19">
        <v>10000000000</v>
      </c>
      <c r="I511" s="19">
        <v>800000000</v>
      </c>
      <c r="J511" s="20">
        <v>5.0000000000000001E-3</v>
      </c>
      <c r="K511" s="17" t="s">
        <v>259</v>
      </c>
      <c r="L511" s="21" t="s">
        <v>324</v>
      </c>
    </row>
    <row r="512" spans="1:12" x14ac:dyDescent="0.2">
      <c r="A512" s="17" t="s">
        <v>80</v>
      </c>
      <c r="B512" s="17">
        <v>0</v>
      </c>
      <c r="C512" s="17" t="s">
        <v>188</v>
      </c>
      <c r="D512" s="17" t="s">
        <v>278</v>
      </c>
      <c r="E512" s="18"/>
      <c r="F512" s="18"/>
      <c r="G512" s="19"/>
      <c r="H512" s="19">
        <v>10000000000</v>
      </c>
      <c r="I512" s="19">
        <v>575906500</v>
      </c>
      <c r="J512" s="20">
        <v>0.01</v>
      </c>
      <c r="K512" s="17" t="s">
        <v>259</v>
      </c>
    </row>
    <row r="513" spans="1:12" x14ac:dyDescent="0.2">
      <c r="A513" s="17" t="s">
        <v>80</v>
      </c>
      <c r="B513" s="17">
        <v>0</v>
      </c>
      <c r="C513" s="17" t="s">
        <v>188</v>
      </c>
      <c r="D513" s="17" t="s">
        <v>278</v>
      </c>
      <c r="E513" s="18"/>
      <c r="F513" s="18"/>
      <c r="G513" s="19"/>
      <c r="H513" s="19">
        <v>10000000000</v>
      </c>
      <c r="I513" s="19">
        <v>1862274499</v>
      </c>
      <c r="J513" s="20">
        <v>0.02</v>
      </c>
      <c r="K513" s="17" t="s">
        <v>259</v>
      </c>
      <c r="L513" s="21" t="s">
        <v>618</v>
      </c>
    </row>
    <row r="514" spans="1:12" x14ac:dyDescent="0.2">
      <c r="A514" s="17" t="s">
        <v>80</v>
      </c>
      <c r="B514" s="17">
        <v>0</v>
      </c>
      <c r="C514" s="17" t="s">
        <v>188</v>
      </c>
      <c r="D514" s="17" t="s">
        <v>278</v>
      </c>
      <c r="E514" s="18"/>
      <c r="F514" s="18"/>
      <c r="G514" s="19"/>
      <c r="H514" s="19">
        <v>10000000000</v>
      </c>
      <c r="I514" s="19">
        <v>147648516</v>
      </c>
      <c r="J514" s="20">
        <v>0.01</v>
      </c>
      <c r="K514" s="17" t="s">
        <v>259</v>
      </c>
    </row>
    <row r="515" spans="1:12" x14ac:dyDescent="0.2">
      <c r="A515" s="17" t="s">
        <v>80</v>
      </c>
      <c r="B515" s="17">
        <v>0</v>
      </c>
      <c r="C515" s="17" t="s">
        <v>183</v>
      </c>
      <c r="D515" s="17" t="s">
        <v>278</v>
      </c>
      <c r="E515" s="18">
        <v>43594</v>
      </c>
      <c r="F515" s="18">
        <v>43625</v>
      </c>
      <c r="G515" s="19">
        <v>31</v>
      </c>
      <c r="H515" s="19">
        <v>10000000000</v>
      </c>
      <c r="I515" s="19">
        <v>33000000</v>
      </c>
      <c r="J515" s="20">
        <v>0.15</v>
      </c>
      <c r="K515" s="17" t="s">
        <v>259</v>
      </c>
      <c r="L515" s="21" t="s">
        <v>619</v>
      </c>
    </row>
    <row r="516" spans="1:12" x14ac:dyDescent="0.2">
      <c r="A516" s="17" t="s">
        <v>101</v>
      </c>
      <c r="B516" s="17">
        <v>0</v>
      </c>
      <c r="C516" s="17" t="s">
        <v>183</v>
      </c>
      <c r="D516" s="17" t="s">
        <v>278</v>
      </c>
      <c r="E516" s="18">
        <v>43229</v>
      </c>
      <c r="F516" s="18">
        <v>43373</v>
      </c>
      <c r="G516" s="19">
        <v>34</v>
      </c>
      <c r="H516" s="19">
        <v>1500000000</v>
      </c>
      <c r="I516" s="19">
        <f>H516*60%</f>
        <v>900000000</v>
      </c>
      <c r="J516" s="20">
        <v>0.05</v>
      </c>
      <c r="K516" s="17" t="s">
        <v>259</v>
      </c>
      <c r="L516" s="21" t="s">
        <v>627</v>
      </c>
    </row>
    <row r="517" spans="1:12" x14ac:dyDescent="0.2">
      <c r="A517" s="17" t="s">
        <v>586</v>
      </c>
      <c r="B517" s="17">
        <v>0</v>
      </c>
      <c r="C517" s="17" t="s">
        <v>188</v>
      </c>
      <c r="D517" s="17" t="s">
        <v>278</v>
      </c>
      <c r="E517" s="18"/>
      <c r="F517" s="18"/>
      <c r="G517" s="19"/>
      <c r="H517" s="19">
        <v>1200000000</v>
      </c>
      <c r="I517" s="19">
        <v>70000000</v>
      </c>
      <c r="J517" s="20">
        <v>5.0000000000000001E-3</v>
      </c>
      <c r="K517" s="17" t="s">
        <v>259</v>
      </c>
      <c r="L517" s="21" t="s">
        <v>585</v>
      </c>
    </row>
    <row r="518" spans="1:12" x14ac:dyDescent="0.2">
      <c r="A518" s="17" t="s">
        <v>586</v>
      </c>
      <c r="B518" s="17">
        <v>0</v>
      </c>
      <c r="C518" s="17" t="s">
        <v>188</v>
      </c>
      <c r="D518" s="17" t="s">
        <v>278</v>
      </c>
      <c r="E518" s="18"/>
      <c r="F518" s="18"/>
      <c r="G518" s="19"/>
      <c r="H518" s="19">
        <v>1200000000</v>
      </c>
      <c r="I518" s="19">
        <v>251250000</v>
      </c>
      <c r="J518" s="20">
        <v>8.0000000000000002E-3</v>
      </c>
      <c r="K518" s="17" t="s">
        <v>259</v>
      </c>
    </row>
    <row r="519" spans="1:12" x14ac:dyDescent="0.2">
      <c r="A519" s="17" t="s">
        <v>586</v>
      </c>
      <c r="B519" s="17">
        <v>0</v>
      </c>
      <c r="C519" s="17" t="s">
        <v>188</v>
      </c>
      <c r="D519" s="17" t="s">
        <v>278</v>
      </c>
      <c r="E519" s="18"/>
      <c r="F519" s="18"/>
      <c r="G519" s="19"/>
      <c r="H519" s="19">
        <v>1200000000</v>
      </c>
      <c r="I519" s="19">
        <v>13636379</v>
      </c>
      <c r="J519" s="20">
        <v>1.0999999999999999E-2</v>
      </c>
      <c r="K519" s="17" t="s">
        <v>259</v>
      </c>
    </row>
    <row r="520" spans="1:12" x14ac:dyDescent="0.2">
      <c r="A520" s="17" t="s">
        <v>586</v>
      </c>
      <c r="B520" s="17">
        <v>0</v>
      </c>
      <c r="C520" s="17" t="s">
        <v>183</v>
      </c>
      <c r="D520" s="17" t="s">
        <v>278</v>
      </c>
      <c r="E520" s="18">
        <v>44175</v>
      </c>
      <c r="F520" s="18">
        <v>44175</v>
      </c>
      <c r="G520" s="19">
        <v>1</v>
      </c>
      <c r="H520" s="19">
        <v>1200000000</v>
      </c>
      <c r="I520" s="19">
        <v>14400000</v>
      </c>
      <c r="J520" s="20">
        <v>1.2E-2</v>
      </c>
      <c r="K520" s="17" t="s">
        <v>259</v>
      </c>
      <c r="L520" s="21"/>
    </row>
    <row r="521" spans="1:12" x14ac:dyDescent="0.2">
      <c r="A521" s="17" t="s">
        <v>12</v>
      </c>
      <c r="B521" s="17">
        <v>0</v>
      </c>
      <c r="C521" s="17" t="s">
        <v>268</v>
      </c>
      <c r="D521" s="17" t="s">
        <v>278</v>
      </c>
      <c r="E521" s="18"/>
      <c r="F521" s="18"/>
      <c r="G521" s="19"/>
      <c r="H521" s="19">
        <v>100000000</v>
      </c>
      <c r="I521" s="19">
        <v>10000000</v>
      </c>
      <c r="J521" s="20">
        <v>7.0000000000000007E-2</v>
      </c>
      <c r="K521" s="17" t="s">
        <v>259</v>
      </c>
      <c r="L521" s="23" t="s">
        <v>280</v>
      </c>
    </row>
    <row r="522" spans="1:12" x14ac:dyDescent="0.2">
      <c r="A522" s="17" t="s">
        <v>12</v>
      </c>
      <c r="B522" s="17">
        <v>0</v>
      </c>
      <c r="C522" s="17" t="s">
        <v>188</v>
      </c>
      <c r="D522" s="17" t="s">
        <v>278</v>
      </c>
      <c r="E522" s="18"/>
      <c r="F522" s="18"/>
      <c r="G522" s="19"/>
      <c r="H522" s="19">
        <v>100000000</v>
      </c>
      <c r="I522" s="19">
        <v>20000000</v>
      </c>
      <c r="J522" s="20">
        <v>0.12</v>
      </c>
      <c r="K522" s="17" t="s">
        <v>259</v>
      </c>
      <c r="L522" s="23"/>
    </row>
    <row r="523" spans="1:12" x14ac:dyDescent="0.2">
      <c r="A523" s="17" t="s">
        <v>12</v>
      </c>
      <c r="B523" s="17">
        <v>0</v>
      </c>
      <c r="C523" s="17" t="s">
        <v>268</v>
      </c>
      <c r="D523" s="17" t="s">
        <v>278</v>
      </c>
      <c r="E523" s="18"/>
      <c r="F523" s="18">
        <v>44118</v>
      </c>
      <c r="G523" s="19"/>
      <c r="H523" s="19">
        <v>100000000</v>
      </c>
      <c r="I523" s="19">
        <v>1000000</v>
      </c>
      <c r="J523" s="20">
        <v>0.15</v>
      </c>
      <c r="K523" s="17" t="s">
        <v>259</v>
      </c>
      <c r="L523" s="23"/>
    </row>
    <row r="524" spans="1:12" x14ac:dyDescent="0.2">
      <c r="A524" s="17" t="s">
        <v>12</v>
      </c>
      <c r="B524" s="17">
        <v>0</v>
      </c>
      <c r="C524" s="17" t="s">
        <v>188</v>
      </c>
      <c r="D524" s="17" t="s">
        <v>278</v>
      </c>
      <c r="E524" s="18"/>
      <c r="F524" s="18"/>
      <c r="G524" s="19"/>
      <c r="H524" s="19">
        <v>100000000</v>
      </c>
      <c r="I524" s="19">
        <v>10000000</v>
      </c>
      <c r="J524" s="20">
        <v>7.0000000000000007E-2</v>
      </c>
      <c r="K524" s="17" t="s">
        <v>259</v>
      </c>
      <c r="L524" s="21" t="s">
        <v>685</v>
      </c>
    </row>
    <row r="525" spans="1:12" x14ac:dyDescent="0.2">
      <c r="A525" s="17" t="s">
        <v>12</v>
      </c>
      <c r="B525" s="17">
        <v>0</v>
      </c>
      <c r="C525" s="17" t="s">
        <v>188</v>
      </c>
      <c r="D525" s="17" t="s">
        <v>278</v>
      </c>
      <c r="E525" s="18"/>
      <c r="F525" s="18"/>
      <c r="G525" s="19"/>
      <c r="H525" s="19">
        <v>100000000</v>
      </c>
      <c r="I525" s="19">
        <v>20000000</v>
      </c>
      <c r="J525" s="20">
        <v>0.12</v>
      </c>
      <c r="K525" s="17" t="s">
        <v>259</v>
      </c>
    </row>
    <row r="526" spans="1:12" x14ac:dyDescent="0.2">
      <c r="A526" s="17" t="s">
        <v>12</v>
      </c>
      <c r="B526" s="17">
        <v>0</v>
      </c>
      <c r="C526" s="17" t="s">
        <v>183</v>
      </c>
      <c r="D526" s="17" t="s">
        <v>278</v>
      </c>
      <c r="E526" s="18"/>
      <c r="F526" s="18">
        <v>44118</v>
      </c>
      <c r="G526" s="19"/>
      <c r="H526" s="19">
        <v>100000000</v>
      </c>
      <c r="I526" s="19">
        <v>2000000</v>
      </c>
      <c r="J526" s="20">
        <v>0.15</v>
      </c>
      <c r="K526" s="17" t="s">
        <v>259</v>
      </c>
    </row>
    <row r="527" spans="1:12" x14ac:dyDescent="0.2">
      <c r="A527" s="17" t="s">
        <v>229</v>
      </c>
      <c r="B527" s="17">
        <v>0</v>
      </c>
      <c r="C527" s="17" t="s">
        <v>183</v>
      </c>
      <c r="D527" s="17" t="s">
        <v>278</v>
      </c>
      <c r="E527" s="18">
        <v>42999</v>
      </c>
      <c r="F527" s="18">
        <v>43031</v>
      </c>
      <c r="G527" s="19">
        <v>33</v>
      </c>
      <c r="H527" s="19">
        <v>1000000000</v>
      </c>
      <c r="I527" s="19">
        <v>200000000</v>
      </c>
      <c r="J527" s="20">
        <f>1/866</f>
        <v>1.1547344110854503E-3</v>
      </c>
      <c r="K527" s="17" t="s">
        <v>2</v>
      </c>
      <c r="L527" s="21" t="s">
        <v>434</v>
      </c>
    </row>
    <row r="528" spans="1:12" x14ac:dyDescent="0.2">
      <c r="A528" s="17" t="s">
        <v>229</v>
      </c>
      <c r="B528" s="17">
        <v>0</v>
      </c>
      <c r="C528" s="17" t="s">
        <v>183</v>
      </c>
      <c r="D528" s="17" t="s">
        <v>278</v>
      </c>
      <c r="E528" s="18">
        <v>43685</v>
      </c>
      <c r="F528" s="18">
        <v>43691</v>
      </c>
      <c r="G528" s="19">
        <v>15</v>
      </c>
      <c r="H528" s="19">
        <v>400000000</v>
      </c>
      <c r="I528" s="19">
        <f>H528*5%</f>
        <v>20000000</v>
      </c>
      <c r="J528" s="20">
        <v>2.5000000000000001E-2</v>
      </c>
      <c r="K528" s="17" t="s">
        <v>259</v>
      </c>
      <c r="L528" s="21" t="s">
        <v>474</v>
      </c>
    </row>
    <row r="529" spans="1:12" x14ac:dyDescent="0.2">
      <c r="A529" s="17" t="s">
        <v>71</v>
      </c>
      <c r="B529" s="17">
        <v>0</v>
      </c>
      <c r="C529" s="17" t="s">
        <v>183</v>
      </c>
      <c r="D529" s="17" t="s">
        <v>278</v>
      </c>
      <c r="E529" s="18">
        <v>43620</v>
      </c>
      <c r="F529" s="18">
        <v>43634</v>
      </c>
      <c r="G529" s="19">
        <v>15</v>
      </c>
      <c r="H529" s="19">
        <v>150000000</v>
      </c>
      <c r="I529" s="19">
        <f>H529*50%</f>
        <v>75000000</v>
      </c>
      <c r="J529" s="20">
        <v>0.08</v>
      </c>
      <c r="K529" s="17" t="s">
        <v>259</v>
      </c>
      <c r="L529" s="21" t="s">
        <v>349</v>
      </c>
    </row>
    <row r="530" spans="1:12" x14ac:dyDescent="0.2">
      <c r="A530" s="17" t="s">
        <v>583</v>
      </c>
      <c r="B530" s="17">
        <v>0</v>
      </c>
      <c r="C530" s="17" t="s">
        <v>188</v>
      </c>
      <c r="D530" s="17" t="s">
        <v>278</v>
      </c>
      <c r="E530" s="18"/>
      <c r="F530" s="18"/>
      <c r="G530" s="19"/>
      <c r="H530" s="19">
        <v>10000000</v>
      </c>
      <c r="I530" s="19">
        <v>650000</v>
      </c>
      <c r="J530" s="20">
        <v>0.15</v>
      </c>
      <c r="K530" s="17" t="s">
        <v>259</v>
      </c>
      <c r="L530" s="21" t="s">
        <v>582</v>
      </c>
    </row>
    <row r="531" spans="1:12" x14ac:dyDescent="0.2">
      <c r="A531" s="17" t="s">
        <v>583</v>
      </c>
      <c r="B531" s="17">
        <v>0</v>
      </c>
      <c r="C531" s="17" t="s">
        <v>188</v>
      </c>
      <c r="D531" s="17" t="s">
        <v>278</v>
      </c>
      <c r="E531" s="18"/>
      <c r="F531" s="18"/>
      <c r="G531" s="19"/>
      <c r="H531" s="19">
        <v>10000000</v>
      </c>
      <c r="I531" s="19">
        <v>1200000</v>
      </c>
      <c r="J531" s="20">
        <v>0.66</v>
      </c>
      <c r="K531" s="17" t="s">
        <v>259</v>
      </c>
    </row>
    <row r="532" spans="1:12" x14ac:dyDescent="0.2">
      <c r="A532" s="17" t="s">
        <v>583</v>
      </c>
      <c r="B532" s="17">
        <v>0</v>
      </c>
      <c r="C532" s="17" t="s">
        <v>183</v>
      </c>
      <c r="D532" s="17" t="s">
        <v>402</v>
      </c>
      <c r="E532" s="18">
        <v>44149</v>
      </c>
      <c r="F532" s="18">
        <v>44179</v>
      </c>
      <c r="G532" s="19">
        <v>1</v>
      </c>
      <c r="H532" s="19">
        <v>10000000</v>
      </c>
      <c r="I532" s="19">
        <v>400000</v>
      </c>
      <c r="J532" s="20">
        <v>0.66</v>
      </c>
      <c r="K532" s="17" t="s">
        <v>259</v>
      </c>
      <c r="L532" s="21" t="s">
        <v>584</v>
      </c>
    </row>
    <row r="533" spans="1:12" x14ac:dyDescent="0.2">
      <c r="A533" s="17" t="s">
        <v>497</v>
      </c>
      <c r="B533" s="17">
        <v>1</v>
      </c>
      <c r="C533" s="17" t="s">
        <v>188</v>
      </c>
      <c r="D533" s="17" t="s">
        <v>278</v>
      </c>
      <c r="E533" s="18"/>
      <c r="F533" s="18"/>
      <c r="G533" s="19"/>
      <c r="H533" s="19">
        <v>380539316</v>
      </c>
      <c r="I533" s="19">
        <f>H533*10.84%</f>
        <v>41250461.854400001</v>
      </c>
      <c r="J533" s="20">
        <v>0.06</v>
      </c>
      <c r="K533" s="17" t="s">
        <v>259</v>
      </c>
      <c r="L533" s="21" t="s">
        <v>496</v>
      </c>
    </row>
    <row r="534" spans="1:12" x14ac:dyDescent="0.2">
      <c r="A534" s="17" t="s">
        <v>497</v>
      </c>
      <c r="B534" s="17">
        <v>0</v>
      </c>
      <c r="C534" s="17" t="s">
        <v>183</v>
      </c>
      <c r="D534" s="17" t="s">
        <v>278</v>
      </c>
      <c r="E534" s="18">
        <v>44314</v>
      </c>
      <c r="F534" s="18">
        <v>44314</v>
      </c>
      <c r="G534" s="19">
        <v>1</v>
      </c>
      <c r="H534" s="19">
        <v>380539316</v>
      </c>
      <c r="I534" s="19">
        <f>H534*0.53</f>
        <v>201685837.48000002</v>
      </c>
      <c r="J534" s="20">
        <v>0.12</v>
      </c>
      <c r="K534" s="17" t="s">
        <v>259</v>
      </c>
    </row>
    <row r="535" spans="1:12" x14ac:dyDescent="0.2">
      <c r="A535" s="17" t="s">
        <v>125</v>
      </c>
      <c r="B535" s="17">
        <v>0</v>
      </c>
      <c r="C535" s="17" t="s">
        <v>183</v>
      </c>
      <c r="D535" s="17" t="s">
        <v>278</v>
      </c>
      <c r="E535" s="18">
        <v>43247</v>
      </c>
      <c r="F535" s="18">
        <v>43247</v>
      </c>
      <c r="G535" s="19">
        <v>1</v>
      </c>
      <c r="H535" s="19">
        <v>500000000</v>
      </c>
      <c r="I535" s="19">
        <v>300000000</v>
      </c>
      <c r="J535" s="20">
        <f>1/5000</f>
        <v>2.0000000000000001E-4</v>
      </c>
      <c r="K535" s="17" t="s">
        <v>2</v>
      </c>
      <c r="L535" s="21" t="s">
        <v>350</v>
      </c>
    </row>
    <row r="536" spans="1:12" x14ac:dyDescent="0.2">
      <c r="A536" s="17" t="s">
        <v>125</v>
      </c>
      <c r="B536" s="17">
        <v>1</v>
      </c>
      <c r="C536" s="17" t="s">
        <v>183</v>
      </c>
      <c r="D536" s="17" t="s">
        <v>278</v>
      </c>
      <c r="E536" s="18"/>
      <c r="F536" s="18"/>
      <c r="G536" s="19"/>
      <c r="H536" s="19">
        <v>500000000</v>
      </c>
      <c r="I536" s="19"/>
      <c r="J536" s="20"/>
      <c r="K536" s="17"/>
      <c r="L536" s="21" t="s">
        <v>350</v>
      </c>
    </row>
    <row r="537" spans="1:12" x14ac:dyDescent="0.2">
      <c r="A537" s="17" t="s">
        <v>219</v>
      </c>
      <c r="B537" s="17">
        <v>0</v>
      </c>
      <c r="C537" s="17" t="s">
        <v>183</v>
      </c>
      <c r="D537" s="17" t="s">
        <v>278</v>
      </c>
      <c r="E537" s="18">
        <v>43041</v>
      </c>
      <c r="F537" s="18">
        <v>43059</v>
      </c>
      <c r="G537" s="19">
        <v>19</v>
      </c>
      <c r="H537" s="19">
        <v>500000000</v>
      </c>
      <c r="I537" s="19">
        <v>350000000</v>
      </c>
      <c r="J537" s="20">
        <v>6.5000000000000002E-2</v>
      </c>
      <c r="K537" s="17" t="s">
        <v>259</v>
      </c>
      <c r="L537" s="21" t="s">
        <v>765</v>
      </c>
    </row>
    <row r="538" spans="1:12" x14ac:dyDescent="0.2">
      <c r="A538" s="17" t="s">
        <v>560</v>
      </c>
      <c r="B538" s="17">
        <v>0</v>
      </c>
      <c r="C538" s="17" t="s">
        <v>188</v>
      </c>
      <c r="D538" s="17" t="s">
        <v>278</v>
      </c>
      <c r="E538" s="18"/>
      <c r="F538" s="18"/>
      <c r="G538" s="19"/>
      <c r="H538" s="19">
        <v>400000000</v>
      </c>
      <c r="I538" s="19">
        <v>32000000</v>
      </c>
      <c r="J538" s="20">
        <v>1.8799999999999999E-3</v>
      </c>
      <c r="K538" s="17" t="s">
        <v>286</v>
      </c>
    </row>
    <row r="539" spans="1:12" x14ac:dyDescent="0.2">
      <c r="A539" s="17" t="s">
        <v>560</v>
      </c>
      <c r="B539" s="17">
        <v>0</v>
      </c>
      <c r="C539" s="17" t="s">
        <v>188</v>
      </c>
      <c r="D539" s="17" t="s">
        <v>278</v>
      </c>
      <c r="E539" s="18"/>
      <c r="F539" s="18"/>
      <c r="G539" s="19"/>
      <c r="H539" s="19">
        <v>400000000</v>
      </c>
      <c r="I539" s="19">
        <v>40000000</v>
      </c>
      <c r="J539" s="20">
        <v>3.7499999999999999E-2</v>
      </c>
      <c r="K539" s="17" t="s">
        <v>286</v>
      </c>
      <c r="L539" s="21" t="s">
        <v>561</v>
      </c>
    </row>
    <row r="540" spans="1:12" x14ac:dyDescent="0.2">
      <c r="A540" s="17" t="s">
        <v>560</v>
      </c>
      <c r="B540" s="17">
        <v>0</v>
      </c>
      <c r="C540" s="17" t="s">
        <v>188</v>
      </c>
      <c r="D540" s="17" t="s">
        <v>278</v>
      </c>
      <c r="E540" s="18"/>
      <c r="F540" s="18"/>
      <c r="G540" s="19"/>
      <c r="H540" s="19">
        <v>400000000</v>
      </c>
      <c r="I540" s="19">
        <v>5000000</v>
      </c>
      <c r="J540" s="20">
        <v>0.09</v>
      </c>
      <c r="K540" s="17" t="s">
        <v>286</v>
      </c>
    </row>
    <row r="541" spans="1:12" x14ac:dyDescent="0.2">
      <c r="A541" s="17" t="s">
        <v>560</v>
      </c>
      <c r="B541" s="17">
        <v>0</v>
      </c>
      <c r="C541" s="17" t="s">
        <v>188</v>
      </c>
      <c r="D541" s="17" t="s">
        <v>278</v>
      </c>
      <c r="E541" s="18"/>
      <c r="F541" s="18"/>
      <c r="G541" s="19"/>
      <c r="H541" s="19">
        <v>400000000</v>
      </c>
      <c r="I541" s="19">
        <v>4300000</v>
      </c>
      <c r="J541" s="20">
        <v>0.1</v>
      </c>
      <c r="K541" s="17" t="s">
        <v>286</v>
      </c>
    </row>
    <row r="542" spans="1:12" x14ac:dyDescent="0.2">
      <c r="A542" s="17" t="s">
        <v>560</v>
      </c>
      <c r="B542" s="17">
        <v>0</v>
      </c>
      <c r="C542" s="17" t="s">
        <v>183</v>
      </c>
      <c r="D542" s="17" t="s">
        <v>278</v>
      </c>
      <c r="E542" s="18"/>
      <c r="F542" s="18"/>
      <c r="G542" s="19"/>
      <c r="H542" s="19">
        <v>400000000</v>
      </c>
      <c r="I542" s="19">
        <v>250000</v>
      </c>
      <c r="J542" s="20">
        <v>0.1</v>
      </c>
      <c r="K542" s="17" t="s">
        <v>286</v>
      </c>
    </row>
    <row r="543" spans="1:12" x14ac:dyDescent="0.2">
      <c r="A543" s="17" t="s">
        <v>88</v>
      </c>
      <c r="B543" s="17">
        <v>0</v>
      </c>
      <c r="C543" s="17" t="s">
        <v>183</v>
      </c>
      <c r="D543" s="17" t="s">
        <v>278</v>
      </c>
      <c r="E543" s="18">
        <v>43561</v>
      </c>
      <c r="F543" s="18">
        <v>43561</v>
      </c>
      <c r="G543" s="19">
        <v>1</v>
      </c>
      <c r="H543" s="19">
        <v>15000000000</v>
      </c>
      <c r="I543" s="19">
        <v>900000000</v>
      </c>
      <c r="J543" s="20">
        <v>5.0499999999999999E-6</v>
      </c>
      <c r="K543" s="17" t="s">
        <v>293</v>
      </c>
      <c r="L543" s="21" t="s">
        <v>327</v>
      </c>
    </row>
    <row r="544" spans="1:12" x14ac:dyDescent="0.2">
      <c r="A544" s="17" t="s">
        <v>534</v>
      </c>
      <c r="B544" s="17">
        <v>1</v>
      </c>
      <c r="C544" s="17" t="s">
        <v>188</v>
      </c>
      <c r="D544" s="17" t="s">
        <v>278</v>
      </c>
      <c r="E544" s="18">
        <v>44264</v>
      </c>
      <c r="F544" s="18">
        <v>44264</v>
      </c>
      <c r="G544" s="19">
        <v>1</v>
      </c>
      <c r="H544" s="19">
        <v>10000000</v>
      </c>
      <c r="I544" s="19">
        <v>1400000</v>
      </c>
      <c r="J544" s="20">
        <v>0.45</v>
      </c>
      <c r="K544" s="17" t="s">
        <v>259</v>
      </c>
      <c r="L544" s="21" t="s">
        <v>532</v>
      </c>
    </row>
    <row r="545" spans="1:12" x14ac:dyDescent="0.2">
      <c r="A545" s="17" t="s">
        <v>534</v>
      </c>
      <c r="B545" s="17">
        <v>1</v>
      </c>
      <c r="C545" s="17" t="s">
        <v>188</v>
      </c>
      <c r="D545" s="17" t="s">
        <v>278</v>
      </c>
      <c r="E545" s="18">
        <v>44265</v>
      </c>
      <c r="F545" s="18">
        <v>44265</v>
      </c>
      <c r="G545" s="19">
        <v>1</v>
      </c>
      <c r="H545" s="19">
        <v>10000000</v>
      </c>
      <c r="I545" s="19">
        <v>1700000</v>
      </c>
      <c r="J545" s="20">
        <v>0.47499999999999998</v>
      </c>
      <c r="K545" s="17" t="s">
        <v>259</v>
      </c>
      <c r="L545" s="21" t="s">
        <v>533</v>
      </c>
    </row>
    <row r="546" spans="1:12" x14ac:dyDescent="0.2">
      <c r="A546" s="17" t="s">
        <v>534</v>
      </c>
      <c r="B546" s="17">
        <v>0</v>
      </c>
      <c r="C546" s="17" t="s">
        <v>183</v>
      </c>
      <c r="D546" s="17" t="s">
        <v>278</v>
      </c>
      <c r="E546" s="18">
        <v>44278</v>
      </c>
      <c r="F546" s="18">
        <v>44278</v>
      </c>
      <c r="G546" s="19">
        <v>1</v>
      </c>
      <c r="H546" s="19">
        <v>10000000</v>
      </c>
      <c r="I546" s="19">
        <v>300000</v>
      </c>
      <c r="J546" s="20">
        <v>0.75</v>
      </c>
      <c r="K546" s="17" t="s">
        <v>259</v>
      </c>
    </row>
    <row r="547" spans="1:12" x14ac:dyDescent="0.2">
      <c r="A547" s="17" t="s">
        <v>630</v>
      </c>
      <c r="B547" s="17">
        <v>0</v>
      </c>
      <c r="C547" s="17" t="s">
        <v>188</v>
      </c>
      <c r="D547" s="17" t="s">
        <v>278</v>
      </c>
      <c r="E547" s="18">
        <v>43160</v>
      </c>
      <c r="F547" s="18">
        <v>43220</v>
      </c>
      <c r="G547" s="19"/>
      <c r="H547" s="19">
        <v>12491500000</v>
      </c>
      <c r="I547" s="19"/>
      <c r="J547" s="20">
        <v>7.4999999999999997E-3</v>
      </c>
      <c r="K547" s="17" t="s">
        <v>259</v>
      </c>
      <c r="L547" s="21" t="s">
        <v>629</v>
      </c>
    </row>
    <row r="548" spans="1:12" x14ac:dyDescent="0.2">
      <c r="A548" s="17" t="s">
        <v>630</v>
      </c>
      <c r="B548" s="17">
        <v>1</v>
      </c>
      <c r="C548" s="17" t="s">
        <v>183</v>
      </c>
      <c r="D548" s="17" t="s">
        <v>278</v>
      </c>
      <c r="E548" s="18">
        <v>43221</v>
      </c>
      <c r="F548" s="18">
        <v>43251</v>
      </c>
      <c r="G548" s="19"/>
      <c r="H548" s="19">
        <v>12491500000</v>
      </c>
      <c r="I548" s="19"/>
      <c r="J548" s="20">
        <v>0.01</v>
      </c>
      <c r="K548" s="17" t="s">
        <v>259</v>
      </c>
    </row>
    <row r="549" spans="1:12" x14ac:dyDescent="0.2">
      <c r="A549" s="17" t="s">
        <v>630</v>
      </c>
      <c r="B549" s="17">
        <v>0</v>
      </c>
      <c r="C549" s="17" t="s">
        <v>183</v>
      </c>
      <c r="D549" s="17" t="s">
        <v>278</v>
      </c>
      <c r="E549" s="18">
        <v>43252</v>
      </c>
      <c r="F549" s="18">
        <v>43281</v>
      </c>
      <c r="G549" s="19">
        <v>30</v>
      </c>
      <c r="H549" s="19">
        <v>12491500000</v>
      </c>
      <c r="I549" s="19">
        <v>6245750000</v>
      </c>
      <c r="J549" s="20">
        <v>1.06E-2</v>
      </c>
      <c r="K549" s="17" t="s">
        <v>259</v>
      </c>
    </row>
    <row r="550" spans="1:12" x14ac:dyDescent="0.2">
      <c r="A550" s="17" t="s">
        <v>250</v>
      </c>
      <c r="B550" s="17">
        <v>0</v>
      </c>
      <c r="C550" s="17" t="s">
        <v>183</v>
      </c>
      <c r="D550" s="17" t="s">
        <v>278</v>
      </c>
      <c r="E550" s="18">
        <v>42983</v>
      </c>
      <c r="F550" s="18">
        <v>42984</v>
      </c>
      <c r="G550" s="19">
        <v>2</v>
      </c>
      <c r="H550" s="19">
        <v>200000000</v>
      </c>
      <c r="I550" s="19">
        <v>120000000</v>
      </c>
      <c r="J550" s="20">
        <v>0.1</v>
      </c>
      <c r="K550" s="17" t="s">
        <v>259</v>
      </c>
      <c r="L550" s="21" t="s">
        <v>381</v>
      </c>
    </row>
    <row r="551" spans="1:12" x14ac:dyDescent="0.2">
      <c r="A551" s="17" t="s">
        <v>128</v>
      </c>
      <c r="B551" s="17">
        <v>0</v>
      </c>
      <c r="C551" s="17" t="s">
        <v>183</v>
      </c>
      <c r="D551" s="17" t="s">
        <v>186</v>
      </c>
      <c r="E551" s="18">
        <v>43215</v>
      </c>
      <c r="F551" s="18">
        <v>43229</v>
      </c>
      <c r="G551" s="19">
        <v>16</v>
      </c>
      <c r="H551" s="19">
        <v>500000000</v>
      </c>
      <c r="I551" s="19">
        <v>100000000</v>
      </c>
      <c r="J551" s="20">
        <v>1.2500000000000001E-2</v>
      </c>
      <c r="K551" s="17" t="s">
        <v>259</v>
      </c>
      <c r="L551" s="21" t="s">
        <v>770</v>
      </c>
    </row>
    <row r="552" spans="1:12" x14ac:dyDescent="0.2">
      <c r="A552" s="17" t="s">
        <v>738</v>
      </c>
      <c r="B552" s="17">
        <v>1</v>
      </c>
      <c r="C552" s="17" t="s">
        <v>183</v>
      </c>
      <c r="D552" s="17" t="s">
        <v>278</v>
      </c>
      <c r="E552" s="18">
        <v>42998</v>
      </c>
      <c r="F552" s="18">
        <v>43028</v>
      </c>
      <c r="G552" s="19">
        <v>31</v>
      </c>
      <c r="H552" s="19">
        <v>746403007</v>
      </c>
      <c r="I552" s="19">
        <f>H552*8.5%</f>
        <v>63444255.595000006</v>
      </c>
      <c r="J552" s="20">
        <f>3000000/I552</f>
        <v>4.7285604848934938E-2</v>
      </c>
      <c r="K552" s="17" t="s">
        <v>259</v>
      </c>
      <c r="L552" s="21" t="s">
        <v>739</v>
      </c>
    </row>
    <row r="553" spans="1:12" x14ac:dyDescent="0.2">
      <c r="A553" s="17" t="s">
        <v>738</v>
      </c>
      <c r="B553" s="17">
        <v>0</v>
      </c>
      <c r="C553" s="17" t="s">
        <v>183</v>
      </c>
      <c r="D553" s="17" t="s">
        <v>278</v>
      </c>
      <c r="E553" s="18">
        <v>43132</v>
      </c>
      <c r="F553" s="18">
        <v>43145</v>
      </c>
      <c r="G553" s="19">
        <v>15</v>
      </c>
      <c r="H553" s="19">
        <v>746403007</v>
      </c>
      <c r="I553" s="19">
        <v>395593594</v>
      </c>
      <c r="J553" s="20">
        <v>0.125</v>
      </c>
      <c r="K553" s="17" t="s">
        <v>259</v>
      </c>
      <c r="L553" s="21" t="s">
        <v>740</v>
      </c>
    </row>
    <row r="554" spans="1:12" x14ac:dyDescent="0.2">
      <c r="A554" s="17" t="s">
        <v>556</v>
      </c>
      <c r="B554" s="17">
        <v>0</v>
      </c>
      <c r="C554" s="17" t="s">
        <v>183</v>
      </c>
      <c r="D554" s="17" t="s">
        <v>278</v>
      </c>
      <c r="E554" s="18">
        <v>44244</v>
      </c>
      <c r="F554" s="18">
        <v>44244</v>
      </c>
      <c r="G554" s="19">
        <v>1</v>
      </c>
      <c r="H554" s="19">
        <v>10000000</v>
      </c>
      <c r="I554" s="19">
        <v>1000000</v>
      </c>
      <c r="J554" s="20">
        <v>2.5</v>
      </c>
      <c r="K554" s="17" t="s">
        <v>259</v>
      </c>
      <c r="L554" s="21" t="s">
        <v>557</v>
      </c>
    </row>
    <row r="555" spans="1:12" x14ac:dyDescent="0.2">
      <c r="A555" s="17" t="s">
        <v>79</v>
      </c>
      <c r="B555" s="17">
        <v>0</v>
      </c>
      <c r="C555" s="17" t="s">
        <v>183</v>
      </c>
      <c r="D555" s="17" t="s">
        <v>278</v>
      </c>
      <c r="E555" s="18">
        <v>43416</v>
      </c>
      <c r="F555" s="18">
        <v>43594</v>
      </c>
      <c r="G555" s="19">
        <v>179</v>
      </c>
      <c r="H555" s="19">
        <v>10000000000</v>
      </c>
      <c r="I555" s="19">
        <v>4000000000</v>
      </c>
      <c r="J555" s="20">
        <v>8.9999999999999998E-4</v>
      </c>
      <c r="K555" s="17" t="s">
        <v>259</v>
      </c>
      <c r="L555" s="21" t="s">
        <v>617</v>
      </c>
    </row>
    <row r="556" spans="1:12" x14ac:dyDescent="0.2">
      <c r="A556" s="17" t="s">
        <v>43</v>
      </c>
      <c r="B556" s="17">
        <v>0</v>
      </c>
      <c r="C556" s="17"/>
      <c r="D556" s="17" t="s">
        <v>278</v>
      </c>
      <c r="E556" s="18">
        <v>43998</v>
      </c>
      <c r="F556" s="18">
        <v>43998</v>
      </c>
      <c r="G556" s="19">
        <v>1</v>
      </c>
      <c r="H556" s="19">
        <v>21000000000</v>
      </c>
      <c r="I556" s="19">
        <v>651000000</v>
      </c>
      <c r="J556" s="20">
        <v>3.0000000000000001E-3</v>
      </c>
      <c r="K556" s="17" t="s">
        <v>259</v>
      </c>
      <c r="L556" s="21" t="s">
        <v>316</v>
      </c>
    </row>
    <row r="557" spans="1:12" x14ac:dyDescent="0.2">
      <c r="A557" s="17" t="s">
        <v>43</v>
      </c>
      <c r="B557" s="17">
        <v>0</v>
      </c>
      <c r="C557" s="17" t="s">
        <v>188</v>
      </c>
      <c r="D557" s="17" t="s">
        <v>278</v>
      </c>
      <c r="E557" s="18"/>
      <c r="F557" s="18"/>
      <c r="G557" s="19"/>
      <c r="H557" s="19">
        <v>21000000000</v>
      </c>
      <c r="I557" s="19">
        <v>6300000000</v>
      </c>
      <c r="J557" s="20">
        <v>0.01</v>
      </c>
      <c r="K557" s="17" t="s">
        <v>259</v>
      </c>
    </row>
    <row r="558" spans="1:12" x14ac:dyDescent="0.2">
      <c r="A558" s="17" t="s">
        <v>66</v>
      </c>
      <c r="B558" s="17">
        <v>1</v>
      </c>
      <c r="C558" s="17" t="s">
        <v>188</v>
      </c>
      <c r="D558" s="17" t="s">
        <v>278</v>
      </c>
      <c r="E558" s="18"/>
      <c r="F558" s="18"/>
      <c r="G558" s="19"/>
      <c r="H558" s="19">
        <v>999000000000</v>
      </c>
      <c r="I558" s="19">
        <v>149850000000</v>
      </c>
      <c r="J558" s="20">
        <v>6.6699999999999995E-5</v>
      </c>
      <c r="K558" s="17" t="s">
        <v>259</v>
      </c>
      <c r="L558" s="21" t="s">
        <v>609</v>
      </c>
    </row>
    <row r="559" spans="1:12" x14ac:dyDescent="0.2">
      <c r="A559" s="17" t="s">
        <v>66</v>
      </c>
      <c r="B559" s="17">
        <v>0</v>
      </c>
      <c r="C559" s="17" t="s">
        <v>183</v>
      </c>
      <c r="D559" s="17" t="s">
        <v>278</v>
      </c>
      <c r="E559" s="18">
        <v>43670</v>
      </c>
      <c r="F559" s="18">
        <v>43676</v>
      </c>
      <c r="G559" s="19">
        <v>7</v>
      </c>
      <c r="H559" s="19">
        <v>999000000000</v>
      </c>
      <c r="I559" s="19">
        <v>49950000000</v>
      </c>
      <c r="J559" s="20">
        <v>1.2E-4</v>
      </c>
      <c r="K559" s="17" t="s">
        <v>259</v>
      </c>
    </row>
    <row r="560" spans="1:12" x14ac:dyDescent="0.2">
      <c r="A560" s="17" t="s">
        <v>7</v>
      </c>
      <c r="B560" s="17">
        <v>0</v>
      </c>
      <c r="C560" s="17" t="s">
        <v>183</v>
      </c>
      <c r="D560" s="17" t="s">
        <v>278</v>
      </c>
      <c r="E560" s="18">
        <v>43767</v>
      </c>
      <c r="F560" s="18">
        <v>43767</v>
      </c>
      <c r="G560" s="19">
        <v>1</v>
      </c>
      <c r="H560" s="19">
        <v>3000000000</v>
      </c>
      <c r="I560" s="19">
        <f>10650000/0.03</f>
        <v>355000000</v>
      </c>
      <c r="J560" s="20">
        <v>0.03</v>
      </c>
      <c r="K560" s="17" t="s">
        <v>259</v>
      </c>
      <c r="L560" s="21" t="s">
        <v>336</v>
      </c>
    </row>
    <row r="561" spans="1:12" x14ac:dyDescent="0.2">
      <c r="A561" s="17" t="s">
        <v>50</v>
      </c>
      <c r="B561" s="17">
        <v>0</v>
      </c>
      <c r="C561" s="17" t="s">
        <v>183</v>
      </c>
      <c r="D561" s="17" t="s">
        <v>278</v>
      </c>
      <c r="E561" s="18">
        <v>43863</v>
      </c>
      <c r="F561" s="18">
        <v>43864</v>
      </c>
      <c r="G561" s="19">
        <v>1</v>
      </c>
      <c r="H561" s="19">
        <v>1000000000</v>
      </c>
      <c r="I561" s="19">
        <v>100000000</v>
      </c>
      <c r="J561" s="20">
        <v>0.02</v>
      </c>
      <c r="K561" s="17" t="s">
        <v>259</v>
      </c>
      <c r="L561" s="21" t="s">
        <v>321</v>
      </c>
    </row>
    <row r="562" spans="1:12" x14ac:dyDescent="0.2">
      <c r="A562" s="17" t="s">
        <v>50</v>
      </c>
      <c r="B562" s="17">
        <v>0</v>
      </c>
      <c r="C562" s="17" t="s">
        <v>188</v>
      </c>
      <c r="D562" s="17" t="s">
        <v>278</v>
      </c>
      <c r="E562" s="18"/>
      <c r="F562" s="18"/>
      <c r="G562" s="19"/>
      <c r="H562" s="19">
        <v>1000000000</v>
      </c>
      <c r="I562" s="19">
        <v>50000000</v>
      </c>
      <c r="J562" s="20"/>
      <c r="K562" s="17"/>
      <c r="L562" s="21" t="s">
        <v>322</v>
      </c>
    </row>
    <row r="563" spans="1:12" x14ac:dyDescent="0.2">
      <c r="A563" s="17" t="s">
        <v>678</v>
      </c>
      <c r="B563" s="17">
        <v>0</v>
      </c>
      <c r="C563" s="17" t="s">
        <v>188</v>
      </c>
      <c r="D563" s="17" t="s">
        <v>278</v>
      </c>
      <c r="E563" s="18"/>
      <c r="F563" s="18"/>
      <c r="G563" s="19"/>
      <c r="H563" s="19">
        <v>100000000</v>
      </c>
      <c r="I563" s="19">
        <f>H563*20%</f>
        <v>20000000</v>
      </c>
      <c r="J563" s="20">
        <v>1.2500000000000001E-2</v>
      </c>
      <c r="K563" s="17" t="s">
        <v>259</v>
      </c>
      <c r="L563" s="21" t="s">
        <v>677</v>
      </c>
    </row>
    <row r="564" spans="1:12" x14ac:dyDescent="0.2">
      <c r="A564" s="17" t="s">
        <v>678</v>
      </c>
      <c r="B564" s="17">
        <v>1</v>
      </c>
      <c r="C564" s="17" t="s">
        <v>183</v>
      </c>
      <c r="D564" s="17" t="s">
        <v>278</v>
      </c>
      <c r="E564" s="18"/>
      <c r="F564" s="18">
        <v>44188</v>
      </c>
      <c r="G564" s="19"/>
      <c r="H564" s="19">
        <v>100000000</v>
      </c>
      <c r="I564" s="19">
        <v>25000000</v>
      </c>
      <c r="J564" s="20">
        <v>2.5000000000000001E-2</v>
      </c>
      <c r="K564" s="17" t="s">
        <v>259</v>
      </c>
      <c r="L564" s="21" t="s">
        <v>679</v>
      </c>
    </row>
    <row r="565" spans="1:12" x14ac:dyDescent="0.2">
      <c r="A565" s="17" t="s">
        <v>678</v>
      </c>
      <c r="B565" s="17">
        <v>0</v>
      </c>
      <c r="C565" s="17" t="s">
        <v>183</v>
      </c>
      <c r="D565" s="17" t="s">
        <v>278</v>
      </c>
      <c r="E565" s="18">
        <v>44195</v>
      </c>
      <c r="F565" s="18">
        <v>44195</v>
      </c>
      <c r="G565" s="19">
        <v>1</v>
      </c>
      <c r="H565" s="19">
        <v>100000000</v>
      </c>
      <c r="I565" s="19">
        <v>1500000</v>
      </c>
      <c r="J565" s="20">
        <v>0.05</v>
      </c>
      <c r="K565" s="17" t="s">
        <v>259</v>
      </c>
      <c r="L565" s="21" t="s">
        <v>680</v>
      </c>
    </row>
    <row r="566" spans="1:12" x14ac:dyDescent="0.2">
      <c r="A566" s="17" t="s">
        <v>131</v>
      </c>
      <c r="B566" s="17">
        <v>1</v>
      </c>
      <c r="C566" s="17" t="s">
        <v>188</v>
      </c>
      <c r="D566" s="17" t="s">
        <v>278</v>
      </c>
      <c r="E566" s="18">
        <v>43122</v>
      </c>
      <c r="F566" s="18">
        <v>43187</v>
      </c>
      <c r="G566" s="19">
        <v>63</v>
      </c>
      <c r="H566" s="19">
        <v>150000000</v>
      </c>
      <c r="I566" s="19">
        <v>30000000</v>
      </c>
      <c r="J566" s="20">
        <v>2.7E-2</v>
      </c>
      <c r="K566" s="17" t="s">
        <v>259</v>
      </c>
      <c r="L566" s="21" t="s">
        <v>771</v>
      </c>
    </row>
    <row r="567" spans="1:12" x14ac:dyDescent="0.2">
      <c r="A567" s="17" t="s">
        <v>131</v>
      </c>
      <c r="B567" s="17">
        <v>0</v>
      </c>
      <c r="C567" s="17" t="s">
        <v>183</v>
      </c>
      <c r="D567" s="17" t="s">
        <v>278</v>
      </c>
      <c r="E567" s="18">
        <v>43189</v>
      </c>
      <c r="F567" s="18">
        <v>43220</v>
      </c>
      <c r="G567" s="19">
        <v>31</v>
      </c>
      <c r="H567" s="19">
        <v>150000000</v>
      </c>
      <c r="I567" s="19">
        <v>31500000</v>
      </c>
      <c r="J567" s="20">
        <v>0.03</v>
      </c>
      <c r="K567" s="17" t="s">
        <v>259</v>
      </c>
      <c r="L567" s="21" t="s">
        <v>772</v>
      </c>
    </row>
    <row r="568" spans="1:12" x14ac:dyDescent="0.2">
      <c r="A568" s="17" t="s">
        <v>58</v>
      </c>
      <c r="B568" s="17">
        <v>0</v>
      </c>
      <c r="C568" s="17" t="s">
        <v>183</v>
      </c>
      <c r="D568" s="17" t="s">
        <v>278</v>
      </c>
      <c r="E568" s="18">
        <v>43719</v>
      </c>
      <c r="F568" s="18">
        <v>43719</v>
      </c>
      <c r="G568" s="19">
        <v>1</v>
      </c>
      <c r="H568" s="19">
        <v>10000000000</v>
      </c>
      <c r="I568" s="19">
        <v>100000000</v>
      </c>
      <c r="J568" s="20">
        <v>5.0000000000000001E-3</v>
      </c>
      <c r="K568" s="17" t="s">
        <v>259</v>
      </c>
    </row>
    <row r="569" spans="1:12" x14ac:dyDescent="0.2">
      <c r="A569" s="17" t="s">
        <v>589</v>
      </c>
      <c r="B569" s="17">
        <v>0</v>
      </c>
      <c r="C569" s="17" t="s">
        <v>188</v>
      </c>
      <c r="D569" s="17" t="s">
        <v>278</v>
      </c>
      <c r="E569" s="18">
        <v>44172</v>
      </c>
      <c r="F569" s="18">
        <v>44173</v>
      </c>
      <c r="G569" s="19">
        <v>2</v>
      </c>
      <c r="H569" s="19">
        <v>300000000</v>
      </c>
      <c r="I569" s="19">
        <v>50000000</v>
      </c>
      <c r="J569" s="20">
        <v>0.11</v>
      </c>
      <c r="K569" s="17" t="s">
        <v>259</v>
      </c>
      <c r="L569" s="21" t="s">
        <v>590</v>
      </c>
    </row>
    <row r="570" spans="1:12" x14ac:dyDescent="0.2">
      <c r="A570" s="17" t="s">
        <v>575</v>
      </c>
      <c r="B570" s="17">
        <v>1</v>
      </c>
      <c r="C570" s="17" t="s">
        <v>188</v>
      </c>
      <c r="D570" s="17" t="s">
        <v>278</v>
      </c>
      <c r="E570" s="18">
        <v>44196</v>
      </c>
      <c r="F570" s="18">
        <v>44208</v>
      </c>
      <c r="G570" s="19">
        <v>13</v>
      </c>
      <c r="H570" s="19">
        <v>88888888</v>
      </c>
      <c r="I570" s="19">
        <v>7666668</v>
      </c>
      <c r="J570" s="20">
        <v>0.05</v>
      </c>
      <c r="K570" s="17" t="s">
        <v>259</v>
      </c>
      <c r="L570" s="21" t="s">
        <v>579</v>
      </c>
    </row>
    <row r="571" spans="1:12" x14ac:dyDescent="0.2">
      <c r="A571" s="17" t="s">
        <v>575</v>
      </c>
      <c r="B571" s="17">
        <v>0</v>
      </c>
      <c r="C571" s="17" t="s">
        <v>183</v>
      </c>
      <c r="D571" s="17" t="s">
        <v>278</v>
      </c>
      <c r="E571" s="18">
        <v>44210</v>
      </c>
      <c r="F571" s="18">
        <v>44211</v>
      </c>
      <c r="G571" s="19"/>
      <c r="H571" s="19">
        <v>88888888</v>
      </c>
      <c r="I571" s="19">
        <v>1212121</v>
      </c>
      <c r="J571" s="20">
        <v>5.0000000000000001E-3</v>
      </c>
      <c r="K571" s="17" t="s">
        <v>259</v>
      </c>
    </row>
    <row r="572" spans="1:12" x14ac:dyDescent="0.2">
      <c r="A572" s="17" t="s">
        <v>68</v>
      </c>
      <c r="B572" s="17">
        <v>0</v>
      </c>
      <c r="C572" s="17" t="s">
        <v>183</v>
      </c>
      <c r="D572" s="17" t="s">
        <v>278</v>
      </c>
      <c r="E572" s="18">
        <v>43623</v>
      </c>
      <c r="F572" s="18">
        <v>43650</v>
      </c>
      <c r="G572" s="19">
        <v>28</v>
      </c>
      <c r="H572" s="19">
        <v>750000000</v>
      </c>
      <c r="I572" s="19">
        <f>H572*17%</f>
        <v>127500000.00000001</v>
      </c>
      <c r="J572" s="20">
        <v>2.0000000000000001E-4</v>
      </c>
      <c r="K572" s="17" t="s">
        <v>259</v>
      </c>
      <c r="L572" s="21" t="s">
        <v>611</v>
      </c>
    </row>
    <row r="573" spans="1:12" x14ac:dyDescent="0.2">
      <c r="A573" s="1" t="s">
        <v>775</v>
      </c>
      <c r="B573" s="1">
        <v>0</v>
      </c>
      <c r="C573" s="1" t="s">
        <v>183</v>
      </c>
      <c r="D573" s="1" t="s">
        <v>278</v>
      </c>
      <c r="E573" s="3">
        <v>43804</v>
      </c>
      <c r="F573" s="3">
        <v>43936</v>
      </c>
      <c r="G573" s="2">
        <v>133</v>
      </c>
      <c r="H573" s="2">
        <v>2500000</v>
      </c>
      <c r="I573" s="2">
        <v>2500000</v>
      </c>
      <c r="J573" s="4">
        <v>1</v>
      </c>
      <c r="K573" s="1" t="s">
        <v>286</v>
      </c>
      <c r="L573" s="27" t="s">
        <v>776</v>
      </c>
    </row>
    <row r="574" spans="1:12" x14ac:dyDescent="0.2">
      <c r="A574" s="1" t="s">
        <v>777</v>
      </c>
      <c r="B574" s="1">
        <v>0</v>
      </c>
      <c r="C574" s="1" t="s">
        <v>183</v>
      </c>
      <c r="D574" s="1" t="s">
        <v>278</v>
      </c>
      <c r="E574" s="3">
        <v>43802</v>
      </c>
      <c r="F574" s="3">
        <v>43832</v>
      </c>
      <c r="G574" s="2">
        <v>31</v>
      </c>
      <c r="H574" s="2">
        <v>2500000</v>
      </c>
      <c r="I574" s="2"/>
      <c r="J574" s="4">
        <v>1</v>
      </c>
      <c r="K574" s="1" t="s">
        <v>286</v>
      </c>
      <c r="L574" s="28" t="s">
        <v>778</v>
      </c>
    </row>
    <row r="575" spans="1:12" x14ac:dyDescent="0.2">
      <c r="A575" s="1" t="s">
        <v>779</v>
      </c>
      <c r="B575" s="1">
        <v>0</v>
      </c>
      <c r="C575" s="1" t="s">
        <v>183</v>
      </c>
      <c r="D575" s="1" t="s">
        <v>278</v>
      </c>
      <c r="E575" s="3">
        <v>43753</v>
      </c>
      <c r="F575" s="3">
        <v>43798</v>
      </c>
      <c r="G575" s="2">
        <v>46</v>
      </c>
      <c r="H575" s="2"/>
      <c r="I575" s="2"/>
      <c r="J575" s="4">
        <v>0.92</v>
      </c>
      <c r="K575" s="1" t="s">
        <v>286</v>
      </c>
      <c r="L575" s="27"/>
    </row>
    <row r="576" spans="1:12" x14ac:dyDescent="0.2">
      <c r="A576" s="1" t="s">
        <v>780</v>
      </c>
      <c r="B576" s="1">
        <v>0</v>
      </c>
      <c r="C576" s="1" t="s">
        <v>188</v>
      </c>
      <c r="D576" s="1" t="s">
        <v>278</v>
      </c>
      <c r="E576" s="3">
        <v>43683</v>
      </c>
      <c r="F576" s="3">
        <v>43731</v>
      </c>
      <c r="G576" s="2">
        <v>31</v>
      </c>
      <c r="H576" s="2">
        <v>20000000</v>
      </c>
      <c r="I576" s="2">
        <v>20000000</v>
      </c>
      <c r="J576" s="4">
        <v>0.85</v>
      </c>
      <c r="K576" s="1" t="s">
        <v>286</v>
      </c>
      <c r="L576" s="27"/>
    </row>
    <row r="577" spans="1:12" x14ac:dyDescent="0.2">
      <c r="A577" s="1" t="s">
        <v>780</v>
      </c>
      <c r="B577" s="1">
        <v>0</v>
      </c>
      <c r="C577" s="1" t="s">
        <v>183</v>
      </c>
      <c r="D577" s="1" t="s">
        <v>278</v>
      </c>
      <c r="E577" s="3">
        <v>43731</v>
      </c>
      <c r="F577" s="3">
        <v>43787</v>
      </c>
      <c r="G577" s="2">
        <v>57</v>
      </c>
      <c r="H577" s="2">
        <v>20000000</v>
      </c>
      <c r="I577" s="2">
        <v>20000000</v>
      </c>
      <c r="J577" s="4">
        <v>1</v>
      </c>
      <c r="K577" s="1" t="s">
        <v>286</v>
      </c>
      <c r="L577" s="27"/>
    </row>
    <row r="578" spans="1:12" x14ac:dyDescent="0.2">
      <c r="A578" s="1" t="s">
        <v>781</v>
      </c>
      <c r="B578" s="1">
        <v>0</v>
      </c>
      <c r="C578" s="1" t="s">
        <v>183</v>
      </c>
      <c r="D578" s="1" t="s">
        <v>278</v>
      </c>
      <c r="E578" s="3">
        <v>43601</v>
      </c>
      <c r="F578" s="3">
        <v>43677</v>
      </c>
      <c r="G578" s="2">
        <v>77</v>
      </c>
      <c r="H578" s="2"/>
      <c r="I578" s="2">
        <v>27983</v>
      </c>
      <c r="J578" s="4">
        <v>53.6</v>
      </c>
      <c r="K578" s="1" t="s">
        <v>286</v>
      </c>
      <c r="L578" s="28" t="s">
        <v>782</v>
      </c>
    </row>
    <row r="579" spans="1:12" x14ac:dyDescent="0.2">
      <c r="A579" s="1" t="s">
        <v>783</v>
      </c>
      <c r="B579" s="1">
        <v>0</v>
      </c>
      <c r="C579" s="1" t="s">
        <v>183</v>
      </c>
      <c r="D579" s="1" t="s">
        <v>278</v>
      </c>
      <c r="E579" s="3">
        <v>43641</v>
      </c>
      <c r="F579" s="3">
        <v>43658</v>
      </c>
      <c r="G579" s="2">
        <v>18</v>
      </c>
      <c r="H579" s="2">
        <v>110000</v>
      </c>
      <c r="I579" s="2">
        <v>10000</v>
      </c>
      <c r="J579" s="4">
        <v>200</v>
      </c>
      <c r="K579" s="1" t="s">
        <v>286</v>
      </c>
      <c r="L579" s="27"/>
    </row>
    <row r="580" spans="1:12" x14ac:dyDescent="0.2">
      <c r="A580" s="1" t="s">
        <v>784</v>
      </c>
      <c r="B580" s="1">
        <v>0</v>
      </c>
      <c r="C580" s="1" t="s">
        <v>183</v>
      </c>
      <c r="D580" s="1" t="s">
        <v>278</v>
      </c>
      <c r="E580" s="3">
        <v>43601</v>
      </c>
      <c r="F580" s="3">
        <v>43644</v>
      </c>
      <c r="G580" s="2">
        <v>44</v>
      </c>
      <c r="H580" s="2">
        <v>18000000</v>
      </c>
      <c r="I580" s="2">
        <v>18000000</v>
      </c>
      <c r="J580" s="4">
        <v>0.1</v>
      </c>
      <c r="K580" s="1" t="s">
        <v>286</v>
      </c>
      <c r="L580" s="27"/>
    </row>
    <row r="581" spans="1:12" x14ac:dyDescent="0.2">
      <c r="A581" s="1" t="s">
        <v>785</v>
      </c>
      <c r="B581" s="1">
        <v>0</v>
      </c>
      <c r="C581" s="1" t="s">
        <v>183</v>
      </c>
      <c r="D581" s="1" t="s">
        <v>278</v>
      </c>
      <c r="E581" s="3">
        <v>43558</v>
      </c>
      <c r="F581" s="3">
        <v>43923</v>
      </c>
      <c r="G581" s="2">
        <v>365</v>
      </c>
      <c r="H581" s="2">
        <v>100000000</v>
      </c>
      <c r="I581" s="2">
        <v>100000000</v>
      </c>
      <c r="J581" s="4">
        <v>1</v>
      </c>
      <c r="K581" s="1" t="s">
        <v>259</v>
      </c>
      <c r="L581" s="27"/>
    </row>
    <row r="582" spans="1:12" x14ac:dyDescent="0.2">
      <c r="A582" s="1" t="s">
        <v>786</v>
      </c>
      <c r="B582" s="1">
        <v>0</v>
      </c>
      <c r="C582" s="1" t="s">
        <v>183</v>
      </c>
      <c r="D582" s="1" t="s">
        <v>278</v>
      </c>
      <c r="E582" s="3">
        <v>43647</v>
      </c>
      <c r="F582" s="3">
        <v>43830</v>
      </c>
      <c r="G582" s="2">
        <v>184</v>
      </c>
      <c r="H582" s="2">
        <v>15000000000</v>
      </c>
      <c r="I582" s="2">
        <v>7500000000</v>
      </c>
      <c r="J582" s="4">
        <v>1.4999999999999999E-2</v>
      </c>
      <c r="K582" s="1" t="s">
        <v>259</v>
      </c>
      <c r="L582" s="28" t="s">
        <v>787</v>
      </c>
    </row>
    <row r="583" spans="1:12" x14ac:dyDescent="0.2">
      <c r="A583" s="1" t="s">
        <v>788</v>
      </c>
      <c r="B583" s="1">
        <v>0</v>
      </c>
      <c r="C583" s="1" t="s">
        <v>183</v>
      </c>
      <c r="D583" s="1" t="s">
        <v>278</v>
      </c>
      <c r="E583" s="3">
        <v>43532</v>
      </c>
      <c r="F583" s="3">
        <v>43676</v>
      </c>
      <c r="G583" s="2">
        <v>145</v>
      </c>
      <c r="H583" s="2">
        <f>50000000/5</f>
        <v>10000000</v>
      </c>
      <c r="I583" s="2"/>
      <c r="J583" s="4">
        <v>5</v>
      </c>
      <c r="K583" s="1" t="s">
        <v>259</v>
      </c>
      <c r="L583" s="28" t="s">
        <v>789</v>
      </c>
    </row>
    <row r="584" spans="1:12" x14ac:dyDescent="0.2">
      <c r="A584" s="1" t="s">
        <v>790</v>
      </c>
      <c r="B584" s="1">
        <v>0</v>
      </c>
      <c r="C584" s="1" t="s">
        <v>183</v>
      </c>
      <c r="D584" s="1" t="s">
        <v>278</v>
      </c>
      <c r="E584" s="3">
        <v>43647</v>
      </c>
      <c r="F584" s="3">
        <v>43707</v>
      </c>
      <c r="G584" s="2">
        <v>61</v>
      </c>
      <c r="H584" s="2">
        <v>60000000</v>
      </c>
      <c r="I584" s="2">
        <v>49998000</v>
      </c>
      <c r="J584" s="4">
        <v>0.3</v>
      </c>
      <c r="K584" s="1" t="s">
        <v>259</v>
      </c>
      <c r="L584" s="27"/>
    </row>
    <row r="585" spans="1:12" x14ac:dyDescent="0.2">
      <c r="A585" s="1" t="s">
        <v>791</v>
      </c>
      <c r="B585" s="1">
        <v>0</v>
      </c>
      <c r="C585" s="1" t="s">
        <v>183</v>
      </c>
      <c r="D585" s="1" t="s">
        <v>278</v>
      </c>
      <c r="E585" s="3">
        <v>43648</v>
      </c>
      <c r="F585" s="3">
        <v>43862</v>
      </c>
      <c r="G585" s="2">
        <f>F585-E585</f>
        <v>214</v>
      </c>
      <c r="H585" s="2">
        <v>912442</v>
      </c>
      <c r="I585" s="2">
        <v>106300</v>
      </c>
      <c r="J585" s="4">
        <v>9.5</v>
      </c>
      <c r="K585" s="1" t="s">
        <v>286</v>
      </c>
      <c r="L585" s="27"/>
    </row>
    <row r="586" spans="1:12" x14ac:dyDescent="0.2">
      <c r="A586" s="1" t="s">
        <v>792</v>
      </c>
      <c r="B586" s="1">
        <v>0</v>
      </c>
      <c r="C586" s="1" t="s">
        <v>183</v>
      </c>
      <c r="D586" s="1" t="s">
        <v>278</v>
      </c>
      <c r="E586" s="3">
        <v>43654</v>
      </c>
      <c r="F586" s="3">
        <v>43668</v>
      </c>
      <c r="G586" s="2">
        <v>15</v>
      </c>
      <c r="H586" s="2"/>
      <c r="I586" s="2"/>
      <c r="J586" s="4"/>
      <c r="K586" s="1"/>
      <c r="L586" s="27"/>
    </row>
    <row r="587" spans="1:12" x14ac:dyDescent="0.2">
      <c r="A587" s="1" t="s">
        <v>793</v>
      </c>
      <c r="B587" s="1">
        <v>0</v>
      </c>
      <c r="C587" s="1" t="s">
        <v>183</v>
      </c>
      <c r="D587" s="1" t="s">
        <v>278</v>
      </c>
      <c r="E587" s="3">
        <v>43454</v>
      </c>
      <c r="F587" s="3">
        <v>43570</v>
      </c>
      <c r="G587" s="2">
        <f>F587-E587</f>
        <v>116</v>
      </c>
      <c r="H587" s="2">
        <v>500000000</v>
      </c>
      <c r="I587" s="2"/>
      <c r="J587" s="4">
        <v>0.18</v>
      </c>
      <c r="K587" s="1" t="s">
        <v>259</v>
      </c>
      <c r="L587" s="28" t="s">
        <v>794</v>
      </c>
    </row>
    <row r="588" spans="1:12" x14ac:dyDescent="0.2">
      <c r="A588" s="1" t="s">
        <v>795</v>
      </c>
      <c r="B588" s="1">
        <v>0</v>
      </c>
      <c r="C588" s="1" t="s">
        <v>183</v>
      </c>
      <c r="D588" s="1" t="s">
        <v>278</v>
      </c>
      <c r="E588" s="3">
        <v>43536</v>
      </c>
      <c r="F588" s="3">
        <v>43621</v>
      </c>
      <c r="G588" s="2">
        <v>86</v>
      </c>
      <c r="H588" s="2"/>
      <c r="I588" s="2">
        <v>1070000</v>
      </c>
      <c r="J588" s="4">
        <v>1</v>
      </c>
      <c r="K588" s="1" t="s">
        <v>259</v>
      </c>
      <c r="L588" s="27"/>
    </row>
    <row r="589" spans="1:12" x14ac:dyDescent="0.2">
      <c r="A589" s="1" t="s">
        <v>796</v>
      </c>
      <c r="B589" s="1">
        <v>0</v>
      </c>
      <c r="C589" s="1" t="s">
        <v>183</v>
      </c>
      <c r="D589" s="1" t="s">
        <v>278</v>
      </c>
      <c r="E589" s="3">
        <v>43535</v>
      </c>
      <c r="F589" s="3">
        <v>43595</v>
      </c>
      <c r="G589" s="2">
        <v>61</v>
      </c>
      <c r="H589" s="2">
        <v>100000000</v>
      </c>
      <c r="I589" s="2"/>
      <c r="J589" s="4">
        <v>1</v>
      </c>
      <c r="K589" s="1" t="s">
        <v>286</v>
      </c>
      <c r="L589" s="28" t="s">
        <v>797</v>
      </c>
    </row>
    <row r="590" spans="1:12" x14ac:dyDescent="0.2">
      <c r="A590" s="1" t="s">
        <v>798</v>
      </c>
      <c r="B590" s="1">
        <v>0</v>
      </c>
      <c r="C590" s="1" t="s">
        <v>183</v>
      </c>
      <c r="D590" s="1" t="s">
        <v>278</v>
      </c>
      <c r="E590" s="3">
        <v>43570</v>
      </c>
      <c r="F590" s="3">
        <v>43600</v>
      </c>
      <c r="G590" s="2">
        <v>31</v>
      </c>
      <c r="H590" s="2"/>
      <c r="I590" s="2"/>
      <c r="J590" s="4">
        <v>100</v>
      </c>
      <c r="K590" s="1" t="s">
        <v>259</v>
      </c>
      <c r="L590" s="27"/>
    </row>
    <row r="591" spans="1:12" x14ac:dyDescent="0.2">
      <c r="A591" s="1" t="s">
        <v>799</v>
      </c>
      <c r="B591" s="1">
        <v>0</v>
      </c>
      <c r="C591" s="1" t="s">
        <v>183</v>
      </c>
      <c r="D591" s="1" t="s">
        <v>278</v>
      </c>
      <c r="E591" s="3">
        <v>43467</v>
      </c>
      <c r="F591" s="3">
        <v>43585</v>
      </c>
      <c r="G591" s="2">
        <v>129</v>
      </c>
      <c r="H591" s="2">
        <v>125000000</v>
      </c>
      <c r="I591" s="2">
        <v>125000000</v>
      </c>
      <c r="J591" s="4">
        <v>1</v>
      </c>
      <c r="K591" s="1" t="s">
        <v>259</v>
      </c>
      <c r="L591" s="27"/>
    </row>
    <row r="592" spans="1:12" x14ac:dyDescent="0.2">
      <c r="A592" s="1" t="s">
        <v>800</v>
      </c>
      <c r="B592" s="1">
        <v>0</v>
      </c>
      <c r="C592" s="1" t="s">
        <v>183</v>
      </c>
      <c r="D592" s="1" t="s">
        <v>278</v>
      </c>
      <c r="E592" s="3">
        <v>43554</v>
      </c>
      <c r="F592" s="3">
        <v>43708</v>
      </c>
      <c r="G592" s="2">
        <v>155</v>
      </c>
      <c r="H592" s="5">
        <v>365000000</v>
      </c>
      <c r="I592" s="5">
        <v>332150000</v>
      </c>
      <c r="J592" s="4">
        <v>0.15</v>
      </c>
      <c r="K592" s="1" t="s">
        <v>259</v>
      </c>
      <c r="L592" s="28" t="s">
        <v>801</v>
      </c>
    </row>
    <row r="593" spans="1:12" x14ac:dyDescent="0.2">
      <c r="A593" s="1" t="s">
        <v>802</v>
      </c>
      <c r="B593" s="1">
        <v>0</v>
      </c>
      <c r="C593" s="1" t="s">
        <v>183</v>
      </c>
      <c r="D593" s="1" t="s">
        <v>278</v>
      </c>
      <c r="E593" s="3">
        <v>42835</v>
      </c>
      <c r="F593" s="3">
        <v>42835</v>
      </c>
      <c r="G593" s="2">
        <v>1</v>
      </c>
      <c r="H593" s="2">
        <v>10000000</v>
      </c>
      <c r="I593" s="2">
        <v>10000000</v>
      </c>
      <c r="J593" s="4">
        <v>1</v>
      </c>
      <c r="K593" s="1" t="s">
        <v>259</v>
      </c>
      <c r="L593" s="27"/>
    </row>
    <row r="594" spans="1:12" x14ac:dyDescent="0.2">
      <c r="A594" s="1" t="s">
        <v>803</v>
      </c>
      <c r="B594" s="1">
        <v>0</v>
      </c>
      <c r="C594" s="1" t="s">
        <v>183</v>
      </c>
      <c r="D594" s="1" t="s">
        <v>278</v>
      </c>
      <c r="E594" s="3">
        <v>43403</v>
      </c>
      <c r="F594" s="3">
        <v>43449</v>
      </c>
      <c r="G594" s="2">
        <v>49</v>
      </c>
      <c r="H594" s="2">
        <v>10000000</v>
      </c>
      <c r="I594" s="2">
        <v>500000</v>
      </c>
      <c r="J594" s="4">
        <v>5</v>
      </c>
      <c r="K594" s="1" t="s">
        <v>701</v>
      </c>
      <c r="L594" s="28" t="s">
        <v>804</v>
      </c>
    </row>
    <row r="595" spans="1:12" x14ac:dyDescent="0.2">
      <c r="A595" s="1" t="s">
        <v>805</v>
      </c>
      <c r="B595" s="1">
        <v>0</v>
      </c>
      <c r="C595" s="1" t="s">
        <v>183</v>
      </c>
      <c r="D595" s="1" t="s">
        <v>278</v>
      </c>
      <c r="E595" s="3"/>
      <c r="F595" s="3">
        <v>43784</v>
      </c>
      <c r="G595" s="2"/>
      <c r="H595" s="2">
        <v>10021525</v>
      </c>
      <c r="I595" s="2">
        <v>100215252</v>
      </c>
      <c r="J595" s="4">
        <v>1</v>
      </c>
      <c r="K595" s="1" t="s">
        <v>259</v>
      </c>
      <c r="L595" s="27"/>
    </row>
    <row r="596" spans="1:12" x14ac:dyDescent="0.2">
      <c r="A596" s="1" t="s">
        <v>806</v>
      </c>
      <c r="B596" s="1">
        <v>0</v>
      </c>
      <c r="C596" s="1" t="s">
        <v>183</v>
      </c>
      <c r="D596" s="1" t="s">
        <v>278</v>
      </c>
      <c r="E596" s="3">
        <v>43525</v>
      </c>
      <c r="F596" s="3">
        <v>43585</v>
      </c>
      <c r="G596" s="2">
        <v>61</v>
      </c>
      <c r="H596" s="2">
        <v>20000000</v>
      </c>
      <c r="I596" s="2">
        <f>H596*75%</f>
        <v>15000000</v>
      </c>
      <c r="J596" s="4">
        <v>0.36</v>
      </c>
      <c r="K596" s="1" t="s">
        <v>286</v>
      </c>
      <c r="L596" s="27"/>
    </row>
    <row r="597" spans="1:12" x14ac:dyDescent="0.2">
      <c r="A597" s="1" t="s">
        <v>807</v>
      </c>
      <c r="B597" s="1">
        <v>0</v>
      </c>
      <c r="C597" s="1" t="s">
        <v>183</v>
      </c>
      <c r="D597" s="1" t="s">
        <v>278</v>
      </c>
      <c r="E597" s="3">
        <v>43524</v>
      </c>
      <c r="F597" s="3">
        <v>43616</v>
      </c>
      <c r="G597" s="2">
        <v>93</v>
      </c>
      <c r="H597" s="2">
        <v>4000000000</v>
      </c>
      <c r="I597" s="2">
        <v>2200000000</v>
      </c>
      <c r="J597" s="4">
        <v>1.43E-2</v>
      </c>
      <c r="K597" s="1" t="s">
        <v>701</v>
      </c>
      <c r="L597" s="27"/>
    </row>
    <row r="598" spans="1:12" x14ac:dyDescent="0.2">
      <c r="A598" s="1" t="s">
        <v>134</v>
      </c>
      <c r="B598" s="1">
        <v>0</v>
      </c>
      <c r="C598" s="1" t="s">
        <v>183</v>
      </c>
      <c r="D598" s="1" t="s">
        <v>278</v>
      </c>
      <c r="E598" s="3">
        <v>43165</v>
      </c>
      <c r="F598" s="3">
        <v>43191</v>
      </c>
      <c r="G598" s="2">
        <v>27</v>
      </c>
      <c r="H598" s="2">
        <v>750000000</v>
      </c>
      <c r="I598" s="2"/>
      <c r="J598" s="4">
        <v>0.1</v>
      </c>
      <c r="K598" s="1" t="s">
        <v>259</v>
      </c>
      <c r="L598" s="27"/>
    </row>
    <row r="599" spans="1:12" x14ac:dyDescent="0.2">
      <c r="A599" s="1" t="s">
        <v>808</v>
      </c>
      <c r="B599" s="1">
        <v>0</v>
      </c>
      <c r="C599" s="1" t="s">
        <v>183</v>
      </c>
      <c r="D599" s="1" t="s">
        <v>278</v>
      </c>
      <c r="E599" s="3">
        <v>43373</v>
      </c>
      <c r="F599" s="3">
        <v>43465</v>
      </c>
      <c r="G599" s="2">
        <v>93</v>
      </c>
      <c r="H599" s="2">
        <v>90000000</v>
      </c>
      <c r="I599" s="2"/>
      <c r="J599" s="4">
        <v>1</v>
      </c>
      <c r="K599" s="1" t="s">
        <v>259</v>
      </c>
      <c r="L599" s="28" t="s">
        <v>809</v>
      </c>
    </row>
    <row r="600" spans="1:12" x14ac:dyDescent="0.2">
      <c r="A600" s="1" t="s">
        <v>810</v>
      </c>
      <c r="B600" s="1">
        <v>0</v>
      </c>
      <c r="C600" s="1" t="s">
        <v>183</v>
      </c>
      <c r="D600" s="1" t="s">
        <v>278</v>
      </c>
      <c r="E600" s="3">
        <v>43435</v>
      </c>
      <c r="F600" s="3">
        <v>43585</v>
      </c>
      <c r="G600" s="2">
        <v>151</v>
      </c>
      <c r="H600" s="2"/>
      <c r="I600" s="2"/>
      <c r="J600" s="4">
        <v>0.15</v>
      </c>
      <c r="K600" s="1" t="s">
        <v>259</v>
      </c>
      <c r="L600" s="27"/>
    </row>
    <row r="601" spans="1:12" x14ac:dyDescent="0.2">
      <c r="A601" s="1" t="s">
        <v>811</v>
      </c>
      <c r="B601" s="1">
        <v>0</v>
      </c>
      <c r="C601" s="1" t="s">
        <v>183</v>
      </c>
      <c r="D601" s="1" t="s">
        <v>278</v>
      </c>
      <c r="E601" s="3">
        <v>43132</v>
      </c>
      <c r="F601" s="3">
        <v>43162</v>
      </c>
      <c r="G601" s="2">
        <v>31</v>
      </c>
      <c r="H601" s="2">
        <v>130000000</v>
      </c>
      <c r="I601" s="2">
        <v>110500000</v>
      </c>
      <c r="J601" s="4">
        <v>1</v>
      </c>
      <c r="K601" s="1" t="s">
        <v>259</v>
      </c>
      <c r="L601" s="27"/>
    </row>
    <row r="602" spans="1:12" x14ac:dyDescent="0.2">
      <c r="A602" s="1" t="s">
        <v>803</v>
      </c>
      <c r="B602" s="1">
        <v>0</v>
      </c>
      <c r="C602" s="1" t="s">
        <v>183</v>
      </c>
      <c r="D602" s="1" t="s">
        <v>278</v>
      </c>
      <c r="E602" s="3">
        <v>43403</v>
      </c>
      <c r="F602" s="3">
        <v>43449</v>
      </c>
      <c r="G602" s="2">
        <v>46</v>
      </c>
      <c r="H602" s="2">
        <v>10000000</v>
      </c>
      <c r="I602" s="2">
        <v>500000</v>
      </c>
      <c r="J602" s="4">
        <v>5</v>
      </c>
      <c r="K602" s="1" t="s">
        <v>701</v>
      </c>
      <c r="L602" s="27"/>
    </row>
    <row r="603" spans="1:12" x14ac:dyDescent="0.2">
      <c r="A603" s="1" t="s">
        <v>812</v>
      </c>
      <c r="B603" s="1">
        <v>0</v>
      </c>
      <c r="C603" s="1" t="s">
        <v>183</v>
      </c>
      <c r="D603" s="1" t="s">
        <v>278</v>
      </c>
      <c r="E603" s="3">
        <v>43334</v>
      </c>
      <c r="F603" s="3">
        <v>43392</v>
      </c>
      <c r="G603" s="2">
        <v>58</v>
      </c>
      <c r="H603" s="2">
        <v>1000000000</v>
      </c>
      <c r="I603" s="2">
        <v>800000000</v>
      </c>
      <c r="J603" s="4"/>
      <c r="K603" s="1"/>
      <c r="L603" s="27"/>
    </row>
    <row r="604" spans="1:12" x14ac:dyDescent="0.2">
      <c r="A604" s="1" t="s">
        <v>813</v>
      </c>
      <c r="B604" s="1">
        <v>0</v>
      </c>
      <c r="C604" s="1" t="s">
        <v>183</v>
      </c>
      <c r="D604" s="1" t="s">
        <v>278</v>
      </c>
      <c r="E604" s="3">
        <v>43449</v>
      </c>
      <c r="F604" s="3">
        <v>43570</v>
      </c>
      <c r="G604" s="2">
        <v>122</v>
      </c>
      <c r="H604" s="2">
        <v>240000000</v>
      </c>
      <c r="I604" s="2">
        <v>80000000</v>
      </c>
      <c r="J604" s="4">
        <v>0.5655</v>
      </c>
      <c r="K604" s="1" t="s">
        <v>259</v>
      </c>
      <c r="L604" s="28" t="s">
        <v>814</v>
      </c>
    </row>
    <row r="605" spans="1:12" x14ac:dyDescent="0.2">
      <c r="A605" s="1" t="s">
        <v>815</v>
      </c>
      <c r="B605" s="1">
        <v>0</v>
      </c>
      <c r="C605" s="1" t="s">
        <v>183</v>
      </c>
      <c r="D605" s="1" t="s">
        <v>278</v>
      </c>
      <c r="E605" s="3">
        <v>43617</v>
      </c>
      <c r="F605" s="3">
        <v>43678</v>
      </c>
      <c r="G605" s="2">
        <v>62</v>
      </c>
      <c r="H605" s="2">
        <v>8000000</v>
      </c>
      <c r="I605" s="2">
        <v>5880000</v>
      </c>
      <c r="J605" s="4">
        <v>0.86</v>
      </c>
      <c r="K605" s="1" t="s">
        <v>286</v>
      </c>
      <c r="L605" s="27"/>
    </row>
    <row r="606" spans="1:12" x14ac:dyDescent="0.2">
      <c r="A606" s="1" t="s">
        <v>816</v>
      </c>
      <c r="B606" s="1">
        <v>1</v>
      </c>
      <c r="C606" s="1" t="s">
        <v>183</v>
      </c>
      <c r="D606" s="1" t="s">
        <v>278</v>
      </c>
      <c r="E606" s="3">
        <v>43405</v>
      </c>
      <c r="F606" s="3">
        <v>43410</v>
      </c>
      <c r="G606" s="2">
        <v>7</v>
      </c>
      <c r="H606" s="2">
        <v>170000000</v>
      </c>
      <c r="I606" s="2">
        <v>153000000</v>
      </c>
      <c r="J606" s="4">
        <v>0.7</v>
      </c>
      <c r="K606" s="1" t="s">
        <v>259</v>
      </c>
      <c r="L606" s="27"/>
    </row>
    <row r="607" spans="1:12" x14ac:dyDescent="0.2">
      <c r="A607" s="1" t="s">
        <v>817</v>
      </c>
      <c r="B607" s="1">
        <v>0</v>
      </c>
      <c r="C607" s="1" t="s">
        <v>183</v>
      </c>
      <c r="D607" s="1" t="s">
        <v>278</v>
      </c>
      <c r="E607" s="3">
        <v>43396</v>
      </c>
      <c r="F607" s="3">
        <v>43427</v>
      </c>
      <c r="G607" s="2">
        <v>32</v>
      </c>
      <c r="H607" s="2">
        <v>1200000000</v>
      </c>
      <c r="I607" s="2">
        <v>192000000</v>
      </c>
      <c r="J607" s="4">
        <v>7.3999999999999999E-4</v>
      </c>
      <c r="K607" s="1" t="s">
        <v>2</v>
      </c>
      <c r="L607" s="27"/>
    </row>
    <row r="608" spans="1:12" x14ac:dyDescent="0.2">
      <c r="A608" s="1" t="s">
        <v>818</v>
      </c>
      <c r="B608" s="1">
        <v>0</v>
      </c>
      <c r="C608" s="1" t="s">
        <v>183</v>
      </c>
      <c r="D608" s="1" t="s">
        <v>278</v>
      </c>
      <c r="E608" s="3">
        <v>43221</v>
      </c>
      <c r="F608" s="3">
        <v>43312</v>
      </c>
      <c r="G608" s="2">
        <v>92</v>
      </c>
      <c r="H608" s="2">
        <v>21000000</v>
      </c>
      <c r="I608" s="2">
        <v>16800000</v>
      </c>
      <c r="J608" s="4">
        <v>3</v>
      </c>
      <c r="K608" s="1" t="s">
        <v>259</v>
      </c>
      <c r="L608" s="27"/>
    </row>
    <row r="609" spans="1:12" x14ac:dyDescent="0.2">
      <c r="A609" s="1" t="s">
        <v>819</v>
      </c>
      <c r="B609" s="1">
        <v>0</v>
      </c>
      <c r="C609" s="1" t="s">
        <v>183</v>
      </c>
      <c r="D609" s="1" t="s">
        <v>278</v>
      </c>
      <c r="E609" s="3">
        <v>43348</v>
      </c>
      <c r="F609" s="3">
        <v>43378</v>
      </c>
      <c r="G609" s="2">
        <v>31</v>
      </c>
      <c r="H609" s="2"/>
      <c r="I609" s="2">
        <v>200000000</v>
      </c>
      <c r="J609" s="4">
        <v>1</v>
      </c>
      <c r="K609" s="1" t="s">
        <v>259</v>
      </c>
      <c r="L609" s="27"/>
    </row>
    <row r="610" spans="1:12" x14ac:dyDescent="0.2">
      <c r="A610" s="1" t="s">
        <v>820</v>
      </c>
      <c r="B610" s="1">
        <v>1</v>
      </c>
      <c r="C610" s="1" t="s">
        <v>183</v>
      </c>
      <c r="D610" s="1" t="s">
        <v>278</v>
      </c>
      <c r="E610" s="3">
        <v>43249</v>
      </c>
      <c r="F610" s="3">
        <v>43312</v>
      </c>
      <c r="G610" s="2">
        <v>65</v>
      </c>
      <c r="H610" s="2">
        <v>100000000</v>
      </c>
      <c r="I610" s="2">
        <v>100000000</v>
      </c>
      <c r="J610" s="4">
        <v>0.1</v>
      </c>
      <c r="K610" s="1" t="s">
        <v>259</v>
      </c>
      <c r="L610" s="27"/>
    </row>
    <row r="611" spans="1:12" x14ac:dyDescent="0.2">
      <c r="A611" s="1" t="s">
        <v>821</v>
      </c>
      <c r="B611" s="1">
        <v>0</v>
      </c>
      <c r="C611" s="1" t="s">
        <v>188</v>
      </c>
      <c r="D611" s="1" t="s">
        <v>278</v>
      </c>
      <c r="E611" s="3">
        <v>43258</v>
      </c>
      <c r="F611" s="3">
        <v>43322</v>
      </c>
      <c r="G611" s="2">
        <v>65</v>
      </c>
      <c r="H611" s="2">
        <v>19000000000</v>
      </c>
      <c r="I611" s="5">
        <v>1330000000</v>
      </c>
      <c r="J611" s="4">
        <v>7.0000000000000001E-3</v>
      </c>
      <c r="K611" s="1" t="s">
        <v>259</v>
      </c>
      <c r="L611" s="27"/>
    </row>
    <row r="612" spans="1:12" x14ac:dyDescent="0.2">
      <c r="A612" s="1" t="s">
        <v>821</v>
      </c>
      <c r="B612" s="1">
        <v>1</v>
      </c>
      <c r="C612" s="1" t="s">
        <v>183</v>
      </c>
      <c r="D612" s="1" t="s">
        <v>278</v>
      </c>
      <c r="E612" s="3">
        <v>43326</v>
      </c>
      <c r="F612" s="3">
        <v>43339</v>
      </c>
      <c r="G612" s="2">
        <v>14</v>
      </c>
      <c r="H612" s="2">
        <v>19000000000</v>
      </c>
      <c r="I612" s="5">
        <v>2660000000</v>
      </c>
      <c r="J612" s="4">
        <v>8.0000000000000002E-3</v>
      </c>
      <c r="K612" s="1" t="s">
        <v>259</v>
      </c>
      <c r="L612" s="27"/>
    </row>
    <row r="613" spans="1:12" x14ac:dyDescent="0.2">
      <c r="A613" s="1" t="s">
        <v>821</v>
      </c>
      <c r="B613" s="1">
        <v>0</v>
      </c>
      <c r="C613" s="1" t="s">
        <v>183</v>
      </c>
      <c r="D613" s="1" t="s">
        <v>278</v>
      </c>
      <c r="E613" s="3">
        <v>43364</v>
      </c>
      <c r="F613" s="3">
        <v>43451</v>
      </c>
      <c r="G613" s="2">
        <v>88</v>
      </c>
      <c r="H613" s="2">
        <v>19000000000</v>
      </c>
      <c r="I613" s="5">
        <v>9310000000</v>
      </c>
      <c r="J613" s="4">
        <v>0.01</v>
      </c>
      <c r="K613" s="1" t="s">
        <v>259</v>
      </c>
      <c r="L613" s="27"/>
    </row>
    <row r="614" spans="1:12" x14ac:dyDescent="0.2">
      <c r="A614" s="1" t="s">
        <v>822</v>
      </c>
      <c r="B614" s="1">
        <v>0</v>
      </c>
      <c r="C614" s="1" t="s">
        <v>183</v>
      </c>
      <c r="D614" s="1" t="s">
        <v>278</v>
      </c>
      <c r="E614" s="3">
        <v>43374</v>
      </c>
      <c r="F614" s="3">
        <v>43465</v>
      </c>
      <c r="G614" s="2">
        <v>92</v>
      </c>
      <c r="H614" s="2">
        <v>500000000</v>
      </c>
      <c r="I614" s="2">
        <v>200000000</v>
      </c>
      <c r="J614" s="4">
        <v>0.5</v>
      </c>
      <c r="K614" s="1" t="s">
        <v>259</v>
      </c>
      <c r="L614" s="27"/>
    </row>
    <row r="615" spans="1:12" x14ac:dyDescent="0.2">
      <c r="A615" s="1" t="s">
        <v>823</v>
      </c>
      <c r="B615" s="1">
        <v>1</v>
      </c>
      <c r="C615" s="1" t="s">
        <v>183</v>
      </c>
      <c r="D615" s="1" t="s">
        <v>278</v>
      </c>
      <c r="E615" s="3">
        <v>43282</v>
      </c>
      <c r="F615" s="3">
        <v>43373</v>
      </c>
      <c r="G615" s="2">
        <v>92</v>
      </c>
      <c r="H615" s="2">
        <v>50000000</v>
      </c>
      <c r="I615" s="2"/>
      <c r="J615" s="4">
        <v>1E-3</v>
      </c>
      <c r="K615" s="1" t="s">
        <v>2</v>
      </c>
      <c r="L615" s="27"/>
    </row>
    <row r="616" spans="1:12" x14ac:dyDescent="0.2">
      <c r="A616" s="1" t="s">
        <v>823</v>
      </c>
      <c r="B616" s="1">
        <v>0</v>
      </c>
      <c r="C616" s="1" t="s">
        <v>183</v>
      </c>
      <c r="D616" s="1" t="s">
        <v>278</v>
      </c>
      <c r="E616" s="3">
        <v>43374</v>
      </c>
      <c r="F616" s="3">
        <v>43464</v>
      </c>
      <c r="G616" s="2">
        <v>91</v>
      </c>
      <c r="H616" s="2">
        <v>50000000</v>
      </c>
      <c r="I616" s="2"/>
      <c r="J616" s="4">
        <v>1.25E-3</v>
      </c>
      <c r="K616" s="1" t="s">
        <v>2</v>
      </c>
      <c r="L616" s="27"/>
    </row>
    <row r="617" spans="1:12" x14ac:dyDescent="0.2">
      <c r="A617" s="1" t="s">
        <v>824</v>
      </c>
      <c r="B617" s="1">
        <v>0</v>
      </c>
      <c r="C617" s="1" t="s">
        <v>183</v>
      </c>
      <c r="D617" s="1" t="s">
        <v>278</v>
      </c>
      <c r="E617" s="3">
        <v>43148</v>
      </c>
      <c r="F617" s="3">
        <v>43176</v>
      </c>
      <c r="G617" s="2">
        <v>29</v>
      </c>
      <c r="H617" s="2">
        <v>294000000</v>
      </c>
      <c r="I617" s="2">
        <v>200000000</v>
      </c>
      <c r="J617" s="4">
        <v>1</v>
      </c>
      <c r="K617" s="1" t="s">
        <v>259</v>
      </c>
      <c r="L617" s="27"/>
    </row>
  </sheetData>
  <hyperlinks>
    <hyperlink ref="L58" r:id="rId1" xr:uid="{2736D382-540F-514E-A18A-205F083DF963}"/>
    <hyperlink ref="L59" r:id="rId2" xr:uid="{176DF721-EBD6-1845-A837-793D8C3DC116}"/>
    <hyperlink ref="L265" r:id="rId3" xr:uid="{7798555A-2CF0-0441-BBC6-B885CB765BF1}"/>
    <hyperlink ref="L521" r:id="rId4" xr:uid="{C420EC18-ADE4-4E4D-AF6D-6BC09A81C60E}"/>
    <hyperlink ref="L263" r:id="rId5" xr:uid="{6398D5E7-8972-264C-98AC-C35351DADC62}"/>
    <hyperlink ref="L12:L13" r:id="rId6" display="https://ibb.co/51xms2h" xr:uid="{6B20FA03-43F1-4B43-9BCD-346DFB83EB3A}"/>
    <hyperlink ref="L343" r:id="rId7" xr:uid="{22EC6CCE-F0E4-E24C-8CE5-DC54996B8CE3}"/>
    <hyperlink ref="L89" r:id="rId8" xr:uid="{4344AADD-6B1A-FB4C-9C5A-4D79A87D11A4}"/>
    <hyperlink ref="L90" r:id="rId9" xr:uid="{EE36F193-F47F-F14B-B3B1-48668D120147}"/>
    <hyperlink ref="L130" r:id="rId10" xr:uid="{B7826A6B-2D17-104B-A5F3-6A4D846D412C}"/>
    <hyperlink ref="L50" r:id="rId11" xr:uid="{EA19615B-ADC8-424A-873A-2A729E95EF73}"/>
    <hyperlink ref="L152" r:id="rId12" xr:uid="{343E0C8A-82A3-D444-BE30-6D1FA70DA957}"/>
    <hyperlink ref="L35" r:id="rId13" xr:uid="{83FD34C9-639A-5B43-AD9B-CBF5A41065EE}"/>
    <hyperlink ref="L64" r:id="rId14" xr:uid="{AF6530E4-1E31-9B49-84BA-22D554C589A8}"/>
    <hyperlink ref="L500" r:id="rId15" xr:uid="{BC287D81-4FA4-854D-91CD-E121E483D358}"/>
    <hyperlink ref="L501" r:id="rId16" xr:uid="{A311E72D-6823-7148-BCAF-2AC4C0D41B06}"/>
    <hyperlink ref="L159" r:id="rId17" xr:uid="{789B304D-6492-FD4F-BB5D-767E30D014E2}"/>
    <hyperlink ref="L160" r:id="rId18" xr:uid="{520B1225-5C7E-2841-B97D-9D3C7394B2B4}"/>
    <hyperlink ref="L161" r:id="rId19" xr:uid="{0528C5B3-7C85-B549-8406-40935E5E9933}"/>
    <hyperlink ref="L122" r:id="rId20" xr:uid="{8CAAF658-3552-7A40-AF64-EEC9C52E816B}"/>
    <hyperlink ref="L121" r:id="rId21" xr:uid="{B3EAA166-8E06-554C-AC64-88E1E9783B8C}"/>
    <hyperlink ref="L127" r:id="rId22" xr:uid="{EB13BECB-A215-E345-9146-B7235AA66CBE}"/>
    <hyperlink ref="L314" r:id="rId23" xr:uid="{3A4C003E-FF50-D14A-8C29-619974A3A2AF}"/>
    <hyperlink ref="L290" r:id="rId24" xr:uid="{C135A31E-765F-C649-94B8-BDEEF29FCADF}"/>
    <hyperlink ref="L142" r:id="rId25" xr:uid="{3A5477A7-991D-FA44-98AA-AF8129E52CBE}"/>
    <hyperlink ref="L143" r:id="rId26" xr:uid="{16B0511C-5C8B-0E4A-A5F8-824D6AB08BE5}"/>
    <hyperlink ref="L239" r:id="rId27" xr:uid="{162421B8-ABDD-9B43-B06A-AF300C3C901E}"/>
    <hyperlink ref="L74" r:id="rId28" xr:uid="{AC0A4596-FE7B-D14F-83A2-3FCD252AC044}"/>
    <hyperlink ref="L386" r:id="rId29" xr:uid="{61B1E94E-4090-3945-9BE6-1C4603CD5218}"/>
    <hyperlink ref="L478" r:id="rId30" xr:uid="{F7C278F7-0089-EB4F-9484-CE192CBACFA1}"/>
    <hyperlink ref="L55" r:id="rId31" xr:uid="{72D7BCF9-7541-7F47-BE95-33500E4F85A3}"/>
    <hyperlink ref="L298" r:id="rId32" display="https://icodrops.com/keysians/" xr:uid="{FD10D793-C9AC-6C47-9C5A-20AAEF98A0D6}"/>
    <hyperlink ref="L37" r:id="rId33" xr:uid="{E845E439-0F03-084B-A01F-BF4014E61697}"/>
    <hyperlink ref="L361" r:id="rId34" xr:uid="{4707590A-D459-624E-9B82-BCEA5E7EA0B2}"/>
    <hyperlink ref="L556" r:id="rId35" xr:uid="{07D62158-73E1-2D4C-9C35-36A9CC2910BC}"/>
    <hyperlink ref="L283" r:id="rId36" xr:uid="{77CF5217-0FB8-E948-95E5-E0A1EA82BFAA}"/>
    <hyperlink ref="L479" r:id="rId37" xr:uid="{F3D7C729-1B18-AF47-B4F6-FD835452E2A3}"/>
    <hyperlink ref="L91" r:id="rId38" xr:uid="{400193D8-A5B8-234B-82F3-4D790BBAC208}"/>
    <hyperlink ref="L67" r:id="rId39" xr:uid="{00E15748-F7BD-2441-948B-77DD4C2D7D6D}"/>
    <hyperlink ref="L561" r:id="rId40" xr:uid="{5DF544D0-EE1B-4948-BBC5-1BBAAF5272C7}"/>
    <hyperlink ref="L562" r:id="rId41" xr:uid="{C65EF28E-9503-314D-8BB6-E5D498189411}"/>
    <hyperlink ref="L509" r:id="rId42" xr:uid="{18FDF586-8C69-7B4B-8683-86F719B69699}"/>
    <hyperlink ref="L510" r:id="rId43" xr:uid="{87DC76E2-F5C6-8F4E-8856-D8E07725E217}"/>
    <hyperlink ref="L511" r:id="rId44" xr:uid="{397530B5-29A0-9846-9D16-F77DA71E3A26}"/>
    <hyperlink ref="L441" r:id="rId45" xr:uid="{3519589C-DCB4-0C44-8DE7-AC0F11F074C3}"/>
    <hyperlink ref="L266" r:id="rId46" xr:uid="{2F017BFF-8CD1-3E48-81A8-7E051E621F83}"/>
    <hyperlink ref="L543" r:id="rId47" xr:uid="{0F6A4D79-8550-5147-89A2-0EB8A7BB281F}"/>
    <hyperlink ref="L367" r:id="rId48" xr:uid="{2455C655-41C4-7D4C-8D72-74352232A999}"/>
    <hyperlink ref="L228" r:id="rId49" xr:uid="{8B688343-BF4C-D646-88D4-4C8EEA55A8DE}"/>
    <hyperlink ref="L268" r:id="rId50" xr:uid="{3893127E-0EF1-1147-8C01-A16B56C63971}"/>
    <hyperlink ref="L294" r:id="rId51" xr:uid="{A24763C0-D9FC-9742-8746-74D773BA2731}"/>
    <hyperlink ref="L449" r:id="rId52" xr:uid="{5FF31609-BB6A-184C-B609-2A594F57D263}"/>
    <hyperlink ref="L51" r:id="rId53" xr:uid="{82296B45-1608-1B44-9074-9403C0D9D921}"/>
    <hyperlink ref="L467" r:id="rId54" xr:uid="{63B62552-6515-FA45-AA34-7897C0D187C0}"/>
    <hyperlink ref="L371" r:id="rId55" xr:uid="{10CD7BD9-6663-F549-BCD7-435F1F30BD02}"/>
    <hyperlink ref="L560" r:id="rId56" xr:uid="{AB3FBFD4-7078-834F-AF02-993E48DB3978}"/>
    <hyperlink ref="L409" r:id="rId57" xr:uid="{29F47A56-B1FC-934E-AF02-1B6913C1B5D1}"/>
    <hyperlink ref="L53" r:id="rId58" xr:uid="{44D5C693-82AE-5247-A0CE-FF27CBD07179}"/>
    <hyperlink ref="L54" r:id="rId59" xr:uid="{E199B1B7-0CFB-5549-85DF-D7918E9506EF}"/>
    <hyperlink ref="L324" r:id="rId60" xr:uid="{5E757E63-387A-594E-881B-3DAB4BB47C25}"/>
    <hyperlink ref="L322" r:id="rId61" xr:uid="{44AA691A-BEEC-454E-9EE4-6E1FD90833F1}"/>
    <hyperlink ref="L323" r:id="rId62" xr:uid="{F29D4C7E-F531-7A4F-BBDD-566C0E7BA762}"/>
    <hyperlink ref="L400" r:id="rId63" xr:uid="{68811B6A-34C6-2A45-A197-02CF42D859C4}"/>
    <hyperlink ref="L466" r:id="rId64" xr:uid="{B4EB7C9D-37D7-844D-9C96-A92086744195}"/>
    <hyperlink ref="L388" r:id="rId65" xr:uid="{89F85D57-1F44-F144-933B-0C8A82525C02}"/>
    <hyperlink ref="L487" r:id="rId66" xr:uid="{A5A29191-EADB-C043-8AB9-44AB3C32B194}"/>
    <hyperlink ref="L389" r:id="rId67" xr:uid="{2E6C2610-8D1F-7F42-8F2B-D977E964E2FE}"/>
    <hyperlink ref="L62" r:id="rId68" xr:uid="{1FD32374-7282-A84D-9FB8-3FDB7D8463EB}"/>
    <hyperlink ref="L399" r:id="rId69" xr:uid="{A5275749-961A-6F46-8699-BFF4B27EC076}"/>
    <hyperlink ref="L219" r:id="rId70" xr:uid="{21D41C15-7A99-E642-9996-29260C2F4395}"/>
    <hyperlink ref="L529" r:id="rId71" xr:uid="{91B878C9-DF14-B54F-B422-EECA81BB85A8}"/>
    <hyperlink ref="L535" r:id="rId72" xr:uid="{78C6B932-E2BC-BA41-A782-AAD82C6C5942}"/>
    <hyperlink ref="L536" r:id="rId73" xr:uid="{104DA884-7964-B944-864E-279935E2A1A5}"/>
    <hyperlink ref="L439" r:id="rId74" xr:uid="{F1755A8C-7F58-FA4F-8BDD-6A34AFBD697F}"/>
    <hyperlink ref="L255" r:id="rId75" xr:uid="{57ACF200-B610-E84E-8AB1-8953B600C46C}"/>
    <hyperlink ref="L256" r:id="rId76" xr:uid="{1D24AE1A-8687-1B4A-A41A-2E1CE020771D}"/>
    <hyperlink ref="L200" r:id="rId77" xr:uid="{E6B3F9F4-E989-494D-8894-EB7F4B605901}"/>
    <hyperlink ref="L201" r:id="rId78" xr:uid="{C8105A2E-BD04-9A4D-B8BF-5BFA1DDC8269}"/>
    <hyperlink ref="L114" r:id="rId79" xr:uid="{05065BEF-020B-054A-B66F-17035AE29410}"/>
    <hyperlink ref="L71" r:id="rId80" xr:uid="{7AD5A472-92B7-D34F-BF4E-DA5523729070}"/>
    <hyperlink ref="L68" r:id="rId81" xr:uid="{DDEB798D-61AD-F243-93EC-D215B62A12A9}"/>
    <hyperlink ref="L69" r:id="rId82" xr:uid="{3824A592-5212-6E43-9DF7-9A285EE1B02B}"/>
    <hyperlink ref="L70" r:id="rId83" xr:uid="{8CE95E7F-4DF3-CA41-9854-BC0E6808DFE7}"/>
    <hyperlink ref="L422" r:id="rId84" xr:uid="{8DFB5C83-6652-AE49-866D-0F2AF520D156}"/>
    <hyperlink ref="L423" r:id="rId85" xr:uid="{BED0C1DE-9639-BA45-A1C2-ADE32AA19936}"/>
    <hyperlink ref="L295" r:id="rId86" xr:uid="{8594DF4A-12EB-5140-8225-F26B58CCBB09}"/>
    <hyperlink ref="L47" r:id="rId87" xr:uid="{A67798A7-E9EC-5349-B0B0-D1A0238CD192}"/>
    <hyperlink ref="L7" r:id="rId88" xr:uid="{D1286845-6061-E94B-AA2D-2F1C845AB837}"/>
    <hyperlink ref="L443" r:id="rId89" xr:uid="{FFD85C26-7547-134D-9265-C89C19433D20}"/>
    <hyperlink ref="L214" r:id="rId90" xr:uid="{455B3C60-935D-0D42-BEF0-55DDFBFFDD67}"/>
    <hyperlink ref="L113" r:id="rId91" xr:uid="{6D5AEC70-A6A2-D245-ABCD-CCF3B2A99F4F}"/>
    <hyperlink ref="L347" r:id="rId92" xr:uid="{84651CFA-42A2-AE42-8FC9-B59787461542}"/>
    <hyperlink ref="L287" r:id="rId93" xr:uid="{5D1AF6CF-8226-BA41-8B90-78744B137DED}"/>
    <hyperlink ref="L244" r:id="rId94" xr:uid="{53AB031E-A53C-0B4D-8CEC-2E4515EAFA5B}"/>
    <hyperlink ref="L245" r:id="rId95" xr:uid="{D745112F-CB59-174C-8E61-22F293865167}"/>
    <hyperlink ref="L390" r:id="rId96" xr:uid="{B69C5246-3B7D-3B4D-8102-21DC08C9AD16}"/>
    <hyperlink ref="L391" r:id="rId97" xr:uid="{FD3BCFD0-44CC-CF44-98F0-1197F2F204A7}"/>
    <hyperlink ref="L476" r:id="rId98" xr:uid="{FCB7BF0F-D4C6-F84B-B9DF-3D8AA263C702}"/>
    <hyperlink ref="L223" r:id="rId99" xr:uid="{D3DA68ED-17E6-E44F-AD05-E34AA44113AA}"/>
    <hyperlink ref="L224" r:id="rId100" xr:uid="{DB4C4238-68B5-214C-92F6-5BC7E2E52715}"/>
    <hyperlink ref="L251" r:id="rId101" xr:uid="{C79EA3C6-5639-7A45-ABDB-530F8E00BDE5}"/>
    <hyperlink ref="L44" r:id="rId102" xr:uid="{BE5C90E5-FBB9-E746-BF57-2CA843E9C9B9}"/>
    <hyperlink ref="L550" r:id="rId103" xr:uid="{B4323ABE-9E07-C441-B8A1-08E9D35552A4}"/>
    <hyperlink ref="L167" r:id="rId104" xr:uid="{DFB30D9B-EFC8-494D-B19E-42284FBAA3FA}"/>
    <hyperlink ref="L444" r:id="rId105" xr:uid="{A83E40D9-C977-6246-B527-EC4FF01C1120}"/>
    <hyperlink ref="L8" r:id="rId106" xr:uid="{676B874B-601D-7447-99F1-9C5063C73415}"/>
    <hyperlink ref="L10" r:id="rId107" xr:uid="{F8506E5A-D765-834B-B095-CC63197BFB83}"/>
    <hyperlink ref="L11" r:id="rId108" location="ico" xr:uid="{D046C8AB-0F14-0347-8DF2-5EFE80024EA6}"/>
    <hyperlink ref="L168" r:id="rId109" xr:uid="{E4625BC1-B351-D547-9D26-9CAF401149D7}"/>
    <hyperlink ref="L169" r:id="rId110" xr:uid="{6D8FE46F-77E6-4648-AFCD-C746C4CFF0BB}"/>
    <hyperlink ref="L247" r:id="rId111" xr:uid="{51CF2D2D-BF9D-5544-BEC7-5DAC58FE9C44}"/>
    <hyperlink ref="L465" r:id="rId112" xr:uid="{854D5AAD-89C6-3644-A2BA-05B5D537267C}"/>
    <hyperlink ref="L260" r:id="rId113" xr:uid="{8C0B0B9D-7831-484C-BBAE-5DDEF7BC58D5}"/>
    <hyperlink ref="L282" r:id="rId114" xr:uid="{0194F904-3C7E-B04E-AB17-6751E5586DD6}"/>
    <hyperlink ref="L421" r:id="rId115" xr:uid="{6F486C35-8C5D-2F4E-994C-FDF28D2E9D6A}"/>
    <hyperlink ref="L480" r:id="rId116" xr:uid="{D322E8A9-A929-2242-8749-31006914D14C}"/>
    <hyperlink ref="L393" r:id="rId117" xr:uid="{BB6F8B25-4CC3-3744-8BA7-A760C2A901CC}"/>
    <hyperlink ref="L412" r:id="rId118" xr:uid="{2513557E-8166-5B43-937B-D9E863A1664A}"/>
    <hyperlink ref="L216" r:id="rId119" xr:uid="{FC359639-93F5-7D46-BCE1-409A8DE68A52}"/>
    <hyperlink ref="L83" r:id="rId120" xr:uid="{E53B6C8B-0E9C-BD49-B01A-6CBDDB798E34}"/>
    <hyperlink ref="L84" r:id="rId121" xr:uid="{E41919BC-0A49-D344-9DB6-7B746E40F19A}"/>
    <hyperlink ref="L261" r:id="rId122" xr:uid="{94C86758-A847-8B4B-A0DD-73153EF2695B}"/>
    <hyperlink ref="L375" r:id="rId123" xr:uid="{5E3D5C98-8CD6-6945-AA2E-061E7D1DE2BB}"/>
    <hyperlink ref="L374" r:id="rId124" xr:uid="{5717AC9D-B687-294C-AAE7-7A2720EF0185}"/>
    <hyperlink ref="L13" r:id="rId125" xr:uid="{51515D50-14CF-FE47-8119-3E1799BB2099}"/>
    <hyperlink ref="L56" r:id="rId126" xr:uid="{835ECCD6-4FEF-DF4F-9303-E13E665E4C1F}"/>
    <hyperlink ref="L108" r:id="rId127" xr:uid="{AE787FE1-5421-D248-9E76-F6D5BC3A088E}"/>
    <hyperlink ref="L119" r:id="rId128" xr:uid="{FACD1C7E-61A5-334C-8C88-FBAEE9396869}"/>
    <hyperlink ref="L128" r:id="rId129" xr:uid="{737630A8-93EC-4442-A7EE-B74296F3B52C}"/>
    <hyperlink ref="L131" r:id="rId130" xr:uid="{2D67852F-43A4-9346-92B1-6B15AB8098EE}"/>
    <hyperlink ref="L139" r:id="rId131" xr:uid="{BE533774-711E-C24D-98D3-F98D78A23A33}"/>
    <hyperlink ref="L146" r:id="rId132" xr:uid="{AD880FA2-E989-FF45-92AB-6C6E6D3F4A3D}"/>
    <hyperlink ref="L176" r:id="rId133" xr:uid="{222B7A00-9708-EC4A-97A4-1FE98DF9A05A}"/>
    <hyperlink ref="L243" r:id="rId134" xr:uid="{A3B7E038-F301-BA42-B113-548DC6BFB8C4}"/>
    <hyperlink ref="L269" r:id="rId135" xr:uid="{5D2379EC-EDE6-B342-9E9F-1A0B674F0AF8}"/>
    <hyperlink ref="L274" r:id="rId136" xr:uid="{A7414DFD-7F95-0F4E-A4F1-8BE3BB8494C0}"/>
    <hyperlink ref="L291" r:id="rId137" xr:uid="{6EB720BF-AC21-B94A-9E0E-0F924C9D2950}"/>
    <hyperlink ref="L316" r:id="rId138" xr:uid="{58ECCE9A-4DCB-BC46-89A6-DDBD037BEA24}"/>
    <hyperlink ref="L355" r:id="rId139" xr:uid="{51002BC6-4519-5540-93FB-921D8B438820}"/>
    <hyperlink ref="L372" r:id="rId140" xr:uid="{CDA6C319-7B52-DF4E-A635-BF61CFD108E0}"/>
    <hyperlink ref="L407" r:id="rId141" xr:uid="{0FAB731C-6C25-5A4E-9726-4297B5CB16FB}"/>
    <hyperlink ref="L420" r:id="rId142" xr:uid="{40A1090F-F63D-204A-895B-8BB195F0D2A2}"/>
    <hyperlink ref="L434" r:id="rId143" xr:uid="{6E48C4E8-E63C-6345-BE7B-546889AFACBD}"/>
    <hyperlink ref="L481" r:id="rId144" xr:uid="{B869A174-9FE4-7E4F-B4AE-3AAB9A58E655}"/>
    <hyperlink ref="L503" r:id="rId145" xr:uid="{90D55FA6-BE99-A24C-8BA3-AB0DE8C68223}"/>
    <hyperlink ref="L157" r:id="rId146" xr:uid="{1AE5CB86-0163-7D44-982D-A5CCAC4930B2}"/>
    <hyperlink ref="L527" r:id="rId147" xr:uid="{E10DDD1C-E56B-0249-A98C-C2C4D45CD206}"/>
    <hyperlink ref="L334" r:id="rId148" xr:uid="{7E93F726-77C1-3843-8B80-77DDF137FAC8}"/>
    <hyperlink ref="L299" r:id="rId149" xr:uid="{D941835B-6C0A-8248-9BE2-11F916737375}"/>
    <hyperlink ref="L38" r:id="rId150" xr:uid="{FA150394-0E44-7D47-AEA3-83FD4F00395D}"/>
    <hyperlink ref="L39" r:id="rId151" xr:uid="{38B7817A-7562-4A4E-815F-8ECA92987598}"/>
    <hyperlink ref="L187" r:id="rId152" xr:uid="{6D64AC08-7CDF-3345-A5D5-A1073E728083}"/>
    <hyperlink ref="L188" r:id="rId153" xr:uid="{1DD63D54-7261-DC41-9CBA-7E5DB482E78B}"/>
    <hyperlink ref="L189" r:id="rId154" xr:uid="{F790B712-9427-674A-84AF-EDBE5442AA5F}"/>
    <hyperlink ref="L203" r:id="rId155" xr:uid="{B19FFA3A-4BA3-084A-94EA-1071594541F0}"/>
    <hyperlink ref="L208" r:id="rId156" xr:uid="{D6AFD8C4-1B65-D64B-9DD7-D3FC3E735D7F}"/>
    <hyperlink ref="L286" r:id="rId157" xr:uid="{209FF72E-7DB7-1343-9AD3-12936632D4B4}"/>
    <hyperlink ref="L317" r:id="rId158" xr:uid="{5820B8A6-923B-5F44-9495-5C011362F823}"/>
    <hyperlink ref="L66" r:id="rId159" xr:uid="{822296C8-7FFA-A749-AB47-C571461E26F8}"/>
    <hyperlink ref="L102" r:id="rId160" xr:uid="{C1CD3143-3231-8F4A-8D15-1F6F2F466976}"/>
    <hyperlink ref="L153" r:id="rId161" xr:uid="{46DB60BE-33FC-9742-9677-BCC51245EB1C}"/>
    <hyperlink ref="L267" r:id="rId162" xr:uid="{D8518A6B-EAD1-474E-9E1A-A500874C5303}"/>
    <hyperlink ref="L360" r:id="rId163" xr:uid="{859F3124-CA33-9E40-9EF7-C96275E2E023}"/>
    <hyperlink ref="L369" r:id="rId164" xr:uid="{FEA5D756-A7CD-F94B-9BE0-51CAA6EE9E47}"/>
    <hyperlink ref="L370" r:id="rId165" xr:uid="{9FEA9075-D35B-9544-B797-4575C6D31450}"/>
    <hyperlink ref="L257" r:id="rId166" xr:uid="{5E8660F1-0D10-DC48-A8EC-727BB6F4B885}"/>
    <hyperlink ref="L454" r:id="rId167" xr:uid="{FBD1CE01-8344-E440-9444-F9D321F3B609}"/>
    <hyperlink ref="L49" r:id="rId168" xr:uid="{A2191D86-5312-F847-8DCC-109C5C63D65E}"/>
    <hyperlink ref="L435" r:id="rId169" xr:uid="{7546DD55-37C3-3141-892C-8CDF4C80242A}"/>
    <hyperlink ref="L92" r:id="rId170" xr:uid="{DFBED031-3E67-8F4F-BAA4-28FF3BE840AB}"/>
    <hyperlink ref="L93" r:id="rId171" xr:uid="{19A47620-BC36-4045-8910-70B0BD932F8F}"/>
    <hyperlink ref="L19" r:id="rId172" xr:uid="{4D0BB221-3F88-D949-BDB1-3DC291FAF08C}"/>
    <hyperlink ref="L48" r:id="rId173" xr:uid="{1913BFDE-7BD0-5B41-BF0F-B1BC0F5F2F50}"/>
    <hyperlink ref="L321" r:id="rId174" xr:uid="{78110E79-E816-324A-BBFB-DF52706CB820}"/>
    <hyperlink ref="L489" r:id="rId175" xr:uid="{65452E96-30E9-C246-AC75-6529D095A6EB}"/>
    <hyperlink ref="L196" r:id="rId176" xr:uid="{DEE3CD2D-C996-9B40-B631-411FC87774C0}"/>
    <hyperlink ref="L227" r:id="rId177" xr:uid="{3236BAC3-69DD-C54C-967F-CFE71188546C}"/>
    <hyperlink ref="L338" r:id="rId178" xr:uid="{4BB71377-1547-8A46-8D1F-CCE4E58D39EC}"/>
    <hyperlink ref="L362" r:id="rId179" xr:uid="{6399595E-8D4A-394D-B510-407161904EF5}"/>
    <hyperlink ref="L484" r:id="rId180" xr:uid="{CD119E78-6FB7-B742-A84F-B110F2A3F6BB}"/>
    <hyperlink ref="L528" r:id="rId181" xr:uid="{094B7AC1-80C5-FF4B-BA22-78EEA2E2EB74}"/>
    <hyperlink ref="L52" r:id="rId182" xr:uid="{78CBC225-D5DF-484A-BD80-D1022C21F6CE}"/>
    <hyperlink ref="L144" r:id="rId183" xr:uid="{7FE27360-2875-A743-A8D3-BB1A24A264FC}"/>
    <hyperlink ref="L230" r:id="rId184" xr:uid="{F138703D-D485-1749-BFCB-DE3900C278D9}"/>
    <hyperlink ref="L229" r:id="rId185" xr:uid="{61B6E5B0-2DFC-0648-8A1C-8F24D712958F}"/>
    <hyperlink ref="L378" r:id="rId186" xr:uid="{5C8733EC-E750-1244-BF2B-6DFFB44883D5}"/>
    <hyperlink ref="L140" r:id="rId187" xr:uid="{461F3DCF-0548-5846-A45E-F8192F0069D5}"/>
    <hyperlink ref="L20" r:id="rId188" xr:uid="{B1CD17C3-FB5C-904E-B8F6-D4EB54AC0886}"/>
    <hyperlink ref="L21" r:id="rId189" xr:uid="{78FBD83C-E4DE-5D48-843B-04F0D7A27D9B}"/>
    <hyperlink ref="L22" r:id="rId190" xr:uid="{2CB3A3C4-BB09-AA43-AD99-87C39B973F7F}"/>
    <hyperlink ref="L288" r:id="rId191" xr:uid="{FC236A59-C692-BE4B-AD2D-AB9087CE2E23}"/>
    <hyperlink ref="L289" r:id="rId192" xr:uid="{05A6D8BD-4072-FA4E-B291-FE27F08CF90F}"/>
    <hyperlink ref="L482" r:id="rId193" xr:uid="{BF76E273-8D90-6643-BBEB-C0ED58895897}"/>
    <hyperlink ref="L354" r:id="rId194" xr:uid="{2EAB9CBA-1520-894D-A210-FE5870067F55}"/>
    <hyperlink ref="L231" r:id="rId195" xr:uid="{7A8D53E9-B63E-594B-9BB1-4E64B1B991DB}"/>
    <hyperlink ref="L533" r:id="rId196" xr:uid="{1C157E85-8270-8443-A5CD-77681CAEE2F8}"/>
    <hyperlink ref="L329" r:id="rId197" xr:uid="{523B9A61-7D7B-674C-AE5E-545022EBEC9B}"/>
    <hyperlink ref="L468" r:id="rId198" xr:uid="{7D017CB6-9D5A-CF4A-880B-EB89497382D6}"/>
    <hyperlink ref="L469" r:id="rId199" xr:uid="{E6AFC0EF-939C-0849-9862-9135541641E4}"/>
    <hyperlink ref="L117" r:id="rId200" xr:uid="{CC318904-F80D-DE47-AA1F-502BA73DC65C}"/>
    <hyperlink ref="L221" r:id="rId201" xr:uid="{15154DD9-D560-8845-AD00-218A41FD367A}"/>
    <hyperlink ref="L348" r:id="rId202" xr:uid="{67A7A19F-DA94-514F-BE3E-534B0105C20D}"/>
    <hyperlink ref="L182" r:id="rId203" xr:uid="{4453ADBC-4AE3-984F-B42B-DFEA3D60D3A9}"/>
    <hyperlink ref="L183" r:id="rId204" xr:uid="{498BA477-3F14-474D-9F3F-EA5C451AFC6B}"/>
    <hyperlink ref="L359" r:id="rId205" xr:uid="{48BF3E08-11AE-9D44-9B39-8DD5C15767CC}"/>
    <hyperlink ref="L308" r:id="rId206" location="slide=id.gbfae7c9dc1_0_60" xr:uid="{22FCAFC9-B6DF-5E4D-92FE-4CE31D54364F}"/>
    <hyperlink ref="L309" r:id="rId207" xr:uid="{DEC8A8EB-A7D0-6644-8CD6-58C34BDBEF30}"/>
    <hyperlink ref="L325" r:id="rId208" xr:uid="{34CA0425-D977-054E-A991-CAE40FBDB69A}"/>
    <hyperlink ref="L326" r:id="rId209" xr:uid="{011F5865-E866-DF41-BACA-24D93D7BA1C9}"/>
    <hyperlink ref="L506" r:id="rId210" xr:uid="{6B99556D-7041-C245-BC0E-A5444A74FD9B}"/>
    <hyperlink ref="L232" r:id="rId211" xr:uid="{50E51C43-620A-1D4D-90F1-58AD9AA03DA1}"/>
    <hyperlink ref="L278" r:id="rId212" xr:uid="{76DE4891-2685-4847-9E72-FE9803186287}"/>
    <hyperlink ref="L279" r:id="rId213" xr:uid="{3E15AA98-F1F5-1C4C-A0C2-AA047C13EBFA}"/>
    <hyperlink ref="L425" r:id="rId214" xr:uid="{9A20CCE4-EFFD-CC46-BEC7-70832723A2AE}"/>
    <hyperlink ref="L410" r:id="rId215" xr:uid="{98CFFDE6-3C89-3240-837E-FCAE8CCF9B84}"/>
    <hyperlink ref="L497" r:id="rId216" xr:uid="{BB65F0F1-18B1-FB40-A30A-6F12B633E199}"/>
    <hyperlink ref="L544" r:id="rId217" xr:uid="{76692FBA-289C-8F43-AFC5-175CFCDBA598}"/>
    <hyperlink ref="L545" r:id="rId218" xr:uid="{4E448E9B-7F8B-5447-B6C9-D46F5F89DCE1}"/>
    <hyperlink ref="L116" r:id="rId219" xr:uid="{44EAAD1C-D8D1-784B-B6AB-BBDD3EB4CC7F}"/>
    <hyperlink ref="L486" r:id="rId220" xr:uid="{76B10E89-861E-EC47-B64B-A88CC35D9C9B}"/>
    <hyperlink ref="L383" r:id="rId221" xr:uid="{42932653-298A-E545-8B2F-C6E6198CF9A2}"/>
    <hyperlink ref="L304" r:id="rId222" xr:uid="{2223F4CD-E38C-9B4E-8B5B-4C77FD709F1A}"/>
    <hyperlink ref="L65" r:id="rId223" xr:uid="{BDCCE75F-DB32-864F-991E-0C86CA9FEBFF}"/>
    <hyperlink ref="L24" r:id="rId224" xr:uid="{7687DF7E-A500-AB42-BB09-19AA60DBFC18}"/>
    <hyperlink ref="L394" r:id="rId225" xr:uid="{222BCAD4-1ADF-0248-8EB1-D9508A574E8E}"/>
    <hyperlink ref="L311" r:id="rId226" xr:uid="{F040865B-1D9D-CF49-8EC6-C1C89BD15A67}"/>
    <hyperlink ref="L78" r:id="rId227" xr:uid="{F4EF59D3-388E-1140-B347-5FB915A82055}"/>
    <hyperlink ref="L424" r:id="rId228" xr:uid="{D5E43213-C507-FA4A-980A-F8A990C1AE8F}"/>
    <hyperlink ref="L342" r:id="rId229" xr:uid="{78CCE518-ECE1-E044-934D-52F1A4667D5D}"/>
    <hyperlink ref="L554" r:id="rId230" xr:uid="{2BE264E1-949C-D043-B3B0-1CEF1352D28B}"/>
    <hyperlink ref="L477" r:id="rId231" xr:uid="{83F39C36-A979-F147-936C-DD2D6AFFD7F9}"/>
    <hyperlink ref="L539" r:id="rId232" xr:uid="{1FB4CE8B-D65F-424B-8E39-FA84196E8F70}"/>
    <hyperlink ref="L376" r:id="rId233" xr:uid="{7ED79072-59E9-734F-B601-EC60CD08952D}"/>
    <hyperlink ref="L461" r:id="rId234" xr:uid="{8B4D492F-CD9D-7040-B8E4-636F3B0B3A4A}"/>
    <hyperlink ref="L430" r:id="rId235" xr:uid="{8C9CC62E-03EE-254E-B551-904BC0B525EA}"/>
    <hyperlink ref="L18" r:id="rId236" xr:uid="{E04B80A7-6D1F-8647-B5C4-E3BD6EB56A46}"/>
    <hyperlink ref="L339" r:id="rId237" xr:uid="{E4ACB068-EC29-FB48-864F-BBA657D6F87E}"/>
    <hyperlink ref="L86" r:id="rId238" xr:uid="{83AB7D5B-5E34-1642-A61F-59643F3CCB7A}"/>
    <hyperlink ref="L163" r:id="rId239" xr:uid="{29CED998-297B-D146-A02D-97539DEEF320}"/>
    <hyperlink ref="L164" r:id="rId240" xr:uid="{EFEE5A52-0804-5F40-94C7-0F6A29745DFC}"/>
    <hyperlink ref="L570" r:id="rId241" xr:uid="{E0FF4192-87E2-EE4E-BB95-0BA78576B9C9}"/>
    <hyperlink ref="L75" r:id="rId242" xr:uid="{875935B4-2D2F-E44C-A0F5-8934090A93FB}"/>
    <hyperlink ref="L530" r:id="rId243" xr:uid="{70BC92F9-1933-F549-AFF5-07E6218B3858}"/>
    <hyperlink ref="L532" r:id="rId244" xr:uid="{8BB08260-0399-854B-84EB-D76A40C5C5DA}"/>
    <hyperlink ref="L517" r:id="rId245" xr:uid="{302B6721-ED8C-BC44-B459-FB099E7FC864}"/>
    <hyperlink ref="L414" r:id="rId246" xr:uid="{99A0B3FC-FB21-A545-AD36-9BE99EC551A0}"/>
    <hyperlink ref="L569" r:id="rId247" xr:uid="{C774645F-4EAB-4447-9828-C09001EC23C4}"/>
    <hyperlink ref="L73" r:id="rId248" xr:uid="{3E198416-6D9C-414F-B1C1-8CE3376E11B5}"/>
    <hyperlink ref="L436" r:id="rId249" xr:uid="{B0C6372B-B594-3448-89B2-5F763CDC8436}"/>
    <hyperlink ref="L437" r:id="rId250" xr:uid="{AC1D30B5-8884-2C42-A044-AB06A9D66CE1}"/>
    <hyperlink ref="L270" r:id="rId251" xr:uid="{0F491995-C0DE-F84D-B8D3-A1BE71C9DF5E}"/>
    <hyperlink ref="L456" r:id="rId252" xr:uid="{81F11729-54B1-A74F-AF12-6DFFDE03B760}"/>
    <hyperlink ref="L191" r:id="rId253" xr:uid="{A0023853-E662-454D-BABB-0A80DFA02974}"/>
    <hyperlink ref="L3" r:id="rId254" xr:uid="{93A64503-36BF-2A4B-A7B7-DDB52C40C054}"/>
    <hyperlink ref="L186" r:id="rId255" xr:uid="{2098FD9A-6B4D-A94A-AC84-9509194D8AF7}"/>
    <hyperlink ref="L292" r:id="rId256" xr:uid="{68203E2E-EA43-EA41-B8DE-F1BF663D8524}"/>
    <hyperlink ref="L504" r:id="rId257" xr:uid="{A8807FD0-B52D-7C49-AEE3-DCB8490114BB}"/>
    <hyperlink ref="L408" r:id="rId258" xr:uid="{7F247CDC-B6F6-1946-8C31-A217A69BFE40}"/>
    <hyperlink ref="L558" r:id="rId259" xr:uid="{29583D46-92EA-4446-ACB9-DB106126A623}"/>
    <hyperlink ref="L177" r:id="rId260" xr:uid="{E91A424F-2C0F-8B4B-BC99-DE2B193C2809}"/>
    <hyperlink ref="L572" r:id="rId261" xr:uid="{742DCC58-9F86-764E-ACD5-8BC21D8B852C}"/>
    <hyperlink ref="L398" r:id="rId262" xr:uid="{4F4106E4-B01B-0148-9890-3748C1CCEDFC}"/>
    <hyperlink ref="L17" r:id="rId263" xr:uid="{63566DAB-5058-1B46-960B-8207D3BA125C}"/>
    <hyperlink ref="L419" r:id="rId264" xr:uid="{4EC6563D-5DEC-5B4C-9DB9-3849405241F0}"/>
    <hyperlink ref="L451" r:id="rId265" xr:uid="{8C5DBE47-B676-BB44-BC53-B8725D92D736}"/>
    <hyperlink ref="L31" r:id="rId266" xr:uid="{DE600D3D-B49E-4F4C-8F82-F965D4823A02}"/>
    <hyperlink ref="L555" r:id="rId267" xr:uid="{697AF198-EF69-1C45-ABF4-B2FE04893D65}"/>
    <hyperlink ref="L513" r:id="rId268" xr:uid="{DB78779D-E877-D140-ADDE-669721255C2F}"/>
    <hyperlink ref="L515" r:id="rId269" xr:uid="{E1C6BCBC-CDF0-9442-B456-5FFB5E52B858}"/>
    <hyperlink ref="L14" r:id="rId270" xr:uid="{CD2D2C1A-A9ED-6845-A540-FABCCEBCDBF0}"/>
    <hyperlink ref="L285" r:id="rId271" xr:uid="{C0194E6D-2A10-6248-8117-A3E8B08C4913}"/>
    <hyperlink ref="L80" r:id="rId272" xr:uid="{840744F7-B7EC-EB4B-934C-7D706BC4C912}"/>
    <hyperlink ref="L147" r:id="rId273" xr:uid="{7451D7BF-65EE-474F-9169-46B995AD1EA1}"/>
    <hyperlink ref="L356" r:id="rId274" xr:uid="{090CE83C-0C16-8B44-A84A-6393D01C6852}"/>
    <hyperlink ref="L258" r:id="rId275" xr:uid="{07B91DBD-D71E-FD4D-B703-D95C95553BE9}"/>
    <hyperlink ref="L516" r:id="rId276" xr:uid="{EFC0DF27-3A89-3D42-A17C-B49168DE1FA5}"/>
    <hyperlink ref="L150" r:id="rId277" xr:uid="{CE066656-09CE-9245-9445-DFFBD744DC60}"/>
    <hyperlink ref="L547" r:id="rId278" xr:uid="{ED617B2F-C701-8940-8A15-52FAD3E6E0A5}"/>
    <hyperlink ref="L193" r:id="rId279" xr:uid="{40D44B71-EA7D-C247-9E3F-E326A4921D05}"/>
    <hyperlink ref="L242" r:id="rId280" xr:uid="{4FD2B3CD-870B-914A-B7E4-4A3CF768664E}"/>
    <hyperlink ref="L209" r:id="rId281" xr:uid="{C80C28D1-D931-A340-8909-A83152E10472}"/>
    <hyperlink ref="L379" r:id="rId282" xr:uid="{9FC4FD9F-D709-354C-9245-F1A955B099A3}"/>
    <hyperlink ref="L380" r:id="rId283" xr:uid="{AED468B7-8493-E947-B67E-4325719101DA}"/>
    <hyperlink ref="L281" r:id="rId284" xr:uid="{18FD968D-615D-C34B-AA3E-80CE67484DEB}"/>
    <hyperlink ref="L490" r:id="rId285" xr:uid="{A371F8E1-B341-A54F-A9D0-D881B0DEF95F}"/>
    <hyperlink ref="L341" r:id="rId286" xr:uid="{A0730E2B-B216-A648-B169-F0A2C9C8F04A}"/>
    <hyperlink ref="L192" r:id="rId287" xr:uid="{AC3D4683-A80E-BE40-A24D-8F72C02231AC}"/>
    <hyperlink ref="L166" r:id="rId288" xr:uid="{E29F368D-EE6E-0B44-9A00-049A17DCF846}"/>
    <hyperlink ref="L445" r:id="rId289" xr:uid="{22332C44-A4A5-9B4E-BC52-18CCC54C2164}"/>
    <hyperlink ref="L115" r:id="rId290" xr:uid="{57D426C1-7146-5F4B-8A8B-474C0532B694}"/>
    <hyperlink ref="L178" r:id="rId291" xr:uid="{97314DA2-6966-CE43-8CFA-3350DC89FCE2}"/>
    <hyperlink ref="L179" r:id="rId292" xr:uid="{955B5C03-08F7-2E47-9D56-D67A840A5966}"/>
    <hyperlink ref="L180" r:id="rId293" display="https://cryptorank.io/ico/dfyn" xr:uid="{D5A9F51E-D5A4-5245-A2B1-A7A0F01A873D}"/>
    <hyperlink ref="L105" r:id="rId294" xr:uid="{F81D091C-6D03-2D44-A479-8CEBD03080E3}"/>
    <hyperlink ref="L106" r:id="rId295" xr:uid="{EA3E7B80-5E42-0848-BC28-E6D77C3A3CB4}"/>
    <hyperlink ref="L107" r:id="rId296" xr:uid="{59266377-46D9-534D-9BAB-49994709D0B5}"/>
    <hyperlink ref="L132" r:id="rId297" xr:uid="{8BFB3D6A-5506-674D-B540-AF85BA8D1360}"/>
    <hyperlink ref="L133" r:id="rId298" xr:uid="{0C9AF372-1538-194D-AFFA-F10C5CABB3C4}"/>
    <hyperlink ref="L134" r:id="rId299" xr:uid="{87556BD0-F866-8A42-99E4-617DFB53657B}"/>
    <hyperlink ref="L135" r:id="rId300" xr:uid="{3550CF27-3773-6744-A7AA-C6B18A9F4DA6}"/>
    <hyperlink ref="L364" r:id="rId301" xr:uid="{C57CB304-949E-1F48-A6BA-6C387A2E8CA9}"/>
    <hyperlink ref="L77" r:id="rId302" xr:uid="{424FD3F5-FC31-B543-9FE5-AFC54BC26B01}"/>
    <hyperlink ref="L492" r:id="rId303" xr:uid="{6A51BD57-F4F0-2140-A81E-08BBD5BF13C6}"/>
    <hyperlink ref="L296" r:id="rId304" xr:uid="{9FEA7534-ED3B-144A-86F0-CFA0BA5E6787}"/>
    <hyperlink ref="L173" r:id="rId305" xr:uid="{1B46034C-239B-6247-81CF-1F57D3ABC1EB}"/>
    <hyperlink ref="L174" r:id="rId306" xr:uid="{47E1F97C-CB99-EE42-9CB9-E1EE650853AF}"/>
    <hyperlink ref="L446" r:id="rId307" xr:uid="{7237E363-03D9-764B-9632-1EAADACCED50}"/>
    <hyperlink ref="L447" r:id="rId308" xr:uid="{2129C828-5EBF-D24F-8B2E-B9B95B3285DE}"/>
    <hyperlink ref="L402" r:id="rId309" xr:uid="{EA0D18F2-1F68-3B41-AAEC-DAA6462E7973}"/>
    <hyperlink ref="L403" r:id="rId310" xr:uid="{99EDF98D-29D0-8A4C-A6B5-6D5D333C85F5}"/>
    <hyperlink ref="L210" r:id="rId311" location="instructions" xr:uid="{93ED7C5A-0F8E-FD42-8CBC-BF8BCF41C4AE}"/>
    <hyperlink ref="L211" r:id="rId312" xr:uid="{8CE8AB51-47DD-0449-A439-D25884B231FA}"/>
    <hyperlink ref="L212" r:id="rId313" xr:uid="{2F43C13D-E2D9-944E-BEED-E4351EDCC158}"/>
    <hyperlink ref="L213" r:id="rId314" xr:uid="{51D21136-CCCC-054E-A663-EC89B08A84AB}"/>
    <hyperlink ref="L563" r:id="rId315" xr:uid="{27F4F87F-6B23-0E45-BB95-8410626F624D}"/>
    <hyperlink ref="L564" r:id="rId316" xr:uid="{83BAC69D-607F-6E43-8885-A0E444BF092B}"/>
    <hyperlink ref="L565" r:id="rId317" xr:uid="{BB792231-725A-3F47-9B46-A7C9E52586E1}"/>
    <hyperlink ref="L252" r:id="rId318" xr:uid="{43FFA5F9-F51D-2C44-BB66-C7C9D1356DE1}"/>
    <hyperlink ref="L253" r:id="rId319" xr:uid="{7B80DE5B-B316-1548-9FA0-C867465781FC}"/>
    <hyperlink ref="L254" r:id="rId320" xr:uid="{A8577264-A84D-3248-A85C-8051F13FAD57}"/>
    <hyperlink ref="L524" r:id="rId321" xr:uid="{02E2CE85-604D-8A4F-AAA2-6CCEB6887222}"/>
    <hyperlink ref="L170" r:id="rId322" xr:uid="{E44B0F2D-0767-014E-BF6A-445828DA16A1}"/>
    <hyperlink ref="L337" r:id="rId323" xr:uid="{74470F69-69CE-E843-8FA3-1ADDD8D2E8E7}"/>
    <hyperlink ref="L202" r:id="rId324" xr:uid="{F112CFA5-8A34-F442-82DB-E62271292618}"/>
    <hyperlink ref="L162" r:id="rId325" xr:uid="{D90EF31A-C3F2-754C-A9B9-B8800CEA49C6}"/>
    <hyperlink ref="L12" r:id="rId326" xr:uid="{B4515B0D-EE30-344E-8F4E-EA5DA788C139}"/>
    <hyperlink ref="L171" r:id="rId327" xr:uid="{7A0FD577-656C-C24F-B978-349337F3F7E1}"/>
    <hyperlink ref="L373" r:id="rId328" xr:uid="{B64620E2-290C-AF47-9A75-F92544A1577D}"/>
    <hyperlink ref="L112" r:id="rId329" xr:uid="{DAA87D3F-2BD6-644D-8E56-73DE5AD643E7}"/>
    <hyperlink ref="L220" r:id="rId330" xr:uid="{6EFC4A82-5DAC-CE4A-AB27-772EB2CF5422}"/>
    <hyperlink ref="L474" r:id="rId331" xr:uid="{32DA9783-7369-0E44-A818-2E2E6A71CE35}"/>
    <hyperlink ref="L172" r:id="rId332" xr:uid="{1015B613-C53D-FE4B-9D36-F305EAC3A644}"/>
    <hyperlink ref="L148" r:id="rId333" xr:uid="{1E4366FB-F51C-1343-B430-753C06BEE33B}"/>
    <hyperlink ref="L149" r:id="rId334" xr:uid="{44C90394-D714-8B43-B3D6-A3D4675302B2}"/>
    <hyperlink ref="L345" r:id="rId335" xr:uid="{EAB62465-05E3-3040-8873-E9E1A3847332}"/>
    <hyperlink ref="L275" r:id="rId336" xr:uid="{B7093FCB-6EC1-8144-8467-B49F1DAF7997}"/>
    <hyperlink ref="L158" r:id="rId337" xr:uid="{5B50C3BA-9146-324F-B1D8-BFA156A1052E}"/>
    <hyperlink ref="L262" r:id="rId338" xr:uid="{89ED60CC-2697-A04F-B187-DDA51F7285DA}"/>
    <hyperlink ref="L284" r:id="rId339" xr:uid="{18190514-B1ED-9945-BD29-904E5D0534E3}"/>
    <hyperlink ref="L485" r:id="rId340" xr:uid="{2C68C06A-5B64-B24E-A9F6-75E37D7F31CF}"/>
    <hyperlink ref="L138" r:id="rId341" xr:uid="{BEBFE91B-BFBF-3E43-B0AE-EA351F99DF82}"/>
    <hyperlink ref="L496" r:id="rId342" xr:uid="{5F70E00A-9607-994D-9221-4DEA5975E69C}"/>
    <hyperlink ref="L272" r:id="rId343" xr:uid="{A541E8FB-ED3F-5140-BB88-91BD85B89EC4}"/>
    <hyperlink ref="L366" r:id="rId344" xr:uid="{E0CEF02F-CD0D-2846-AA4E-A799E54E17CE}"/>
    <hyperlink ref="L459" r:id="rId345" xr:uid="{3CD44EE5-104C-2148-8877-088240A8FC22}"/>
    <hyperlink ref="L302" r:id="rId346" xr:uid="{7F34DA55-A54B-BC48-B803-B8A122006EEF}"/>
    <hyperlink ref="L110" r:id="rId347" xr:uid="{A151D6F0-EC1E-BC44-BF97-887840C82BEF}"/>
    <hyperlink ref="L365" r:id="rId348" xr:uid="{48A803D2-0609-1A43-B2D2-E123500738E1}"/>
    <hyperlink ref="L353" r:id="rId349" xr:uid="{3DCFFB89-A231-3E49-87BB-B646D37D181E}"/>
    <hyperlink ref="L460" r:id="rId350" xr:uid="{B5D05DF9-F435-1C44-BFAE-9B191E02F9FF}"/>
    <hyperlink ref="L190" r:id="rId351" xr:uid="{2068E577-E953-C146-8435-C5C669AC28FD}"/>
    <hyperlink ref="L475" r:id="rId352" xr:uid="{163EA6F1-60D2-7A4C-9005-7DE21E95431D}"/>
    <hyperlink ref="L483" r:id="rId353" xr:uid="{F87FEAD5-E7A7-9844-BDF5-5C9C5DDC05C7}"/>
    <hyperlink ref="L508" r:id="rId354" xr:uid="{FEE9F0F9-7361-074F-AC1F-04A6F9730A20}"/>
    <hyperlink ref="L418" r:id="rId355" xr:uid="{626EA9A5-F3EE-F847-B097-B27E0ADFE599}"/>
    <hyperlink ref="L215" r:id="rId356" xr:uid="{F27A9DA9-CB8C-6B41-82FD-27E6DDBA52BF}"/>
    <hyperlink ref="L303" r:id="rId357" xr:uid="{6104547A-CC8C-E643-8A5C-BCC4C680E893}"/>
    <hyperlink ref="L185" r:id="rId358" xr:uid="{338FEDB7-76FB-B548-A16C-0B298A7FD382}"/>
    <hyperlink ref="L499" r:id="rId359" xr:uid="{D2D15EE4-593D-6547-83CB-7775B8A92B45}"/>
    <hyperlink ref="L94" r:id="rId360" xr:uid="{6ACBDA6B-1D60-BA48-B01D-9145BBCBD81E}"/>
    <hyperlink ref="L246" r:id="rId361" xr:uid="{5D60CED6-AAFA-734F-AE04-5CAE9B6800C5}"/>
    <hyperlink ref="L104" r:id="rId362" xr:uid="{A0E8B14F-893E-2B4D-A72B-996ED938643D}"/>
    <hyperlink ref="L5" r:id="rId363" xr:uid="{51FBACC5-F1CB-7F43-9332-DADC4B651FEF}"/>
    <hyperlink ref="L6" r:id="rId364" xr:uid="{A0A3F01D-32F2-A944-909D-77494B7839E7}"/>
    <hyperlink ref="L318" r:id="rId365" xr:uid="{589150DD-AD3B-4141-A007-4767E3A0D1F2}"/>
    <hyperlink ref="L40" r:id="rId366" xr:uid="{2531CB21-F584-464B-9B45-C72A7E67D215}"/>
    <hyperlink ref="L205" r:id="rId367" xr:uid="{979EB172-98D1-0345-9847-26B200C9B637}"/>
    <hyperlink ref="L206" r:id="rId368" xr:uid="{1F4D82A1-29E6-6A46-93E1-867FE22CC389}"/>
    <hyperlink ref="L204" r:id="rId369" xr:uid="{73E01841-9265-2C47-92A4-DD03EF4F8D21}"/>
    <hyperlink ref="L552" r:id="rId370" xr:uid="{73C3CB8D-7546-DE4F-93ED-C5DA4534C8B3}"/>
    <hyperlink ref="L553" r:id="rId371" xr:uid="{1DF4A210-724C-D140-9561-3AC2B5649EBC}"/>
    <hyperlink ref="L363" r:id="rId372" xr:uid="{6357B3E6-8459-974F-9FE9-C1AB04CED9D1}"/>
    <hyperlink ref="L2" r:id="rId373" xr:uid="{DB5930C2-06AB-D941-A487-4409075C85CA}"/>
    <hyperlink ref="L72" r:id="rId374" xr:uid="{119882AC-B581-AD46-B712-3212A7C5DC43}"/>
    <hyperlink ref="L99" r:id="rId375" xr:uid="{2BBA2E77-B525-5143-BE08-E9B20F01094A}"/>
    <hyperlink ref="L320" r:id="rId376" xr:uid="{27B2DEC3-B759-874C-BC03-AC2A08F32DFA}"/>
    <hyperlink ref="L103" r:id="rId377" xr:uid="{235AEEAD-069E-4B4B-BB13-39AE42499EC0}"/>
    <hyperlink ref="L357" r:id="rId378" xr:uid="{EFC682C1-B724-9649-89DB-DFE1FD6507DB}"/>
    <hyperlink ref="L381" r:id="rId379" xr:uid="{6297E89F-E058-7C42-83C3-3473195669A2}"/>
    <hyperlink ref="L346" r:id="rId380" xr:uid="{1274D72E-65EF-674C-9AB2-6103FE5BD539}"/>
    <hyperlink ref="L488" r:id="rId381" xr:uid="{0930724C-712D-2D47-A9C1-F548AA1E3952}"/>
    <hyperlink ref="L273" r:id="rId382" xr:uid="{6F702211-83D6-8A47-9598-5D8866D987AF}"/>
    <hyperlink ref="L248" r:id="rId383" xr:uid="{721537B4-4662-0541-9FE0-299688CBA730}"/>
    <hyperlink ref="L387" r:id="rId384" xr:uid="{2EBF5121-62B5-5649-946D-1D1323990C37}"/>
    <hyperlink ref="L280" r:id="rId385" xr:uid="{F0DD30DD-D5BE-994C-AF33-20EBF069D43D}"/>
    <hyperlink ref="L271" r:id="rId386" xr:uid="{43E0CE32-629E-5B47-BD5E-43F84E11636E}"/>
    <hyperlink ref="L327" r:id="rId387" xr:uid="{AABDA857-36E5-304D-AAA4-CEF26CBE4078}"/>
    <hyperlink ref="L328" r:id="rId388" xr:uid="{843AD18C-7843-284D-80F8-F6F78771EC3D}"/>
    <hyperlink ref="L120" r:id="rId389" xr:uid="{DEE96D71-243D-E043-BDEC-9490BAAB6608}"/>
    <hyperlink ref="L129" r:id="rId390" xr:uid="{6B099F3B-9FBD-D64E-A05E-6407C6DF2432}"/>
    <hyperlink ref="L63" r:id="rId391" xr:uid="{E0D41F0E-3B7B-754B-8EEC-D6EA5129D317}"/>
    <hyperlink ref="L313" r:id="rId392" xr:uid="{0B935FE1-775B-B348-8537-925D54BA0559}"/>
    <hyperlink ref="L82" r:id="rId393" xr:uid="{92377353-4ECF-3543-AE60-DBC8F2EE833F}"/>
    <hyperlink ref="L76" r:id="rId394" xr:uid="{01594F6F-FAFF-6849-B855-F72D128424C1}"/>
    <hyperlink ref="L319" r:id="rId395" xr:uid="{002DE5C5-BA6D-4747-82B5-C2E7B1B3CF0E}"/>
    <hyperlink ref="L537" r:id="rId396" xr:uid="{FF72FDEC-C73C-DA46-81F4-B30E5330B9C0}"/>
    <hyperlink ref="L33" r:id="rId397" xr:uid="{A6142D45-4CDF-7742-9D51-DC120A769A9D}"/>
    <hyperlink ref="L440" r:id="rId398" xr:uid="{D4964B54-1533-C64B-9445-5052CF031B34}"/>
    <hyperlink ref="L417" r:id="rId399" xr:uid="{FC5AC4EB-020F-DB42-8099-9FA20B3DA0C5}"/>
    <hyperlink ref="L455" r:id="rId400" xr:uid="{64E8897C-0D82-784C-88FD-46FDAA0D253D}"/>
    <hyperlink ref="L551" r:id="rId401" xr:uid="{3BE55FDF-0468-2842-91B9-9BC9B51599BF}"/>
    <hyperlink ref="L566" r:id="rId402" xr:uid="{15D5B834-D654-FA45-B8B0-AD37C4165BDA}"/>
    <hyperlink ref="L567" r:id="rId403" xr:uid="{543194A3-08C1-3340-BE8A-C7D98354FCD2}"/>
    <hyperlink ref="L249" r:id="rId404" xr:uid="{356967C2-3851-E146-B018-FA7D5B4E388D}"/>
    <hyperlink ref="L582" r:id="rId405" xr:uid="{8AE0D290-EE95-7344-8DF4-32EC1FDA6D3E}"/>
    <hyperlink ref="L583" r:id="rId406" xr:uid="{5392103A-2C19-D64C-A3AA-9D60FFDE230D}"/>
    <hyperlink ref="L587" r:id="rId407" xr:uid="{51684926-6135-D342-8A11-0CFDCCB61F32}"/>
    <hyperlink ref="L589" r:id="rId408" xr:uid="{1649BCCD-47CA-8545-8A95-42C8932C218D}"/>
    <hyperlink ref="L592" r:id="rId409" xr:uid="{6DFDEADB-52D4-1744-98F3-DA1DCBD45103}"/>
    <hyperlink ref="L594" r:id="rId410" xr:uid="{84BE14B8-EDE5-5B4D-B62B-C3B3DCD7B633}"/>
    <hyperlink ref="L599" r:id="rId411" xr:uid="{EC883195-D4B3-154F-A47C-BDB6D0633D93}"/>
    <hyperlink ref="L604" r:id="rId412" xr:uid="{FB15F542-9170-8C43-B0E0-02C3AFE63FC5}"/>
    <hyperlink ref="L574" r:id="rId413" xr:uid="{86E0363E-5EB4-4643-93CF-2B037D5D29E7}"/>
    <hyperlink ref="L578" r:id="rId414" xr:uid="{D4A7DFB9-639B-8A43-B658-835EE1B75A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</vt:lpstr>
      <vt:lpstr>NOT filtered-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Biancaterra Mattia</dc:creator>
  <cp:lastModifiedBy>Biancaterra Mattia</cp:lastModifiedBy>
  <dcterms:created xsi:type="dcterms:W3CDTF">2020-11-18T11:22:26Z</dcterms:created>
  <dcterms:modified xsi:type="dcterms:W3CDTF">2021-09-09T14:29:58Z</dcterms:modified>
</cp:coreProperties>
</file>