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rshall/Documents/KT.tools2023/Enterprise Solutions/models/"/>
    </mc:Choice>
  </mc:AlternateContent>
  <xr:revisionPtr revIDLastSave="0" documentId="13_ncr:1_{41041CC9-C2AD-0443-B945-82ED8E6597C2}" xr6:coauthVersionLast="47" xr6:coauthVersionMax="47" xr10:uidLastSave="{00000000-0000-0000-0000-000000000000}"/>
  <bookViews>
    <workbookView xWindow="10180" yWindow="500" windowWidth="28220" windowHeight="20460" activeTab="1" xr2:uid="{0CBA5AE6-886D-9F4C-A3FB-8C72DEECE69B}"/>
  </bookViews>
  <sheets>
    <sheet name="PnL_data" sheetId="3" state="hidden" r:id="rId1"/>
    <sheet name="PnlClean" sheetId="6" r:id="rId2"/>
    <sheet name="Sheet4" sheetId="4" r:id="rId3"/>
    <sheet name="Econ" sheetId="2" r:id="rId4"/>
  </sheets>
  <definedNames>
    <definedName name="pnl_fullarea">PnL_data!$A$1:$R$65</definedName>
    <definedName name="pnl_index">PnL_data!$3:$65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N8" i="3"/>
  <c r="D9" i="3"/>
  <c r="F9" i="3"/>
  <c r="J9" i="3"/>
  <c r="L9" i="3"/>
  <c r="P9" i="3"/>
  <c r="C6" i="4"/>
  <c r="R7" i="3"/>
  <c r="R8" i="3" s="1"/>
  <c r="P39" i="3"/>
  <c r="P38" i="3"/>
  <c r="P36" i="3"/>
  <c r="P37" i="3" s="1"/>
  <c r="P33" i="3"/>
  <c r="P34" i="3" s="1"/>
  <c r="P30" i="3"/>
  <c r="P28" i="3"/>
  <c r="P29" i="3" s="1"/>
  <c r="P26" i="3"/>
  <c r="P23" i="3"/>
  <c r="P24" i="3" s="1"/>
  <c r="P20" i="3"/>
  <c r="P19" i="3"/>
  <c r="P13" i="3"/>
  <c r="P14" i="3" s="1"/>
  <c r="P15" i="3" s="1"/>
  <c r="P7" i="3"/>
  <c r="P8" i="3" s="1"/>
  <c r="N61" i="3"/>
  <c r="N62" i="3" s="1"/>
  <c r="N63" i="3" s="1"/>
  <c r="N64" i="3" s="1"/>
  <c r="N55" i="3"/>
  <c r="N54" i="3"/>
  <c r="N53" i="3"/>
  <c r="N51" i="3"/>
  <c r="N50" i="3"/>
  <c r="N47" i="3"/>
  <c r="N48" i="3" s="1"/>
  <c r="N44" i="3"/>
  <c r="N42" i="3"/>
  <c r="N41" i="3"/>
  <c r="N39" i="3"/>
  <c r="N38" i="3"/>
  <c r="N35" i="3"/>
  <c r="N34" i="3"/>
  <c r="N30" i="3"/>
  <c r="N29" i="3"/>
  <c r="N26" i="3"/>
  <c r="N27" i="3" s="1"/>
  <c r="N22" i="3"/>
  <c r="N21" i="3"/>
  <c r="N15" i="3"/>
  <c r="N16" i="3" s="1"/>
  <c r="N17" i="3" s="1"/>
  <c r="N11" i="3"/>
  <c r="N10" i="3"/>
  <c r="N7" i="3"/>
  <c r="L58" i="3"/>
  <c r="L59" i="3" s="1"/>
  <c r="L60" i="3" s="1"/>
  <c r="L61" i="3" s="1"/>
  <c r="L52" i="3"/>
  <c r="L51" i="3"/>
  <c r="L50" i="3"/>
  <c r="L48" i="3"/>
  <c r="L47" i="3"/>
  <c r="L44" i="3"/>
  <c r="L45" i="3" s="1"/>
  <c r="L41" i="3"/>
  <c r="L39" i="3"/>
  <c r="L38" i="3"/>
  <c r="L36" i="3"/>
  <c r="L35" i="3"/>
  <c r="L32" i="3"/>
  <c r="L31" i="3"/>
  <c r="L27" i="3"/>
  <c r="L26" i="3"/>
  <c r="L23" i="3"/>
  <c r="L24" i="3" s="1"/>
  <c r="L19" i="3"/>
  <c r="L20" i="3" s="1"/>
  <c r="L13" i="3"/>
  <c r="L14" i="3" s="1"/>
  <c r="L15" i="3" s="1"/>
  <c r="L7" i="3"/>
  <c r="L8" i="3" s="1"/>
  <c r="J51" i="3"/>
  <c r="J50" i="3"/>
  <c r="J48" i="3"/>
  <c r="J49" i="3" s="1"/>
  <c r="J44" i="3"/>
  <c r="J43" i="3"/>
  <c r="J42" i="3"/>
  <c r="J40" i="3"/>
  <c r="J39" i="3"/>
  <c r="J38" i="3"/>
  <c r="J37" i="3"/>
  <c r="J34" i="3"/>
  <c r="J33" i="3"/>
  <c r="J29" i="3"/>
  <c r="J28" i="3"/>
  <c r="J27" i="3"/>
  <c r="J24" i="3"/>
  <c r="J25" i="3" s="1"/>
  <c r="J20" i="3"/>
  <c r="J21" i="3" s="1"/>
  <c r="J14" i="3"/>
  <c r="J15" i="3" s="1"/>
  <c r="J16" i="3" s="1"/>
  <c r="J10" i="3"/>
  <c r="J7" i="3"/>
  <c r="J8" i="3" s="1"/>
  <c r="H54" i="3"/>
  <c r="H53" i="3"/>
  <c r="H52" i="3"/>
  <c r="H50" i="3"/>
  <c r="H51" i="3" s="1"/>
  <c r="H47" i="3"/>
  <c r="H48" i="3" s="1"/>
  <c r="H44" i="3"/>
  <c r="H42" i="3"/>
  <c r="H41" i="3"/>
  <c r="H39" i="3"/>
  <c r="H38" i="3"/>
  <c r="H37" i="3"/>
  <c r="H36" i="3"/>
  <c r="H35" i="3"/>
  <c r="H32" i="3"/>
  <c r="H33" i="3" s="1"/>
  <c r="H28" i="3"/>
  <c r="H27" i="3"/>
  <c r="H24" i="3"/>
  <c r="H25" i="3" s="1"/>
  <c r="H20" i="3"/>
  <c r="H21" i="3" s="1"/>
  <c r="H14" i="3"/>
  <c r="H15" i="3" s="1"/>
  <c r="H16" i="3" s="1"/>
  <c r="H10" i="3"/>
  <c r="H7" i="3"/>
  <c r="H9" i="3" s="1"/>
  <c r="F52" i="3"/>
  <c r="F51" i="3"/>
  <c r="F50" i="3"/>
  <c r="F48" i="3"/>
  <c r="F49" i="3" s="1"/>
  <c r="F45" i="3"/>
  <c r="F46" i="3" s="1"/>
  <c r="F41" i="3"/>
  <c r="F40" i="3"/>
  <c r="F38" i="3"/>
  <c r="F37" i="3"/>
  <c r="F36" i="3"/>
  <c r="F35" i="3"/>
  <c r="F32" i="3"/>
  <c r="F33" i="3" s="1"/>
  <c r="F28" i="3"/>
  <c r="F27" i="3"/>
  <c r="F24" i="3"/>
  <c r="F25" i="3" s="1"/>
  <c r="F20" i="3"/>
  <c r="F21" i="3" s="1"/>
  <c r="F14" i="3"/>
  <c r="F15" i="3" s="1"/>
  <c r="F16" i="3" s="1"/>
  <c r="F10" i="3"/>
  <c r="F7" i="3"/>
  <c r="F8" i="3" s="1"/>
  <c r="D48" i="3"/>
  <c r="D47" i="3"/>
  <c r="D46" i="3"/>
  <c r="D44" i="3"/>
  <c r="D45" i="3" s="1"/>
  <c r="D41" i="3"/>
  <c r="D39" i="3"/>
  <c r="D38" i="3"/>
  <c r="D36" i="3"/>
  <c r="D35" i="3"/>
  <c r="D34" i="3"/>
  <c r="D33" i="3"/>
  <c r="D30" i="3"/>
  <c r="D31" i="3" s="1"/>
  <c r="D26" i="3"/>
  <c r="D27" i="3" s="1"/>
  <c r="D23" i="3"/>
  <c r="D24" i="3" s="1"/>
  <c r="D19" i="3"/>
  <c r="D20" i="3" s="1"/>
  <c r="D13" i="3"/>
  <c r="D14" i="3" s="1"/>
  <c r="D15" i="3" s="1"/>
  <c r="D7" i="3"/>
  <c r="D8" i="3" s="1"/>
  <c r="B61" i="3"/>
  <c r="B60" i="3"/>
  <c r="B59" i="3"/>
  <c r="B57" i="3"/>
  <c r="B56" i="3"/>
  <c r="B53" i="3"/>
  <c r="B54" i="3" s="1"/>
  <c r="B49" i="3"/>
  <c r="B48" i="3"/>
  <c r="B47" i="3"/>
  <c r="B44" i="3"/>
  <c r="B43" i="3"/>
  <c r="B42" i="3"/>
  <c r="B40" i="3"/>
  <c r="B39" i="3"/>
  <c r="B38" i="3"/>
  <c r="B37" i="3"/>
  <c r="B34" i="3"/>
  <c r="B33" i="3"/>
  <c r="B29" i="3"/>
  <c r="B28" i="3"/>
  <c r="B25" i="3"/>
  <c r="B26" i="3" s="1"/>
  <c r="C7" i="4" s="1"/>
  <c r="B21" i="3"/>
  <c r="B22" i="3" s="1"/>
  <c r="B15" i="3"/>
  <c r="B16" i="3" s="1"/>
  <c r="B17" i="3" s="1"/>
  <c r="B10" i="3"/>
  <c r="B11" i="3" s="1"/>
  <c r="B7" i="3"/>
  <c r="B8" i="3" s="1"/>
  <c r="N9" i="3" l="1"/>
  <c r="L33" i="3"/>
  <c r="L49" i="3"/>
  <c r="R9" i="3"/>
  <c r="R10" i="3" s="1"/>
  <c r="R13" i="3" s="1"/>
  <c r="R14" i="3" s="1"/>
  <c r="N31" i="3"/>
  <c r="N32" i="3" s="1"/>
  <c r="P10" i="3"/>
  <c r="P16" i="3" s="1"/>
  <c r="P31" i="3"/>
  <c r="N23" i="3"/>
  <c r="P21" i="3"/>
  <c r="J35" i="3"/>
  <c r="N56" i="3"/>
  <c r="P40" i="3"/>
  <c r="L10" i="3"/>
  <c r="L16" i="3" s="1"/>
  <c r="N36" i="3"/>
  <c r="N52" i="3"/>
  <c r="B30" i="3"/>
  <c r="B31" i="3" s="1"/>
  <c r="L28" i="3"/>
  <c r="L29" i="3" s="1"/>
  <c r="N12" i="3"/>
  <c r="N18" i="3" s="1"/>
  <c r="N43" i="3"/>
  <c r="N45" i="3" s="1"/>
  <c r="J52" i="3"/>
  <c r="L40" i="3"/>
  <c r="L42" i="3" s="1"/>
  <c r="J30" i="3"/>
  <c r="J31" i="3" s="1"/>
  <c r="H43" i="3"/>
  <c r="H45" i="3" s="1"/>
  <c r="F29" i="3"/>
  <c r="F30" i="3" s="1"/>
  <c r="L53" i="3"/>
  <c r="H11" i="3"/>
  <c r="H17" i="3" s="1"/>
  <c r="B35" i="3"/>
  <c r="J11" i="3"/>
  <c r="J17" i="3" s="1"/>
  <c r="J45" i="3"/>
  <c r="J46" i="3" s="1"/>
  <c r="H55" i="3"/>
  <c r="B12" i="3"/>
  <c r="F42" i="3"/>
  <c r="F43" i="3" s="1"/>
  <c r="H29" i="3"/>
  <c r="H30" i="3" s="1"/>
  <c r="B45" i="3"/>
  <c r="F11" i="3"/>
  <c r="F17" i="3" s="1"/>
  <c r="D40" i="3"/>
  <c r="D42" i="3" s="1"/>
  <c r="F53" i="3"/>
  <c r="B58" i="3"/>
  <c r="B62" i="3"/>
  <c r="B50" i="3"/>
  <c r="D10" i="3"/>
  <c r="D16" i="3" s="1"/>
  <c r="D28" i="3"/>
  <c r="D49" i="3"/>
  <c r="P41" i="3" l="1"/>
  <c r="P42" i="3" s="1"/>
  <c r="P43" i="3" s="1"/>
  <c r="B18" i="3"/>
  <c r="C3" i="4"/>
  <c r="N57" i="3"/>
  <c r="N58" i="3" s="1"/>
  <c r="N65" i="3" s="1"/>
  <c r="J53" i="3"/>
  <c r="J54" i="3" s="1"/>
  <c r="J55" i="3" s="1"/>
  <c r="H56" i="3"/>
  <c r="H57" i="3" s="1"/>
  <c r="H58" i="3" s="1"/>
  <c r="F54" i="3"/>
  <c r="F55" i="3" s="1"/>
  <c r="F56" i="3" s="1"/>
  <c r="L54" i="3"/>
  <c r="L55" i="3" s="1"/>
  <c r="L62" i="3" s="1"/>
  <c r="B51" i="3"/>
  <c r="B63" i="3" s="1"/>
  <c r="D50" i="3"/>
  <c r="D51" i="3" s="1"/>
  <c r="D52" i="3" s="1"/>
  <c r="C4" i="4" l="1"/>
  <c r="C5" i="4"/>
  <c r="B64" i="3"/>
  <c r="B65" i="3" s="1"/>
</calcChain>
</file>

<file path=xl/sharedStrings.xml><?xml version="1.0" encoding="utf-8"?>
<sst xmlns="http://schemas.openxmlformats.org/spreadsheetml/2006/main" count="524" uniqueCount="138">
  <si>
    <t xml:space="preserve">National Average of $112 dollars an hour </t>
  </si>
  <si>
    <t>SALARY COSTS</t>
  </si>
  <si>
    <t>25th</t>
  </si>
  <si>
    <t>75th</t>
  </si>
  <si>
    <t>Free-lance?</t>
  </si>
  <si>
    <t>Wage Rate</t>
  </si>
  <si>
    <t>January 2023</t>
  </si>
  <si>
    <t>Total</t>
  </si>
  <si>
    <t>Income</t>
  </si>
  <si>
    <t xml:space="preserve">   40000 Sales</t>
  </si>
  <si>
    <t xml:space="preserve">      41000 Service Revenue</t>
  </si>
  <si>
    <t xml:space="preserve">   Total 40000 Sales</t>
  </si>
  <si>
    <t xml:space="preserve">   Uncategorized Income (Temporary Account Only)</t>
  </si>
  <si>
    <t xml:space="preserve">      Venmo Income</t>
  </si>
  <si>
    <t xml:space="preserve">   Total Uncategorized Income (Temporary Account Only)</t>
  </si>
  <si>
    <t>Total Income</t>
  </si>
  <si>
    <t>Cost of Goods Sold</t>
  </si>
  <si>
    <t xml:space="preserve">   50000 Cost of Goods Sold</t>
  </si>
  <si>
    <t xml:space="preserve">      50400 Supplies &amp; materials</t>
  </si>
  <si>
    <t xml:space="preserve">   Total 50000 Cost of Goods Sold</t>
  </si>
  <si>
    <t>Total Cost of Goods Sold</t>
  </si>
  <si>
    <t>Gross Profit</t>
  </si>
  <si>
    <t>Expenses</t>
  </si>
  <si>
    <t xml:space="preserve">   60000 Advertising &amp; Marketing</t>
  </si>
  <si>
    <t xml:space="preserve">      60100 General Marketing Expense</t>
  </si>
  <si>
    <t xml:space="preserve">   61000 Employee Expenses</t>
  </si>
  <si>
    <t xml:space="preserve">      61100 Salaries Expense</t>
  </si>
  <si>
    <t xml:space="preserve">         61101 Salaries &amp; Wages</t>
  </si>
  <si>
    <t xml:space="preserve">      Total 61100 Salaries Expense</t>
  </si>
  <si>
    <t xml:space="preserve">      61200 Fringe Benefits Expense</t>
  </si>
  <si>
    <t xml:space="preserve">         61209 Company Phone Expense</t>
  </si>
  <si>
    <t xml:space="preserve">         61210 Gym &amp; Fitness</t>
  </si>
  <si>
    <t xml:space="preserve">      Total 61200 Fringe Benefits Expense</t>
  </si>
  <si>
    <t xml:space="preserve">   Total 61000 Employee Expenses</t>
  </si>
  <si>
    <t xml:space="preserve">   62000 Meals &amp; Entertainment</t>
  </si>
  <si>
    <t xml:space="preserve">      62100 Entertainment</t>
  </si>
  <si>
    <t xml:space="preserve">      62200 Company Meals</t>
  </si>
  <si>
    <t xml:space="preserve">   Total 62000 Meals &amp; Entertainment</t>
  </si>
  <si>
    <t xml:space="preserve">   63000 Operating Expenses</t>
  </si>
  <si>
    <t xml:space="preserve">      63200 Rent &amp; Lease Expense</t>
  </si>
  <si>
    <t xml:space="preserve">      63300 Utilities</t>
  </si>
  <si>
    <t xml:space="preserve">      63400 Software</t>
  </si>
  <si>
    <t xml:space="preserve">      63425 Podium Fees</t>
  </si>
  <si>
    <t xml:space="preserve">      63500 Travel</t>
  </si>
  <si>
    <t xml:space="preserve">         63501 Airfare</t>
  </si>
  <si>
    <t xml:space="preserve">         63502 Hotel &amp; Lodging</t>
  </si>
  <si>
    <t xml:space="preserve">         63505 Other Travel Expenses</t>
  </si>
  <si>
    <t xml:space="preserve">      Total 63500 Travel</t>
  </si>
  <si>
    <t xml:space="preserve">      63600 Vehicle Expenses</t>
  </si>
  <si>
    <t xml:space="preserve">         63602 Vehicle Rental Expense</t>
  </si>
  <si>
    <t xml:space="preserve">         63603 Gas &amp; Fuel</t>
  </si>
  <si>
    <t xml:space="preserve">         63605 Repairs, Maintenance, and Other Vehicle Expenses</t>
  </si>
  <si>
    <t xml:space="preserve">      Total 63600 Vehicle Expenses</t>
  </si>
  <si>
    <t xml:space="preserve">   Total 63000 Operating Expenses</t>
  </si>
  <si>
    <t xml:space="preserve">   65000 Legal &amp; Professional Services</t>
  </si>
  <si>
    <t xml:space="preserve">      65100 Accounting Services</t>
  </si>
  <si>
    <t xml:space="preserve">   Total 65000 Legal &amp; Professional Services</t>
  </si>
  <si>
    <t xml:space="preserve">   66000 Business Expenses</t>
  </si>
  <si>
    <t xml:space="preserve">      66100 Taxes &amp; Licenses</t>
  </si>
  <si>
    <t xml:space="preserve">      66300 Insurance</t>
  </si>
  <si>
    <t xml:space="preserve">   Total 66000 Business Expenses</t>
  </si>
  <si>
    <t xml:space="preserve">   Uncategorized Expense (Temporary account only)</t>
  </si>
  <si>
    <t xml:space="preserve">      Checks</t>
  </si>
  <si>
    <t xml:space="preserve">      Venmo</t>
  </si>
  <si>
    <t xml:space="preserve">   Total Uncategorized Expense (Temporary account only)</t>
  </si>
  <si>
    <t>Total Expenses</t>
  </si>
  <si>
    <t>Net Operating Income</t>
  </si>
  <si>
    <t>Net Income</t>
  </si>
  <si>
    <t>February 2023</t>
  </si>
  <si>
    <t xml:space="preserve">      63800 Bank Charges &amp; Fees</t>
  </si>
  <si>
    <t>March 2023</t>
  </si>
  <si>
    <t xml:space="preserve">   Discounts/Refunds Given</t>
  </si>
  <si>
    <t>April 2023</t>
  </si>
  <si>
    <t xml:space="preserve">      42000 Sales of Product Income</t>
  </si>
  <si>
    <t xml:space="preserve">      60200 Ad Spend Expense</t>
  </si>
  <si>
    <t xml:space="preserve">      63450 Computers &amp; Electronics (Less than $2,500)</t>
  </si>
  <si>
    <t>May 2023</t>
  </si>
  <si>
    <t xml:space="preserve">         61207 Company Uniform</t>
  </si>
  <si>
    <t xml:space="preserve">         63604 Vehicle Insurance Expense</t>
  </si>
  <si>
    <t>June 2023</t>
  </si>
  <si>
    <t>Other Expenses</t>
  </si>
  <si>
    <t xml:space="preserve">   80000 Interest, Taxes, Depreciation, and Amortization</t>
  </si>
  <si>
    <t xml:space="preserve">      81000 Interest Expense</t>
  </si>
  <si>
    <t xml:space="preserve">   Total 80000 Interest, Taxes, Depreciation, and Amortization</t>
  </si>
  <si>
    <t>Total Other Expenses</t>
  </si>
  <si>
    <t>Net Other Income</t>
  </si>
  <si>
    <t>July 2023</t>
  </si>
  <si>
    <t>August 2023</t>
  </si>
  <si>
    <t xml:space="preserve">      66500 Interest Paid</t>
  </si>
  <si>
    <t>September 2023</t>
  </si>
  <si>
    <t>Sales</t>
  </si>
  <si>
    <t>Cost of products sold</t>
  </si>
  <si>
    <t>Number of employees</t>
  </si>
  <si>
    <t>Advertising and Marketing</t>
  </si>
  <si>
    <t>Total 61100 Salaries Expense</t>
  </si>
  <si>
    <t xml:space="preserve">   Advertising &amp; Marketing</t>
  </si>
  <si>
    <t>Advertising &amp; Marketing</t>
  </si>
  <si>
    <t>F-24</t>
  </si>
  <si>
    <t>Venmo</t>
  </si>
  <si>
    <t>Salaries Expense</t>
  </si>
  <si>
    <t>Company Phone Expense</t>
  </si>
  <si>
    <t>Gym &amp; Fitness</t>
  </si>
  <si>
    <t>Total Employee Expenses</t>
  </si>
  <si>
    <t>Entertainment</t>
  </si>
  <si>
    <t>Company Meals</t>
  </si>
  <si>
    <t>Rent and Lease Expense</t>
  </si>
  <si>
    <t>Utilities</t>
  </si>
  <si>
    <t>Software</t>
  </si>
  <si>
    <t>Podium Fees</t>
  </si>
  <si>
    <t>Airfare</t>
  </si>
  <si>
    <t>Hotel and Lodging</t>
  </si>
  <si>
    <t>Other Travel Expenses</t>
  </si>
  <si>
    <t>Total Travel</t>
  </si>
  <si>
    <t>Vehicle Rental</t>
  </si>
  <si>
    <t>Gas and Fuel</t>
  </si>
  <si>
    <t>Repairs, Maintenance, and Other Vehicle Expenses</t>
  </si>
  <si>
    <t>Total Vehicle Expenses</t>
  </si>
  <si>
    <t>Accounting Services</t>
  </si>
  <si>
    <t>Taxes and Licenses</t>
  </si>
  <si>
    <t>Insurance</t>
  </si>
  <si>
    <t>Uncategorized Expense</t>
  </si>
  <si>
    <t>Total Business Expenses</t>
  </si>
  <si>
    <t>Checks</t>
  </si>
  <si>
    <t>Total Uncategorized Expense</t>
  </si>
  <si>
    <t>Supplies &amp; materials</t>
  </si>
  <si>
    <t>Total Meals and Entertainment</t>
  </si>
  <si>
    <t>Bank Charges &amp; Fees</t>
  </si>
  <si>
    <t>Discounts/Refunds Given</t>
  </si>
  <si>
    <t>Total Salaries Expense</t>
  </si>
  <si>
    <t>Total Frindge benefits</t>
  </si>
  <si>
    <t>Operating Expenses</t>
  </si>
  <si>
    <t>Total Operating Expenses</t>
  </si>
  <si>
    <t>Total Legal and Professional Services</t>
  </si>
  <si>
    <t>Computers &amp; Electronics</t>
  </si>
  <si>
    <t>Company Uniform</t>
  </si>
  <si>
    <t>Vehicle Insurance Expense</t>
  </si>
  <si>
    <t>Uncategorized Income</t>
  </si>
  <si>
    <t>Interest, Taxes Depreciation, and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</si>
</sst>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#,##0.00\ _€"/>
    <numFmt numFmtId="165" formatCode="&quot;$&quot;* #,##0.00\ _€"/>
    <numFmt numFmtId="169" formatCode="[$-409]mmmmm\-yy;@"/>
    <numFmt numFmtId="171" formatCode="_(&quot;$&quot;* #,##0_);_(&quot;$&quot;* \(#,##0\);_(&quot;$&quot;* &quot;-&quot;??_);_(@_)"/>
    <numFmt numFmtId="178" formatCode="[$-409]mmmm\-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indexed="8"/>
      <name val="Arial"/>
      <family val="2"/>
    </font>
    <font>
      <sz val="12"/>
      <color indexed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wrapText="1"/>
    </xf>
    <xf numFmtId="164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right" wrapText="1"/>
    </xf>
    <xf numFmtId="165" fontId="5" fillId="0" borderId="0" xfId="0" applyNumberFormat="1" applyFont="1" applyBorder="1" applyAlignment="1">
      <alignment horizontal="right" wrapText="1"/>
    </xf>
    <xf numFmtId="0" fontId="4" fillId="0" borderId="0" xfId="0" applyFont="1" applyAlignment="1">
      <alignment horizontal="center"/>
    </xf>
    <xf numFmtId="17" fontId="0" fillId="0" borderId="0" xfId="0" applyNumberFormat="1"/>
    <xf numFmtId="169" fontId="0" fillId="0" borderId="0" xfId="0" applyNumberFormat="1" applyFont="1"/>
    <xf numFmtId="171" fontId="0" fillId="0" borderId="0" xfId="1" applyNumberFormat="1" applyFont="1"/>
    <xf numFmtId="44" fontId="0" fillId="0" borderId="0" xfId="1" applyNumberFormat="1" applyFont="1"/>
    <xf numFmtId="17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1DF3-6075-5144-96D0-151409107223}">
  <dimension ref="A1:U65"/>
  <sheetViews>
    <sheetView zoomScale="97" zoomScaleNormal="100" workbookViewId="0">
      <selection activeCell="C50" sqref="C50"/>
    </sheetView>
  </sheetViews>
  <sheetFormatPr baseColWidth="10" defaultRowHeight="16" x14ac:dyDescent="0.2"/>
  <cols>
    <col min="1" max="1" width="16.6640625" bestFit="1" customWidth="1"/>
    <col min="2" max="2" width="21.5" bestFit="1" customWidth="1"/>
    <col min="3" max="3" width="16.6640625" bestFit="1" customWidth="1"/>
    <col min="4" max="4" width="12.1640625" bestFit="1" customWidth="1"/>
    <col min="5" max="5" width="16.6640625" bestFit="1" customWidth="1"/>
    <col min="6" max="6" width="12.1640625" bestFit="1" customWidth="1"/>
    <col min="7" max="7" width="16.6640625" bestFit="1" customWidth="1"/>
    <col min="8" max="8" width="11.1640625" bestFit="1" customWidth="1"/>
    <col min="9" max="9" width="16.6640625" bestFit="1" customWidth="1"/>
    <col min="10" max="10" width="12.1640625" bestFit="1" customWidth="1"/>
    <col min="11" max="11" width="16.6640625" bestFit="1" customWidth="1"/>
    <col min="12" max="12" width="12.1640625" bestFit="1" customWidth="1"/>
    <col min="13" max="13" width="16.6640625" bestFit="1" customWidth="1"/>
    <col min="14" max="14" width="11.83203125" bestFit="1" customWidth="1"/>
    <col min="15" max="15" width="16.6640625" bestFit="1" customWidth="1"/>
    <col min="16" max="16" width="12.1640625" bestFit="1" customWidth="1"/>
    <col min="17" max="17" width="11.33203125" bestFit="1" customWidth="1"/>
    <col min="18" max="18" width="11.1640625" bestFit="1" customWidth="1"/>
  </cols>
  <sheetData>
    <row r="1" spans="1:21" s="2" customFormat="1" x14ac:dyDescent="0.2">
      <c r="A1" s="5" t="s">
        <v>6</v>
      </c>
      <c r="B1" s="6"/>
      <c r="C1" s="5" t="s">
        <v>68</v>
      </c>
      <c r="D1" s="6"/>
      <c r="E1" s="5" t="s">
        <v>70</v>
      </c>
      <c r="F1" s="6"/>
      <c r="G1" s="5" t="s">
        <v>72</v>
      </c>
      <c r="H1" s="6"/>
      <c r="I1" s="5" t="s">
        <v>76</v>
      </c>
      <c r="J1" s="6"/>
      <c r="K1" s="5" t="s">
        <v>79</v>
      </c>
      <c r="L1" s="6"/>
      <c r="M1" s="5" t="s">
        <v>86</v>
      </c>
      <c r="N1" s="6"/>
      <c r="O1" s="5" t="s">
        <v>87</v>
      </c>
      <c r="P1" s="6"/>
      <c r="Q1" s="5" t="s">
        <v>89</v>
      </c>
      <c r="R1" s="6"/>
    </row>
    <row r="2" spans="1:21" s="2" customFormat="1" x14ac:dyDescent="0.2">
      <c r="A2" s="12"/>
      <c r="B2" s="14">
        <v>44927</v>
      </c>
      <c r="C2" s="12"/>
      <c r="D2" s="2" t="s">
        <v>97</v>
      </c>
      <c r="E2" s="12"/>
      <c r="G2" s="12"/>
      <c r="I2" s="12"/>
      <c r="K2" s="12"/>
      <c r="M2" s="12"/>
      <c r="O2" s="12"/>
      <c r="Q2" s="12"/>
    </row>
    <row r="3" spans="1:21" s="2" customFormat="1" ht="19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s="2" customFormat="1" ht="19" customHeight="1" x14ac:dyDescent="0.2">
      <c r="A4" s="4"/>
      <c r="B4" s="7" t="s">
        <v>7</v>
      </c>
      <c r="C4" s="4"/>
      <c r="D4" s="7" t="s">
        <v>7</v>
      </c>
      <c r="E4" s="4"/>
      <c r="F4" s="7" t="s">
        <v>7</v>
      </c>
      <c r="G4" s="4"/>
      <c r="H4" s="7" t="s">
        <v>7</v>
      </c>
      <c r="I4" s="4"/>
      <c r="J4" s="7" t="s">
        <v>7</v>
      </c>
      <c r="K4" s="4"/>
      <c r="L4" s="7" t="s">
        <v>7</v>
      </c>
      <c r="M4" s="4"/>
      <c r="N4" s="7" t="s">
        <v>7</v>
      </c>
      <c r="O4" s="4"/>
      <c r="P4" s="7" t="s">
        <v>7</v>
      </c>
      <c r="Q4" s="4"/>
      <c r="R4" s="7" t="s">
        <v>7</v>
      </c>
      <c r="S4" s="3"/>
      <c r="T4" s="3"/>
      <c r="U4" s="3"/>
    </row>
    <row r="5" spans="1:21" s="2" customFormat="1" ht="19" customHeight="1" x14ac:dyDescent="0.2">
      <c r="A5" s="8" t="s">
        <v>8</v>
      </c>
      <c r="B5" s="9"/>
      <c r="C5" s="8" t="s">
        <v>8</v>
      </c>
      <c r="D5" s="9"/>
      <c r="E5" s="8" t="s">
        <v>8</v>
      </c>
      <c r="F5" s="9"/>
      <c r="G5" s="8" t="s">
        <v>8</v>
      </c>
      <c r="H5" s="9"/>
      <c r="I5" s="8" t="s">
        <v>8</v>
      </c>
      <c r="J5" s="9"/>
      <c r="K5" s="8" t="s">
        <v>8</v>
      </c>
      <c r="L5" s="9"/>
      <c r="M5" s="8" t="s">
        <v>8</v>
      </c>
      <c r="N5" s="9"/>
      <c r="O5" s="8" t="s">
        <v>8</v>
      </c>
      <c r="P5" s="9"/>
      <c r="Q5" s="8" t="s">
        <v>8</v>
      </c>
      <c r="R5" s="9"/>
      <c r="S5" s="3"/>
      <c r="T5" s="3"/>
      <c r="U5" s="3"/>
    </row>
    <row r="6" spans="1:21" s="2" customFormat="1" ht="19" customHeight="1" x14ac:dyDescent="0.2">
      <c r="A6" s="8" t="s">
        <v>9</v>
      </c>
      <c r="B6" s="9"/>
      <c r="C6" s="8" t="s">
        <v>9</v>
      </c>
      <c r="D6" s="9"/>
      <c r="E6" s="8" t="s">
        <v>9</v>
      </c>
      <c r="F6" s="9"/>
      <c r="G6" s="8" t="s">
        <v>9</v>
      </c>
      <c r="H6" s="9"/>
      <c r="I6" s="8" t="s">
        <v>9</v>
      </c>
      <c r="J6" s="9"/>
      <c r="K6" s="8" t="s">
        <v>9</v>
      </c>
      <c r="L6" s="9"/>
      <c r="M6" s="8" t="s">
        <v>9</v>
      </c>
      <c r="N6" s="9"/>
      <c r="O6" s="8" t="s">
        <v>9</v>
      </c>
      <c r="P6" s="9"/>
      <c r="Q6" s="8" t="s">
        <v>9</v>
      </c>
      <c r="R6" s="9"/>
      <c r="S6" s="3"/>
      <c r="T6" s="3"/>
      <c r="U6" s="3"/>
    </row>
    <row r="7" spans="1:21" s="2" customFormat="1" ht="19" customHeight="1" x14ac:dyDescent="0.2">
      <c r="A7" s="8" t="s">
        <v>10</v>
      </c>
      <c r="B7" s="10">
        <f>59380</f>
        <v>59380</v>
      </c>
      <c r="C7" s="8" t="s">
        <v>10</v>
      </c>
      <c r="D7" s="10">
        <f>92300</f>
        <v>92300</v>
      </c>
      <c r="E7" s="8" t="s">
        <v>10</v>
      </c>
      <c r="F7" s="10">
        <f>66750</f>
        <v>66750</v>
      </c>
      <c r="G7" s="8" t="s">
        <v>10</v>
      </c>
      <c r="H7" s="10">
        <f>78720</f>
        <v>78720</v>
      </c>
      <c r="I7" s="8" t="s">
        <v>10</v>
      </c>
      <c r="J7" s="10">
        <f>118340</f>
        <v>118340</v>
      </c>
      <c r="K7" s="8" t="s">
        <v>10</v>
      </c>
      <c r="L7" s="10">
        <f>102365.05</f>
        <v>102365.05</v>
      </c>
      <c r="M7" s="8" t="s">
        <v>10</v>
      </c>
      <c r="N7" s="10">
        <f>66713</f>
        <v>66713</v>
      </c>
      <c r="O7" s="8" t="s">
        <v>10</v>
      </c>
      <c r="P7" s="10">
        <f>160095.52</f>
        <v>160095.51999999999</v>
      </c>
      <c r="Q7" s="8" t="s">
        <v>10</v>
      </c>
      <c r="R7" s="10">
        <f>22000</f>
        <v>22000</v>
      </c>
      <c r="S7" s="3"/>
      <c r="T7" s="3"/>
      <c r="U7" s="3"/>
    </row>
    <row r="8" spans="1:21" s="2" customFormat="1" ht="19" customHeight="1" x14ac:dyDescent="0.2">
      <c r="A8" s="8" t="s">
        <v>11</v>
      </c>
      <c r="B8" s="11">
        <f>(B6)+(B7)</f>
        <v>59380</v>
      </c>
      <c r="C8" s="8" t="s">
        <v>11</v>
      </c>
      <c r="D8" s="11">
        <f>(D6)+(D7)</f>
        <v>92300</v>
      </c>
      <c r="E8" s="8" t="s">
        <v>11</v>
      </c>
      <c r="F8" s="11">
        <f>(F6)+(F7)</f>
        <v>66750</v>
      </c>
      <c r="G8" s="8" t="s">
        <v>73</v>
      </c>
      <c r="H8" s="10">
        <f>400</f>
        <v>400</v>
      </c>
      <c r="I8" s="8" t="s">
        <v>11</v>
      </c>
      <c r="J8" s="11">
        <f>(J6)+(J7)</f>
        <v>118340</v>
      </c>
      <c r="K8" s="8" t="s">
        <v>11</v>
      </c>
      <c r="L8" s="11">
        <f>(L6)+(L7)</f>
        <v>102365.05</v>
      </c>
      <c r="M8" s="8" t="s">
        <v>73</v>
      </c>
      <c r="N8" s="10">
        <f>225</f>
        <v>225</v>
      </c>
      <c r="O8" s="8" t="s">
        <v>11</v>
      </c>
      <c r="P8" s="11">
        <f>(P6)+(P7)</f>
        <v>160095.51999999999</v>
      </c>
      <c r="Q8" s="8" t="s">
        <v>11</v>
      </c>
      <c r="R8" s="11">
        <f>(R6)+(R7)</f>
        <v>22000</v>
      </c>
      <c r="S8" s="3"/>
      <c r="T8" s="3"/>
      <c r="U8" s="3"/>
    </row>
    <row r="9" spans="1:21" s="2" customFormat="1" ht="19" customHeight="1" x14ac:dyDescent="0.2">
      <c r="A9" s="8" t="s">
        <v>12</v>
      </c>
      <c r="B9" s="9"/>
      <c r="C9" s="8" t="s">
        <v>12</v>
      </c>
      <c r="D9" s="10">
        <f>65250</f>
        <v>65250</v>
      </c>
      <c r="E9" s="8" t="s">
        <v>71</v>
      </c>
      <c r="F9" s="10">
        <f>-1000</f>
        <v>-1000</v>
      </c>
      <c r="G9" s="8" t="s">
        <v>11</v>
      </c>
      <c r="H9" s="11">
        <f>((H6)+(H7))+(H8)</f>
        <v>79120</v>
      </c>
      <c r="I9" s="8" t="s">
        <v>71</v>
      </c>
      <c r="J9" s="10">
        <f>-2100</f>
        <v>-2100</v>
      </c>
      <c r="K9" s="8" t="s">
        <v>12</v>
      </c>
      <c r="L9" s="10">
        <f>95486</f>
        <v>95486</v>
      </c>
      <c r="M9" s="8" t="s">
        <v>11</v>
      </c>
      <c r="N9" s="11">
        <f>((N6)+(N7))+(N8)</f>
        <v>66938</v>
      </c>
      <c r="O9" s="8" t="s">
        <v>71</v>
      </c>
      <c r="P9" s="10">
        <f>-500</f>
        <v>-500</v>
      </c>
      <c r="Q9" s="8" t="s">
        <v>15</v>
      </c>
      <c r="R9" s="11">
        <f>R8</f>
        <v>22000</v>
      </c>
      <c r="S9" s="3"/>
      <c r="T9" s="3"/>
      <c r="U9" s="3"/>
    </row>
    <row r="10" spans="1:21" s="2" customFormat="1" ht="19" customHeight="1" x14ac:dyDescent="0.2">
      <c r="A10" s="8" t="s">
        <v>13</v>
      </c>
      <c r="B10" s="10">
        <f>4275</f>
        <v>4275</v>
      </c>
      <c r="C10" s="8" t="s">
        <v>15</v>
      </c>
      <c r="D10" s="11">
        <f>(D8)+(D9)</f>
        <v>157550</v>
      </c>
      <c r="E10" s="8" t="s">
        <v>12</v>
      </c>
      <c r="F10" s="10">
        <f>41242</f>
        <v>41242</v>
      </c>
      <c r="G10" s="8" t="s">
        <v>12</v>
      </c>
      <c r="H10" s="10">
        <f>7100</f>
        <v>7100</v>
      </c>
      <c r="I10" s="8" t="s">
        <v>12</v>
      </c>
      <c r="J10" s="10">
        <f>18625</f>
        <v>18625</v>
      </c>
      <c r="K10" s="8" t="s">
        <v>15</v>
      </c>
      <c r="L10" s="11">
        <f>(L8)+(L9)</f>
        <v>197851.05</v>
      </c>
      <c r="M10" s="8" t="s">
        <v>71</v>
      </c>
      <c r="N10" s="10">
        <f>-200</f>
        <v>-200</v>
      </c>
      <c r="O10" s="8" t="s">
        <v>15</v>
      </c>
      <c r="P10" s="11">
        <f>(P8)+(P9)</f>
        <v>159595.51999999999</v>
      </c>
      <c r="Q10" s="8" t="s">
        <v>21</v>
      </c>
      <c r="R10" s="11">
        <f>(R9)-(0)</f>
        <v>22000</v>
      </c>
      <c r="S10" s="3"/>
      <c r="T10" s="3"/>
      <c r="U10" s="3"/>
    </row>
    <row r="11" spans="1:21" s="2" customFormat="1" ht="19" customHeight="1" x14ac:dyDescent="0.2">
      <c r="A11" s="8" t="s">
        <v>14</v>
      </c>
      <c r="B11" s="11">
        <f>(B9)+(B10)</f>
        <v>4275</v>
      </c>
      <c r="C11" s="8" t="s">
        <v>16</v>
      </c>
      <c r="D11" s="9"/>
      <c r="E11" s="8" t="s">
        <v>15</v>
      </c>
      <c r="F11" s="11">
        <f>((F8)+(F9))+(F10)</f>
        <v>106992</v>
      </c>
      <c r="G11" s="8" t="s">
        <v>15</v>
      </c>
      <c r="H11" s="11">
        <f>(H9)+(H10)</f>
        <v>86220</v>
      </c>
      <c r="I11" s="8" t="s">
        <v>15</v>
      </c>
      <c r="J11" s="11">
        <f>((J8)+(J9))+(J10)</f>
        <v>134865</v>
      </c>
      <c r="K11" s="8" t="s">
        <v>16</v>
      </c>
      <c r="L11" s="9"/>
      <c r="M11" s="8" t="s">
        <v>12</v>
      </c>
      <c r="N11" s="10">
        <f>9500</f>
        <v>9500</v>
      </c>
      <c r="O11" s="8" t="s">
        <v>16</v>
      </c>
      <c r="P11" s="9"/>
      <c r="Q11" s="8" t="s">
        <v>22</v>
      </c>
      <c r="R11" s="9"/>
      <c r="S11" s="3"/>
      <c r="T11" s="3"/>
      <c r="U11" s="3"/>
    </row>
    <row r="12" spans="1:21" s="2" customFormat="1" ht="19" customHeight="1" x14ac:dyDescent="0.2">
      <c r="A12" s="8" t="s">
        <v>15</v>
      </c>
      <c r="B12" s="11">
        <f>(B8)+(B11)</f>
        <v>63655</v>
      </c>
      <c r="C12" s="8" t="s">
        <v>17</v>
      </c>
      <c r="D12" s="9"/>
      <c r="E12" s="8" t="s">
        <v>16</v>
      </c>
      <c r="F12" s="9"/>
      <c r="G12" s="8" t="s">
        <v>16</v>
      </c>
      <c r="H12" s="9"/>
      <c r="I12" s="8" t="s">
        <v>16</v>
      </c>
      <c r="J12" s="9"/>
      <c r="K12" s="8" t="s">
        <v>17</v>
      </c>
      <c r="L12" s="9"/>
      <c r="M12" s="8" t="s">
        <v>15</v>
      </c>
      <c r="N12" s="11">
        <f>((N9)+(N10))+(N11)</f>
        <v>76238</v>
      </c>
      <c r="O12" s="8" t="s">
        <v>17</v>
      </c>
      <c r="P12" s="9"/>
      <c r="Q12" s="8" t="s">
        <v>65</v>
      </c>
      <c r="R12" s="9"/>
      <c r="S12" s="3"/>
      <c r="T12" s="3"/>
      <c r="U12" s="3"/>
    </row>
    <row r="13" spans="1:21" s="2" customFormat="1" ht="19" customHeight="1" x14ac:dyDescent="0.2">
      <c r="A13" s="8" t="s">
        <v>16</v>
      </c>
      <c r="B13" s="9"/>
      <c r="C13" s="8" t="s">
        <v>18</v>
      </c>
      <c r="D13" s="10">
        <f>18649.81</f>
        <v>18649.810000000001</v>
      </c>
      <c r="E13" s="8" t="s">
        <v>17</v>
      </c>
      <c r="F13" s="9"/>
      <c r="G13" s="8" t="s">
        <v>17</v>
      </c>
      <c r="H13" s="9"/>
      <c r="I13" s="8" t="s">
        <v>17</v>
      </c>
      <c r="J13" s="9"/>
      <c r="K13" s="8" t="s">
        <v>18</v>
      </c>
      <c r="L13" s="10">
        <f>40131.66</f>
        <v>40131.660000000003</v>
      </c>
      <c r="M13" s="8" t="s">
        <v>16</v>
      </c>
      <c r="N13" s="9"/>
      <c r="O13" s="8" t="s">
        <v>18</v>
      </c>
      <c r="P13" s="10">
        <f>8042.95</f>
        <v>8042.95</v>
      </c>
      <c r="Q13" s="8" t="s">
        <v>66</v>
      </c>
      <c r="R13" s="11">
        <f>(R10)-(R12)</f>
        <v>22000</v>
      </c>
      <c r="S13" s="3"/>
      <c r="T13" s="3"/>
      <c r="U13" s="3"/>
    </row>
    <row r="14" spans="1:21" s="2" customFormat="1" ht="19" customHeight="1" x14ac:dyDescent="0.2">
      <c r="A14" s="8" t="s">
        <v>17</v>
      </c>
      <c r="B14" s="9"/>
      <c r="C14" s="8" t="s">
        <v>19</v>
      </c>
      <c r="D14" s="11">
        <f>(D12)+(D13)</f>
        <v>18649.810000000001</v>
      </c>
      <c r="E14" s="8" t="s">
        <v>18</v>
      </c>
      <c r="F14" s="10">
        <f>32926.31</f>
        <v>32926.31</v>
      </c>
      <c r="G14" s="8" t="s">
        <v>18</v>
      </c>
      <c r="H14" s="10">
        <f>38246.98</f>
        <v>38246.980000000003</v>
      </c>
      <c r="I14" s="8" t="s">
        <v>18</v>
      </c>
      <c r="J14" s="10">
        <f>46029.34</f>
        <v>46029.34</v>
      </c>
      <c r="K14" s="8" t="s">
        <v>19</v>
      </c>
      <c r="L14" s="11">
        <f>(L12)+(L13)</f>
        <v>40131.660000000003</v>
      </c>
      <c r="M14" s="8" t="s">
        <v>17</v>
      </c>
      <c r="N14" s="9"/>
      <c r="O14" s="8" t="s">
        <v>19</v>
      </c>
      <c r="P14" s="11">
        <f>(P12)+(P13)</f>
        <v>8042.95</v>
      </c>
      <c r="Q14" s="8" t="s">
        <v>67</v>
      </c>
      <c r="R14" s="11">
        <f>(R13)+(0)</f>
        <v>22000</v>
      </c>
      <c r="S14" s="3"/>
      <c r="T14" s="3"/>
      <c r="U14" s="3"/>
    </row>
    <row r="15" spans="1:21" s="2" customFormat="1" ht="19" customHeight="1" x14ac:dyDescent="0.2">
      <c r="A15" s="8" t="s">
        <v>18</v>
      </c>
      <c r="B15" s="10">
        <f>10040.24</f>
        <v>10040.24</v>
      </c>
      <c r="C15" s="8" t="s">
        <v>20</v>
      </c>
      <c r="D15" s="11">
        <f>D14</f>
        <v>18649.810000000001</v>
      </c>
      <c r="E15" s="8" t="s">
        <v>19</v>
      </c>
      <c r="F15" s="11">
        <f>(F13)+(F14)</f>
        <v>32926.31</v>
      </c>
      <c r="G15" s="8" t="s">
        <v>19</v>
      </c>
      <c r="H15" s="11">
        <f>(H13)+(H14)</f>
        <v>38246.980000000003</v>
      </c>
      <c r="I15" s="8" t="s">
        <v>19</v>
      </c>
      <c r="J15" s="11">
        <f>(J13)+(J14)</f>
        <v>46029.34</v>
      </c>
      <c r="K15" s="8" t="s">
        <v>20</v>
      </c>
      <c r="L15" s="11">
        <f>L14</f>
        <v>40131.660000000003</v>
      </c>
      <c r="M15" s="8" t="s">
        <v>18</v>
      </c>
      <c r="N15" s="10">
        <f>41960.11</f>
        <v>41960.11</v>
      </c>
      <c r="O15" s="8" t="s">
        <v>20</v>
      </c>
      <c r="P15" s="11">
        <f>P14</f>
        <v>8042.95</v>
      </c>
      <c r="Q15" s="3"/>
      <c r="R15" s="3"/>
      <c r="S15" s="3"/>
      <c r="T15" s="3"/>
      <c r="U15" s="3"/>
    </row>
    <row r="16" spans="1:21" s="2" customFormat="1" ht="19" customHeight="1" x14ac:dyDescent="0.2">
      <c r="A16" s="8" t="s">
        <v>19</v>
      </c>
      <c r="B16" s="11">
        <f>(B14)+(B15)</f>
        <v>10040.24</v>
      </c>
      <c r="C16" s="8" t="s">
        <v>21</v>
      </c>
      <c r="D16" s="11">
        <f>(D10)-(D15)</f>
        <v>138900.19</v>
      </c>
      <c r="E16" s="8" t="s">
        <v>20</v>
      </c>
      <c r="F16" s="11">
        <f>F15</f>
        <v>32926.31</v>
      </c>
      <c r="G16" s="8" t="s">
        <v>20</v>
      </c>
      <c r="H16" s="11">
        <f>H15</f>
        <v>38246.980000000003</v>
      </c>
      <c r="I16" s="8" t="s">
        <v>20</v>
      </c>
      <c r="J16" s="11">
        <f>J15</f>
        <v>46029.34</v>
      </c>
      <c r="K16" s="8" t="s">
        <v>21</v>
      </c>
      <c r="L16" s="11">
        <f>(L10)-(L15)</f>
        <v>157719.38999999998</v>
      </c>
      <c r="M16" s="8" t="s">
        <v>19</v>
      </c>
      <c r="N16" s="11">
        <f>(N14)+(N15)</f>
        <v>41960.11</v>
      </c>
      <c r="O16" s="8" t="s">
        <v>21</v>
      </c>
      <c r="P16" s="11">
        <f>(P10)-(P15)</f>
        <v>151552.56999999998</v>
      </c>
      <c r="Q16" s="3"/>
      <c r="R16" s="3"/>
      <c r="S16" s="3"/>
      <c r="T16" s="3"/>
      <c r="U16" s="3"/>
    </row>
    <row r="17" spans="1:21" s="2" customFormat="1" ht="19" customHeight="1" x14ac:dyDescent="0.2">
      <c r="A17" s="8" t="s">
        <v>20</v>
      </c>
      <c r="B17" s="11">
        <f>B16</f>
        <v>10040.24</v>
      </c>
      <c r="C17" s="8" t="s">
        <v>22</v>
      </c>
      <c r="D17" s="9"/>
      <c r="E17" s="8" t="s">
        <v>21</v>
      </c>
      <c r="F17" s="11">
        <f>(F11)-(F16)</f>
        <v>74065.69</v>
      </c>
      <c r="G17" s="8" t="s">
        <v>21</v>
      </c>
      <c r="H17" s="11">
        <f>(H11)-(H16)</f>
        <v>47973.02</v>
      </c>
      <c r="I17" s="8" t="s">
        <v>21</v>
      </c>
      <c r="J17" s="11">
        <f>(J11)-(J16)</f>
        <v>88835.66</v>
      </c>
      <c r="K17" s="8" t="s">
        <v>22</v>
      </c>
      <c r="L17" s="9"/>
      <c r="M17" s="8" t="s">
        <v>20</v>
      </c>
      <c r="N17" s="11">
        <f>N16</f>
        <v>41960.11</v>
      </c>
      <c r="O17" s="8" t="s">
        <v>22</v>
      </c>
      <c r="P17" s="9"/>
      <c r="Q17" s="3"/>
      <c r="R17" s="3"/>
      <c r="S17" s="3"/>
      <c r="T17" s="3"/>
      <c r="U17" s="3"/>
    </row>
    <row r="18" spans="1:21" s="2" customFormat="1" ht="19" customHeight="1" x14ac:dyDescent="0.2">
      <c r="A18" s="8" t="s">
        <v>21</v>
      </c>
      <c r="B18" s="11">
        <f>(B12)-(B17)</f>
        <v>53614.76</v>
      </c>
      <c r="C18" s="8" t="s">
        <v>23</v>
      </c>
      <c r="D18" s="9"/>
      <c r="E18" s="8" t="s">
        <v>22</v>
      </c>
      <c r="F18" s="9"/>
      <c r="G18" s="8" t="s">
        <v>22</v>
      </c>
      <c r="H18" s="9"/>
      <c r="I18" s="8" t="s">
        <v>22</v>
      </c>
      <c r="J18" s="9"/>
      <c r="K18" s="8" t="s">
        <v>23</v>
      </c>
      <c r="L18" s="9"/>
      <c r="M18" s="8" t="s">
        <v>21</v>
      </c>
      <c r="N18" s="11">
        <f>(N12)-(N17)</f>
        <v>34277.89</v>
      </c>
      <c r="O18" s="8" t="s">
        <v>23</v>
      </c>
      <c r="P18" s="9"/>
      <c r="Q18" s="3"/>
      <c r="R18" s="3"/>
      <c r="S18" s="3"/>
      <c r="T18" s="3"/>
      <c r="U18" s="3"/>
    </row>
    <row r="19" spans="1:21" s="2" customFormat="1" ht="19" customHeight="1" x14ac:dyDescent="0.2">
      <c r="A19" s="8" t="s">
        <v>22</v>
      </c>
      <c r="B19" s="9"/>
      <c r="C19" s="8" t="s">
        <v>24</v>
      </c>
      <c r="D19" s="10">
        <f>291.35</f>
        <v>291.35000000000002</v>
      </c>
      <c r="E19" s="8" t="s">
        <v>23</v>
      </c>
      <c r="F19" s="9"/>
      <c r="G19" s="8" t="s">
        <v>23</v>
      </c>
      <c r="H19" s="9"/>
      <c r="I19" s="8" t="s">
        <v>23</v>
      </c>
      <c r="J19" s="9"/>
      <c r="K19" s="8" t="s">
        <v>74</v>
      </c>
      <c r="L19" s="10">
        <f>2806.53</f>
        <v>2806.53</v>
      </c>
      <c r="M19" s="8" t="s">
        <v>22</v>
      </c>
      <c r="N19" s="9"/>
      <c r="O19" s="8" t="s">
        <v>24</v>
      </c>
      <c r="P19" s="10">
        <f>441.42</f>
        <v>441.42</v>
      </c>
      <c r="Q19" s="3"/>
      <c r="R19" s="3"/>
      <c r="S19" s="3"/>
      <c r="T19" s="3"/>
      <c r="U19" s="3"/>
    </row>
    <row r="20" spans="1:21" s="2" customFormat="1" ht="19" customHeight="1" x14ac:dyDescent="0.2">
      <c r="A20" s="8" t="s">
        <v>23</v>
      </c>
      <c r="B20" s="9"/>
      <c r="C20" s="8" t="s">
        <v>95</v>
      </c>
      <c r="D20" s="11">
        <f>(D18)+(D19)</f>
        <v>291.35000000000002</v>
      </c>
      <c r="E20" s="8" t="s">
        <v>24</v>
      </c>
      <c r="F20" s="10">
        <f>2110.07</f>
        <v>2110.0700000000002</v>
      </c>
      <c r="G20" s="8" t="s">
        <v>74</v>
      </c>
      <c r="H20" s="10">
        <f>449</f>
        <v>449</v>
      </c>
      <c r="I20" s="8" t="s">
        <v>74</v>
      </c>
      <c r="J20" s="10">
        <f>1724.76</f>
        <v>1724.76</v>
      </c>
      <c r="K20" s="8" t="s">
        <v>95</v>
      </c>
      <c r="L20" s="11">
        <f>(L18)+(L19)</f>
        <v>2806.53</v>
      </c>
      <c r="M20" s="8" t="s">
        <v>23</v>
      </c>
      <c r="N20" s="9"/>
      <c r="O20" s="8" t="s">
        <v>74</v>
      </c>
      <c r="P20" s="10">
        <f>1228.9</f>
        <v>1228.9000000000001</v>
      </c>
      <c r="Q20" s="3"/>
      <c r="R20" s="3"/>
      <c r="S20" s="3"/>
      <c r="T20" s="3"/>
      <c r="U20" s="3"/>
    </row>
    <row r="21" spans="1:21" s="2" customFormat="1" ht="19" customHeight="1" x14ac:dyDescent="0.2">
      <c r="A21" s="8" t="s">
        <v>24</v>
      </c>
      <c r="B21" s="10">
        <f>1237.67</f>
        <v>1237.67</v>
      </c>
      <c r="C21" s="8" t="s">
        <v>25</v>
      </c>
      <c r="D21" s="9"/>
      <c r="E21" s="8" t="s">
        <v>95</v>
      </c>
      <c r="F21" s="11">
        <f>(F19)+(F20)</f>
        <v>2110.0700000000002</v>
      </c>
      <c r="G21" s="8" t="s">
        <v>95</v>
      </c>
      <c r="H21" s="11">
        <f>(H19)+(H20)</f>
        <v>449</v>
      </c>
      <c r="I21" s="8" t="s">
        <v>95</v>
      </c>
      <c r="J21" s="11">
        <f>(J19)+(J20)</f>
        <v>1724.76</v>
      </c>
      <c r="K21" s="8" t="s">
        <v>25</v>
      </c>
      <c r="L21" s="9"/>
      <c r="M21" s="8" t="s">
        <v>24</v>
      </c>
      <c r="N21" s="10">
        <f>444.29</f>
        <v>444.29</v>
      </c>
      <c r="O21" s="8" t="s">
        <v>95</v>
      </c>
      <c r="P21" s="11">
        <f>((P18)+(P19))+(P20)</f>
        <v>1670.3200000000002</v>
      </c>
      <c r="Q21" s="3"/>
      <c r="R21" s="3"/>
      <c r="S21" s="3"/>
      <c r="T21" s="3"/>
      <c r="U21" s="3"/>
    </row>
    <row r="22" spans="1:21" s="2" customFormat="1" ht="19" customHeight="1" x14ac:dyDescent="0.2">
      <c r="A22" s="8" t="s">
        <v>96</v>
      </c>
      <c r="B22" s="11">
        <f>(B20)+(B21)</f>
        <v>1237.67</v>
      </c>
      <c r="C22" s="8" t="s">
        <v>26</v>
      </c>
      <c r="D22" s="9"/>
      <c r="E22" s="8" t="s">
        <v>25</v>
      </c>
      <c r="F22" s="9"/>
      <c r="G22" s="8" t="s">
        <v>25</v>
      </c>
      <c r="H22" s="9"/>
      <c r="I22" s="8" t="s">
        <v>25</v>
      </c>
      <c r="J22" s="9"/>
      <c r="K22" s="8" t="s">
        <v>26</v>
      </c>
      <c r="L22" s="9"/>
      <c r="M22" s="8" t="s">
        <v>74</v>
      </c>
      <c r="N22" s="10">
        <f>2437.48</f>
        <v>2437.48</v>
      </c>
      <c r="O22" s="8" t="s">
        <v>34</v>
      </c>
      <c r="P22" s="9"/>
      <c r="Q22" s="3"/>
      <c r="R22" s="3"/>
      <c r="S22" s="3"/>
      <c r="T22" s="3"/>
      <c r="U22" s="3"/>
    </row>
    <row r="23" spans="1:21" s="2" customFormat="1" ht="19" customHeight="1" x14ac:dyDescent="0.2">
      <c r="A23" s="8" t="s">
        <v>25</v>
      </c>
      <c r="B23" s="9"/>
      <c r="C23" s="8" t="s">
        <v>27</v>
      </c>
      <c r="D23" s="10">
        <f>17721.34</f>
        <v>17721.34</v>
      </c>
      <c r="E23" s="8" t="s">
        <v>26</v>
      </c>
      <c r="F23" s="9"/>
      <c r="G23" s="8" t="s">
        <v>26</v>
      </c>
      <c r="H23" s="9"/>
      <c r="I23" s="8" t="s">
        <v>26</v>
      </c>
      <c r="J23" s="9"/>
      <c r="K23" s="8" t="s">
        <v>27</v>
      </c>
      <c r="L23" s="10">
        <f>9611.61</f>
        <v>9611.61</v>
      </c>
      <c r="M23" s="8" t="s">
        <v>95</v>
      </c>
      <c r="N23" s="11">
        <f>((N20)+(N21))+(N22)</f>
        <v>2881.77</v>
      </c>
      <c r="O23" s="8" t="s">
        <v>36</v>
      </c>
      <c r="P23" s="10">
        <f>528.56</f>
        <v>528.55999999999995</v>
      </c>
      <c r="Q23" s="3"/>
      <c r="R23" s="3"/>
      <c r="S23" s="3"/>
      <c r="T23" s="3"/>
      <c r="U23" s="3"/>
    </row>
    <row r="24" spans="1:21" s="2" customFormat="1" ht="19" customHeight="1" x14ac:dyDescent="0.2">
      <c r="A24" s="8" t="s">
        <v>26</v>
      </c>
      <c r="B24" s="9"/>
      <c r="C24" s="8" t="s">
        <v>28</v>
      </c>
      <c r="D24" s="11">
        <f>(D22)+(D23)</f>
        <v>17721.34</v>
      </c>
      <c r="E24" s="8" t="s">
        <v>27</v>
      </c>
      <c r="F24" s="10">
        <f>22315.62</f>
        <v>22315.62</v>
      </c>
      <c r="G24" s="8" t="s">
        <v>27</v>
      </c>
      <c r="H24" s="10">
        <f>26211.84</f>
        <v>26211.84</v>
      </c>
      <c r="I24" s="8" t="s">
        <v>27</v>
      </c>
      <c r="J24" s="10">
        <f>14544.1</f>
        <v>14544.1</v>
      </c>
      <c r="K24" s="8" t="s">
        <v>28</v>
      </c>
      <c r="L24" s="11">
        <f>(L22)+(L23)</f>
        <v>9611.61</v>
      </c>
      <c r="M24" s="8" t="s">
        <v>25</v>
      </c>
      <c r="N24" s="9"/>
      <c r="O24" s="8" t="s">
        <v>37</v>
      </c>
      <c r="P24" s="11">
        <f>(P22)+(P23)</f>
        <v>528.55999999999995</v>
      </c>
      <c r="Q24" s="3"/>
      <c r="R24" s="3"/>
      <c r="S24" s="3"/>
      <c r="T24" s="3"/>
      <c r="U24" s="3"/>
    </row>
    <row r="25" spans="1:21" s="2" customFormat="1" ht="19" customHeight="1" x14ac:dyDescent="0.2">
      <c r="A25" s="8" t="s">
        <v>27</v>
      </c>
      <c r="B25" s="10">
        <f>16130.26</f>
        <v>16130.26</v>
      </c>
      <c r="C25" s="8" t="s">
        <v>29</v>
      </c>
      <c r="D25" s="9"/>
      <c r="E25" s="8" t="s">
        <v>28</v>
      </c>
      <c r="F25" s="11">
        <f>(F23)+(F24)</f>
        <v>22315.62</v>
      </c>
      <c r="G25" s="8" t="s">
        <v>28</v>
      </c>
      <c r="H25" s="11">
        <f>(H23)+(H24)</f>
        <v>26211.84</v>
      </c>
      <c r="I25" s="8" t="s">
        <v>28</v>
      </c>
      <c r="J25" s="11">
        <f>(J23)+(J24)</f>
        <v>14544.1</v>
      </c>
      <c r="K25" s="8" t="s">
        <v>29</v>
      </c>
      <c r="L25" s="9"/>
      <c r="M25" s="8" t="s">
        <v>26</v>
      </c>
      <c r="N25" s="9"/>
      <c r="O25" s="8" t="s">
        <v>38</v>
      </c>
      <c r="P25" s="9"/>
      <c r="Q25" s="3"/>
      <c r="R25" s="3"/>
      <c r="S25" s="3"/>
      <c r="T25" s="3"/>
      <c r="U25" s="3"/>
    </row>
    <row r="26" spans="1:21" s="2" customFormat="1" ht="19" customHeight="1" x14ac:dyDescent="0.2">
      <c r="A26" s="8" t="s">
        <v>94</v>
      </c>
      <c r="B26" s="11">
        <f>(B24)+(B25)</f>
        <v>16130.26</v>
      </c>
      <c r="C26" s="8" t="s">
        <v>31</v>
      </c>
      <c r="D26" s="10">
        <f>220</f>
        <v>220</v>
      </c>
      <c r="E26" s="8" t="s">
        <v>29</v>
      </c>
      <c r="F26" s="9"/>
      <c r="G26" s="8" t="s">
        <v>29</v>
      </c>
      <c r="H26" s="9"/>
      <c r="I26" s="8" t="s">
        <v>29</v>
      </c>
      <c r="J26" s="9"/>
      <c r="K26" s="8" t="s">
        <v>30</v>
      </c>
      <c r="L26" s="10">
        <f>318.62</f>
        <v>318.62</v>
      </c>
      <c r="M26" s="8" t="s">
        <v>27</v>
      </c>
      <c r="N26" s="10">
        <f>28667.57</f>
        <v>28667.57</v>
      </c>
      <c r="O26" s="8" t="s">
        <v>41</v>
      </c>
      <c r="P26" s="10">
        <f>54.69</f>
        <v>54.69</v>
      </c>
      <c r="Q26" s="3"/>
      <c r="R26" s="3"/>
      <c r="S26" s="3"/>
      <c r="T26" s="3"/>
      <c r="U26" s="3"/>
    </row>
    <row r="27" spans="1:21" s="2" customFormat="1" ht="19" customHeight="1" x14ac:dyDescent="0.2">
      <c r="A27" s="8" t="s">
        <v>29</v>
      </c>
      <c r="B27" s="9"/>
      <c r="C27" s="8" t="s">
        <v>32</v>
      </c>
      <c r="D27" s="11">
        <f>(D25)+(D26)</f>
        <v>220</v>
      </c>
      <c r="E27" s="8" t="s">
        <v>30</v>
      </c>
      <c r="F27" s="10">
        <f>766.3</f>
        <v>766.3</v>
      </c>
      <c r="G27" s="8" t="s">
        <v>30</v>
      </c>
      <c r="H27" s="10">
        <f>1649.7</f>
        <v>1649.7</v>
      </c>
      <c r="I27" s="8" t="s">
        <v>77</v>
      </c>
      <c r="J27" s="10">
        <f>1520</f>
        <v>1520</v>
      </c>
      <c r="K27" s="8" t="s">
        <v>31</v>
      </c>
      <c r="L27" s="10">
        <f>220</f>
        <v>220</v>
      </c>
      <c r="M27" s="8" t="s">
        <v>28</v>
      </c>
      <c r="N27" s="11">
        <f>(N25)+(N26)</f>
        <v>28667.57</v>
      </c>
      <c r="O27" s="8" t="s">
        <v>48</v>
      </c>
      <c r="P27" s="9"/>
      <c r="Q27" s="3"/>
      <c r="R27" s="3"/>
      <c r="S27" s="3"/>
      <c r="T27" s="3"/>
      <c r="U27" s="3"/>
    </row>
    <row r="28" spans="1:21" s="2" customFormat="1" ht="19" customHeight="1" x14ac:dyDescent="0.2">
      <c r="A28" s="8" t="s">
        <v>30</v>
      </c>
      <c r="B28" s="10">
        <f>414.97</f>
        <v>414.97</v>
      </c>
      <c r="C28" s="8" t="s">
        <v>33</v>
      </c>
      <c r="D28" s="11">
        <f>((D21)+(D24))+(D27)</f>
        <v>17941.34</v>
      </c>
      <c r="E28" s="8" t="s">
        <v>31</v>
      </c>
      <c r="F28" s="10">
        <f>220</f>
        <v>220</v>
      </c>
      <c r="G28" s="8" t="s">
        <v>31</v>
      </c>
      <c r="H28" s="10">
        <f>220</f>
        <v>220</v>
      </c>
      <c r="I28" s="8" t="s">
        <v>30</v>
      </c>
      <c r="J28" s="10">
        <f>337.89</f>
        <v>337.89</v>
      </c>
      <c r="K28" s="8" t="s">
        <v>32</v>
      </c>
      <c r="L28" s="11">
        <f>((L25)+(L26))+(L27)</f>
        <v>538.62</v>
      </c>
      <c r="M28" s="8" t="s">
        <v>29</v>
      </c>
      <c r="N28" s="9"/>
      <c r="O28" s="8" t="s">
        <v>50</v>
      </c>
      <c r="P28" s="10">
        <f>595.75</f>
        <v>595.75</v>
      </c>
      <c r="Q28" s="3"/>
      <c r="R28" s="3"/>
      <c r="S28" s="3"/>
      <c r="T28" s="3"/>
      <c r="U28" s="3"/>
    </row>
    <row r="29" spans="1:21" s="2" customFormat="1" ht="19" customHeight="1" x14ac:dyDescent="0.2">
      <c r="A29" s="8" t="s">
        <v>31</v>
      </c>
      <c r="B29" s="10">
        <f>220</f>
        <v>220</v>
      </c>
      <c r="C29" s="8" t="s">
        <v>34</v>
      </c>
      <c r="D29" s="9"/>
      <c r="E29" s="8" t="s">
        <v>32</v>
      </c>
      <c r="F29" s="11">
        <f>((F26)+(F27))+(F28)</f>
        <v>986.3</v>
      </c>
      <c r="G29" s="8" t="s">
        <v>32</v>
      </c>
      <c r="H29" s="11">
        <f>((H26)+(H27))+(H28)</f>
        <v>1869.7</v>
      </c>
      <c r="I29" s="8" t="s">
        <v>31</v>
      </c>
      <c r="J29" s="10">
        <f>220</f>
        <v>220</v>
      </c>
      <c r="K29" s="8" t="s">
        <v>33</v>
      </c>
      <c r="L29" s="11">
        <f>((L21)+(L24))+(L28)</f>
        <v>10150.230000000001</v>
      </c>
      <c r="M29" s="8" t="s">
        <v>30</v>
      </c>
      <c r="N29" s="10">
        <f>383.55</f>
        <v>383.55</v>
      </c>
      <c r="O29" s="8" t="s">
        <v>52</v>
      </c>
      <c r="P29" s="11">
        <f>(P27)+(P28)</f>
        <v>595.75</v>
      </c>
      <c r="Q29" s="3"/>
      <c r="R29" s="3"/>
      <c r="S29" s="3"/>
      <c r="T29" s="3"/>
      <c r="U29" s="3"/>
    </row>
    <row r="30" spans="1:21" s="2" customFormat="1" ht="19" customHeight="1" x14ac:dyDescent="0.2">
      <c r="A30" s="8" t="s">
        <v>32</v>
      </c>
      <c r="B30" s="11">
        <f>((B27)+(B28))+(B29)</f>
        <v>634.97</v>
      </c>
      <c r="C30" s="8" t="s">
        <v>36</v>
      </c>
      <c r="D30" s="10">
        <f>474.22</f>
        <v>474.22</v>
      </c>
      <c r="E30" s="8" t="s">
        <v>33</v>
      </c>
      <c r="F30" s="11">
        <f>((F22)+(F25))+(F29)</f>
        <v>23301.919999999998</v>
      </c>
      <c r="G30" s="8" t="s">
        <v>33</v>
      </c>
      <c r="H30" s="11">
        <f>((H22)+(H25))+(H29)</f>
        <v>28081.54</v>
      </c>
      <c r="I30" s="8" t="s">
        <v>32</v>
      </c>
      <c r="J30" s="11">
        <f>(((J26)+(J27))+(J28))+(J29)</f>
        <v>2077.89</v>
      </c>
      <c r="K30" s="8" t="s">
        <v>34</v>
      </c>
      <c r="L30" s="9"/>
      <c r="M30" s="8" t="s">
        <v>31</v>
      </c>
      <c r="N30" s="10">
        <f>220</f>
        <v>220</v>
      </c>
      <c r="O30" s="8" t="s">
        <v>69</v>
      </c>
      <c r="P30" s="10">
        <f>117</f>
        <v>117</v>
      </c>
      <c r="Q30" s="3"/>
      <c r="R30" s="3"/>
      <c r="S30" s="3"/>
      <c r="T30" s="3"/>
      <c r="U30" s="3"/>
    </row>
    <row r="31" spans="1:21" s="2" customFormat="1" ht="19" customHeight="1" x14ac:dyDescent="0.2">
      <c r="A31" s="8" t="s">
        <v>33</v>
      </c>
      <c r="B31" s="11">
        <f>((B23)+(B26))+(B30)</f>
        <v>16765.23</v>
      </c>
      <c r="C31" s="8" t="s">
        <v>37</v>
      </c>
      <c r="D31" s="11">
        <f>(D29)+(D30)</f>
        <v>474.22</v>
      </c>
      <c r="E31" s="8" t="s">
        <v>34</v>
      </c>
      <c r="F31" s="9"/>
      <c r="G31" s="8" t="s">
        <v>34</v>
      </c>
      <c r="H31" s="9"/>
      <c r="I31" s="8" t="s">
        <v>33</v>
      </c>
      <c r="J31" s="11">
        <f>((J22)+(J25))+(J30)</f>
        <v>16621.990000000002</v>
      </c>
      <c r="K31" s="8" t="s">
        <v>35</v>
      </c>
      <c r="L31" s="10">
        <f>1581.69</f>
        <v>1581.69</v>
      </c>
      <c r="M31" s="8" t="s">
        <v>32</v>
      </c>
      <c r="N31" s="11">
        <f>((N28)+(N29))+(N30)</f>
        <v>603.54999999999995</v>
      </c>
      <c r="O31" s="8" t="s">
        <v>53</v>
      </c>
      <c r="P31" s="11">
        <f>(((P25)+(P26))+(P29))+(P30)</f>
        <v>767.44</v>
      </c>
      <c r="Q31" s="3"/>
      <c r="R31" s="3"/>
      <c r="S31" s="3"/>
      <c r="T31" s="3"/>
      <c r="U31" s="3"/>
    </row>
    <row r="32" spans="1:21" s="2" customFormat="1" ht="19" customHeight="1" x14ac:dyDescent="0.2">
      <c r="A32" s="8" t="s">
        <v>34</v>
      </c>
      <c r="B32" s="9"/>
      <c r="C32" s="8" t="s">
        <v>38</v>
      </c>
      <c r="D32" s="9"/>
      <c r="E32" s="8" t="s">
        <v>36</v>
      </c>
      <c r="F32" s="10">
        <f>498.02</f>
        <v>498.02</v>
      </c>
      <c r="G32" s="8" t="s">
        <v>36</v>
      </c>
      <c r="H32" s="10">
        <f>1125.51</f>
        <v>1125.51</v>
      </c>
      <c r="I32" s="8" t="s">
        <v>34</v>
      </c>
      <c r="J32" s="9"/>
      <c r="K32" s="8" t="s">
        <v>36</v>
      </c>
      <c r="L32" s="10">
        <f>389.23</f>
        <v>389.23</v>
      </c>
      <c r="M32" s="8" t="s">
        <v>33</v>
      </c>
      <c r="N32" s="11">
        <f>((N24)+(N27))+(N31)</f>
        <v>29271.119999999999</v>
      </c>
      <c r="O32" s="8" t="s">
        <v>54</v>
      </c>
      <c r="P32" s="9"/>
      <c r="Q32" s="3"/>
      <c r="R32" s="3"/>
      <c r="S32" s="3"/>
      <c r="T32" s="3"/>
      <c r="U32" s="3"/>
    </row>
    <row r="33" spans="1:21" s="2" customFormat="1" ht="19" customHeight="1" x14ac:dyDescent="0.2">
      <c r="A33" s="8" t="s">
        <v>35</v>
      </c>
      <c r="B33" s="10">
        <f>124.19</f>
        <v>124.19</v>
      </c>
      <c r="C33" s="8" t="s">
        <v>39</v>
      </c>
      <c r="D33" s="10">
        <f>3025</f>
        <v>3025</v>
      </c>
      <c r="E33" s="8" t="s">
        <v>37</v>
      </c>
      <c r="F33" s="11">
        <f>(F31)+(F32)</f>
        <v>498.02</v>
      </c>
      <c r="G33" s="8" t="s">
        <v>37</v>
      </c>
      <c r="H33" s="11">
        <f>(H31)+(H32)</f>
        <v>1125.51</v>
      </c>
      <c r="I33" s="8" t="s">
        <v>35</v>
      </c>
      <c r="J33" s="10">
        <f>439.95</f>
        <v>439.95</v>
      </c>
      <c r="K33" s="8" t="s">
        <v>37</v>
      </c>
      <c r="L33" s="11">
        <f>((L30)+(L31))+(L32)</f>
        <v>1970.92</v>
      </c>
      <c r="M33" s="8" t="s">
        <v>34</v>
      </c>
      <c r="N33" s="9"/>
      <c r="O33" s="8" t="s">
        <v>55</v>
      </c>
      <c r="P33" s="10">
        <f>309</f>
        <v>309</v>
      </c>
      <c r="Q33" s="3"/>
      <c r="R33" s="3"/>
      <c r="S33" s="3"/>
      <c r="T33" s="3"/>
      <c r="U33" s="3"/>
    </row>
    <row r="34" spans="1:21" s="2" customFormat="1" ht="19" customHeight="1" x14ac:dyDescent="0.2">
      <c r="A34" s="8" t="s">
        <v>36</v>
      </c>
      <c r="B34" s="10">
        <f>2114.81</f>
        <v>2114.81</v>
      </c>
      <c r="C34" s="8" t="s">
        <v>40</v>
      </c>
      <c r="D34" s="10">
        <f>863.19</f>
        <v>863.19</v>
      </c>
      <c r="E34" s="8" t="s">
        <v>38</v>
      </c>
      <c r="F34" s="9"/>
      <c r="G34" s="8" t="s">
        <v>38</v>
      </c>
      <c r="H34" s="9"/>
      <c r="I34" s="8" t="s">
        <v>36</v>
      </c>
      <c r="J34" s="10">
        <f>439.3</f>
        <v>439.3</v>
      </c>
      <c r="K34" s="8" t="s">
        <v>38</v>
      </c>
      <c r="L34" s="9"/>
      <c r="M34" s="8" t="s">
        <v>35</v>
      </c>
      <c r="N34" s="10">
        <f>294.95</f>
        <v>294.95</v>
      </c>
      <c r="O34" s="8" t="s">
        <v>56</v>
      </c>
      <c r="P34" s="11">
        <f>(P32)+(P33)</f>
        <v>309</v>
      </c>
      <c r="Q34" s="3"/>
      <c r="R34" s="3"/>
      <c r="S34" s="3"/>
      <c r="T34" s="3"/>
      <c r="U34" s="3"/>
    </row>
    <row r="35" spans="1:21" s="2" customFormat="1" ht="19" customHeight="1" x14ac:dyDescent="0.2">
      <c r="A35" s="8" t="s">
        <v>37</v>
      </c>
      <c r="B35" s="11">
        <f>((B32)+(B33))+(B34)</f>
        <v>2239</v>
      </c>
      <c r="C35" s="8" t="s">
        <v>41</v>
      </c>
      <c r="D35" s="10">
        <f>362.89</f>
        <v>362.89</v>
      </c>
      <c r="E35" s="8" t="s">
        <v>39</v>
      </c>
      <c r="F35" s="10">
        <f>3025</f>
        <v>3025</v>
      </c>
      <c r="G35" s="8" t="s">
        <v>39</v>
      </c>
      <c r="H35" s="10">
        <f>3025</f>
        <v>3025</v>
      </c>
      <c r="I35" s="8" t="s">
        <v>37</v>
      </c>
      <c r="J35" s="11">
        <f>((J32)+(J33))+(J34)</f>
        <v>879.25</v>
      </c>
      <c r="K35" s="8" t="s">
        <v>40</v>
      </c>
      <c r="L35" s="10">
        <f>157.72</f>
        <v>157.72</v>
      </c>
      <c r="M35" s="8" t="s">
        <v>36</v>
      </c>
      <c r="N35" s="10">
        <f>426.16</f>
        <v>426.16</v>
      </c>
      <c r="O35" s="8" t="s">
        <v>57</v>
      </c>
      <c r="P35" s="9"/>
      <c r="Q35" s="3"/>
      <c r="R35" s="3"/>
      <c r="S35" s="3"/>
      <c r="T35" s="3"/>
      <c r="U35" s="3"/>
    </row>
    <row r="36" spans="1:21" s="2" customFormat="1" ht="19" customHeight="1" x14ac:dyDescent="0.2">
      <c r="A36" s="8" t="s">
        <v>38</v>
      </c>
      <c r="B36" s="9"/>
      <c r="C36" s="8" t="s">
        <v>42</v>
      </c>
      <c r="D36" s="10">
        <f>1026.79</f>
        <v>1026.79</v>
      </c>
      <c r="E36" s="8" t="s">
        <v>40</v>
      </c>
      <c r="F36" s="10">
        <f>774.55</f>
        <v>774.55</v>
      </c>
      <c r="G36" s="8" t="s">
        <v>40</v>
      </c>
      <c r="H36" s="10">
        <f>1249.84</f>
        <v>1249.8399999999999</v>
      </c>
      <c r="I36" s="8" t="s">
        <v>38</v>
      </c>
      <c r="J36" s="9"/>
      <c r="K36" s="8" t="s">
        <v>41</v>
      </c>
      <c r="L36" s="10">
        <f>1038.97</f>
        <v>1038.97</v>
      </c>
      <c r="M36" s="8" t="s">
        <v>37</v>
      </c>
      <c r="N36" s="11">
        <f>((N33)+(N34))+(N35)</f>
        <v>721.11</v>
      </c>
      <c r="O36" s="8" t="s">
        <v>88</v>
      </c>
      <c r="P36" s="10">
        <f>41.61</f>
        <v>41.61</v>
      </c>
      <c r="Q36" s="3"/>
      <c r="R36" s="3"/>
      <c r="S36" s="3"/>
      <c r="T36" s="3"/>
      <c r="U36" s="3"/>
    </row>
    <row r="37" spans="1:21" s="2" customFormat="1" ht="19" customHeight="1" x14ac:dyDescent="0.2">
      <c r="A37" s="8" t="s">
        <v>39</v>
      </c>
      <c r="B37" s="10">
        <f>3025</f>
        <v>3025</v>
      </c>
      <c r="C37" s="8" t="s">
        <v>48</v>
      </c>
      <c r="D37" s="9"/>
      <c r="E37" s="8" t="s">
        <v>41</v>
      </c>
      <c r="F37" s="10">
        <f>862.69</f>
        <v>862.69</v>
      </c>
      <c r="G37" s="8" t="s">
        <v>41</v>
      </c>
      <c r="H37" s="10">
        <f>946.32</f>
        <v>946.32</v>
      </c>
      <c r="I37" s="8" t="s">
        <v>39</v>
      </c>
      <c r="J37" s="10">
        <f>6050</f>
        <v>6050</v>
      </c>
      <c r="K37" s="8" t="s">
        <v>48</v>
      </c>
      <c r="L37" s="9"/>
      <c r="M37" s="8" t="s">
        <v>38</v>
      </c>
      <c r="N37" s="9"/>
      <c r="O37" s="8" t="s">
        <v>60</v>
      </c>
      <c r="P37" s="11">
        <f>(P35)+(P36)</f>
        <v>41.61</v>
      </c>
      <c r="Q37" s="3"/>
      <c r="R37" s="3"/>
      <c r="S37" s="3"/>
      <c r="T37" s="3"/>
      <c r="U37" s="3"/>
    </row>
    <row r="38" spans="1:21" s="2" customFormat="1" ht="19" customHeight="1" x14ac:dyDescent="0.2">
      <c r="A38" s="8" t="s">
        <v>40</v>
      </c>
      <c r="B38" s="10">
        <f>649.92</f>
        <v>649.91999999999996</v>
      </c>
      <c r="C38" s="8" t="s">
        <v>50</v>
      </c>
      <c r="D38" s="10">
        <f>1906.88</f>
        <v>1906.88</v>
      </c>
      <c r="E38" s="8" t="s">
        <v>42</v>
      </c>
      <c r="F38" s="10">
        <f>1172.46</f>
        <v>1172.46</v>
      </c>
      <c r="G38" s="8" t="s">
        <v>42</v>
      </c>
      <c r="H38" s="10">
        <f>1715.3</f>
        <v>1715.3</v>
      </c>
      <c r="I38" s="8" t="s">
        <v>40</v>
      </c>
      <c r="J38" s="10">
        <f>1093.23</f>
        <v>1093.23</v>
      </c>
      <c r="K38" s="8" t="s">
        <v>50</v>
      </c>
      <c r="L38" s="10">
        <f>1920.24</f>
        <v>1920.24</v>
      </c>
      <c r="M38" s="8" t="s">
        <v>40</v>
      </c>
      <c r="N38" s="10">
        <f>245.47</f>
        <v>245.47</v>
      </c>
      <c r="O38" s="8" t="s">
        <v>61</v>
      </c>
      <c r="P38" s="10">
        <f>-0.01</f>
        <v>-0.01</v>
      </c>
      <c r="Q38" s="3"/>
      <c r="R38" s="3"/>
      <c r="S38" s="3"/>
      <c r="T38" s="3"/>
      <c r="U38" s="3"/>
    </row>
    <row r="39" spans="1:21" s="2" customFormat="1" ht="19" customHeight="1" x14ac:dyDescent="0.2">
      <c r="A39" s="8" t="s">
        <v>41</v>
      </c>
      <c r="B39" s="10">
        <f>784.85</f>
        <v>784.85</v>
      </c>
      <c r="C39" s="8" t="s">
        <v>51</v>
      </c>
      <c r="D39" s="10">
        <f>23.75</f>
        <v>23.75</v>
      </c>
      <c r="E39" s="8" t="s">
        <v>48</v>
      </c>
      <c r="F39" s="9"/>
      <c r="G39" s="8" t="s">
        <v>75</v>
      </c>
      <c r="H39" s="10">
        <f>374.3</f>
        <v>374.3</v>
      </c>
      <c r="I39" s="8" t="s">
        <v>41</v>
      </c>
      <c r="J39" s="10">
        <f>671.5</f>
        <v>671.5</v>
      </c>
      <c r="K39" s="8" t="s">
        <v>51</v>
      </c>
      <c r="L39" s="10">
        <f>13.93</f>
        <v>13.93</v>
      </c>
      <c r="M39" s="8" t="s">
        <v>41</v>
      </c>
      <c r="N39" s="10">
        <f>816.39</f>
        <v>816.39</v>
      </c>
      <c r="O39" s="8" t="s">
        <v>62</v>
      </c>
      <c r="P39" s="10">
        <f>38934.51</f>
        <v>38934.51</v>
      </c>
      <c r="Q39" s="3"/>
      <c r="R39" s="3"/>
      <c r="S39" s="3"/>
      <c r="T39" s="3"/>
      <c r="U39" s="3"/>
    </row>
    <row r="40" spans="1:21" s="2" customFormat="1" ht="19" customHeight="1" x14ac:dyDescent="0.2">
      <c r="A40" s="8" t="s">
        <v>42</v>
      </c>
      <c r="B40" s="10">
        <f>627.17</f>
        <v>627.16999999999996</v>
      </c>
      <c r="C40" s="8" t="s">
        <v>52</v>
      </c>
      <c r="D40" s="11">
        <f>((D37)+(D38))+(D39)</f>
        <v>1930.63</v>
      </c>
      <c r="E40" s="8" t="s">
        <v>50</v>
      </c>
      <c r="F40" s="10">
        <f>1734.59</f>
        <v>1734.59</v>
      </c>
      <c r="G40" s="8" t="s">
        <v>48</v>
      </c>
      <c r="H40" s="9"/>
      <c r="I40" s="8" t="s">
        <v>42</v>
      </c>
      <c r="J40" s="10">
        <f>3246.94</f>
        <v>3246.94</v>
      </c>
      <c r="K40" s="8" t="s">
        <v>52</v>
      </c>
      <c r="L40" s="11">
        <f>((L37)+(L38))+(L39)</f>
        <v>1934.17</v>
      </c>
      <c r="M40" s="8" t="s">
        <v>48</v>
      </c>
      <c r="N40" s="9"/>
      <c r="O40" s="8" t="s">
        <v>64</v>
      </c>
      <c r="P40" s="11">
        <f>(P38)+(P39)</f>
        <v>38934.5</v>
      </c>
      <c r="Q40" s="3"/>
      <c r="R40" s="3"/>
      <c r="S40" s="3"/>
      <c r="T40" s="3"/>
      <c r="U40" s="3"/>
    </row>
    <row r="41" spans="1:21" s="2" customFormat="1" ht="19" customHeight="1" x14ac:dyDescent="0.2">
      <c r="A41" s="8" t="s">
        <v>43</v>
      </c>
      <c r="B41" s="9"/>
      <c r="C41" s="8" t="s">
        <v>69</v>
      </c>
      <c r="D41" s="10">
        <f>39</f>
        <v>39</v>
      </c>
      <c r="E41" s="8" t="s">
        <v>51</v>
      </c>
      <c r="F41" s="10">
        <f>213.61</f>
        <v>213.61</v>
      </c>
      <c r="G41" s="8" t="s">
        <v>50</v>
      </c>
      <c r="H41" s="10">
        <f>1263.74</f>
        <v>1263.74</v>
      </c>
      <c r="I41" s="8" t="s">
        <v>48</v>
      </c>
      <c r="J41" s="9"/>
      <c r="K41" s="8" t="s">
        <v>69</v>
      </c>
      <c r="L41" s="10">
        <f>-0.72</f>
        <v>-0.72</v>
      </c>
      <c r="M41" s="8" t="s">
        <v>50</v>
      </c>
      <c r="N41" s="10">
        <f>1186.61</f>
        <v>1186.6099999999999</v>
      </c>
      <c r="O41" s="8" t="s">
        <v>65</v>
      </c>
      <c r="P41" s="11">
        <f>(((((P21)+(P24))+(P31))+(P34))+(P37))+(P40)</f>
        <v>42251.43</v>
      </c>
      <c r="Q41" s="3"/>
      <c r="R41" s="3"/>
      <c r="S41" s="3"/>
      <c r="T41" s="3"/>
      <c r="U41" s="3"/>
    </row>
    <row r="42" spans="1:21" s="2" customFormat="1" ht="19" customHeight="1" x14ac:dyDescent="0.2">
      <c r="A42" s="8" t="s">
        <v>44</v>
      </c>
      <c r="B42" s="10">
        <f>2384.27</f>
        <v>2384.27</v>
      </c>
      <c r="C42" s="8" t="s">
        <v>53</v>
      </c>
      <c r="D42" s="11">
        <f>((((((D32)+(D33))+(D34))+(D35))+(D36))+(D40))+(D41)</f>
        <v>7247.5</v>
      </c>
      <c r="E42" s="8" t="s">
        <v>52</v>
      </c>
      <c r="F42" s="11">
        <f>((F39)+(F40))+(F41)</f>
        <v>1948.1999999999998</v>
      </c>
      <c r="G42" s="8" t="s">
        <v>51</v>
      </c>
      <c r="H42" s="10">
        <f>774.56</f>
        <v>774.56</v>
      </c>
      <c r="I42" s="8" t="s">
        <v>50</v>
      </c>
      <c r="J42" s="10">
        <f>2070.02</f>
        <v>2070.02</v>
      </c>
      <c r="K42" s="8" t="s">
        <v>53</v>
      </c>
      <c r="L42" s="11">
        <f>((((L34)+(L35))+(L36))+(L40))+(L41)</f>
        <v>3130.1400000000003</v>
      </c>
      <c r="M42" s="8" t="s">
        <v>51</v>
      </c>
      <c r="N42" s="10">
        <f>244.42</f>
        <v>244.42</v>
      </c>
      <c r="O42" s="8" t="s">
        <v>66</v>
      </c>
      <c r="P42" s="11">
        <f>(P16)-(P41)</f>
        <v>109301.13999999998</v>
      </c>
      <c r="Q42" s="3"/>
      <c r="R42" s="3"/>
      <c r="S42" s="3"/>
      <c r="T42" s="3"/>
      <c r="U42" s="3"/>
    </row>
    <row r="43" spans="1:21" s="2" customFormat="1" ht="19" customHeight="1" x14ac:dyDescent="0.2">
      <c r="A43" s="8" t="s">
        <v>45</v>
      </c>
      <c r="B43" s="10">
        <f>1722.49</f>
        <v>1722.49</v>
      </c>
      <c r="C43" s="8" t="s">
        <v>57</v>
      </c>
      <c r="D43" s="9"/>
      <c r="E43" s="8" t="s">
        <v>53</v>
      </c>
      <c r="F43" s="11">
        <f>(((((F34)+(F35))+(F36))+(F37))+(F38))+(F42)</f>
        <v>7782.9</v>
      </c>
      <c r="G43" s="8" t="s">
        <v>52</v>
      </c>
      <c r="H43" s="11">
        <f>((H40)+(H41))+(H42)</f>
        <v>2038.3</v>
      </c>
      <c r="I43" s="8" t="s">
        <v>78</v>
      </c>
      <c r="J43" s="10">
        <f>813</f>
        <v>813</v>
      </c>
      <c r="K43" s="8" t="s">
        <v>54</v>
      </c>
      <c r="L43" s="9"/>
      <c r="M43" s="8" t="s">
        <v>52</v>
      </c>
      <c r="N43" s="11">
        <f>((N40)+(N41))+(N42)</f>
        <v>1431.03</v>
      </c>
      <c r="O43" s="8" t="s">
        <v>67</v>
      </c>
      <c r="P43" s="11">
        <f>(P42)+(0)</f>
        <v>109301.13999999998</v>
      </c>
      <c r="Q43" s="3"/>
      <c r="R43" s="3"/>
      <c r="S43" s="3"/>
      <c r="T43" s="3"/>
      <c r="U43" s="3"/>
    </row>
    <row r="44" spans="1:21" s="2" customFormat="1" ht="19" customHeight="1" x14ac:dyDescent="0.2">
      <c r="A44" s="8" t="s">
        <v>46</v>
      </c>
      <c r="B44" s="10">
        <f>103</f>
        <v>103</v>
      </c>
      <c r="C44" s="8" t="s">
        <v>59</v>
      </c>
      <c r="D44" s="10">
        <f>208.75</f>
        <v>208.75</v>
      </c>
      <c r="E44" s="8" t="s">
        <v>54</v>
      </c>
      <c r="F44" s="9"/>
      <c r="G44" s="8" t="s">
        <v>69</v>
      </c>
      <c r="H44" s="10">
        <f>345</f>
        <v>345</v>
      </c>
      <c r="I44" s="8" t="s">
        <v>51</v>
      </c>
      <c r="J44" s="10">
        <f>314.82</f>
        <v>314.82</v>
      </c>
      <c r="K44" s="8" t="s">
        <v>55</v>
      </c>
      <c r="L44" s="10">
        <f>600</f>
        <v>600</v>
      </c>
      <c r="M44" s="8" t="s">
        <v>69</v>
      </c>
      <c r="N44" s="10">
        <f>-0.28</f>
        <v>-0.28000000000000003</v>
      </c>
      <c r="O44" s="3"/>
      <c r="P44" s="3"/>
      <c r="Q44" s="3"/>
      <c r="R44" s="3"/>
      <c r="S44" s="3"/>
      <c r="T44" s="3"/>
      <c r="U44" s="3"/>
    </row>
    <row r="45" spans="1:21" s="2" customFormat="1" ht="19" customHeight="1" x14ac:dyDescent="0.2">
      <c r="A45" s="8" t="s">
        <v>47</v>
      </c>
      <c r="B45" s="11">
        <f>(((B41)+(B42))+(B43))+(B44)</f>
        <v>4209.76</v>
      </c>
      <c r="C45" s="8" t="s">
        <v>60</v>
      </c>
      <c r="D45" s="11">
        <f>(D43)+(D44)</f>
        <v>208.75</v>
      </c>
      <c r="E45" s="8" t="s">
        <v>55</v>
      </c>
      <c r="F45" s="10">
        <f>625</f>
        <v>625</v>
      </c>
      <c r="G45" s="8" t="s">
        <v>53</v>
      </c>
      <c r="H45" s="11">
        <f>(((((((H34)+(H35))+(H36))+(H37))+(H38))+(H39))+(H43))+(H44)</f>
        <v>9694.06</v>
      </c>
      <c r="I45" s="8" t="s">
        <v>52</v>
      </c>
      <c r="J45" s="11">
        <f>(((J41)+(J42))+(J43))+(J44)</f>
        <v>3197.84</v>
      </c>
      <c r="K45" s="8" t="s">
        <v>56</v>
      </c>
      <c r="L45" s="11">
        <f>(L43)+(L44)</f>
        <v>600</v>
      </c>
      <c r="M45" s="8" t="s">
        <v>53</v>
      </c>
      <c r="N45" s="11">
        <f>((((N37)+(N38))+(N39))+(N43))+(N44)</f>
        <v>2492.6099999999997</v>
      </c>
      <c r="O45" s="3"/>
      <c r="P45" s="3"/>
      <c r="Q45" s="3"/>
      <c r="R45" s="3"/>
      <c r="S45" s="3"/>
      <c r="T45" s="3"/>
      <c r="U45" s="3"/>
    </row>
    <row r="46" spans="1:21" s="2" customFormat="1" ht="19" customHeight="1" x14ac:dyDescent="0.2">
      <c r="A46" s="8" t="s">
        <v>48</v>
      </c>
      <c r="B46" s="9"/>
      <c r="C46" s="8" t="s">
        <v>61</v>
      </c>
      <c r="D46" s="10">
        <f>15894.45</f>
        <v>15894.45</v>
      </c>
      <c r="E46" s="8" t="s">
        <v>56</v>
      </c>
      <c r="F46" s="11">
        <f>(F44)+(F45)</f>
        <v>625</v>
      </c>
      <c r="G46" s="8" t="s">
        <v>54</v>
      </c>
      <c r="H46" s="9"/>
      <c r="I46" s="8" t="s">
        <v>53</v>
      </c>
      <c r="J46" s="11">
        <f>(((((J36)+(J37))+(J38))+(J39))+(J40))+(J45)</f>
        <v>14259.51</v>
      </c>
      <c r="K46" s="8" t="s">
        <v>57</v>
      </c>
      <c r="L46" s="9"/>
      <c r="M46" s="8" t="s">
        <v>54</v>
      </c>
      <c r="N46" s="9"/>
      <c r="O46" s="3"/>
      <c r="P46" s="3"/>
      <c r="Q46" s="3"/>
      <c r="R46" s="3"/>
      <c r="S46" s="3"/>
      <c r="T46" s="3"/>
      <c r="U46" s="3"/>
    </row>
    <row r="47" spans="1:21" s="2" customFormat="1" ht="19" customHeight="1" x14ac:dyDescent="0.2">
      <c r="A47" s="8" t="s">
        <v>49</v>
      </c>
      <c r="B47" s="10">
        <f>656.82</f>
        <v>656.82</v>
      </c>
      <c r="C47" s="8" t="s">
        <v>62</v>
      </c>
      <c r="D47" s="10">
        <f>34645</f>
        <v>34645</v>
      </c>
      <c r="E47" s="8" t="s">
        <v>57</v>
      </c>
      <c r="F47" s="9"/>
      <c r="G47" s="8" t="s">
        <v>55</v>
      </c>
      <c r="H47" s="10">
        <f>300</f>
        <v>300</v>
      </c>
      <c r="I47" s="8" t="s">
        <v>57</v>
      </c>
      <c r="J47" s="9"/>
      <c r="K47" s="8" t="s">
        <v>58</v>
      </c>
      <c r="L47" s="10">
        <f>49</f>
        <v>49</v>
      </c>
      <c r="M47" s="8" t="s">
        <v>55</v>
      </c>
      <c r="N47" s="10">
        <f>309</f>
        <v>309</v>
      </c>
      <c r="O47" s="3"/>
      <c r="P47" s="3"/>
      <c r="Q47" s="3"/>
      <c r="R47" s="3"/>
      <c r="S47" s="3"/>
      <c r="T47" s="3"/>
      <c r="U47" s="3"/>
    </row>
    <row r="48" spans="1:21" s="2" customFormat="1" ht="19" customHeight="1" x14ac:dyDescent="0.2">
      <c r="A48" s="8" t="s">
        <v>50</v>
      </c>
      <c r="B48" s="10">
        <f>1708.47</f>
        <v>1708.47</v>
      </c>
      <c r="C48" s="8" t="s">
        <v>63</v>
      </c>
      <c r="D48" s="10">
        <f>3966</f>
        <v>3966</v>
      </c>
      <c r="E48" s="8" t="s">
        <v>59</v>
      </c>
      <c r="F48" s="10">
        <f>208.75</f>
        <v>208.75</v>
      </c>
      <c r="G48" s="8" t="s">
        <v>56</v>
      </c>
      <c r="H48" s="11">
        <f>(H46)+(H47)</f>
        <v>300</v>
      </c>
      <c r="I48" s="8" t="s">
        <v>59</v>
      </c>
      <c r="J48" s="10">
        <f>208.78</f>
        <v>208.78</v>
      </c>
      <c r="K48" s="8" t="s">
        <v>59</v>
      </c>
      <c r="L48" s="10">
        <f>214.59</f>
        <v>214.59</v>
      </c>
      <c r="M48" s="8" t="s">
        <v>56</v>
      </c>
      <c r="N48" s="11">
        <f>(N46)+(N47)</f>
        <v>309</v>
      </c>
      <c r="O48" s="3"/>
      <c r="P48" s="3"/>
      <c r="Q48" s="3"/>
      <c r="R48" s="3"/>
      <c r="S48" s="3"/>
      <c r="T48" s="3"/>
      <c r="U48" s="3"/>
    </row>
    <row r="49" spans="1:21" s="2" customFormat="1" ht="19" customHeight="1" x14ac:dyDescent="0.2">
      <c r="A49" s="8" t="s">
        <v>51</v>
      </c>
      <c r="B49" s="10">
        <f>197.29</f>
        <v>197.29</v>
      </c>
      <c r="C49" s="8" t="s">
        <v>64</v>
      </c>
      <c r="D49" s="11">
        <f>((D46)+(D47))+(D48)</f>
        <v>54505.45</v>
      </c>
      <c r="E49" s="8" t="s">
        <v>60</v>
      </c>
      <c r="F49" s="11">
        <f>(F47)+(F48)</f>
        <v>208.75</v>
      </c>
      <c r="G49" s="8" t="s">
        <v>57</v>
      </c>
      <c r="H49" s="9"/>
      <c r="I49" s="8" t="s">
        <v>60</v>
      </c>
      <c r="J49" s="11">
        <f>(J47)+(J48)</f>
        <v>208.78</v>
      </c>
      <c r="K49" s="8" t="s">
        <v>60</v>
      </c>
      <c r="L49" s="11">
        <f>((L46)+(L47))+(L48)</f>
        <v>263.59000000000003</v>
      </c>
      <c r="M49" s="8" t="s">
        <v>57</v>
      </c>
      <c r="N49" s="9"/>
      <c r="O49" s="3"/>
      <c r="P49" s="3"/>
      <c r="Q49" s="3"/>
      <c r="R49" s="3"/>
      <c r="S49" s="3"/>
      <c r="T49" s="3"/>
      <c r="U49" s="3"/>
    </row>
    <row r="50" spans="1:21" s="2" customFormat="1" ht="19" customHeight="1" x14ac:dyDescent="0.2">
      <c r="A50" s="8" t="s">
        <v>52</v>
      </c>
      <c r="B50" s="11">
        <f>(((B46)+(B47))+(B48))+(B49)</f>
        <v>2562.58</v>
      </c>
      <c r="C50" s="8" t="s">
        <v>65</v>
      </c>
      <c r="D50" s="11">
        <f>(((((D20)+(D28))+(D31))+(D42))+(D45))+(D49)</f>
        <v>80668.61</v>
      </c>
      <c r="E50" s="8" t="s">
        <v>61</v>
      </c>
      <c r="F50" s="10">
        <f>732.42</f>
        <v>732.42</v>
      </c>
      <c r="G50" s="8" t="s">
        <v>59</v>
      </c>
      <c r="H50" s="10">
        <f>208.75</f>
        <v>208.75</v>
      </c>
      <c r="I50" s="8" t="s">
        <v>61</v>
      </c>
      <c r="J50" s="10">
        <f>20063.16</f>
        <v>20063.16</v>
      </c>
      <c r="K50" s="8" t="s">
        <v>61</v>
      </c>
      <c r="L50" s="10">
        <f>46582.21</f>
        <v>46582.21</v>
      </c>
      <c r="M50" s="8" t="s">
        <v>58</v>
      </c>
      <c r="N50" s="10">
        <f>14754.5</f>
        <v>14754.5</v>
      </c>
      <c r="O50" s="3"/>
      <c r="P50" s="3"/>
      <c r="Q50" s="3"/>
      <c r="R50" s="3"/>
      <c r="S50" s="3"/>
      <c r="T50" s="3"/>
      <c r="U50" s="3"/>
    </row>
    <row r="51" spans="1:21" s="2" customFormat="1" ht="19" customHeight="1" x14ac:dyDescent="0.2">
      <c r="A51" s="8" t="s">
        <v>53</v>
      </c>
      <c r="B51" s="11">
        <f>((((((B36)+(B37))+(B38))+(B39))+(B40))+(B45))+(B50)</f>
        <v>11859.28</v>
      </c>
      <c r="C51" s="8" t="s">
        <v>66</v>
      </c>
      <c r="D51" s="11">
        <f>(D16)-(D50)</f>
        <v>58231.58</v>
      </c>
      <c r="E51" s="8" t="s">
        <v>62</v>
      </c>
      <c r="F51" s="10">
        <f>33104.08</f>
        <v>33104.080000000002</v>
      </c>
      <c r="G51" s="8" t="s">
        <v>60</v>
      </c>
      <c r="H51" s="11">
        <f>(H49)+(H50)</f>
        <v>208.75</v>
      </c>
      <c r="I51" s="8" t="s">
        <v>62</v>
      </c>
      <c r="J51" s="10">
        <f>11042</f>
        <v>11042</v>
      </c>
      <c r="K51" s="8" t="s">
        <v>62</v>
      </c>
      <c r="L51" s="10">
        <f>55167.47</f>
        <v>55167.47</v>
      </c>
      <c r="M51" s="8" t="s">
        <v>59</v>
      </c>
      <c r="N51" s="10">
        <f>214.68</f>
        <v>214.68</v>
      </c>
      <c r="O51" s="3"/>
      <c r="P51" s="3"/>
      <c r="Q51" s="3"/>
      <c r="R51" s="3"/>
      <c r="S51" s="3"/>
      <c r="T51" s="3"/>
      <c r="U51" s="3"/>
    </row>
    <row r="52" spans="1:21" s="2" customFormat="1" ht="19" customHeight="1" x14ac:dyDescent="0.2">
      <c r="A52" s="8" t="s">
        <v>54</v>
      </c>
      <c r="B52" s="9"/>
      <c r="C52" s="8" t="s">
        <v>67</v>
      </c>
      <c r="D52" s="11">
        <f>(D51)+(0)</f>
        <v>58231.58</v>
      </c>
      <c r="E52" s="8" t="s">
        <v>63</v>
      </c>
      <c r="F52" s="10">
        <f>410</f>
        <v>410</v>
      </c>
      <c r="G52" s="8" t="s">
        <v>61</v>
      </c>
      <c r="H52" s="10">
        <f>341.88</f>
        <v>341.88</v>
      </c>
      <c r="I52" s="8" t="s">
        <v>64</v>
      </c>
      <c r="J52" s="11">
        <f>(J50)+(J51)</f>
        <v>31105.16</v>
      </c>
      <c r="K52" s="8" t="s">
        <v>63</v>
      </c>
      <c r="L52" s="10">
        <f>4150</f>
        <v>4150</v>
      </c>
      <c r="M52" s="8" t="s">
        <v>60</v>
      </c>
      <c r="N52" s="11">
        <f>((N49)+(N50))+(N51)</f>
        <v>14969.18</v>
      </c>
      <c r="O52" s="3"/>
      <c r="P52" s="3"/>
      <c r="Q52" s="3"/>
      <c r="R52" s="3"/>
      <c r="S52" s="3"/>
      <c r="T52" s="3"/>
      <c r="U52" s="3"/>
    </row>
    <row r="53" spans="1:21" s="2" customFormat="1" ht="19" customHeight="1" x14ac:dyDescent="0.2">
      <c r="A53" s="8" t="s">
        <v>55</v>
      </c>
      <c r="B53" s="10">
        <f>600</f>
        <v>600</v>
      </c>
      <c r="C53" s="3"/>
      <c r="D53" s="3"/>
      <c r="E53" s="8" t="s">
        <v>64</v>
      </c>
      <c r="F53" s="11">
        <f>((F50)+(F51))+(F52)</f>
        <v>34246.5</v>
      </c>
      <c r="G53" s="8" t="s">
        <v>62</v>
      </c>
      <c r="H53" s="10">
        <f>16550</f>
        <v>16550</v>
      </c>
      <c r="I53" s="8" t="s">
        <v>65</v>
      </c>
      <c r="J53" s="11">
        <f>(((((J21)+(J31))+(J35))+(J46))+(J49))+(J52)</f>
        <v>64799.45</v>
      </c>
      <c r="K53" s="8" t="s">
        <v>64</v>
      </c>
      <c r="L53" s="11">
        <f>((L50)+(L51))+(L52)</f>
        <v>105899.68</v>
      </c>
      <c r="M53" s="8" t="s">
        <v>61</v>
      </c>
      <c r="N53" s="10">
        <f>324.13</f>
        <v>324.13</v>
      </c>
      <c r="O53" s="3"/>
      <c r="P53" s="3"/>
      <c r="Q53" s="3"/>
      <c r="R53" s="3"/>
      <c r="S53" s="3"/>
      <c r="T53" s="3"/>
      <c r="U53" s="3"/>
    </row>
    <row r="54" spans="1:21" s="2" customFormat="1" ht="19" customHeight="1" x14ac:dyDescent="0.2">
      <c r="A54" s="8" t="s">
        <v>56</v>
      </c>
      <c r="B54" s="11">
        <f>(B52)+(B53)</f>
        <v>600</v>
      </c>
      <c r="C54" s="3"/>
      <c r="D54" s="3"/>
      <c r="E54" s="8" t="s">
        <v>65</v>
      </c>
      <c r="F54" s="11">
        <f>((((((F21)+(F30))+(F33))+(F43))+(F46))+(F49))+(F53)</f>
        <v>68773.16</v>
      </c>
      <c r="G54" s="8" t="s">
        <v>63</v>
      </c>
      <c r="H54" s="10">
        <f>900</f>
        <v>900</v>
      </c>
      <c r="I54" s="8" t="s">
        <v>66</v>
      </c>
      <c r="J54" s="11">
        <f>(J17)-(J53)</f>
        <v>24036.210000000006</v>
      </c>
      <c r="K54" s="8" t="s">
        <v>65</v>
      </c>
      <c r="L54" s="11">
        <f>((((((L20)+(L29))+(L33))+(L42))+(L45))+(L49))+(L53)</f>
        <v>124821.09</v>
      </c>
      <c r="M54" s="8" t="s">
        <v>62</v>
      </c>
      <c r="N54" s="10">
        <f>15775</f>
        <v>15775</v>
      </c>
      <c r="O54" s="3"/>
      <c r="P54" s="3"/>
      <c r="Q54" s="3"/>
      <c r="R54" s="3"/>
      <c r="S54" s="3"/>
      <c r="T54" s="3"/>
      <c r="U54" s="3"/>
    </row>
    <row r="55" spans="1:21" s="2" customFormat="1" ht="19" customHeight="1" x14ac:dyDescent="0.2">
      <c r="A55" s="8" t="s">
        <v>57</v>
      </c>
      <c r="B55" s="9"/>
      <c r="C55" s="3"/>
      <c r="D55" s="3"/>
      <c r="E55" s="8" t="s">
        <v>66</v>
      </c>
      <c r="F55" s="11">
        <f>(F17)-(F54)</f>
        <v>5292.5299999999988</v>
      </c>
      <c r="G55" s="8" t="s">
        <v>64</v>
      </c>
      <c r="H55" s="11">
        <f>((H52)+(H53))+(H54)</f>
        <v>17791.88</v>
      </c>
      <c r="I55" s="8" t="s">
        <v>67</v>
      </c>
      <c r="J55" s="11">
        <f>(J54)+(0)</f>
        <v>24036.210000000006</v>
      </c>
      <c r="K55" s="8" t="s">
        <v>66</v>
      </c>
      <c r="L55" s="11">
        <f>(L16)-(L54)</f>
        <v>32898.299999999988</v>
      </c>
      <c r="M55" s="8" t="s">
        <v>63</v>
      </c>
      <c r="N55" s="10">
        <f>3407</f>
        <v>3407</v>
      </c>
      <c r="O55" s="3"/>
      <c r="P55" s="3"/>
      <c r="Q55" s="3"/>
      <c r="R55" s="3"/>
      <c r="S55" s="3"/>
      <c r="T55" s="3"/>
      <c r="U55" s="3"/>
    </row>
    <row r="56" spans="1:21" s="2" customFormat="1" ht="19" customHeight="1" x14ac:dyDescent="0.2">
      <c r="A56" s="8" t="s">
        <v>58</v>
      </c>
      <c r="B56" s="10">
        <f>70</f>
        <v>70</v>
      </c>
      <c r="C56" s="3"/>
      <c r="D56" s="3"/>
      <c r="E56" s="8" t="s">
        <v>67</v>
      </c>
      <c r="F56" s="11">
        <f>(F55)+(0)</f>
        <v>5292.5299999999988</v>
      </c>
      <c r="G56" s="8" t="s">
        <v>65</v>
      </c>
      <c r="H56" s="11">
        <f>((((((H21)+(H30))+(H33))+(H45))+(H48))+(H51))+(H55)</f>
        <v>57650.740000000005</v>
      </c>
      <c r="I56" s="3"/>
      <c r="J56" s="3"/>
      <c r="K56" s="8" t="s">
        <v>80</v>
      </c>
      <c r="L56" s="9"/>
      <c r="M56" s="8" t="s">
        <v>64</v>
      </c>
      <c r="N56" s="11">
        <f>((N53)+(N54))+(N55)</f>
        <v>19506.129999999997</v>
      </c>
      <c r="O56" s="3"/>
      <c r="P56" s="3"/>
      <c r="Q56" s="3"/>
      <c r="R56" s="3"/>
      <c r="S56" s="3"/>
      <c r="T56" s="3"/>
      <c r="U56" s="3"/>
    </row>
    <row r="57" spans="1:21" s="2" customFormat="1" ht="19" customHeight="1" x14ac:dyDescent="0.2">
      <c r="A57" s="8" t="s">
        <v>59</v>
      </c>
      <c r="B57" s="10">
        <f>208.75</f>
        <v>208.75</v>
      </c>
      <c r="C57" s="3"/>
      <c r="D57" s="3"/>
      <c r="E57" s="3"/>
      <c r="F57" s="3"/>
      <c r="G57" s="8" t="s">
        <v>66</v>
      </c>
      <c r="H57" s="11">
        <f>(H17)-(H56)</f>
        <v>-9677.7200000000084</v>
      </c>
      <c r="I57" s="3"/>
      <c r="J57" s="3"/>
      <c r="K57" s="8" t="s">
        <v>81</v>
      </c>
      <c r="L57" s="9"/>
      <c r="M57" s="8" t="s">
        <v>65</v>
      </c>
      <c r="N57" s="11">
        <f>((((((N23)+(N32))+(N36))+(N45))+(N48))+(N52))+(N56)</f>
        <v>70150.92</v>
      </c>
      <c r="O57" s="3"/>
      <c r="P57" s="3"/>
      <c r="Q57" s="3"/>
      <c r="R57" s="3"/>
      <c r="S57" s="3"/>
      <c r="T57" s="3"/>
      <c r="U57" s="3"/>
    </row>
    <row r="58" spans="1:21" s="2" customFormat="1" ht="19" customHeight="1" x14ac:dyDescent="0.2">
      <c r="A58" s="8" t="s">
        <v>60</v>
      </c>
      <c r="B58" s="11">
        <f>((B55)+(B56))+(B57)</f>
        <v>278.75</v>
      </c>
      <c r="C58" s="3"/>
      <c r="D58" s="3"/>
      <c r="E58" s="3"/>
      <c r="F58" s="3"/>
      <c r="G58" s="8" t="s">
        <v>67</v>
      </c>
      <c r="H58" s="11">
        <f>(H57)+(0)</f>
        <v>-9677.7200000000084</v>
      </c>
      <c r="I58" s="3"/>
      <c r="J58" s="3"/>
      <c r="K58" s="8" t="s">
        <v>82</v>
      </c>
      <c r="L58" s="10">
        <f>37.92</f>
        <v>37.92</v>
      </c>
      <c r="M58" s="8" t="s">
        <v>66</v>
      </c>
      <c r="N58" s="11">
        <f>(N18)-(N57)</f>
        <v>-35873.03</v>
      </c>
      <c r="O58" s="3"/>
      <c r="P58" s="3"/>
      <c r="Q58" s="3"/>
      <c r="R58" s="3"/>
      <c r="S58" s="3"/>
      <c r="T58" s="3"/>
      <c r="U58" s="3"/>
    </row>
    <row r="59" spans="1:21" s="2" customFormat="1" ht="19" customHeight="1" x14ac:dyDescent="0.2">
      <c r="A59" s="8" t="s">
        <v>61</v>
      </c>
      <c r="B59" s="10">
        <f>1849.48</f>
        <v>1849.48</v>
      </c>
      <c r="C59" s="3"/>
      <c r="D59" s="3"/>
      <c r="E59" s="3"/>
      <c r="F59" s="3"/>
      <c r="G59" s="3"/>
      <c r="H59" s="3"/>
      <c r="I59" s="3"/>
      <c r="J59" s="3"/>
      <c r="K59" s="8" t="s">
        <v>83</v>
      </c>
      <c r="L59" s="11">
        <f>(L57)+(L58)</f>
        <v>37.92</v>
      </c>
      <c r="M59" s="8" t="s">
        <v>80</v>
      </c>
      <c r="N59" s="9"/>
      <c r="O59" s="3"/>
      <c r="P59" s="3"/>
      <c r="Q59" s="3"/>
      <c r="R59" s="3"/>
      <c r="S59" s="3"/>
      <c r="T59" s="3"/>
      <c r="U59" s="3"/>
    </row>
    <row r="60" spans="1:21" s="2" customFormat="1" ht="19" customHeight="1" x14ac:dyDescent="0.2">
      <c r="A60" s="8" t="s">
        <v>62</v>
      </c>
      <c r="B60" s="10">
        <f>16700.21</f>
        <v>16700.21</v>
      </c>
      <c r="C60" s="3"/>
      <c r="D60" s="3"/>
      <c r="E60" s="3"/>
      <c r="F60" s="3"/>
      <c r="G60" s="3"/>
      <c r="H60" s="3"/>
      <c r="I60" s="3"/>
      <c r="J60" s="3"/>
      <c r="K60" s="8" t="s">
        <v>84</v>
      </c>
      <c r="L60" s="11">
        <f>L59</f>
        <v>37.92</v>
      </c>
      <c r="M60" s="8" t="s">
        <v>81</v>
      </c>
      <c r="N60" s="9"/>
      <c r="O60" s="3"/>
      <c r="P60" s="3"/>
      <c r="Q60" s="3"/>
      <c r="R60" s="3"/>
      <c r="S60" s="3"/>
      <c r="T60" s="3"/>
      <c r="U60" s="3"/>
    </row>
    <row r="61" spans="1:21" s="2" customFormat="1" ht="19" customHeight="1" x14ac:dyDescent="0.2">
      <c r="A61" s="8" t="s">
        <v>63</v>
      </c>
      <c r="B61" s="10">
        <f>2735</f>
        <v>2735</v>
      </c>
      <c r="C61" s="3"/>
      <c r="D61" s="3"/>
      <c r="E61" s="3"/>
      <c r="F61" s="3"/>
      <c r="G61" s="3"/>
      <c r="H61" s="3"/>
      <c r="I61" s="3"/>
      <c r="J61" s="3"/>
      <c r="K61" s="8" t="s">
        <v>85</v>
      </c>
      <c r="L61" s="11">
        <f>(0)-(L60)</f>
        <v>-37.92</v>
      </c>
      <c r="M61" s="8" t="s">
        <v>82</v>
      </c>
      <c r="N61" s="10">
        <f>36.54</f>
        <v>36.54</v>
      </c>
      <c r="O61" s="3"/>
      <c r="P61" s="3"/>
      <c r="Q61" s="3"/>
      <c r="R61" s="3"/>
      <c r="S61" s="3"/>
      <c r="T61" s="3"/>
      <c r="U61" s="3"/>
    </row>
    <row r="62" spans="1:21" s="2" customFormat="1" ht="19" customHeight="1" x14ac:dyDescent="0.2">
      <c r="A62" s="8" t="s">
        <v>64</v>
      </c>
      <c r="B62" s="11">
        <f>((B59)+(B60))+(B61)</f>
        <v>21284.69</v>
      </c>
      <c r="C62" s="3"/>
      <c r="D62" s="3"/>
      <c r="E62" s="3">
        <v>11859.28</v>
      </c>
      <c r="F62" s="3">
        <v>7247.5</v>
      </c>
      <c r="G62" s="3">
        <v>7782.9</v>
      </c>
      <c r="H62" s="3"/>
      <c r="I62" s="3"/>
      <c r="J62" s="3"/>
      <c r="K62" s="8" t="s">
        <v>67</v>
      </c>
      <c r="L62" s="11">
        <f>(L55)+(L61)</f>
        <v>32860.37999999999</v>
      </c>
      <c r="M62" s="8" t="s">
        <v>83</v>
      </c>
      <c r="N62" s="11">
        <f>(N60)+(N61)</f>
        <v>36.54</v>
      </c>
      <c r="O62" s="3"/>
      <c r="P62" s="3"/>
      <c r="Q62" s="3"/>
      <c r="R62" s="3"/>
      <c r="S62" s="3"/>
      <c r="T62" s="3"/>
      <c r="U62" s="3"/>
    </row>
    <row r="63" spans="1:21" s="2" customFormat="1" ht="19" customHeight="1" x14ac:dyDescent="0.2">
      <c r="A63" s="8" t="s">
        <v>65</v>
      </c>
      <c r="B63" s="11">
        <f>((((((B22)+(B31))+(B35))+(B51))+(B54))+(B58))+(B62)</f>
        <v>54264.619999999995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8" t="s">
        <v>84</v>
      </c>
      <c r="N63" s="11">
        <f>N62</f>
        <v>36.54</v>
      </c>
      <c r="O63" s="3"/>
      <c r="P63" s="3"/>
      <c r="Q63" s="3"/>
      <c r="R63" s="3"/>
      <c r="S63" s="3"/>
      <c r="T63" s="3"/>
      <c r="U63" s="3"/>
    </row>
    <row r="64" spans="1:21" s="2" customFormat="1" ht="19" customHeight="1" x14ac:dyDescent="0.2">
      <c r="A64" s="8" t="s">
        <v>66</v>
      </c>
      <c r="B64" s="11">
        <f>(B18)-(B63)</f>
        <v>-649.85999999999331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8" t="s">
        <v>85</v>
      </c>
      <c r="N64" s="11">
        <f>(0)-(N63)</f>
        <v>-36.54</v>
      </c>
      <c r="O64" s="3"/>
      <c r="P64" s="3"/>
      <c r="Q64" s="3"/>
      <c r="R64" s="3"/>
      <c r="S64" s="3"/>
      <c r="T64" s="3"/>
      <c r="U64" s="3"/>
    </row>
    <row r="65" spans="1:21" s="2" customFormat="1" ht="19" customHeight="1" x14ac:dyDescent="0.2">
      <c r="A65" s="8" t="s">
        <v>67</v>
      </c>
      <c r="B65" s="11">
        <f>(B64)+(0)</f>
        <v>-649.85999999999331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8" t="s">
        <v>67</v>
      </c>
      <c r="N65" s="11">
        <f>(N58)+(N64)</f>
        <v>-35909.57</v>
      </c>
      <c r="O65" s="3"/>
      <c r="P65" s="3"/>
      <c r="Q65" s="3"/>
      <c r="R65" s="3"/>
      <c r="S65" s="3"/>
      <c r="T65" s="3"/>
      <c r="U65" s="3"/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2795-02EA-CC4C-9FBF-5D0EC1AC49F7}">
  <dimension ref="A1:U79"/>
  <sheetViews>
    <sheetView tabSelected="1" workbookViewId="0">
      <selection activeCell="H29" sqref="H29"/>
    </sheetView>
  </sheetViews>
  <sheetFormatPr baseColWidth="10" defaultRowHeight="16" x14ac:dyDescent="0.2"/>
  <cols>
    <col min="1" max="1" width="71.6640625" customWidth="1"/>
    <col min="2" max="2" width="11.5" customWidth="1"/>
    <col min="3" max="4" width="12.5" hidden="1" customWidth="1"/>
    <col min="5" max="5" width="11.5" hidden="1" customWidth="1"/>
    <col min="6" max="6" width="12.5" hidden="1" customWidth="1"/>
    <col min="7" max="7" width="12.5" bestFit="1" customWidth="1"/>
    <col min="8" max="8" width="12.1640625" bestFit="1" customWidth="1"/>
    <col min="9" max="9" width="12.5" bestFit="1" customWidth="1"/>
    <col min="10" max="10" width="23.33203125" bestFit="1" customWidth="1"/>
    <col min="11" max="11" width="11.5" bestFit="1" customWidth="1"/>
  </cols>
  <sheetData>
    <row r="1" spans="1:21" x14ac:dyDescent="0.2">
      <c r="B1" s="17">
        <v>44927</v>
      </c>
      <c r="C1" s="17">
        <v>44958</v>
      </c>
      <c r="D1" s="17">
        <v>44986</v>
      </c>
      <c r="E1" s="17">
        <v>45017</v>
      </c>
      <c r="F1" s="17">
        <v>45047</v>
      </c>
      <c r="G1" s="17">
        <v>45078</v>
      </c>
      <c r="H1" s="17">
        <v>45108</v>
      </c>
      <c r="I1" s="17">
        <v>45139</v>
      </c>
      <c r="J1" s="17">
        <v>45170</v>
      </c>
    </row>
    <row r="4" spans="1:21" x14ac:dyDescent="0.2">
      <c r="B4" s="15"/>
    </row>
    <row r="5" spans="1:21" x14ac:dyDescent="0.2">
      <c r="B5" s="15"/>
    </row>
    <row r="6" spans="1:21" x14ac:dyDescent="0.2">
      <c r="A6" t="s">
        <v>90</v>
      </c>
      <c r="B6" s="16">
        <v>59380</v>
      </c>
      <c r="C6" s="16">
        <v>92300</v>
      </c>
      <c r="D6" s="16">
        <v>66750</v>
      </c>
      <c r="E6" s="16">
        <v>79120</v>
      </c>
      <c r="F6" s="16">
        <v>118340</v>
      </c>
      <c r="G6" s="16">
        <v>102365.05</v>
      </c>
      <c r="H6" s="16">
        <v>66938</v>
      </c>
      <c r="I6" s="16">
        <v>160095.51999999999</v>
      </c>
      <c r="J6" s="16"/>
      <c r="K6" s="16">
        <v>22000</v>
      </c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x14ac:dyDescent="0.2">
      <c r="A7" t="s">
        <v>127</v>
      </c>
      <c r="B7" s="16"/>
      <c r="C7" s="16"/>
      <c r="D7" s="16">
        <v>-1000</v>
      </c>
      <c r="E7" s="16"/>
      <c r="F7" s="16">
        <v>-2100</v>
      </c>
      <c r="G7" s="16"/>
      <c r="I7" s="16">
        <v>-500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x14ac:dyDescent="0.2">
      <c r="A8" t="s">
        <v>136</v>
      </c>
      <c r="B8" s="16"/>
      <c r="C8" s="16"/>
      <c r="D8" s="16"/>
      <c r="E8" s="16"/>
      <c r="F8" s="16"/>
      <c r="G8" s="16">
        <v>95486</v>
      </c>
      <c r="H8" s="16">
        <v>9500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1:21" x14ac:dyDescent="0.2">
      <c r="A9" t="s">
        <v>98</v>
      </c>
      <c r="B9" s="16">
        <v>4275</v>
      </c>
      <c r="C9" s="16"/>
      <c r="D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x14ac:dyDescent="0.2">
      <c r="A10" t="s">
        <v>15</v>
      </c>
      <c r="B10" s="16">
        <v>63655</v>
      </c>
      <c r="C10" s="16">
        <v>157550</v>
      </c>
      <c r="D10" s="16">
        <v>106992</v>
      </c>
      <c r="E10" s="16">
        <v>86220</v>
      </c>
      <c r="F10" s="16">
        <v>134865</v>
      </c>
      <c r="G10" s="16"/>
      <c r="H10" s="16">
        <v>76238</v>
      </c>
      <c r="I10" s="16"/>
      <c r="J10" s="16" t="s">
        <v>15</v>
      </c>
      <c r="K10" s="16">
        <v>22000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1:21" x14ac:dyDescent="0.2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">
      <c r="B12" s="16"/>
      <c r="C12" s="16"/>
      <c r="D12" s="16"/>
      <c r="E12" s="16"/>
      <c r="F12" s="16"/>
      <c r="G12" s="16"/>
      <c r="H12" s="16"/>
      <c r="I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x14ac:dyDescent="0.2">
      <c r="A13" t="s">
        <v>124</v>
      </c>
      <c r="B13" s="16"/>
      <c r="C13" s="16">
        <v>18649.810000000001</v>
      </c>
      <c r="D13" s="16">
        <v>32926.31</v>
      </c>
      <c r="E13" s="16"/>
      <c r="F13" s="16"/>
      <c r="G13" s="16"/>
      <c r="H13" s="16">
        <v>41960.11</v>
      </c>
      <c r="I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 x14ac:dyDescent="0.2">
      <c r="B14" s="16">
        <v>10040.24</v>
      </c>
      <c r="C14" s="16"/>
      <c r="D14" s="16">
        <v>32926.31</v>
      </c>
      <c r="E14" s="16"/>
      <c r="F14" s="16"/>
      <c r="G14" s="16"/>
      <c r="I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x14ac:dyDescent="0.2">
      <c r="A15" t="s">
        <v>20</v>
      </c>
      <c r="B15" s="16">
        <v>10040.24</v>
      </c>
      <c r="C15" s="16">
        <v>18649.810000000001</v>
      </c>
      <c r="D15" s="16">
        <v>32926.31</v>
      </c>
      <c r="E15" s="16">
        <v>38246.980000000003</v>
      </c>
      <c r="F15" s="16">
        <v>46029.34</v>
      </c>
      <c r="G15" s="16">
        <v>40131.660000000003</v>
      </c>
      <c r="H15" s="16">
        <v>41960.11</v>
      </c>
      <c r="I15" s="16">
        <v>8042.95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2">
      <c r="A16" t="s">
        <v>21</v>
      </c>
      <c r="B16" s="16">
        <v>53614.76</v>
      </c>
      <c r="C16" s="16">
        <v>138900.19</v>
      </c>
      <c r="D16" s="16"/>
      <c r="G16" s="16">
        <v>157719.38999999998</v>
      </c>
      <c r="H16" s="16"/>
      <c r="I16" s="16">
        <v>151552.56999999998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2">
      <c r="A19" t="s">
        <v>99</v>
      </c>
      <c r="B19" s="16">
        <v>14892.5</v>
      </c>
      <c r="C19" s="16"/>
      <c r="D19" s="16">
        <v>22315.62</v>
      </c>
      <c r="E19" s="16">
        <v>26211.84</v>
      </c>
      <c r="F19" s="16">
        <v>14544.1</v>
      </c>
      <c r="G19" s="16"/>
      <c r="H19" s="16">
        <v>28667.57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2">
      <c r="A20" t="s">
        <v>96</v>
      </c>
      <c r="B20" s="16">
        <v>1237.67</v>
      </c>
      <c r="C20" s="16">
        <v>291.35000000000002</v>
      </c>
      <c r="D20" s="16">
        <v>2110.0700000000002</v>
      </c>
      <c r="E20" s="16">
        <v>449</v>
      </c>
      <c r="F20" s="16">
        <v>1724.76</v>
      </c>
      <c r="G20" s="16">
        <v>2806.53</v>
      </c>
      <c r="I20" s="16">
        <v>1228.9000000000001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2">
      <c r="A24" t="s">
        <v>128</v>
      </c>
      <c r="B24" s="16">
        <v>16130.26</v>
      </c>
      <c r="C24" s="16">
        <v>17721.34</v>
      </c>
      <c r="D24" s="16">
        <v>22315.62</v>
      </c>
      <c r="F24" s="16">
        <v>14544.1</v>
      </c>
      <c r="G24" s="16">
        <v>9611.61</v>
      </c>
      <c r="I24" s="16">
        <v>528.55999999999995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">
      <c r="A25" t="s">
        <v>134</v>
      </c>
      <c r="B25" s="16"/>
      <c r="C25" s="16"/>
      <c r="D25" s="16"/>
      <c r="E25" s="16"/>
      <c r="F25" s="16">
        <v>1520</v>
      </c>
      <c r="G25" s="16"/>
      <c r="H25" s="16">
        <v>28667.57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2">
      <c r="A26" t="s">
        <v>100</v>
      </c>
      <c r="B26" s="16">
        <v>414.97</v>
      </c>
      <c r="C26" s="16"/>
      <c r="D26" s="16">
        <v>766.3</v>
      </c>
      <c r="E26" s="16">
        <v>1649.7</v>
      </c>
      <c r="F26" s="16">
        <v>337.89</v>
      </c>
      <c r="G26" s="16">
        <v>318.62</v>
      </c>
      <c r="H26" s="16">
        <v>383.55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2">
      <c r="A27" t="s">
        <v>101</v>
      </c>
      <c r="B27" s="16">
        <v>220</v>
      </c>
      <c r="C27" s="16">
        <v>220</v>
      </c>
      <c r="D27" s="16">
        <v>220</v>
      </c>
      <c r="E27" s="16">
        <v>220</v>
      </c>
      <c r="F27" s="16">
        <v>220</v>
      </c>
      <c r="G27" s="16">
        <v>220</v>
      </c>
      <c r="H27" s="16">
        <v>220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2">
      <c r="A28" t="s">
        <v>129</v>
      </c>
      <c r="B28" s="16">
        <v>634.97</v>
      </c>
      <c r="C28" s="16">
        <v>220</v>
      </c>
      <c r="D28" s="16">
        <v>986.3</v>
      </c>
      <c r="E28" s="16">
        <v>1869.7</v>
      </c>
      <c r="F28" s="16">
        <v>2077.89</v>
      </c>
      <c r="G28" s="16">
        <v>538.62</v>
      </c>
      <c r="H28" s="16">
        <v>603.54999999999995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">
      <c r="A29" t="s">
        <v>102</v>
      </c>
      <c r="B29" s="16">
        <v>16765.23</v>
      </c>
      <c r="C29" s="16">
        <v>17941.34</v>
      </c>
      <c r="D29" s="16">
        <v>23301.919999999998</v>
      </c>
      <c r="E29" s="16">
        <v>28081.54</v>
      </c>
      <c r="F29" s="16">
        <v>16621.990000000002</v>
      </c>
      <c r="G29" s="16">
        <v>10150.230000000001</v>
      </c>
      <c r="H29" s="16">
        <v>29271.119999999999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x14ac:dyDescent="0.2"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x14ac:dyDescent="0.2">
      <c r="A31" t="s">
        <v>103</v>
      </c>
      <c r="B31" s="16">
        <v>124.19</v>
      </c>
      <c r="C31" s="16"/>
      <c r="D31" s="16"/>
      <c r="F31" s="16">
        <v>439.95</v>
      </c>
      <c r="G31" s="16">
        <v>1581.69</v>
      </c>
      <c r="H31" s="16">
        <v>294.95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x14ac:dyDescent="0.2">
      <c r="A32" t="s">
        <v>104</v>
      </c>
      <c r="B32" s="16">
        <v>2114.81</v>
      </c>
      <c r="C32" s="16">
        <v>474.22</v>
      </c>
      <c r="D32" s="16">
        <v>498.02</v>
      </c>
      <c r="E32" s="16">
        <v>1125.51</v>
      </c>
      <c r="F32" s="16">
        <v>439.3</v>
      </c>
      <c r="G32" s="16">
        <v>389.23</v>
      </c>
      <c r="H32" s="16">
        <v>426.16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">
      <c r="A33" t="s">
        <v>125</v>
      </c>
      <c r="B33" s="16">
        <v>2239</v>
      </c>
      <c r="C33" s="16">
        <v>474.22</v>
      </c>
      <c r="D33" s="16">
        <v>498.02</v>
      </c>
      <c r="E33" s="16">
        <v>1125.51</v>
      </c>
      <c r="F33" s="16">
        <v>879.25</v>
      </c>
      <c r="G33" s="16">
        <v>1970.92</v>
      </c>
      <c r="H33" s="16">
        <v>721.11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2">
      <c r="A34" t="s">
        <v>130</v>
      </c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2">
      <c r="A35" t="s">
        <v>105</v>
      </c>
      <c r="B35" s="16">
        <v>3025</v>
      </c>
      <c r="C35" s="16">
        <v>3025</v>
      </c>
      <c r="D35" s="16">
        <v>3025</v>
      </c>
      <c r="E35" s="16">
        <v>3025</v>
      </c>
      <c r="F35" s="16">
        <v>6050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x14ac:dyDescent="0.2">
      <c r="A36" t="s">
        <v>106</v>
      </c>
      <c r="B36" s="16">
        <v>649.91999999999996</v>
      </c>
      <c r="C36" s="16">
        <v>863.19</v>
      </c>
      <c r="D36" s="16">
        <v>774.55</v>
      </c>
      <c r="E36" s="16">
        <v>1249.8399999999999</v>
      </c>
      <c r="F36" s="16">
        <v>1093.23</v>
      </c>
      <c r="G36" s="16">
        <v>157.72</v>
      </c>
      <c r="H36" s="16">
        <v>245.47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x14ac:dyDescent="0.2">
      <c r="A37" t="s">
        <v>107</v>
      </c>
      <c r="B37" s="16">
        <v>784.85</v>
      </c>
      <c r="C37" s="16">
        <v>362.89</v>
      </c>
      <c r="D37" s="16">
        <v>862.69</v>
      </c>
      <c r="E37" s="16">
        <v>946.32</v>
      </c>
      <c r="F37" s="16">
        <v>671.5</v>
      </c>
      <c r="G37" s="16">
        <v>1038.97</v>
      </c>
      <c r="H37" s="16">
        <v>816.39</v>
      </c>
      <c r="I37" s="16">
        <v>54.69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x14ac:dyDescent="0.2">
      <c r="A38" t="s">
        <v>108</v>
      </c>
      <c r="B38" s="16">
        <v>627.16999999999996</v>
      </c>
      <c r="C38" s="16">
        <v>1026.79</v>
      </c>
      <c r="D38" s="16">
        <v>1172.46</v>
      </c>
      <c r="E38" s="16">
        <v>1715.3</v>
      </c>
      <c r="F38" s="16">
        <v>3246.94</v>
      </c>
      <c r="G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x14ac:dyDescent="0.2">
      <c r="A39" t="s">
        <v>133</v>
      </c>
      <c r="B39" s="16"/>
      <c r="C39" s="16"/>
      <c r="D39" s="16"/>
      <c r="E39" s="16">
        <v>374.3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x14ac:dyDescent="0.2">
      <c r="B40" s="16"/>
      <c r="C40" s="16"/>
      <c r="D40" s="16"/>
      <c r="G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">
      <c r="A41" t="s">
        <v>109</v>
      </c>
      <c r="B41" s="16">
        <v>2384.27</v>
      </c>
      <c r="C41" s="16"/>
      <c r="D41" s="16"/>
      <c r="E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">
      <c r="A42" t="s">
        <v>110</v>
      </c>
      <c r="B42" s="16">
        <v>1722.49</v>
      </c>
      <c r="C42" s="16"/>
      <c r="D42" s="16"/>
      <c r="H42" s="16">
        <v>1186.6099999999999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">
      <c r="A43" t="s">
        <v>111</v>
      </c>
      <c r="B43" s="16">
        <v>103</v>
      </c>
      <c r="C43" s="16"/>
      <c r="D43" s="16"/>
      <c r="H43" s="16">
        <v>244.42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x14ac:dyDescent="0.2">
      <c r="A44" t="s">
        <v>112</v>
      </c>
      <c r="B44" s="16">
        <v>4209.76</v>
      </c>
      <c r="C44" s="16"/>
      <c r="D44" s="16"/>
      <c r="G44" s="16">
        <v>1920.24</v>
      </c>
      <c r="H44" s="16">
        <v>1431.03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">
      <c r="B45" s="16"/>
      <c r="C45" s="16"/>
      <c r="D45" s="16"/>
      <c r="G45" s="16">
        <v>13.93</v>
      </c>
      <c r="H45" s="16">
        <v>-0.28000000000000003</v>
      </c>
      <c r="I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x14ac:dyDescent="0.2">
      <c r="A46" t="s">
        <v>113</v>
      </c>
      <c r="B46" s="16">
        <v>656.82</v>
      </c>
      <c r="C46" s="16"/>
      <c r="D46" s="16"/>
      <c r="G46" s="16">
        <v>1934.17</v>
      </c>
      <c r="H46" s="16">
        <v>2492.6099999999997</v>
      </c>
      <c r="I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x14ac:dyDescent="0.2">
      <c r="A47" t="s">
        <v>114</v>
      </c>
      <c r="B47" s="16">
        <v>1708.47</v>
      </c>
      <c r="C47" s="16">
        <v>1906.88</v>
      </c>
      <c r="D47" s="16">
        <v>1734.59</v>
      </c>
      <c r="E47" s="16">
        <v>1263.74</v>
      </c>
      <c r="F47" s="16">
        <v>2070.02</v>
      </c>
      <c r="G47" s="16">
        <v>-0.72</v>
      </c>
      <c r="H47" s="16"/>
      <c r="I47" s="16">
        <v>595.75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x14ac:dyDescent="0.2">
      <c r="A48" t="s">
        <v>135</v>
      </c>
      <c r="B48" s="16"/>
      <c r="C48" s="16"/>
      <c r="D48" s="16"/>
      <c r="E48" s="16"/>
      <c r="F48" s="16">
        <v>813</v>
      </c>
      <c r="G48" s="16">
        <v>3130.1400000000003</v>
      </c>
      <c r="H48" s="16"/>
      <c r="I48" s="16">
        <v>595.75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">
      <c r="A49" t="s">
        <v>115</v>
      </c>
      <c r="B49" s="16">
        <v>197.29</v>
      </c>
      <c r="C49" s="16">
        <v>23.75</v>
      </c>
      <c r="D49" s="16">
        <v>213.61</v>
      </c>
      <c r="E49" s="16">
        <v>774.56</v>
      </c>
      <c r="F49" s="16">
        <v>314.82</v>
      </c>
      <c r="G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x14ac:dyDescent="0.2">
      <c r="A50" t="s">
        <v>116</v>
      </c>
      <c r="B50" s="16">
        <v>2562.58</v>
      </c>
      <c r="C50" s="16">
        <v>1930.63</v>
      </c>
      <c r="D50" s="16">
        <v>1948.1999999999998</v>
      </c>
      <c r="E50" s="16">
        <v>2038.3</v>
      </c>
      <c r="F50" s="16">
        <v>3197.84</v>
      </c>
      <c r="G50" s="16">
        <v>600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 x14ac:dyDescent="0.2">
      <c r="B51" s="16"/>
      <c r="C51" s="16"/>
      <c r="D51" s="16"/>
      <c r="G51" s="16">
        <v>600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x14ac:dyDescent="0.2">
      <c r="A52" t="s">
        <v>126</v>
      </c>
      <c r="B52" s="16"/>
      <c r="C52" s="16">
        <v>39</v>
      </c>
      <c r="D52" s="16"/>
      <c r="E52" s="16">
        <v>345</v>
      </c>
      <c r="G52" s="16">
        <v>49</v>
      </c>
      <c r="I52" s="16">
        <v>117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">
      <c r="A53" t="s">
        <v>131</v>
      </c>
      <c r="B53" s="16">
        <v>11859.28</v>
      </c>
      <c r="C53" s="16">
        <v>7247.5</v>
      </c>
      <c r="D53" s="16"/>
      <c r="E53" s="16">
        <v>9694.06</v>
      </c>
      <c r="F53" s="16">
        <v>14259.51</v>
      </c>
      <c r="G53" s="16">
        <v>214.59</v>
      </c>
      <c r="H53" s="16"/>
      <c r="I53" s="16">
        <v>767.44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 x14ac:dyDescent="0.2">
      <c r="B54" s="16"/>
      <c r="C54" s="16"/>
      <c r="D54" s="16"/>
      <c r="G54" s="16">
        <v>263.59000000000003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 x14ac:dyDescent="0.2">
      <c r="B55" s="16"/>
      <c r="C55" s="16"/>
      <c r="D55" s="16"/>
      <c r="G55" s="16">
        <v>46582.21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 x14ac:dyDescent="0.2">
      <c r="A56" t="s">
        <v>117</v>
      </c>
      <c r="B56" s="16">
        <v>600</v>
      </c>
      <c r="C56" s="16"/>
      <c r="D56" s="16">
        <v>625</v>
      </c>
      <c r="E56" s="16">
        <v>300</v>
      </c>
      <c r="G56" s="16"/>
      <c r="H56" s="16">
        <v>309</v>
      </c>
      <c r="I56" s="16">
        <v>309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 x14ac:dyDescent="0.2">
      <c r="A57" t="s">
        <v>132</v>
      </c>
      <c r="B57" s="16"/>
      <c r="C57" s="16"/>
      <c r="D57" s="16">
        <v>625</v>
      </c>
      <c r="E57" s="16">
        <v>300</v>
      </c>
      <c r="H57" s="16">
        <v>309</v>
      </c>
      <c r="I57" s="16">
        <v>309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 x14ac:dyDescent="0.2">
      <c r="B58" s="16"/>
      <c r="C58" s="16"/>
      <c r="D58" s="16"/>
      <c r="E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 x14ac:dyDescent="0.2">
      <c r="A59" t="s">
        <v>118</v>
      </c>
      <c r="B59" s="16">
        <v>70</v>
      </c>
      <c r="C59" s="16"/>
      <c r="D59" s="16"/>
      <c r="F59" s="16"/>
      <c r="H59" s="16">
        <v>14754.5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 x14ac:dyDescent="0.2">
      <c r="A60" t="s">
        <v>119</v>
      </c>
      <c r="B60" s="16">
        <v>208.75</v>
      </c>
      <c r="C60" s="16">
        <v>208.75</v>
      </c>
      <c r="D60" s="16">
        <v>208.75</v>
      </c>
      <c r="E60" s="16">
        <v>208.75</v>
      </c>
      <c r="F60" s="16">
        <v>208.78</v>
      </c>
      <c r="H60" s="16">
        <v>214.68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 x14ac:dyDescent="0.2">
      <c r="A61" t="s">
        <v>121</v>
      </c>
      <c r="B61" s="16">
        <v>278.75</v>
      </c>
      <c r="C61" s="16">
        <v>208.75</v>
      </c>
      <c r="D61" s="16">
        <v>208.75</v>
      </c>
      <c r="E61" s="16">
        <v>208.75</v>
      </c>
      <c r="F61" s="16">
        <v>208.78</v>
      </c>
      <c r="H61" s="16">
        <v>14969.18</v>
      </c>
      <c r="I61" s="16">
        <v>41.61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x14ac:dyDescent="0.2">
      <c r="A62" t="s">
        <v>120</v>
      </c>
      <c r="B62" s="16">
        <v>1849.48</v>
      </c>
      <c r="C62" s="16"/>
      <c r="D62" s="16">
        <v>732.42</v>
      </c>
      <c r="E62" s="16">
        <v>341.88</v>
      </c>
      <c r="F62" s="16">
        <v>20063.16</v>
      </c>
      <c r="H62" s="16">
        <v>324.13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 x14ac:dyDescent="0.2">
      <c r="A63" t="s">
        <v>122</v>
      </c>
      <c r="B63" s="16">
        <v>16700.21</v>
      </c>
      <c r="C63" s="16">
        <v>34645</v>
      </c>
      <c r="D63" s="16">
        <v>33104.080000000002</v>
      </c>
      <c r="E63" s="16">
        <v>16550</v>
      </c>
      <c r="F63" s="16">
        <v>11042</v>
      </c>
      <c r="G63" s="16">
        <v>55167.47</v>
      </c>
      <c r="H63" s="16">
        <v>15775</v>
      </c>
      <c r="I63" s="16">
        <v>38934.51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 x14ac:dyDescent="0.2">
      <c r="A64" t="s">
        <v>98</v>
      </c>
      <c r="B64" s="16">
        <v>2735</v>
      </c>
      <c r="C64" s="16">
        <v>3966</v>
      </c>
      <c r="D64" s="16">
        <v>410</v>
      </c>
      <c r="E64" s="16">
        <v>900</v>
      </c>
      <c r="F64" s="16"/>
      <c r="G64" s="16">
        <v>4150</v>
      </c>
      <c r="H64" s="16">
        <v>3407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 x14ac:dyDescent="0.2">
      <c r="A65" t="s">
        <v>137</v>
      </c>
      <c r="B65" s="16"/>
      <c r="C65" s="16"/>
      <c r="D65" s="16"/>
      <c r="E65" s="16"/>
      <c r="F65" s="16"/>
      <c r="G65" s="16">
        <v>37.92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">
      <c r="A66" t="s">
        <v>123</v>
      </c>
      <c r="B66" s="16">
        <v>21284.69</v>
      </c>
      <c r="C66" s="16">
        <v>54505.45</v>
      </c>
      <c r="D66" s="16">
        <v>34246.5</v>
      </c>
      <c r="E66" s="16">
        <v>17791.88</v>
      </c>
      <c r="F66" s="16">
        <v>31105.16</v>
      </c>
      <c r="H66" s="16">
        <v>19506.129999999997</v>
      </c>
      <c r="I66" s="16">
        <v>38934.5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">
      <c r="A67" s="16"/>
      <c r="B67" s="16"/>
      <c r="G67" s="16">
        <v>105899.68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1:21" x14ac:dyDescent="0.2">
      <c r="A68" t="s">
        <v>65</v>
      </c>
      <c r="B68" s="16">
        <v>54264.619999999995</v>
      </c>
      <c r="C68" s="16">
        <v>80668.61</v>
      </c>
      <c r="D68" s="16">
        <v>68773.16</v>
      </c>
      <c r="E68" s="16">
        <v>57650.740000000005</v>
      </c>
      <c r="F68" s="16">
        <v>64799.45</v>
      </c>
      <c r="G68" s="16">
        <v>124821.09</v>
      </c>
      <c r="H68" s="16">
        <v>70150.92</v>
      </c>
      <c r="I68" s="16">
        <v>42251.43</v>
      </c>
      <c r="J68" s="16" t="s">
        <v>22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1:21" x14ac:dyDescent="0.2">
      <c r="A69" t="s">
        <v>66</v>
      </c>
      <c r="B69" s="16">
        <v>-649.85999999999331</v>
      </c>
      <c r="C69" s="16">
        <v>58231.58</v>
      </c>
      <c r="D69" s="16">
        <v>5292.5299999999988</v>
      </c>
      <c r="E69" s="16">
        <v>-9677.7200000000084</v>
      </c>
      <c r="F69" s="16">
        <v>24036.210000000006</v>
      </c>
      <c r="G69" s="16">
        <v>32898.299999999988</v>
      </c>
      <c r="H69" s="16">
        <v>-35873.03</v>
      </c>
      <c r="I69" s="16">
        <v>109301.13999999998</v>
      </c>
      <c r="J69" s="16" t="s">
        <v>65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1:21" x14ac:dyDescent="0.2">
      <c r="A70" t="s">
        <v>85</v>
      </c>
      <c r="B70" s="16"/>
      <c r="C70" s="16"/>
      <c r="D70" s="16"/>
      <c r="E70" s="16"/>
      <c r="F70" s="16"/>
      <c r="G70" s="16"/>
      <c r="H70">
        <v>-36.54</v>
      </c>
      <c r="J70" s="16" t="s">
        <v>66</v>
      </c>
      <c r="K70" s="16">
        <v>22000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1:21" x14ac:dyDescent="0.2">
      <c r="A71" t="s">
        <v>67</v>
      </c>
      <c r="B71" s="16">
        <v>-649.85999999999331</v>
      </c>
      <c r="C71" s="16">
        <v>58231.58</v>
      </c>
      <c r="D71" s="16">
        <v>5292.5299999999988</v>
      </c>
      <c r="E71" s="16">
        <v>-9677.7200000000084</v>
      </c>
      <c r="F71" s="16">
        <v>24036.210000000006</v>
      </c>
      <c r="G71" s="16">
        <v>32860.37999999999</v>
      </c>
      <c r="H71">
        <v>-35909.57</v>
      </c>
      <c r="I71" s="16">
        <v>109301.13999999998</v>
      </c>
      <c r="J71" s="16" t="s">
        <v>67</v>
      </c>
      <c r="K71" s="16">
        <v>22000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1:21" x14ac:dyDescent="0.2">
      <c r="E72" s="16"/>
    </row>
    <row r="78" spans="1:21" x14ac:dyDescent="0.2">
      <c r="G78" s="16"/>
    </row>
    <row r="79" spans="1:21" x14ac:dyDescent="0.2">
      <c r="G7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2E6E-4E60-D74B-BD31-E2CB8FEF7AD3}">
  <dimension ref="A2:C8"/>
  <sheetViews>
    <sheetView workbookViewId="0">
      <selection activeCell="C3" sqref="C3:C7"/>
    </sheetView>
  </sheetViews>
  <sheetFormatPr baseColWidth="10" defaultRowHeight="16" x14ac:dyDescent="0.2"/>
  <cols>
    <col min="1" max="1" width="38.33203125" customWidth="1"/>
    <col min="2" max="2" width="24.5" customWidth="1"/>
    <col min="3" max="3" width="11.5" bestFit="1" customWidth="1"/>
  </cols>
  <sheetData>
    <row r="2" spans="1:3" x14ac:dyDescent="0.2">
      <c r="C2" s="13">
        <v>44927</v>
      </c>
    </row>
    <row r="3" spans="1:3" x14ac:dyDescent="0.2">
      <c r="A3" t="s">
        <v>15</v>
      </c>
      <c r="B3" t="s">
        <v>90</v>
      </c>
      <c r="C3" s="15">
        <f>INDEX(PnL_data!B5:B65, MATCH($A3,PnL_data!$A$5:$A$65, 0), MATCH($C$2,PnL_data!$B$2:$R$2, 0))</f>
        <v>63655</v>
      </c>
    </row>
    <row r="4" spans="1:3" x14ac:dyDescent="0.2">
      <c r="A4" t="s">
        <v>20</v>
      </c>
      <c r="B4" t="s">
        <v>91</v>
      </c>
      <c r="C4" s="15">
        <f>INDEX(PnL_data!B6:B66, MATCH($A4,PnL_data!$A$5:$A$65, 0), MATCH($C$2,PnL_data!$B$2:$R$2, 0))</f>
        <v>53614.76</v>
      </c>
    </row>
    <row r="5" spans="1:3" x14ac:dyDescent="0.2">
      <c r="A5" t="s">
        <v>21</v>
      </c>
      <c r="B5" t="s">
        <v>21</v>
      </c>
      <c r="C5" s="15">
        <f>INDEX(PnL_data!B7:B67, MATCH($A5,PnL_data!$A$5:$A$65, 0), MATCH($C$2,PnL_data!$B$2:$R$2, 0))</f>
        <v>0</v>
      </c>
    </row>
    <row r="6" spans="1:3" x14ac:dyDescent="0.2">
      <c r="A6" t="s">
        <v>92</v>
      </c>
      <c r="C6" s="15" t="e">
        <f>INDEX(PnL_data!B8:B68, MATCH($A6,PnL_data!$A$5:$A$65, 0), MATCH($C$2,PnL_data!$B$2:$R$2, 0))</f>
        <v>#N/A</v>
      </c>
    </row>
    <row r="7" spans="1:3" x14ac:dyDescent="0.2">
      <c r="A7" t="s">
        <v>96</v>
      </c>
      <c r="B7" t="s">
        <v>93</v>
      </c>
      <c r="C7" s="15">
        <f>INDEX(PnL_data!B9:B69, MATCH($A7,PnL_data!$A$5:$A$65, 0), MATCH($C$2,PnL_data!$B$2:$R$2, 0))</f>
        <v>16130.26</v>
      </c>
    </row>
    <row r="8" spans="1:3" x14ac:dyDescent="0.2">
      <c r="A8" t="s">
        <v>94</v>
      </c>
      <c r="C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FE06-0DA8-F340-868C-FCFA6AA679FE}">
  <dimension ref="A2:C6"/>
  <sheetViews>
    <sheetView workbookViewId="0">
      <selection activeCell="A6" sqref="A6"/>
    </sheetView>
  </sheetViews>
  <sheetFormatPr baseColWidth="10" defaultRowHeight="16" x14ac:dyDescent="0.2"/>
  <sheetData>
    <row r="2" spans="1:3" x14ac:dyDescent="0.2">
      <c r="A2" s="1" t="s">
        <v>1</v>
      </c>
    </row>
    <row r="4" spans="1:3" x14ac:dyDescent="0.2">
      <c r="A4" t="s">
        <v>4</v>
      </c>
      <c r="B4" t="s">
        <v>0</v>
      </c>
    </row>
    <row r="5" spans="1:3" x14ac:dyDescent="0.2">
      <c r="A5" t="s">
        <v>5</v>
      </c>
      <c r="B5" t="s">
        <v>2</v>
      </c>
      <c r="C5" t="s">
        <v>3</v>
      </c>
    </row>
    <row r="6" spans="1:3" x14ac:dyDescent="0.2">
      <c r="B6">
        <v>18.940000000000001</v>
      </c>
      <c r="C6">
        <v>34.9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PnL_data</vt:lpstr>
      <vt:lpstr>PnlClean</vt:lpstr>
      <vt:lpstr>Sheet4</vt:lpstr>
      <vt:lpstr>Econ</vt:lpstr>
      <vt:lpstr>pnl_fullarea</vt:lpstr>
      <vt:lpstr>pnl_index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Marshall</dc:creator>
  <cp:lastModifiedBy>Matthew Marshall</cp:lastModifiedBy>
  <dcterms:created xsi:type="dcterms:W3CDTF">2023-09-14T18:24:19Z</dcterms:created>
  <dcterms:modified xsi:type="dcterms:W3CDTF">2023-09-15T01:42:08Z</dcterms:modified>
</cp:coreProperties>
</file>