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hewmarshall/Documents/KT.tools2023-1/Enterprise Solutions/models/RVMP/"/>
    </mc:Choice>
  </mc:AlternateContent>
  <xr:revisionPtr revIDLastSave="0" documentId="8_{1F65462F-1E5F-E54F-AF52-77ADF6B856AA}" xr6:coauthVersionLast="47" xr6:coauthVersionMax="47" xr10:uidLastSave="{00000000-0000-0000-0000-000000000000}"/>
  <bookViews>
    <workbookView xWindow="440" yWindow="500" windowWidth="37960" windowHeight="20400" activeTab="7" xr2:uid="{0CBA5AE6-886D-9F4C-A3FB-8C72DEECE69B}"/>
  </bookViews>
  <sheets>
    <sheet name="PnL_data" sheetId="3" state="hidden" r:id="rId1"/>
    <sheet name="Sheet6" sheetId="12" state="hidden" r:id="rId2"/>
    <sheet name="Sheet7" sheetId="13" state="hidden" r:id="rId3"/>
    <sheet name="PnlClean" sheetId="6" state="hidden" r:id="rId4"/>
    <sheet name="Sheet5" sheetId="11" state="hidden" r:id="rId5"/>
    <sheet name="Dashboard" sheetId="4" state="hidden" r:id="rId6"/>
    <sheet name="Econ" sheetId="2" state="hidden" r:id="rId7"/>
    <sheet name="Profit and Loss" sheetId="16" r:id="rId8"/>
    <sheet name="Balance Sheet" sheetId="18" r:id="rId9"/>
    <sheet name="Statement of Cash Flows" sheetId="17" r:id="rId10"/>
    <sheet name="pnl_flat" sheetId="20" state="hidden" r:id="rId11"/>
    <sheet name="Sheet9" sheetId="15" state="hidden" r:id="rId12"/>
  </sheets>
  <definedNames>
    <definedName name="DD">'Profit and Loss'!$A$5:$AX$104</definedName>
    <definedName name="pnl_fullarea">PnL_data!$A$1:$R$65</definedName>
    <definedName name="pnl_index">PnL_data!$3:$65</definedName>
    <definedName name="pnlData">PnlClean!$C$1:$L$56</definedName>
  </definedNames>
  <calcPr calcId="191029"/>
  <pivotCaches>
    <pivotCache cacheId="0" r:id="rId13"/>
    <pivotCache cacheId="1" r:id="rId1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18" l="1"/>
  <c r="D9" i="18"/>
  <c r="E9" i="18"/>
  <c r="F9" i="18"/>
  <c r="G9" i="18"/>
  <c r="H9" i="18" s="1"/>
  <c r="C10" i="18"/>
  <c r="I10" i="18"/>
  <c r="J10" i="18"/>
  <c r="K10" i="18"/>
  <c r="L10" i="18"/>
  <c r="M10" i="18"/>
  <c r="N10" i="18"/>
  <c r="O10" i="18"/>
  <c r="P10" i="18"/>
  <c r="Q10" i="18"/>
  <c r="R10" i="18"/>
  <c r="S10" i="18"/>
  <c r="T10" i="18"/>
  <c r="U10" i="18"/>
  <c r="V10" i="18"/>
  <c r="W10" i="18"/>
  <c r="X10" i="18"/>
  <c r="Y10" i="18"/>
  <c r="Z10" i="18"/>
  <c r="AA10" i="18"/>
  <c r="AB10" i="18"/>
  <c r="AC10" i="18"/>
  <c r="AD10" i="18"/>
  <c r="AE10" i="18"/>
  <c r="AF10" i="18"/>
  <c r="AG10" i="18"/>
  <c r="AH10" i="18"/>
  <c r="AI10" i="18"/>
  <c r="AJ10" i="18"/>
  <c r="AK10" i="18"/>
  <c r="AL10" i="18"/>
  <c r="AM10" i="18"/>
  <c r="AN10" i="18"/>
  <c r="AO10" i="18"/>
  <c r="AP10" i="18"/>
  <c r="AQ10" i="18"/>
  <c r="AR10" i="18"/>
  <c r="AS10" i="18"/>
  <c r="AT10" i="18"/>
  <c r="AU10" i="18"/>
  <c r="AV10" i="18"/>
  <c r="AW10" i="18"/>
  <c r="C11" i="18"/>
  <c r="D11" i="18"/>
  <c r="E11" i="18" s="1"/>
  <c r="F11" i="18" s="1"/>
  <c r="G11" i="18" s="1"/>
  <c r="H11" i="18"/>
  <c r="I11" i="18" s="1"/>
  <c r="J11" i="18" s="1"/>
  <c r="K11" i="18" s="1"/>
  <c r="L11" i="18"/>
  <c r="M11" i="18" s="1"/>
  <c r="N11" i="18"/>
  <c r="O11" i="18"/>
  <c r="P11" i="18" s="1"/>
  <c r="Q11" i="18" s="1"/>
  <c r="R11" i="18" s="1"/>
  <c r="S11" i="18" s="1"/>
  <c r="T11" i="18" s="1"/>
  <c r="U11" i="18" s="1"/>
  <c r="V11" i="18"/>
  <c r="W11" i="18"/>
  <c r="X11" i="18"/>
  <c r="Y11" i="18"/>
  <c r="Z11" i="18"/>
  <c r="AA11" i="18"/>
  <c r="AB11" i="18"/>
  <c r="AC11" i="18"/>
  <c r="AD11" i="18"/>
  <c r="AE11" i="18"/>
  <c r="AF11" i="18"/>
  <c r="AG11" i="18"/>
  <c r="AH11" i="18" s="1"/>
  <c r="AI11" i="18" s="1"/>
  <c r="AJ11" i="18" s="1"/>
  <c r="AK11" i="18" s="1"/>
  <c r="AL11" i="18" s="1"/>
  <c r="AM11" i="18" s="1"/>
  <c r="AN11" i="18" s="1"/>
  <c r="AO11" i="18" s="1"/>
  <c r="AP11" i="18" s="1"/>
  <c r="AQ11" i="18"/>
  <c r="AR11" i="18"/>
  <c r="AS11" i="18" s="1"/>
  <c r="AT11" i="18" s="1"/>
  <c r="AU11" i="18"/>
  <c r="AV11" i="18" s="1"/>
  <c r="AW11" i="18"/>
  <c r="B12" i="18"/>
  <c r="C13" i="18"/>
  <c r="D13" i="18" s="1"/>
  <c r="E13" i="18"/>
  <c r="F13" i="18" s="1"/>
  <c r="G13" i="18" s="1"/>
  <c r="H13" i="18"/>
  <c r="I13" i="18"/>
  <c r="J13" i="18"/>
  <c r="K13" i="18"/>
  <c r="L13" i="18"/>
  <c r="M13" i="18"/>
  <c r="N13" i="18"/>
  <c r="O13" i="18"/>
  <c r="P13" i="18"/>
  <c r="Q13" i="18"/>
  <c r="R13" i="18"/>
  <c r="S13" i="18"/>
  <c r="T13" i="18" s="1"/>
  <c r="U13" i="18" s="1"/>
  <c r="V13" i="18" s="1"/>
  <c r="W13" i="18" s="1"/>
  <c r="X13" i="18" s="1"/>
  <c r="Y13" i="18" s="1"/>
  <c r="Z13" i="18" s="1"/>
  <c r="AA13" i="18" s="1"/>
  <c r="AB13" i="18" s="1"/>
  <c r="AC13" i="18" s="1"/>
  <c r="AD13" i="18" s="1"/>
  <c r="AE13" i="18" s="1"/>
  <c r="AF13" i="18" s="1"/>
  <c r="AG13" i="18" s="1"/>
  <c r="AH13" i="18" s="1"/>
  <c r="AI13" i="18" s="1"/>
  <c r="AJ13" i="18" s="1"/>
  <c r="AK13" i="18" s="1"/>
  <c r="AL13" i="18" s="1"/>
  <c r="AM13" i="18" s="1"/>
  <c r="AN13" i="18"/>
  <c r="AO13" i="18" s="1"/>
  <c r="AP13" i="18" s="1"/>
  <c r="AQ13" i="18" s="1"/>
  <c r="AR13" i="18" s="1"/>
  <c r="AS13" i="18" s="1"/>
  <c r="AT13" i="18" s="1"/>
  <c r="AU13" i="18" s="1"/>
  <c r="AV13" i="18" s="1"/>
  <c r="AW13" i="18" s="1"/>
  <c r="C14" i="18"/>
  <c r="D14" i="18"/>
  <c r="E14" i="18" s="1"/>
  <c r="F14" i="18" s="1"/>
  <c r="G14" i="18" s="1"/>
  <c r="H14" i="18" s="1"/>
  <c r="I14" i="18" s="1"/>
  <c r="J14" i="18"/>
  <c r="K14" i="18"/>
  <c r="L14" i="18" s="1"/>
  <c r="M14" i="18" s="1"/>
  <c r="N14" i="18" s="1"/>
  <c r="O14" i="18" s="1"/>
  <c r="P14" i="18" s="1"/>
  <c r="Q14" i="18" s="1"/>
  <c r="R14" i="18"/>
  <c r="S14" i="18" s="1"/>
  <c r="T14" i="18" s="1"/>
  <c r="U14" i="18" s="1"/>
  <c r="V14" i="18" s="1"/>
  <c r="W14" i="18" s="1"/>
  <c r="X14" i="18" s="1"/>
  <c r="Y14" i="18" s="1"/>
  <c r="Z14" i="18" s="1"/>
  <c r="AA14" i="18"/>
  <c r="AB14" i="18" s="1"/>
  <c r="AC14" i="18"/>
  <c r="AD14" i="18"/>
  <c r="AE14" i="18"/>
  <c r="AF14" i="18"/>
  <c r="AG14" i="18"/>
  <c r="AH14" i="18"/>
  <c r="AI14" i="18"/>
  <c r="AJ14" i="18"/>
  <c r="AK14" i="18"/>
  <c r="AL14" i="18"/>
  <c r="AM14" i="18"/>
  <c r="AN14" i="18"/>
  <c r="AO14" i="18"/>
  <c r="AP14" i="18"/>
  <c r="AQ14" i="18"/>
  <c r="AR14" i="18"/>
  <c r="AS14" i="18" s="1"/>
  <c r="AT14" i="18" s="1"/>
  <c r="AU14" i="18" s="1"/>
  <c r="AV14" i="18" s="1"/>
  <c r="AW14" i="18" s="1"/>
  <c r="B15" i="18"/>
  <c r="C17" i="18"/>
  <c r="D17" i="18" s="1"/>
  <c r="E17" i="18"/>
  <c r="F17" i="18" s="1"/>
  <c r="F18" i="18" s="1"/>
  <c r="G17" i="18"/>
  <c r="G18" i="18" s="1"/>
  <c r="H17" i="18"/>
  <c r="I17" i="18"/>
  <c r="J17" i="18"/>
  <c r="K17" i="18"/>
  <c r="L17" i="18"/>
  <c r="M17" i="18"/>
  <c r="N17" i="18" s="1"/>
  <c r="N18" i="18" s="1"/>
  <c r="O17" i="18"/>
  <c r="P17" i="18"/>
  <c r="Q17" i="18"/>
  <c r="R17" i="18"/>
  <c r="R18" i="18" s="1"/>
  <c r="S17" i="18"/>
  <c r="S18" i="18" s="1"/>
  <c r="T17" i="18"/>
  <c r="U17" i="18"/>
  <c r="V17" i="18"/>
  <c r="W17" i="18"/>
  <c r="X17" i="18"/>
  <c r="Y17" i="18"/>
  <c r="Z17" i="18"/>
  <c r="Z18" i="18" s="1"/>
  <c r="AA17" i="18"/>
  <c r="AB17" i="18"/>
  <c r="AB18" i="18" s="1"/>
  <c r="AC17" i="18"/>
  <c r="AD17" i="18"/>
  <c r="AE17" i="18"/>
  <c r="AF17" i="18"/>
  <c r="AG17" i="18"/>
  <c r="AH17" i="18"/>
  <c r="AH18" i="18" s="1"/>
  <c r="AI17" i="18"/>
  <c r="AJ17" i="18"/>
  <c r="AK17" i="18"/>
  <c r="AK18" i="18" s="1"/>
  <c r="AL17" i="18"/>
  <c r="AM17" i="18"/>
  <c r="AN17" i="18"/>
  <c r="AO17" i="18"/>
  <c r="AP17" i="18"/>
  <c r="AP18" i="18" s="1"/>
  <c r="AQ17" i="18"/>
  <c r="AR17" i="18"/>
  <c r="AS17" i="18"/>
  <c r="AT17" i="18"/>
  <c r="AU17" i="18"/>
  <c r="AV17" i="18" s="1"/>
  <c r="B18" i="18"/>
  <c r="C18" i="18"/>
  <c r="D18" i="18"/>
  <c r="E18" i="18"/>
  <c r="H18" i="18"/>
  <c r="I18" i="18"/>
  <c r="J18" i="18"/>
  <c r="K18" i="18"/>
  <c r="L18" i="18"/>
  <c r="M18" i="18"/>
  <c r="O18" i="18"/>
  <c r="P18" i="18"/>
  <c r="Q18" i="18"/>
  <c r="T18" i="18"/>
  <c r="U18" i="18"/>
  <c r="V18" i="18"/>
  <c r="W18" i="18"/>
  <c r="X18" i="18"/>
  <c r="Y18" i="18"/>
  <c r="AA18" i="18"/>
  <c r="AC18" i="18"/>
  <c r="AD18" i="18"/>
  <c r="AE18" i="18"/>
  <c r="AF18" i="18"/>
  <c r="AG18" i="18"/>
  <c r="AI18" i="18"/>
  <c r="AJ18" i="18"/>
  <c r="AL18" i="18"/>
  <c r="AM18" i="18"/>
  <c r="AN18" i="18"/>
  <c r="AO18" i="18"/>
  <c r="AQ18" i="18"/>
  <c r="AR18" i="18"/>
  <c r="AS18" i="18"/>
  <c r="AT18" i="18"/>
  <c r="AU18" i="18"/>
  <c r="C20" i="18"/>
  <c r="C23" i="18" s="1"/>
  <c r="D20" i="18"/>
  <c r="AB20" i="18"/>
  <c r="AC20" i="18"/>
  <c r="AD20" i="18" s="1"/>
  <c r="AE20" i="18" s="1"/>
  <c r="AF20" i="18"/>
  <c r="AR20" i="18"/>
  <c r="AS20" i="18"/>
  <c r="AT20" i="18"/>
  <c r="AU20" i="18" s="1"/>
  <c r="C21" i="18"/>
  <c r="D21" i="18"/>
  <c r="E21" i="18" s="1"/>
  <c r="F21" i="18" s="1"/>
  <c r="G21" i="18" s="1"/>
  <c r="H21" i="18"/>
  <c r="I21" i="18"/>
  <c r="J21" i="18"/>
  <c r="K21" i="18"/>
  <c r="L21" i="18"/>
  <c r="M21" i="18"/>
  <c r="N21" i="18" s="1"/>
  <c r="O21" i="18"/>
  <c r="P21" i="18"/>
  <c r="Q21" i="18"/>
  <c r="R21" i="18"/>
  <c r="S21" i="18"/>
  <c r="T21" i="18"/>
  <c r="U21" i="18"/>
  <c r="V21" i="18"/>
  <c r="W21" i="18"/>
  <c r="X21" i="18"/>
  <c r="Y21" i="18"/>
  <c r="Z21" i="18"/>
  <c r="AA21" i="18"/>
  <c r="AB21" i="18"/>
  <c r="AC21" i="18"/>
  <c r="AC23" i="18" s="1"/>
  <c r="AD21" i="18"/>
  <c r="AE21" i="18" s="1"/>
  <c r="AF21" i="18"/>
  <c r="AG21" i="18"/>
  <c r="AH21" i="18"/>
  <c r="AI21" i="18"/>
  <c r="AJ21" i="18"/>
  <c r="AK21" i="18"/>
  <c r="AL21" i="18"/>
  <c r="AM21" i="18"/>
  <c r="AN21" i="18"/>
  <c r="AO21" i="18"/>
  <c r="AP21" i="18"/>
  <c r="AQ21" i="18"/>
  <c r="AR21" i="18"/>
  <c r="AR23" i="18" s="1"/>
  <c r="AS21" i="18"/>
  <c r="AT21" i="18"/>
  <c r="AU21" i="18" s="1"/>
  <c r="AV21" i="18" s="1"/>
  <c r="AW21" i="18" s="1"/>
  <c r="C22" i="18"/>
  <c r="D22" i="18"/>
  <c r="E22" i="18"/>
  <c r="F22" i="18" s="1"/>
  <c r="G22" i="18" s="1"/>
  <c r="H22" i="18" s="1"/>
  <c r="I22" i="18" s="1"/>
  <c r="J22" i="18" s="1"/>
  <c r="K22" i="18" s="1"/>
  <c r="L22" i="18" s="1"/>
  <c r="M22" i="18" s="1"/>
  <c r="N22" i="18" s="1"/>
  <c r="O22" i="18" s="1"/>
  <c r="P22" i="18" s="1"/>
  <c r="Q22" i="18" s="1"/>
  <c r="R22" i="18" s="1"/>
  <c r="S22" i="18" s="1"/>
  <c r="T22" i="18" s="1"/>
  <c r="U22" i="18" s="1"/>
  <c r="V22" i="18" s="1"/>
  <c r="W22" i="18" s="1"/>
  <c r="X22" i="18" s="1"/>
  <c r="Y22" i="18" s="1"/>
  <c r="Z22" i="18"/>
  <c r="AA22" i="18"/>
  <c r="AB22" i="18"/>
  <c r="AC22" i="18"/>
  <c r="AD22" i="18"/>
  <c r="AE22" i="18"/>
  <c r="AF22" i="18"/>
  <c r="AG22" i="18"/>
  <c r="AH22" i="18"/>
  <c r="AI22" i="18"/>
  <c r="AJ22" i="18"/>
  <c r="AK22" i="18"/>
  <c r="AL22" i="18"/>
  <c r="AM22" i="18"/>
  <c r="AN22" i="18" s="1"/>
  <c r="AO22" i="18" s="1"/>
  <c r="AP22" i="18" s="1"/>
  <c r="AQ22" i="18" s="1"/>
  <c r="AR22" i="18" s="1"/>
  <c r="AS22" i="18" s="1"/>
  <c r="B23" i="18"/>
  <c r="C26" i="18"/>
  <c r="C27" i="18"/>
  <c r="D27" i="18" s="1"/>
  <c r="C28" i="18"/>
  <c r="D28" i="18"/>
  <c r="E28" i="18" s="1"/>
  <c r="F28" i="18" s="1"/>
  <c r="G28" i="18"/>
  <c r="H28" i="18" s="1"/>
  <c r="I28" i="18" s="1"/>
  <c r="J28" i="18" s="1"/>
  <c r="K28" i="18" s="1"/>
  <c r="L28" i="18" s="1"/>
  <c r="M28" i="18" s="1"/>
  <c r="N28" i="18" s="1"/>
  <c r="O28" i="18" s="1"/>
  <c r="P28" i="18" s="1"/>
  <c r="Q28" i="18" s="1"/>
  <c r="R28" i="18" s="1"/>
  <c r="S28" i="18" s="1"/>
  <c r="T28" i="18" s="1"/>
  <c r="U28" i="18" s="1"/>
  <c r="V28" i="18" s="1"/>
  <c r="W28" i="18" s="1"/>
  <c r="X28" i="18" s="1"/>
  <c r="Y28" i="18" s="1"/>
  <c r="Z28" i="18" s="1"/>
  <c r="AA28" i="18" s="1"/>
  <c r="AB28" i="18" s="1"/>
  <c r="AC28" i="18" s="1"/>
  <c r="AD28" i="18" s="1"/>
  <c r="AE28" i="18"/>
  <c r="AF28" i="18"/>
  <c r="AG28" i="18"/>
  <c r="AH28" i="18" s="1"/>
  <c r="AI28" i="18" s="1"/>
  <c r="AJ28" i="18" s="1"/>
  <c r="AK28" i="18" s="1"/>
  <c r="AL28" i="18" s="1"/>
  <c r="AM28" i="18"/>
  <c r="AN28" i="18" s="1"/>
  <c r="AO28" i="18" s="1"/>
  <c r="AP28" i="18" s="1"/>
  <c r="AQ28" i="18" s="1"/>
  <c r="AR28" i="18" s="1"/>
  <c r="AS28" i="18" s="1"/>
  <c r="AT28" i="18" s="1"/>
  <c r="AU28" i="18" s="1"/>
  <c r="AV28" i="18" s="1"/>
  <c r="AW28" i="18" s="1"/>
  <c r="C29" i="18"/>
  <c r="D29" i="18" s="1"/>
  <c r="E29" i="18"/>
  <c r="F29" i="18" s="1"/>
  <c r="G29" i="18" s="1"/>
  <c r="H29" i="18"/>
  <c r="I29" i="18"/>
  <c r="J29" i="18" s="1"/>
  <c r="K29" i="18" s="1"/>
  <c r="L29" i="18"/>
  <c r="M29" i="18" s="1"/>
  <c r="N29" i="18" s="1"/>
  <c r="O29" i="18" s="1"/>
  <c r="P29" i="18" s="1"/>
  <c r="Q29" i="18" s="1"/>
  <c r="R29" i="18" s="1"/>
  <c r="S29" i="18" s="1"/>
  <c r="T29" i="18" s="1"/>
  <c r="U29" i="18" s="1"/>
  <c r="V29" i="18" s="1"/>
  <c r="W29" i="18" s="1"/>
  <c r="X29" i="18" s="1"/>
  <c r="Y29" i="18" s="1"/>
  <c r="Z29" i="18" s="1"/>
  <c r="AA29" i="18"/>
  <c r="AB29" i="18"/>
  <c r="AC29" i="18"/>
  <c r="AD29" i="18" s="1"/>
  <c r="AE29" i="18" s="1"/>
  <c r="AF29" i="18" s="1"/>
  <c r="AG29" i="18" s="1"/>
  <c r="AH29" i="18" s="1"/>
  <c r="AI29" i="18" s="1"/>
  <c r="AJ29" i="18" s="1"/>
  <c r="AK29" i="18" s="1"/>
  <c r="AL29" i="18"/>
  <c r="AM29" i="18" s="1"/>
  <c r="AN29" i="18"/>
  <c r="AO29" i="18"/>
  <c r="AP29" i="18" s="1"/>
  <c r="AQ29" i="18" s="1"/>
  <c r="AR29" i="18" s="1"/>
  <c r="AS29" i="18" s="1"/>
  <c r="AT29" i="18" s="1"/>
  <c r="AU29" i="18" s="1"/>
  <c r="AV29" i="18" s="1"/>
  <c r="AW29" i="18" s="1"/>
  <c r="B30" i="18"/>
  <c r="B31" i="18" s="1"/>
  <c r="B32" i="18" s="1"/>
  <c r="C30" i="18"/>
  <c r="C38" i="18"/>
  <c r="D38" i="18"/>
  <c r="C39" i="18"/>
  <c r="D39" i="18" s="1"/>
  <c r="E39" i="18"/>
  <c r="F39" i="18" s="1"/>
  <c r="G39" i="18"/>
  <c r="H39" i="18" s="1"/>
  <c r="I39" i="18" s="1"/>
  <c r="J39" i="18" s="1"/>
  <c r="K39" i="18" s="1"/>
  <c r="L39" i="18" s="1"/>
  <c r="M39" i="18" s="1"/>
  <c r="N39" i="18" s="1"/>
  <c r="O39" i="18" s="1"/>
  <c r="P39" i="18"/>
  <c r="Q39" i="18" s="1"/>
  <c r="R39" i="18" s="1"/>
  <c r="S39" i="18" s="1"/>
  <c r="T39" i="18" s="1"/>
  <c r="U39" i="18" s="1"/>
  <c r="V39" i="18" s="1"/>
  <c r="W39" i="18" s="1"/>
  <c r="X39" i="18" s="1"/>
  <c r="Y39" i="18" s="1"/>
  <c r="Z39" i="18" s="1"/>
  <c r="AA39" i="18" s="1"/>
  <c r="AB39" i="18" s="1"/>
  <c r="AC39" i="18"/>
  <c r="AD39" i="18"/>
  <c r="AE39" i="18"/>
  <c r="AF39" i="18"/>
  <c r="AG39" i="18"/>
  <c r="AH39" i="18"/>
  <c r="AI39" i="18"/>
  <c r="AJ39" i="18"/>
  <c r="AK39" i="18"/>
  <c r="AL39" i="18"/>
  <c r="AM39" i="18"/>
  <c r="AN39" i="18"/>
  <c r="AO39" i="18"/>
  <c r="AP39" i="18"/>
  <c r="AQ39" i="18"/>
  <c r="AR39" i="18"/>
  <c r="AS39" i="18"/>
  <c r="AT39" i="18" s="1"/>
  <c r="AU39" i="18" s="1"/>
  <c r="AV39" i="18"/>
  <c r="AW39" i="18" s="1"/>
  <c r="B40" i="18"/>
  <c r="B41" i="18" s="1"/>
  <c r="C40" i="18"/>
  <c r="C41" i="18"/>
  <c r="C43" i="18"/>
  <c r="D43" i="18" s="1"/>
  <c r="E43" i="18" s="1"/>
  <c r="F43" i="18"/>
  <c r="G43" i="18" s="1"/>
  <c r="H43" i="18" s="1"/>
  <c r="C44" i="18"/>
  <c r="D44" i="18"/>
  <c r="E44" i="18" s="1"/>
  <c r="L44" i="18"/>
  <c r="M44" i="18"/>
  <c r="N44" i="18"/>
  <c r="O44" i="18"/>
  <c r="P44" i="18" s="1"/>
  <c r="Q44" i="18" s="1"/>
  <c r="R44" i="18" s="1"/>
  <c r="S44" i="18" s="1"/>
  <c r="T44" i="18" s="1"/>
  <c r="U44" i="18"/>
  <c r="V44" i="18" s="1"/>
  <c r="W44" i="18" s="1"/>
  <c r="X44" i="18" s="1"/>
  <c r="Y44" i="18" s="1"/>
  <c r="Z44" i="18" s="1"/>
  <c r="AA44" i="18" s="1"/>
  <c r="AB44" i="18" s="1"/>
  <c r="AC44" i="18"/>
  <c r="AD44" i="18"/>
  <c r="AE44" i="18"/>
  <c r="AF44" i="18"/>
  <c r="AG44" i="18"/>
  <c r="AH44" i="18"/>
  <c r="AI44" i="18"/>
  <c r="AJ44" i="18" s="1"/>
  <c r="AK44" i="18" s="1"/>
  <c r="AL44" i="18" s="1"/>
  <c r="AM44" i="18"/>
  <c r="AN44" i="18"/>
  <c r="AO44" i="18"/>
  <c r="AP44" i="18" s="1"/>
  <c r="AQ44" i="18" s="1"/>
  <c r="AR44" i="18" s="1"/>
  <c r="AS44" i="18" s="1"/>
  <c r="AT44" i="18" s="1"/>
  <c r="AU44" i="18" s="1"/>
  <c r="AV44" i="18" s="1"/>
  <c r="AW44" i="18" s="1"/>
  <c r="C45" i="18"/>
  <c r="D45" i="18"/>
  <c r="E45" i="18" s="1"/>
  <c r="F45" i="18" s="1"/>
  <c r="G45" i="18" s="1"/>
  <c r="H45" i="18" s="1"/>
  <c r="I45" i="18" s="1"/>
  <c r="J45" i="18" s="1"/>
  <c r="K45" i="18" s="1"/>
  <c r="L45" i="18"/>
  <c r="M45" i="18"/>
  <c r="N45" i="18"/>
  <c r="O45" i="18" s="1"/>
  <c r="P45" i="18" s="1"/>
  <c r="Q45" i="18"/>
  <c r="R45" i="18" s="1"/>
  <c r="S45" i="18" s="1"/>
  <c r="T45" i="18" s="1"/>
  <c r="U45" i="18" s="1"/>
  <c r="V45" i="18" s="1"/>
  <c r="W45" i="18" s="1"/>
  <c r="X45" i="18" s="1"/>
  <c r="Y45" i="18" s="1"/>
  <c r="Z45" i="18" s="1"/>
  <c r="AA45" i="18" s="1"/>
  <c r="AB45" i="18" s="1"/>
  <c r="AC45" i="18"/>
  <c r="AD45" i="18"/>
  <c r="AE45" i="18"/>
  <c r="AF45" i="18"/>
  <c r="AG45" i="18" s="1"/>
  <c r="AH45" i="18" s="1"/>
  <c r="AI45" i="18" s="1"/>
  <c r="AJ45" i="18" s="1"/>
  <c r="AK45" i="18" s="1"/>
  <c r="AL45" i="18" s="1"/>
  <c r="AM45" i="18" s="1"/>
  <c r="AN45" i="18" s="1"/>
  <c r="AO45" i="18" s="1"/>
  <c r="AP45" i="18" s="1"/>
  <c r="AQ45" i="18" s="1"/>
  <c r="AR45" i="18" s="1"/>
  <c r="AS45" i="18" s="1"/>
  <c r="AT45" i="18" s="1"/>
  <c r="AU45" i="18" s="1"/>
  <c r="AV45" i="18" s="1"/>
  <c r="AW45" i="18" s="1"/>
  <c r="C46" i="18"/>
  <c r="D46" i="18" s="1"/>
  <c r="E46" i="18" s="1"/>
  <c r="F46" i="18" s="1"/>
  <c r="G46" i="18" s="1"/>
  <c r="H46" i="18" s="1"/>
  <c r="I46" i="18" s="1"/>
  <c r="J46" i="18" s="1"/>
  <c r="K46" i="18" s="1"/>
  <c r="L46" i="18" s="1"/>
  <c r="M46" i="18" s="1"/>
  <c r="N46" i="18" s="1"/>
  <c r="O46" i="18" s="1"/>
  <c r="P46" i="18" s="1"/>
  <c r="Q46" i="18" s="1"/>
  <c r="R46" i="18" s="1"/>
  <c r="S46" i="18" s="1"/>
  <c r="T46" i="18" s="1"/>
  <c r="U46" i="18" s="1"/>
  <c r="V46" i="18" s="1"/>
  <c r="W46" i="18" s="1"/>
  <c r="X46" i="18" s="1"/>
  <c r="Y46" i="18" s="1"/>
  <c r="Z46" i="18" s="1"/>
  <c r="AA46" i="18" s="1"/>
  <c r="AB46" i="18" s="1"/>
  <c r="AC46" i="18" s="1"/>
  <c r="AD46" i="18" s="1"/>
  <c r="AE46" i="18"/>
  <c r="AF46" i="18"/>
  <c r="AG46" i="18"/>
  <c r="AH46" i="18"/>
  <c r="AI46" i="18"/>
  <c r="AJ46" i="18"/>
  <c r="AK46" i="18" s="1"/>
  <c r="AL46" i="18" s="1"/>
  <c r="AM46" i="18" s="1"/>
  <c r="AN46" i="18" s="1"/>
  <c r="AO46" i="18" s="1"/>
  <c r="AP46" i="18" s="1"/>
  <c r="AQ46" i="18" s="1"/>
  <c r="AR46" i="18" s="1"/>
  <c r="AS46" i="18" s="1"/>
  <c r="AT46" i="18" s="1"/>
  <c r="AU46" i="18" s="1"/>
  <c r="AV46" i="18" s="1"/>
  <c r="AW46" i="18" s="1"/>
  <c r="C47" i="18"/>
  <c r="L47" i="18"/>
  <c r="M47" i="18" s="1"/>
  <c r="N47" i="18"/>
  <c r="O47" i="18" s="1"/>
  <c r="P47" i="18" s="1"/>
  <c r="Q47" i="18" s="1"/>
  <c r="R47" i="18" s="1"/>
  <c r="S47" i="18"/>
  <c r="T47" i="18"/>
  <c r="U47" i="18" s="1"/>
  <c r="V47" i="18" s="1"/>
  <c r="W47" i="18" s="1"/>
  <c r="X47" i="18" s="1"/>
  <c r="Y47" i="18" s="1"/>
  <c r="Z47" i="18" s="1"/>
  <c r="AA47" i="18" s="1"/>
  <c r="AB47" i="18" s="1"/>
  <c r="AC47" i="18"/>
  <c r="AD47" i="18"/>
  <c r="AE47" i="18"/>
  <c r="AF47" i="18"/>
  <c r="AG47" i="18"/>
  <c r="AH47" i="18"/>
  <c r="AI47" i="18"/>
  <c r="AJ47" i="18"/>
  <c r="AK47" i="18"/>
  <c r="AL47" i="18" s="1"/>
  <c r="AM47" i="18" s="1"/>
  <c r="AN47" i="18" s="1"/>
  <c r="AO47" i="18" s="1"/>
  <c r="AP47" i="18" s="1"/>
  <c r="AQ47" i="18" s="1"/>
  <c r="AR47" i="18" s="1"/>
  <c r="AS47" i="18" s="1"/>
  <c r="AT47" i="18" s="1"/>
  <c r="AU47" i="18" s="1"/>
  <c r="AV47" i="18" s="1"/>
  <c r="AW47" i="18" s="1"/>
  <c r="C48" i="18"/>
  <c r="D48" i="18" s="1"/>
  <c r="E48" i="18" s="1"/>
  <c r="F48" i="18" s="1"/>
  <c r="G48" i="18" s="1"/>
  <c r="H48" i="18" s="1"/>
  <c r="I48" i="18" s="1"/>
  <c r="J48" i="18" s="1"/>
  <c r="K48" i="18" s="1"/>
  <c r="L48" i="18"/>
  <c r="M48" i="18"/>
  <c r="N48" i="18"/>
  <c r="O48" i="18" s="1"/>
  <c r="P48" i="18"/>
  <c r="Q48" i="18" s="1"/>
  <c r="R48" i="18" s="1"/>
  <c r="S48" i="18"/>
  <c r="T48" i="18" s="1"/>
  <c r="U48" i="18"/>
  <c r="V48" i="18"/>
  <c r="W48" i="18" s="1"/>
  <c r="X48" i="18" s="1"/>
  <c r="Y48" i="18" s="1"/>
  <c r="Z48" i="18" s="1"/>
  <c r="AA48" i="18" s="1"/>
  <c r="AB48" i="18" s="1"/>
  <c r="AC48" i="18"/>
  <c r="AD48" i="18"/>
  <c r="AE48" i="18"/>
  <c r="AF48" i="18"/>
  <c r="AG48" i="18"/>
  <c r="AH48" i="18"/>
  <c r="AI48" i="18"/>
  <c r="AJ48" i="18" s="1"/>
  <c r="AK48" i="18" s="1"/>
  <c r="AL48" i="18" s="1"/>
  <c r="AM48" i="18"/>
  <c r="AN48" i="18" s="1"/>
  <c r="AO48" i="18" s="1"/>
  <c r="AP48" i="18" s="1"/>
  <c r="AQ48" i="18"/>
  <c r="AR48" i="18" s="1"/>
  <c r="AS48" i="18" s="1"/>
  <c r="AT48" i="18" s="1"/>
  <c r="AU48" i="18" s="1"/>
  <c r="AV48" i="18" s="1"/>
  <c r="AW48" i="18" s="1"/>
  <c r="B49" i="18"/>
  <c r="C50" i="18"/>
  <c r="D50" i="18"/>
  <c r="E50" i="18"/>
  <c r="F50" i="18" s="1"/>
  <c r="G50" i="18" s="1"/>
  <c r="H50" i="18" s="1"/>
  <c r="I50" i="18"/>
  <c r="J50" i="18" s="1"/>
  <c r="K50" i="18" s="1"/>
  <c r="L50" i="18" s="1"/>
  <c r="M50" i="18" s="1"/>
  <c r="N50" i="18" s="1"/>
  <c r="O50" i="18" s="1"/>
  <c r="P50" i="18" s="1"/>
  <c r="Q50" i="18" s="1"/>
  <c r="R50" i="18" s="1"/>
  <c r="S50" i="18" s="1"/>
  <c r="T50" i="18" s="1"/>
  <c r="U50" i="18" s="1"/>
  <c r="V50" i="18" s="1"/>
  <c r="W50" i="18" s="1"/>
  <c r="X50" i="18" s="1"/>
  <c r="Y50" i="18" s="1"/>
  <c r="Z50" i="18" s="1"/>
  <c r="AA50" i="18" s="1"/>
  <c r="AB50" i="18"/>
  <c r="AC50" i="18"/>
  <c r="AD50" i="18"/>
  <c r="AE50" i="18" s="1"/>
  <c r="AF50" i="18" s="1"/>
  <c r="AG50" i="18" s="1"/>
  <c r="AH50" i="18" s="1"/>
  <c r="AI50" i="18" s="1"/>
  <c r="AJ50" i="18" s="1"/>
  <c r="AK50" i="18" s="1"/>
  <c r="AL50" i="18" s="1"/>
  <c r="AM50" i="18" s="1"/>
  <c r="AN50" i="18" s="1"/>
  <c r="AO50" i="18" s="1"/>
  <c r="AP50" i="18" s="1"/>
  <c r="AQ50" i="18" s="1"/>
  <c r="AR50" i="18" s="1"/>
  <c r="AS50" i="18" s="1"/>
  <c r="AT50" i="18" s="1"/>
  <c r="AU50" i="18" s="1"/>
  <c r="AV50" i="18" s="1"/>
  <c r="AW50" i="18" s="1"/>
  <c r="C51" i="18"/>
  <c r="D51" i="18" s="1"/>
  <c r="E51" i="18"/>
  <c r="F51" i="18" s="1"/>
  <c r="G51" i="18" s="1"/>
  <c r="H51" i="18"/>
  <c r="I51" i="18"/>
  <c r="J51" i="18" s="1"/>
  <c r="K51" i="18" s="1"/>
  <c r="L51" i="18"/>
  <c r="M51" i="18"/>
  <c r="N51" i="18"/>
  <c r="O51" i="18" s="1"/>
  <c r="P51" i="18" s="1"/>
  <c r="Q51" i="18"/>
  <c r="R51" i="18" s="1"/>
  <c r="S51" i="18" s="1"/>
  <c r="T51" i="18" s="1"/>
  <c r="U51" i="18" s="1"/>
  <c r="V51" i="18" s="1"/>
  <c r="W51" i="18" s="1"/>
  <c r="X51" i="18" s="1"/>
  <c r="Y51" i="18" s="1"/>
  <c r="Z51" i="18" s="1"/>
  <c r="AA51" i="18" s="1"/>
  <c r="AB51" i="18" s="1"/>
  <c r="AC51" i="18"/>
  <c r="AD51" i="18"/>
  <c r="AE51" i="18"/>
  <c r="AF51" i="18"/>
  <c r="AG51" i="18"/>
  <c r="AH51" i="18"/>
  <c r="AI51" i="18"/>
  <c r="AJ51" i="18" s="1"/>
  <c r="AK51" i="18"/>
  <c r="AL51" i="18" s="1"/>
  <c r="AM51" i="18" s="1"/>
  <c r="AN51" i="18" s="1"/>
  <c r="AO51" i="18" s="1"/>
  <c r="AP51" i="18" s="1"/>
  <c r="AQ51" i="18" s="1"/>
  <c r="AR51" i="18" s="1"/>
  <c r="AS51" i="18" s="1"/>
  <c r="AT51" i="18" s="1"/>
  <c r="AU51" i="18" s="1"/>
  <c r="AV51" i="18" s="1"/>
  <c r="AW51" i="18" s="1"/>
  <c r="C52" i="18"/>
  <c r="D52" i="18"/>
  <c r="E52" i="18" s="1"/>
  <c r="F52" i="18" s="1"/>
  <c r="G52" i="18" s="1"/>
  <c r="H52" i="18" s="1"/>
  <c r="I52" i="18" s="1"/>
  <c r="J52" i="18" s="1"/>
  <c r="K52" i="18" s="1"/>
  <c r="L52" i="18" s="1"/>
  <c r="M52" i="18" s="1"/>
  <c r="N52" i="18" s="1"/>
  <c r="O52" i="18" s="1"/>
  <c r="P52" i="18"/>
  <c r="Q52" i="18"/>
  <c r="R52" i="18"/>
  <c r="S52" i="18"/>
  <c r="T52" i="18"/>
  <c r="U52" i="18"/>
  <c r="V52" i="18"/>
  <c r="W52" i="18"/>
  <c r="X52" i="18"/>
  <c r="Y52" i="18"/>
  <c r="Z52" i="18"/>
  <c r="AA52" i="18"/>
  <c r="AB52" i="18"/>
  <c r="AC52" i="18"/>
  <c r="AD52" i="18"/>
  <c r="AE52" i="18"/>
  <c r="AF52" i="18"/>
  <c r="AG52" i="18"/>
  <c r="AH52" i="18"/>
  <c r="AI52" i="18"/>
  <c r="AJ52" i="18"/>
  <c r="AK52" i="18"/>
  <c r="AL52" i="18"/>
  <c r="AM52" i="18"/>
  <c r="AN52" i="18"/>
  <c r="AO52" i="18"/>
  <c r="AP52" i="18"/>
  <c r="AQ52" i="18"/>
  <c r="AR52" i="18"/>
  <c r="AS52" i="18"/>
  <c r="AT52" i="18"/>
  <c r="AU52" i="18"/>
  <c r="AV52" i="18" s="1"/>
  <c r="AW52" i="18"/>
  <c r="B53" i="18"/>
  <c r="B54" i="18"/>
  <c r="C56" i="18"/>
  <c r="D56" i="18"/>
  <c r="E56" i="18" s="1"/>
  <c r="C57" i="18"/>
  <c r="D57" i="18"/>
  <c r="E57" i="18" s="1"/>
  <c r="F57" i="18" s="1"/>
  <c r="G57" i="18" s="1"/>
  <c r="H57" i="18" s="1"/>
  <c r="I57" i="18" s="1"/>
  <c r="J57" i="18" s="1"/>
  <c r="K57" i="18" s="1"/>
  <c r="L57" i="18" s="1"/>
  <c r="M57" i="18" s="1"/>
  <c r="N57" i="18" s="1"/>
  <c r="O57" i="18" s="1"/>
  <c r="P57" i="18" s="1"/>
  <c r="Q57" i="18" s="1"/>
  <c r="R57" i="18" s="1"/>
  <c r="S57" i="18" s="1"/>
  <c r="T57" i="18" s="1"/>
  <c r="U57" i="18"/>
  <c r="V57" i="18" s="1"/>
  <c r="W57" i="18" s="1"/>
  <c r="X57" i="18" s="1"/>
  <c r="Y57" i="18" s="1"/>
  <c r="Z57" i="18" s="1"/>
  <c r="AA57" i="18" s="1"/>
  <c r="AB57" i="18"/>
  <c r="AC57" i="18"/>
  <c r="AD57" i="18"/>
  <c r="AE57" i="18"/>
  <c r="AF57" i="18"/>
  <c r="AG57" i="18"/>
  <c r="AH57" i="18"/>
  <c r="AI57" i="18"/>
  <c r="AJ57" i="18"/>
  <c r="AK57" i="18"/>
  <c r="AL57" i="18"/>
  <c r="AM57" i="18"/>
  <c r="AN57" i="18"/>
  <c r="AO57" i="18"/>
  <c r="AP57" i="18"/>
  <c r="AQ57" i="18"/>
  <c r="AR57" i="18"/>
  <c r="AS57" i="18"/>
  <c r="AT57" i="18" s="1"/>
  <c r="AU57" i="18"/>
  <c r="AV57" i="18" s="1"/>
  <c r="AW57" i="18" s="1"/>
  <c r="B58" i="18"/>
  <c r="C58" i="18"/>
  <c r="B59" i="18"/>
  <c r="C59" i="18"/>
  <c r="B60" i="18"/>
  <c r="C62" i="18"/>
  <c r="D62" i="18" s="1"/>
  <c r="C63" i="18"/>
  <c r="D63" i="18"/>
  <c r="E63" i="18"/>
  <c r="F63" i="18" s="1"/>
  <c r="G63" i="18"/>
  <c r="C64" i="18"/>
  <c r="C65" i="18" s="1"/>
  <c r="D64" i="18"/>
  <c r="R64" i="18"/>
  <c r="S64" i="18"/>
  <c r="T64" i="18"/>
  <c r="U64" i="18"/>
  <c r="V64" i="18"/>
  <c r="W64" i="18"/>
  <c r="X64" i="18"/>
  <c r="Y64" i="18"/>
  <c r="Z64" i="18"/>
  <c r="AA64" i="18"/>
  <c r="AB64" i="18"/>
  <c r="AC64" i="18"/>
  <c r="AD64" i="18"/>
  <c r="AE64" i="18"/>
  <c r="AF64" i="18"/>
  <c r="AG64" i="18"/>
  <c r="AH64" i="18"/>
  <c r="AI64" i="18"/>
  <c r="AJ64" i="18"/>
  <c r="AK64" i="18"/>
  <c r="AL64" i="18"/>
  <c r="AM64" i="18"/>
  <c r="AN64" i="18"/>
  <c r="AO64" i="18"/>
  <c r="AP64" i="18"/>
  <c r="AQ64" i="18"/>
  <c r="AR64" i="18"/>
  <c r="AS64" i="18"/>
  <c r="AT64" i="18"/>
  <c r="AU64" i="18" s="1"/>
  <c r="AV64" i="18" s="1"/>
  <c r="AW64" i="18" s="1"/>
  <c r="B65" i="18"/>
  <c r="C66" i="18"/>
  <c r="D66" i="18" s="1"/>
  <c r="E66" i="18"/>
  <c r="C67" i="18"/>
  <c r="D67" i="18"/>
  <c r="E67" i="18"/>
  <c r="F67" i="18" s="1"/>
  <c r="G67" i="18"/>
  <c r="H67" i="18" s="1"/>
  <c r="I67" i="18" s="1"/>
  <c r="J67" i="18" s="1"/>
  <c r="K67" i="18" s="1"/>
  <c r="L67" i="18" s="1"/>
  <c r="M67" i="18" s="1"/>
  <c r="N67" i="18" s="1"/>
  <c r="O67" i="18"/>
  <c r="P67" i="18" s="1"/>
  <c r="Q67" i="18" s="1"/>
  <c r="R67" i="18" s="1"/>
  <c r="S67" i="18" s="1"/>
  <c r="T67" i="18" s="1"/>
  <c r="U67" i="18" s="1"/>
  <c r="V67" i="18" s="1"/>
  <c r="W67" i="18" s="1"/>
  <c r="X67" i="18" s="1"/>
  <c r="Y67" i="18"/>
  <c r="Z67" i="18" s="1"/>
  <c r="AA67" i="18" s="1"/>
  <c r="AB67" i="18" s="1"/>
  <c r="AC67" i="18" s="1"/>
  <c r="AD67" i="18"/>
  <c r="AE67" i="18" s="1"/>
  <c r="AF67" i="18" s="1"/>
  <c r="AG67" i="18"/>
  <c r="AH67" i="18"/>
  <c r="AI67" i="18"/>
  <c r="AJ67" i="18"/>
  <c r="AK67" i="18" s="1"/>
  <c r="AL67" i="18" s="1"/>
  <c r="AM67" i="18"/>
  <c r="AN67" i="18" s="1"/>
  <c r="AO67" i="18" s="1"/>
  <c r="AP67" i="18" s="1"/>
  <c r="AQ67" i="18" s="1"/>
  <c r="AR67" i="18" s="1"/>
  <c r="AS67" i="18" s="1"/>
  <c r="AT67" i="18" s="1"/>
  <c r="AU67" i="18"/>
  <c r="AV67" i="18" s="1"/>
  <c r="AW67" i="18" s="1"/>
  <c r="C68" i="18"/>
  <c r="D68" i="18" s="1"/>
  <c r="E68" i="18" s="1"/>
  <c r="F68" i="18" s="1"/>
  <c r="G68" i="18" s="1"/>
  <c r="H68" i="18" s="1"/>
  <c r="I68" i="18" s="1"/>
  <c r="J68" i="18" s="1"/>
  <c r="K68" i="18"/>
  <c r="L68" i="18" s="1"/>
  <c r="M68" i="18" s="1"/>
  <c r="N68" i="18" s="1"/>
  <c r="O68" i="18"/>
  <c r="P68" i="18" s="1"/>
  <c r="Q68" i="18" s="1"/>
  <c r="R68" i="18" s="1"/>
  <c r="S68" i="18" s="1"/>
  <c r="T68" i="18" s="1"/>
  <c r="U68" i="18" s="1"/>
  <c r="V68" i="18" s="1"/>
  <c r="W68" i="18" s="1"/>
  <c r="X68" i="18" s="1"/>
  <c r="Y68" i="18" s="1"/>
  <c r="Z68" i="18" s="1"/>
  <c r="AA68" i="18" s="1"/>
  <c r="AB68" i="18"/>
  <c r="AC68" i="18"/>
  <c r="AD68" i="18"/>
  <c r="AE68" i="18"/>
  <c r="AF68" i="18"/>
  <c r="AG68" i="18"/>
  <c r="AH68" i="18" s="1"/>
  <c r="AI68" i="18" s="1"/>
  <c r="AJ68" i="18" s="1"/>
  <c r="AK68" i="18" s="1"/>
  <c r="AL68" i="18" s="1"/>
  <c r="AM68" i="18"/>
  <c r="AN68" i="18" s="1"/>
  <c r="AO68" i="18" s="1"/>
  <c r="AP68" i="18" s="1"/>
  <c r="AQ68" i="18" s="1"/>
  <c r="AR68" i="18" s="1"/>
  <c r="AS68" i="18" s="1"/>
  <c r="AT68" i="18" s="1"/>
  <c r="AU68" i="18" s="1"/>
  <c r="AV68" i="18" s="1"/>
  <c r="AW68" i="18" s="1"/>
  <c r="B69" i="18"/>
  <c r="B73" i="18" s="1"/>
  <c r="B79" i="18" s="1"/>
  <c r="B80" i="18" s="1"/>
  <c r="C70" i="18"/>
  <c r="D70" i="18"/>
  <c r="E70" i="18" s="1"/>
  <c r="F70" i="18"/>
  <c r="G70" i="18"/>
  <c r="H70" i="18"/>
  <c r="C71" i="18"/>
  <c r="D71" i="18"/>
  <c r="E71" i="18"/>
  <c r="F71" i="18" s="1"/>
  <c r="G71" i="18" s="1"/>
  <c r="H71" i="18" s="1"/>
  <c r="I71" i="18"/>
  <c r="J71" i="18" s="1"/>
  <c r="K71" i="18" s="1"/>
  <c r="L71" i="18" s="1"/>
  <c r="M71" i="18" s="1"/>
  <c r="N71" i="18" s="1"/>
  <c r="O71" i="18" s="1"/>
  <c r="P71" i="18" s="1"/>
  <c r="Q71" i="18" s="1"/>
  <c r="R71" i="18" s="1"/>
  <c r="S71" i="18" s="1"/>
  <c r="T71" i="18" s="1"/>
  <c r="U71" i="18" s="1"/>
  <c r="V71" i="18" s="1"/>
  <c r="W71" i="18" s="1"/>
  <c r="X71" i="18" s="1"/>
  <c r="Y71" i="18" s="1"/>
  <c r="Z71" i="18" s="1"/>
  <c r="AA71" i="18" s="1"/>
  <c r="AB71" i="18" s="1"/>
  <c r="AC71" i="18" s="1"/>
  <c r="AD71" i="18" s="1"/>
  <c r="AE71" i="18" s="1"/>
  <c r="AF71" i="18" s="1"/>
  <c r="AG71" i="18" s="1"/>
  <c r="AH71" i="18" s="1"/>
  <c r="AI71" i="18" s="1"/>
  <c r="AJ71" i="18"/>
  <c r="AK71" i="18" s="1"/>
  <c r="AL71" i="18" s="1"/>
  <c r="AM71" i="18" s="1"/>
  <c r="AN71" i="18" s="1"/>
  <c r="AO71" i="18" s="1"/>
  <c r="AP71" i="18" s="1"/>
  <c r="AQ71" i="18" s="1"/>
  <c r="AR71" i="18"/>
  <c r="AS71" i="18" s="1"/>
  <c r="AT71" i="18" s="1"/>
  <c r="AU71" i="18" s="1"/>
  <c r="AV71" i="18" s="1"/>
  <c r="AW71" i="18" s="1"/>
  <c r="B72" i="18"/>
  <c r="C72" i="18"/>
  <c r="D72" i="18"/>
  <c r="E72" i="18"/>
  <c r="G72" i="18"/>
  <c r="C74" i="18"/>
  <c r="D74" i="18"/>
  <c r="E74" i="18" s="1"/>
  <c r="F74" i="18"/>
  <c r="G74" i="18" s="1"/>
  <c r="H74" i="18"/>
  <c r="I74" i="18"/>
  <c r="J74" i="18" s="1"/>
  <c r="K74" i="18" s="1"/>
  <c r="L74" i="18" s="1"/>
  <c r="M74" i="18" s="1"/>
  <c r="N74" i="18"/>
  <c r="O74" i="18" s="1"/>
  <c r="P74" i="18"/>
  <c r="Q74" i="18"/>
  <c r="R74" i="18"/>
  <c r="S74" i="18" s="1"/>
  <c r="T74" i="18" s="1"/>
  <c r="U74" i="18" s="1"/>
  <c r="V74" i="18"/>
  <c r="W74" i="18" s="1"/>
  <c r="X74" i="18" s="1"/>
  <c r="Y74" i="18" s="1"/>
  <c r="Z74" i="18" s="1"/>
  <c r="AA74" i="18" s="1"/>
  <c r="AB74" i="18" s="1"/>
  <c r="AC74" i="18" s="1"/>
  <c r="AD74" i="18" s="1"/>
  <c r="AE74" i="18" s="1"/>
  <c r="AF74" i="18" s="1"/>
  <c r="AG74" i="18" s="1"/>
  <c r="AH74" i="18" s="1"/>
  <c r="AI74" i="18" s="1"/>
  <c r="AJ74" i="18" s="1"/>
  <c r="AK74" i="18" s="1"/>
  <c r="AL74" i="18" s="1"/>
  <c r="AM74" i="18" s="1"/>
  <c r="AN74" i="18" s="1"/>
  <c r="AO74" i="18" s="1"/>
  <c r="AP74" i="18" s="1"/>
  <c r="AQ74" i="18" s="1"/>
  <c r="AR74" i="18" s="1"/>
  <c r="AS74" i="18" s="1"/>
  <c r="AT74" i="18" s="1"/>
  <c r="AU74" i="18" s="1"/>
  <c r="AV74" i="18" s="1"/>
  <c r="AW74" i="18" s="1"/>
  <c r="C75" i="18"/>
  <c r="D75" i="18" s="1"/>
  <c r="E75" i="18" s="1"/>
  <c r="F75" i="18"/>
  <c r="G75" i="18"/>
  <c r="H75" i="18" s="1"/>
  <c r="I75" i="18"/>
  <c r="J75" i="18"/>
  <c r="K75" i="18"/>
  <c r="L75" i="18"/>
  <c r="M75" i="18"/>
  <c r="N75" i="18"/>
  <c r="O75" i="18"/>
  <c r="P75" i="18"/>
  <c r="Q75" i="18"/>
  <c r="R75" i="18"/>
  <c r="S75" i="18"/>
  <c r="T75" i="18"/>
  <c r="U75" i="18"/>
  <c r="V75" i="18"/>
  <c r="W75" i="18"/>
  <c r="X75" i="18"/>
  <c r="Y75" i="18"/>
  <c r="Z75" i="18"/>
  <c r="AA75" i="18"/>
  <c r="AB75" i="18"/>
  <c r="AC75" i="18" s="1"/>
  <c r="AD75" i="18"/>
  <c r="AE75" i="18" s="1"/>
  <c r="AF75" i="18" s="1"/>
  <c r="AG75" i="18"/>
  <c r="AH75" i="18"/>
  <c r="AI75" i="18"/>
  <c r="AJ75" i="18" s="1"/>
  <c r="AK75" i="18" s="1"/>
  <c r="AL75" i="18" s="1"/>
  <c r="AM75" i="18"/>
  <c r="AN75" i="18" s="1"/>
  <c r="AO75" i="18" s="1"/>
  <c r="AP75" i="18" s="1"/>
  <c r="AQ75" i="18" s="1"/>
  <c r="AR75" i="18" s="1"/>
  <c r="AS75" i="18" s="1"/>
  <c r="AT75" i="18" s="1"/>
  <c r="AU75" i="18" s="1"/>
  <c r="AV75" i="18" s="1"/>
  <c r="AW75" i="18" s="1"/>
  <c r="C76" i="18"/>
  <c r="D76" i="18"/>
  <c r="E76" i="18" s="1"/>
  <c r="F76" i="18" s="1"/>
  <c r="G76" i="18" s="1"/>
  <c r="H76" i="18" s="1"/>
  <c r="I76" i="18"/>
  <c r="J76" i="18"/>
  <c r="K76" i="18" s="1"/>
  <c r="L76" i="18"/>
  <c r="M76" i="18"/>
  <c r="N76" i="18"/>
  <c r="O76" i="18"/>
  <c r="P76" i="18"/>
  <c r="Q76" i="18" s="1"/>
  <c r="R76" i="18" s="1"/>
  <c r="S76" i="18"/>
  <c r="T76" i="18"/>
  <c r="U76" i="18" s="1"/>
  <c r="V76" i="18" s="1"/>
  <c r="W76" i="18" s="1"/>
  <c r="X76" i="18"/>
  <c r="Y76" i="18" s="1"/>
  <c r="Z76" i="18" s="1"/>
  <c r="AA76" i="18" s="1"/>
  <c r="AB76" i="18" s="1"/>
  <c r="AC76" i="18" s="1"/>
  <c r="AD76" i="18" s="1"/>
  <c r="AE76" i="18"/>
  <c r="AF76" i="18" s="1"/>
  <c r="AG76" i="18" s="1"/>
  <c r="AH76" i="18" s="1"/>
  <c r="AI76" i="18" s="1"/>
  <c r="AJ76" i="18" s="1"/>
  <c r="AK76" i="18"/>
  <c r="AL76" i="18" s="1"/>
  <c r="AM76" i="18" s="1"/>
  <c r="AN76" i="18" s="1"/>
  <c r="AO76" i="18" s="1"/>
  <c r="AP76" i="18" s="1"/>
  <c r="AQ76" i="18"/>
  <c r="AR76" i="18" s="1"/>
  <c r="AS76" i="18" s="1"/>
  <c r="AT76" i="18" s="1"/>
  <c r="AU76" i="18" s="1"/>
  <c r="AV76" i="18" s="1"/>
  <c r="AW76" i="18" s="1"/>
  <c r="C77" i="18"/>
  <c r="D77" i="18"/>
  <c r="E77" i="18"/>
  <c r="F77" i="18"/>
  <c r="G77" i="18" s="1"/>
  <c r="H77" i="18" s="1"/>
  <c r="I77" i="18"/>
  <c r="J77" i="18" s="1"/>
  <c r="K77" i="18" s="1"/>
  <c r="L77" i="18" s="1"/>
  <c r="M77" i="18"/>
  <c r="N77" i="18" s="1"/>
  <c r="O77" i="18" s="1"/>
  <c r="P77" i="18" s="1"/>
  <c r="Q77" i="18" s="1"/>
  <c r="R77" i="18" s="1"/>
  <c r="S77" i="18" s="1"/>
  <c r="T77" i="18" s="1"/>
  <c r="U77" i="18"/>
  <c r="V77" i="18" s="1"/>
  <c r="W77" i="18" s="1"/>
  <c r="X77" i="18" s="1"/>
  <c r="Y77" i="18" s="1"/>
  <c r="Z77" i="18" s="1"/>
  <c r="AA77" i="18" s="1"/>
  <c r="AB77" i="18" s="1"/>
  <c r="AC77" i="18" s="1"/>
  <c r="AD77" i="18" s="1"/>
  <c r="AE77" i="18" s="1"/>
  <c r="AF77" i="18" s="1"/>
  <c r="AG77" i="18" s="1"/>
  <c r="AH77" i="18" s="1"/>
  <c r="AI77" i="18" s="1"/>
  <c r="AJ77" i="18" s="1"/>
  <c r="AK77" i="18" s="1"/>
  <c r="AL77" i="18" s="1"/>
  <c r="AM77" i="18" s="1"/>
  <c r="AN77" i="18" s="1"/>
  <c r="AO77" i="18" s="1"/>
  <c r="AP77" i="18" s="1"/>
  <c r="AQ77" i="18" s="1"/>
  <c r="AR77" i="18" s="1"/>
  <c r="AS77" i="18" s="1"/>
  <c r="AT77" i="18" s="1"/>
  <c r="AU77" i="18" s="1"/>
  <c r="AV77" i="18" s="1"/>
  <c r="AW77" i="18" s="1"/>
  <c r="C78" i="18"/>
  <c r="D78" i="18"/>
  <c r="E78" i="18" s="1"/>
  <c r="F78" i="18"/>
  <c r="G78" i="18"/>
  <c r="H78" i="18"/>
  <c r="I78" i="18"/>
  <c r="J78" i="18"/>
  <c r="K78" i="18"/>
  <c r="L78" i="18"/>
  <c r="M78" i="18"/>
  <c r="N78" i="18"/>
  <c r="O78" i="18"/>
  <c r="P78" i="18"/>
  <c r="Q78" i="18"/>
  <c r="R78" i="18"/>
  <c r="S78" i="18"/>
  <c r="T78" i="18"/>
  <c r="U78" i="18"/>
  <c r="V78" i="18"/>
  <c r="W78" i="18"/>
  <c r="X78" i="18"/>
  <c r="Y78" i="18"/>
  <c r="Z78" i="18"/>
  <c r="AA78" i="18"/>
  <c r="AB78" i="18"/>
  <c r="AC78" i="18"/>
  <c r="AD78" i="18"/>
  <c r="AE78" i="18"/>
  <c r="AF78" i="18"/>
  <c r="AG78" i="18"/>
  <c r="AH78" i="18"/>
  <c r="AI78" i="18"/>
  <c r="AJ78" i="18"/>
  <c r="AK78" i="18"/>
  <c r="AL78" i="18"/>
  <c r="AM78" i="18"/>
  <c r="AN78" i="18"/>
  <c r="AO78" i="18"/>
  <c r="AP78" i="18"/>
  <c r="AQ78" i="18"/>
  <c r="AR78" i="18"/>
  <c r="AS78" i="18"/>
  <c r="AT78" i="18"/>
  <c r="AU78" i="18"/>
  <c r="AV78" i="18"/>
  <c r="AW78" i="18" s="1"/>
  <c r="H7" i="17"/>
  <c r="I7" i="17"/>
  <c r="J7" i="17"/>
  <c r="K7" i="17"/>
  <c r="L7" i="17"/>
  <c r="M7" i="17"/>
  <c r="N7" i="17"/>
  <c r="O7" i="17"/>
  <c r="P7" i="17"/>
  <c r="Q7" i="17"/>
  <c r="R7" i="17"/>
  <c r="S7" i="17"/>
  <c r="S22" i="17" s="1"/>
  <c r="S37" i="17" s="1"/>
  <c r="T7" i="17"/>
  <c r="T22" i="17" s="1"/>
  <c r="T37" i="17" s="1"/>
  <c r="U7" i="17"/>
  <c r="U22" i="17" s="1"/>
  <c r="U37" i="17" s="1"/>
  <c r="V7" i="17"/>
  <c r="W7" i="17"/>
  <c r="X7" i="17"/>
  <c r="Y7" i="17"/>
  <c r="Z7" i="17"/>
  <c r="AA7" i="17"/>
  <c r="AA22" i="17" s="1"/>
  <c r="AA37" i="17" s="1"/>
  <c r="AB7" i="17"/>
  <c r="AB22" i="17" s="1"/>
  <c r="AB37" i="17" s="1"/>
  <c r="AC7" i="17"/>
  <c r="AC22" i="17" s="1"/>
  <c r="AC37" i="17" s="1"/>
  <c r="AD7" i="17"/>
  <c r="AE7" i="17"/>
  <c r="AF7" i="17"/>
  <c r="AG7" i="17"/>
  <c r="AH7" i="17"/>
  <c r="AI7" i="17"/>
  <c r="AI22" i="17" s="1"/>
  <c r="AI37" i="17" s="1"/>
  <c r="AJ7" i="17"/>
  <c r="AJ22" i="17" s="1"/>
  <c r="AJ37" i="17" s="1"/>
  <c r="AK7" i="17"/>
  <c r="AK22" i="17" s="1"/>
  <c r="AK37" i="17" s="1"/>
  <c r="AL7" i="17"/>
  <c r="AM7" i="17"/>
  <c r="AN7" i="17"/>
  <c r="AO7" i="17"/>
  <c r="AP7" i="17"/>
  <c r="AQ7" i="17"/>
  <c r="AQ22" i="17" s="1"/>
  <c r="AQ37" i="17" s="1"/>
  <c r="AR7" i="17"/>
  <c r="AR22" i="17" s="1"/>
  <c r="AR37" i="17" s="1"/>
  <c r="AS7" i="17"/>
  <c r="AS22" i="17" s="1"/>
  <c r="AS37" i="17" s="1"/>
  <c r="AT7" i="17"/>
  <c r="AX8" i="17"/>
  <c r="H9" i="17"/>
  <c r="I9" i="17"/>
  <c r="J9" i="17"/>
  <c r="J21" i="17" s="1"/>
  <c r="J22" i="17" s="1"/>
  <c r="J37" i="17" s="1"/>
  <c r="K9" i="17"/>
  <c r="AX9" i="17" s="1"/>
  <c r="L9" i="17"/>
  <c r="L21" i="17" s="1"/>
  <c r="M9" i="17"/>
  <c r="M21" i="17" s="1"/>
  <c r="O9" i="17"/>
  <c r="O21" i="17" s="1"/>
  <c r="O22" i="17" s="1"/>
  <c r="P9" i="17"/>
  <c r="Q9" i="17"/>
  <c r="R9" i="17"/>
  <c r="S9" i="17"/>
  <c r="T9" i="17"/>
  <c r="T21" i="17" s="1"/>
  <c r="U9" i="17"/>
  <c r="U21" i="17" s="1"/>
  <c r="V9" i="17"/>
  <c r="W9" i="17"/>
  <c r="W21" i="17" s="1"/>
  <c r="W22" i="17" s="1"/>
  <c r="X9" i="17"/>
  <c r="Y9" i="17"/>
  <c r="Z9" i="17"/>
  <c r="AA9" i="17"/>
  <c r="AB9" i="17"/>
  <c r="AB21" i="17" s="1"/>
  <c r="AC9" i="17"/>
  <c r="AC21" i="17" s="1"/>
  <c r="AD9" i="17"/>
  <c r="AE9" i="17"/>
  <c r="AE21" i="17" s="1"/>
  <c r="AE22" i="17" s="1"/>
  <c r="AF9" i="17"/>
  <c r="AG9" i="17"/>
  <c r="AH9" i="17"/>
  <c r="AI9" i="17"/>
  <c r="AJ9" i="17"/>
  <c r="AJ21" i="17" s="1"/>
  <c r="AK9" i="17"/>
  <c r="AK21" i="17" s="1"/>
  <c r="AL9" i="17"/>
  <c r="AM9" i="17"/>
  <c r="AM21" i="17" s="1"/>
  <c r="AM22" i="17" s="1"/>
  <c r="AN9" i="17"/>
  <c r="AO9" i="17"/>
  <c r="AP9" i="17"/>
  <c r="AQ9" i="17"/>
  <c r="AR9" i="17"/>
  <c r="AR21" i="17" s="1"/>
  <c r="AS9" i="17"/>
  <c r="AS21" i="17" s="1"/>
  <c r="AT9" i="17"/>
  <c r="AB10" i="17"/>
  <c r="AC10" i="17"/>
  <c r="AR10" i="17"/>
  <c r="AS10" i="17"/>
  <c r="AX10" i="17"/>
  <c r="Z11" i="17"/>
  <c r="AX11" i="17" s="1"/>
  <c r="AA11" i="17"/>
  <c r="AB11" i="17"/>
  <c r="AC11" i="17"/>
  <c r="AD11" i="17"/>
  <c r="AE11" i="17"/>
  <c r="AF11" i="17"/>
  <c r="AG11" i="17"/>
  <c r="AH11" i="17"/>
  <c r="AH21" i="17" s="1"/>
  <c r="AH22" i="17" s="1"/>
  <c r="AI11" i="17"/>
  <c r="AJ11" i="17"/>
  <c r="AK11" i="17"/>
  <c r="AC12" i="17"/>
  <c r="AD12" i="17"/>
  <c r="AD21" i="17" s="1"/>
  <c r="AD22" i="17" s="1"/>
  <c r="AD37" i="17" s="1"/>
  <c r="AE12" i="17"/>
  <c r="AX12" i="17" s="1"/>
  <c r="AF12" i="17"/>
  <c r="AF21" i="17" s="1"/>
  <c r="AF22" i="17" s="1"/>
  <c r="AF37" i="17" s="1"/>
  <c r="AG12" i="17"/>
  <c r="AH12" i="17"/>
  <c r="AI12" i="17"/>
  <c r="AJ12" i="17"/>
  <c r="AK12" i="17"/>
  <c r="AL12" i="17"/>
  <c r="AL21" i="17" s="1"/>
  <c r="AL22" i="17" s="1"/>
  <c r="AL37" i="17" s="1"/>
  <c r="AM12" i="17"/>
  <c r="AN12" i="17"/>
  <c r="AN21" i="17" s="1"/>
  <c r="AN22" i="17" s="1"/>
  <c r="AN37" i="17" s="1"/>
  <c r="AO12" i="17"/>
  <c r="AP12" i="17"/>
  <c r="AP21" i="17" s="1"/>
  <c r="AP22" i="17" s="1"/>
  <c r="AP37" i="17" s="1"/>
  <c r="AQ12" i="17"/>
  <c r="AR12" i="17"/>
  <c r="AS12" i="17"/>
  <c r="L13" i="17"/>
  <c r="N13" i="17"/>
  <c r="AX13" i="17" s="1"/>
  <c r="AC13" i="17"/>
  <c r="AD13" i="17"/>
  <c r="AE13" i="17"/>
  <c r="AF13" i="17"/>
  <c r="AG13" i="17"/>
  <c r="AH13" i="17"/>
  <c r="L14" i="17"/>
  <c r="AX14" i="17" s="1"/>
  <c r="N14" i="17"/>
  <c r="AC14" i="17"/>
  <c r="AD14" i="17"/>
  <c r="AE14" i="17"/>
  <c r="AE15" i="17"/>
  <c r="AF15" i="17"/>
  <c r="AX15" i="17" s="1"/>
  <c r="AG15" i="17"/>
  <c r="AH15" i="17"/>
  <c r="L16" i="17"/>
  <c r="N16" i="17"/>
  <c r="AX16" i="17" s="1"/>
  <c r="AC16" i="17"/>
  <c r="AD16" i="17"/>
  <c r="AE16" i="17"/>
  <c r="AF16" i="17"/>
  <c r="AG16" i="17"/>
  <c r="AH16" i="17"/>
  <c r="L17" i="17"/>
  <c r="N17" i="17"/>
  <c r="S17" i="17"/>
  <c r="AX17" i="17" s="1"/>
  <c r="AC17" i="17"/>
  <c r="AD17" i="17"/>
  <c r="AE17" i="17"/>
  <c r="AF17" i="17"/>
  <c r="AG17" i="17"/>
  <c r="AH17" i="17"/>
  <c r="AB18" i="17"/>
  <c r="AC18" i="17"/>
  <c r="AX18" i="17"/>
  <c r="L19" i="17"/>
  <c r="N19" i="17"/>
  <c r="AX19" i="17" s="1"/>
  <c r="AC19" i="17"/>
  <c r="AD19" i="17"/>
  <c r="AE19" i="17"/>
  <c r="AF19" i="17"/>
  <c r="AG19" i="17"/>
  <c r="AH19" i="17"/>
  <c r="P20" i="17"/>
  <c r="Q20" i="17"/>
  <c r="R20" i="17"/>
  <c r="S20" i="17"/>
  <c r="U20" i="17"/>
  <c r="V20" i="17"/>
  <c r="V21" i="17" s="1"/>
  <c r="V22" i="17" s="1"/>
  <c r="V37" i="17" s="1"/>
  <c r="W20" i="17"/>
  <c r="X20" i="17"/>
  <c r="Y20" i="17"/>
  <c r="Z20" i="17"/>
  <c r="AA20" i="17"/>
  <c r="AB20" i="17"/>
  <c r="AC20" i="17"/>
  <c r="AD20" i="17"/>
  <c r="AE20" i="17"/>
  <c r="AF20" i="17"/>
  <c r="AG20" i="17"/>
  <c r="AH20" i="17"/>
  <c r="AI20" i="17"/>
  <c r="AJ20" i="17"/>
  <c r="AK20" i="17"/>
  <c r="AL20" i="17"/>
  <c r="AM20" i="17"/>
  <c r="AN20" i="17"/>
  <c r="AO20" i="17"/>
  <c r="AP20" i="17"/>
  <c r="AQ20" i="17"/>
  <c r="AR20" i="17"/>
  <c r="AS20" i="17"/>
  <c r="AT20" i="17"/>
  <c r="AT21" i="17" s="1"/>
  <c r="AT22" i="17" s="1"/>
  <c r="AT37" i="17" s="1"/>
  <c r="AX20" i="17"/>
  <c r="B21" i="17"/>
  <c r="C21" i="17"/>
  <c r="C22" i="17" s="1"/>
  <c r="D21" i="17"/>
  <c r="E21" i="17"/>
  <c r="F21" i="17"/>
  <c r="G21" i="17"/>
  <c r="H21" i="17"/>
  <c r="I21" i="17"/>
  <c r="I22" i="17" s="1"/>
  <c r="P21" i="17"/>
  <c r="Q21" i="17"/>
  <c r="Q22" i="17" s="1"/>
  <c r="Q37" i="17" s="1"/>
  <c r="R21" i="17"/>
  <c r="S21" i="17"/>
  <c r="X21" i="17"/>
  <c r="Y21" i="17"/>
  <c r="Y22" i="17" s="1"/>
  <c r="AA21" i="17"/>
  <c r="AG21" i="17"/>
  <c r="AG22" i="17" s="1"/>
  <c r="AG37" i="17" s="1"/>
  <c r="AI21" i="17"/>
  <c r="AO21" i="17"/>
  <c r="AO22" i="17" s="1"/>
  <c r="AO37" i="17" s="1"/>
  <c r="AQ21" i="17"/>
  <c r="AU21" i="17"/>
  <c r="AV21" i="17"/>
  <c r="AW21" i="17"/>
  <c r="AW22" i="17" s="1"/>
  <c r="AW37" i="17" s="1"/>
  <c r="B22" i="17"/>
  <c r="B37" i="17" s="1"/>
  <c r="D22" i="17"/>
  <c r="E22" i="17"/>
  <c r="F22" i="17"/>
  <c r="F37" i="17" s="1"/>
  <c r="G22" i="17"/>
  <c r="G37" i="17" s="1"/>
  <c r="H22" i="17"/>
  <c r="H37" i="17" s="1"/>
  <c r="P22" i="17"/>
  <c r="P37" i="17" s="1"/>
  <c r="R22" i="17"/>
  <c r="X22" i="17"/>
  <c r="X37" i="17" s="1"/>
  <c r="AU22" i="17"/>
  <c r="AU37" i="17" s="1"/>
  <c r="AV22" i="17"/>
  <c r="AV37" i="17" s="1"/>
  <c r="AE24" i="17"/>
  <c r="AX24" i="17"/>
  <c r="AB25" i="17"/>
  <c r="AX25" i="17"/>
  <c r="B26" i="17"/>
  <c r="C26" i="17"/>
  <c r="AX26" i="17" s="1"/>
  <c r="D26" i="17"/>
  <c r="E26" i="17"/>
  <c r="F26" i="17"/>
  <c r="G26" i="17"/>
  <c r="H26" i="17"/>
  <c r="I26" i="17"/>
  <c r="J26" i="17"/>
  <c r="K26" i="17"/>
  <c r="L26" i="17"/>
  <c r="M26" i="17"/>
  <c r="N26" i="17"/>
  <c r="O26" i="17"/>
  <c r="P26" i="17"/>
  <c r="Q26" i="17"/>
  <c r="R26" i="17"/>
  <c r="S26" i="17"/>
  <c r="T26" i="17"/>
  <c r="U26" i="17"/>
  <c r="V26" i="17"/>
  <c r="W26" i="17"/>
  <c r="X26" i="17"/>
  <c r="Y26" i="17"/>
  <c r="Z26" i="17"/>
  <c r="AA26" i="17"/>
  <c r="AB26" i="17"/>
  <c r="AC26" i="17"/>
  <c r="AD26" i="17"/>
  <c r="AE26" i="17"/>
  <c r="AF26" i="17"/>
  <c r="AG26" i="17"/>
  <c r="AH26" i="17"/>
  <c r="AI26" i="17"/>
  <c r="AJ26" i="17"/>
  <c r="AK26" i="17"/>
  <c r="AL26" i="17"/>
  <c r="AM26" i="17"/>
  <c r="AN26" i="17"/>
  <c r="AO26" i="17"/>
  <c r="AP26" i="17"/>
  <c r="AQ26" i="17"/>
  <c r="AR26" i="17"/>
  <c r="AS26" i="17"/>
  <c r="AT26" i="17"/>
  <c r="AU26" i="17"/>
  <c r="AV26" i="17"/>
  <c r="AW26" i="17"/>
  <c r="AB28" i="17"/>
  <c r="AB36" i="17" s="1"/>
  <c r="AC28" i="17"/>
  <c r="AD28" i="17"/>
  <c r="AE28" i="17"/>
  <c r="AF28" i="17"/>
  <c r="AG28" i="17"/>
  <c r="AG36" i="17" s="1"/>
  <c r="AH28" i="17"/>
  <c r="AH36" i="17" s="1"/>
  <c r="AI28" i="17"/>
  <c r="AI36" i="17" s="1"/>
  <c r="AJ28" i="17"/>
  <c r="AJ36" i="17" s="1"/>
  <c r="AK28" i="17"/>
  <c r="AL28" i="17"/>
  <c r="AM28" i="17"/>
  <c r="AN28" i="17"/>
  <c r="AO28" i="17"/>
  <c r="AO36" i="17" s="1"/>
  <c r="AP28" i="17"/>
  <c r="AP36" i="17" s="1"/>
  <c r="AQ28" i="17"/>
  <c r="AQ36" i="17" s="1"/>
  <c r="AR28" i="17"/>
  <c r="AR36" i="17" s="1"/>
  <c r="R29" i="17"/>
  <c r="AX29" i="17" s="1"/>
  <c r="S29" i="17"/>
  <c r="T29" i="17"/>
  <c r="U29" i="17"/>
  <c r="V29" i="17"/>
  <c r="W29" i="17"/>
  <c r="W36" i="17" s="1"/>
  <c r="X29" i="17"/>
  <c r="X36" i="17" s="1"/>
  <c r="Y29" i="17"/>
  <c r="Y36" i="17" s="1"/>
  <c r="Z29" i="17"/>
  <c r="Z36" i="17" s="1"/>
  <c r="AA29" i="17"/>
  <c r="AB29" i="17"/>
  <c r="AC29" i="17"/>
  <c r="AD29" i="17"/>
  <c r="AE29" i="17"/>
  <c r="AE36" i="17" s="1"/>
  <c r="AF29" i="17"/>
  <c r="AF36" i="17" s="1"/>
  <c r="AG29" i="17"/>
  <c r="AH29" i="17"/>
  <c r="AI29" i="17"/>
  <c r="AJ29" i="17"/>
  <c r="AK29" i="17"/>
  <c r="AL29" i="17"/>
  <c r="AM29" i="17"/>
  <c r="AM36" i="17" s="1"/>
  <c r="AN29" i="17"/>
  <c r="AN36" i="17" s="1"/>
  <c r="AO29" i="17"/>
  <c r="AP29" i="17"/>
  <c r="AQ29" i="17"/>
  <c r="AR29" i="17"/>
  <c r="AG30" i="17"/>
  <c r="AH30" i="17"/>
  <c r="AX30" i="17" s="1"/>
  <c r="AI30" i="17"/>
  <c r="AJ30" i="17"/>
  <c r="AB31" i="17"/>
  <c r="AX31" i="17"/>
  <c r="AJ32" i="17"/>
  <c r="AX32" i="17"/>
  <c r="I33" i="17"/>
  <c r="I36" i="17" s="1"/>
  <c r="N33" i="17"/>
  <c r="I34" i="17"/>
  <c r="AX34" i="17" s="1"/>
  <c r="J34" i="17"/>
  <c r="K34" i="17"/>
  <c r="L34" i="17"/>
  <c r="M34" i="17"/>
  <c r="N34" i="17"/>
  <c r="O34" i="17"/>
  <c r="O36" i="17" s="1"/>
  <c r="P34" i="17"/>
  <c r="Q34" i="17"/>
  <c r="Q36" i="17" s="1"/>
  <c r="R34" i="17"/>
  <c r="S34" i="17"/>
  <c r="T34" i="17"/>
  <c r="U34" i="17"/>
  <c r="V34" i="17"/>
  <c r="W34" i="17"/>
  <c r="X34" i="17"/>
  <c r="Y34" i="17"/>
  <c r="Z34" i="17"/>
  <c r="AA34" i="17"/>
  <c r="AB34" i="17"/>
  <c r="I35" i="17"/>
  <c r="AX35" i="17" s="1"/>
  <c r="L35" i="17"/>
  <c r="L36" i="17" s="1"/>
  <c r="M35" i="17"/>
  <c r="N35" i="17"/>
  <c r="B36" i="17"/>
  <c r="C36" i="17"/>
  <c r="D36" i="17"/>
  <c r="E36" i="17"/>
  <c r="F36" i="17"/>
  <c r="G36" i="17"/>
  <c r="H36" i="17"/>
  <c r="J36" i="17"/>
  <c r="K36" i="17"/>
  <c r="M36" i="17"/>
  <c r="N36" i="17"/>
  <c r="P36" i="17"/>
  <c r="S36" i="17"/>
  <c r="T36" i="17"/>
  <c r="U36" i="17"/>
  <c r="V36" i="17"/>
  <c r="AA36" i="17"/>
  <c r="AC36" i="17"/>
  <c r="AD36" i="17"/>
  <c r="AK36" i="17"/>
  <c r="AL36" i="17"/>
  <c r="AS36" i="17"/>
  <c r="AT36" i="17"/>
  <c r="AU36" i="17"/>
  <c r="AV36" i="17"/>
  <c r="AW36" i="17"/>
  <c r="D37" i="17"/>
  <c r="E37" i="17"/>
  <c r="AX7" i="16"/>
  <c r="H8" i="16"/>
  <c r="AX8" i="16" s="1"/>
  <c r="I8" i="16"/>
  <c r="J8" i="16"/>
  <c r="K8" i="16"/>
  <c r="L8" i="16"/>
  <c r="M8" i="16"/>
  <c r="N8" i="16"/>
  <c r="O8" i="16"/>
  <c r="P8" i="16"/>
  <c r="Q8" i="16"/>
  <c r="R8" i="16"/>
  <c r="S8" i="16"/>
  <c r="T8" i="16"/>
  <c r="U8" i="16"/>
  <c r="V8" i="16"/>
  <c r="W8" i="16"/>
  <c r="X8" i="16"/>
  <c r="Y8" i="16"/>
  <c r="Z8" i="16"/>
  <c r="AA8" i="16"/>
  <c r="AB8" i="16"/>
  <c r="AC8" i="16"/>
  <c r="AD8" i="16"/>
  <c r="AE8" i="16"/>
  <c r="AF8" i="16"/>
  <c r="AG8" i="16"/>
  <c r="AH8" i="16"/>
  <c r="AI8" i="16"/>
  <c r="AJ8" i="16"/>
  <c r="AK8" i="16"/>
  <c r="AL8" i="16"/>
  <c r="AM8" i="16"/>
  <c r="AN8" i="16"/>
  <c r="AO8" i="16"/>
  <c r="AP8" i="16"/>
  <c r="AQ8" i="16"/>
  <c r="AR8" i="16"/>
  <c r="AS8" i="16"/>
  <c r="AT8" i="16"/>
  <c r="X9" i="16"/>
  <c r="AX9" i="16"/>
  <c r="B10" i="16"/>
  <c r="B12" i="16" s="1"/>
  <c r="B19" i="16" s="1"/>
  <c r="C10" i="16"/>
  <c r="C12" i="16" s="1"/>
  <c r="D10" i="16"/>
  <c r="E10" i="16"/>
  <c r="F10" i="16"/>
  <c r="G10" i="16"/>
  <c r="H10" i="16"/>
  <c r="H12" i="16" s="1"/>
  <c r="H19" i="16" s="1"/>
  <c r="I10" i="16"/>
  <c r="I12" i="16" s="1"/>
  <c r="J10" i="16"/>
  <c r="J12" i="16" s="1"/>
  <c r="J19" i="16" s="1"/>
  <c r="K10" i="16"/>
  <c r="K12" i="16" s="1"/>
  <c r="K19" i="16" s="1"/>
  <c r="L10" i="16"/>
  <c r="M10" i="16"/>
  <c r="N10" i="16"/>
  <c r="N12" i="16" s="1"/>
  <c r="O10" i="16"/>
  <c r="P10" i="16"/>
  <c r="P12" i="16" s="1"/>
  <c r="P19" i="16" s="1"/>
  <c r="Q10" i="16"/>
  <c r="R10" i="16"/>
  <c r="R12" i="16" s="1"/>
  <c r="R19" i="16" s="1"/>
  <c r="S10" i="16"/>
  <c r="S12" i="16" s="1"/>
  <c r="S19" i="16" s="1"/>
  <c r="T10" i="16"/>
  <c r="U10" i="16"/>
  <c r="U12" i="16" s="1"/>
  <c r="V10" i="16"/>
  <c r="V12" i="16" s="1"/>
  <c r="W10" i="16"/>
  <c r="X10" i="16"/>
  <c r="X12" i="16" s="1"/>
  <c r="Y10" i="16"/>
  <c r="Z10" i="16"/>
  <c r="Z12" i="16" s="1"/>
  <c r="AA10" i="16"/>
  <c r="AA12" i="16" s="1"/>
  <c r="AA19" i="16" s="1"/>
  <c r="AB10" i="16"/>
  <c r="AC10" i="16"/>
  <c r="AD10" i="16"/>
  <c r="AD12" i="16" s="1"/>
  <c r="AE10" i="16"/>
  <c r="AF10" i="16"/>
  <c r="AF12" i="16" s="1"/>
  <c r="AF19" i="16" s="1"/>
  <c r="AG10" i="16"/>
  <c r="AG12" i="16" s="1"/>
  <c r="AH10" i="16"/>
  <c r="AH12" i="16" s="1"/>
  <c r="AI10" i="16"/>
  <c r="AI12" i="16" s="1"/>
  <c r="AI19" i="16" s="1"/>
  <c r="AI26" i="16" s="1"/>
  <c r="AJ10" i="16"/>
  <c r="AK10" i="16"/>
  <c r="AL10" i="16"/>
  <c r="AL12" i="16" s="1"/>
  <c r="AM10" i="16"/>
  <c r="AM12" i="16" s="1"/>
  <c r="AN10" i="16"/>
  <c r="AN12" i="16" s="1"/>
  <c r="AN19" i="16" s="1"/>
  <c r="AO10" i="16"/>
  <c r="AP10" i="16"/>
  <c r="AP12" i="16" s="1"/>
  <c r="AQ10" i="16"/>
  <c r="AQ12" i="16" s="1"/>
  <c r="AQ19" i="16" s="1"/>
  <c r="AQ26" i="16" s="1"/>
  <c r="AR10" i="16"/>
  <c r="AS10" i="16"/>
  <c r="AT10" i="16"/>
  <c r="AT12" i="16" s="1"/>
  <c r="AU10" i="16"/>
  <c r="AU12" i="16" s="1"/>
  <c r="AV10" i="16"/>
  <c r="AV12" i="16" s="1"/>
  <c r="AV19" i="16" s="1"/>
  <c r="AV26" i="16" s="1"/>
  <c r="AW10" i="16"/>
  <c r="AC11" i="16"/>
  <c r="AG11" i="16"/>
  <c r="AI11" i="16"/>
  <c r="AK11" i="16"/>
  <c r="AK12" i="16" s="1"/>
  <c r="AO11" i="16"/>
  <c r="AR11" i="16"/>
  <c r="AX11" i="16"/>
  <c r="D12" i="16"/>
  <c r="E12" i="16"/>
  <c r="G12" i="16"/>
  <c r="G19" i="16" s="1"/>
  <c r="L12" i="16"/>
  <c r="M12" i="16"/>
  <c r="O12" i="16"/>
  <c r="Q12" i="16"/>
  <c r="T12" i="16"/>
  <c r="W12" i="16"/>
  <c r="Y12" i="16"/>
  <c r="AB12" i="16"/>
  <c r="AB19" i="16" s="1"/>
  <c r="AB26" i="16" s="1"/>
  <c r="AC12" i="16"/>
  <c r="AE12" i="16"/>
  <c r="AJ12" i="16"/>
  <c r="AO12" i="16"/>
  <c r="AR12" i="16"/>
  <c r="AR19" i="16" s="1"/>
  <c r="AS12" i="16"/>
  <c r="AW12" i="16"/>
  <c r="S13" i="16"/>
  <c r="V13" i="16"/>
  <c r="Y13" i="16"/>
  <c r="Z13" i="16"/>
  <c r="AA13" i="16"/>
  <c r="AB13" i="16"/>
  <c r="AE13" i="16"/>
  <c r="AI13" i="16"/>
  <c r="AJ13" i="16"/>
  <c r="AK13" i="16"/>
  <c r="AN13" i="16"/>
  <c r="AP13" i="16"/>
  <c r="AR13" i="16"/>
  <c r="AS13" i="16"/>
  <c r="AX13" i="16"/>
  <c r="AM14" i="16"/>
  <c r="AX14" i="16" s="1"/>
  <c r="AN14" i="16"/>
  <c r="AO14" i="16"/>
  <c r="AP14" i="16"/>
  <c r="AQ14" i="16"/>
  <c r="AR14" i="16"/>
  <c r="X15" i="16"/>
  <c r="AX15" i="16" s="1"/>
  <c r="AL16" i="16"/>
  <c r="AX16" i="16"/>
  <c r="B17" i="16"/>
  <c r="C17" i="16"/>
  <c r="D17" i="16"/>
  <c r="E17" i="16"/>
  <c r="F17" i="16"/>
  <c r="G17" i="16"/>
  <c r="H17" i="16"/>
  <c r="I17" i="16"/>
  <c r="J17" i="16"/>
  <c r="K17" i="16"/>
  <c r="L17" i="16"/>
  <c r="M17" i="16"/>
  <c r="N17" i="16"/>
  <c r="O17" i="16"/>
  <c r="P17" i="16"/>
  <c r="Q17" i="16"/>
  <c r="R17" i="16"/>
  <c r="S17" i="16"/>
  <c r="T17" i="16"/>
  <c r="U17" i="16"/>
  <c r="V17" i="16"/>
  <c r="W17" i="16"/>
  <c r="Y17" i="16"/>
  <c r="Z17" i="16"/>
  <c r="AA17" i="16"/>
  <c r="AB17" i="16"/>
  <c r="AC17" i="16"/>
  <c r="AD17" i="16"/>
  <c r="AE17" i="16"/>
  <c r="AF17" i="16"/>
  <c r="AG17" i="16"/>
  <c r="AH17" i="16"/>
  <c r="AI17" i="16"/>
  <c r="AJ17" i="16"/>
  <c r="AK17" i="16"/>
  <c r="AL17" i="16"/>
  <c r="AM17" i="16"/>
  <c r="AN17" i="16"/>
  <c r="AO17" i="16"/>
  <c r="AP17" i="16"/>
  <c r="AQ17" i="16"/>
  <c r="AR17" i="16"/>
  <c r="AS17" i="16"/>
  <c r="AT17" i="16"/>
  <c r="AU17" i="16"/>
  <c r="AV17" i="16"/>
  <c r="AW17" i="16"/>
  <c r="I18" i="16"/>
  <c r="AX18" i="16" s="1"/>
  <c r="J18" i="16"/>
  <c r="K18" i="16"/>
  <c r="L18" i="16"/>
  <c r="M18" i="16"/>
  <c r="M19" i="16" s="1"/>
  <c r="N18" i="16"/>
  <c r="O18" i="16"/>
  <c r="P18" i="16"/>
  <c r="Q18" i="16"/>
  <c r="R18" i="16"/>
  <c r="S18" i="16"/>
  <c r="T18" i="16"/>
  <c r="U18" i="16"/>
  <c r="V18" i="16"/>
  <c r="W18" i="16"/>
  <c r="X18" i="16"/>
  <c r="Y18" i="16"/>
  <c r="AC19" i="16"/>
  <c r="AS19" i="16"/>
  <c r="AS26" i="16" s="1"/>
  <c r="H21" i="16"/>
  <c r="H24" i="16" s="1"/>
  <c r="H22" i="16"/>
  <c r="I22" i="16"/>
  <c r="I24" i="16" s="1"/>
  <c r="I25" i="16" s="1"/>
  <c r="J22" i="16"/>
  <c r="K22" i="16"/>
  <c r="L22" i="16"/>
  <c r="M22" i="16"/>
  <c r="N22" i="16"/>
  <c r="N24" i="16" s="1"/>
  <c r="N25" i="16" s="1"/>
  <c r="O22" i="16"/>
  <c r="P22" i="16"/>
  <c r="P24" i="16" s="1"/>
  <c r="P25" i="16" s="1"/>
  <c r="Q22" i="16"/>
  <c r="Q24" i="16" s="1"/>
  <c r="Q25" i="16" s="1"/>
  <c r="R22" i="16"/>
  <c r="S22" i="16"/>
  <c r="T22" i="16"/>
  <c r="U22" i="16"/>
  <c r="V22" i="16"/>
  <c r="V24" i="16" s="1"/>
  <c r="V25" i="16" s="1"/>
  <c r="W22" i="16"/>
  <c r="X22" i="16"/>
  <c r="X24" i="16" s="1"/>
  <c r="X25" i="16" s="1"/>
  <c r="Y22" i="16"/>
  <c r="Y24" i="16" s="1"/>
  <c r="Y25" i="16" s="1"/>
  <c r="Z22" i="16"/>
  <c r="AA22" i="16"/>
  <c r="AB22" i="16"/>
  <c r="AC22" i="16"/>
  <c r="AD22" i="16"/>
  <c r="AD24" i="16" s="1"/>
  <c r="AD25" i="16" s="1"/>
  <c r="AE22" i="16"/>
  <c r="AF22" i="16"/>
  <c r="AF24" i="16" s="1"/>
  <c r="AF25" i="16" s="1"/>
  <c r="AG22" i="16"/>
  <c r="AG24" i="16" s="1"/>
  <c r="AG25" i="16" s="1"/>
  <c r="AH22" i="16"/>
  <c r="AI22" i="16"/>
  <c r="AJ22" i="16"/>
  <c r="AK22" i="16"/>
  <c r="AL22" i="16"/>
  <c r="AL24" i="16" s="1"/>
  <c r="AL25" i="16" s="1"/>
  <c r="AM22" i="16"/>
  <c r="AN22" i="16"/>
  <c r="AN24" i="16" s="1"/>
  <c r="AN25" i="16" s="1"/>
  <c r="AO22" i="16"/>
  <c r="AO24" i="16" s="1"/>
  <c r="AO25" i="16" s="1"/>
  <c r="AP22" i="16"/>
  <c r="AQ22" i="16"/>
  <c r="AR22" i="16"/>
  <c r="AS22" i="16"/>
  <c r="AX22" i="16"/>
  <c r="AC23" i="16"/>
  <c r="AX23" i="16" s="1"/>
  <c r="AG23" i="16"/>
  <c r="AH23" i="16"/>
  <c r="AI23" i="16"/>
  <c r="AJ23" i="16"/>
  <c r="AK23" i="16"/>
  <c r="B24" i="16"/>
  <c r="B25" i="16" s="1"/>
  <c r="C24" i="16"/>
  <c r="C25" i="16" s="1"/>
  <c r="D24" i="16"/>
  <c r="D25" i="16" s="1"/>
  <c r="E24" i="16"/>
  <c r="F24" i="16"/>
  <c r="F25" i="16" s="1"/>
  <c r="G24" i="16"/>
  <c r="G25" i="16" s="1"/>
  <c r="J24" i="16"/>
  <c r="J25" i="16" s="1"/>
  <c r="K24" i="16"/>
  <c r="K25" i="16" s="1"/>
  <c r="L24" i="16"/>
  <c r="M24" i="16"/>
  <c r="M25" i="16" s="1"/>
  <c r="O24" i="16"/>
  <c r="O25" i="16" s="1"/>
  <c r="R24" i="16"/>
  <c r="R25" i="16" s="1"/>
  <c r="S24" i="16"/>
  <c r="S25" i="16" s="1"/>
  <c r="T24" i="16"/>
  <c r="U24" i="16"/>
  <c r="W24" i="16"/>
  <c r="W25" i="16" s="1"/>
  <c r="Z24" i="16"/>
  <c r="Z25" i="16" s="1"/>
  <c r="AA24" i="16"/>
  <c r="AA25" i="16" s="1"/>
  <c r="AB24" i="16"/>
  <c r="AB25" i="16" s="1"/>
  <c r="AC24" i="16"/>
  <c r="AC25" i="16" s="1"/>
  <c r="AE24" i="16"/>
  <c r="AE25" i="16" s="1"/>
  <c r="AH24" i="16"/>
  <c r="AI24" i="16"/>
  <c r="AI25" i="16" s="1"/>
  <c r="AJ24" i="16"/>
  <c r="AJ25" i="16" s="1"/>
  <c r="AK24" i="16"/>
  <c r="AM24" i="16"/>
  <c r="AM25" i="16" s="1"/>
  <c r="AP24" i="16"/>
  <c r="AP25" i="16" s="1"/>
  <c r="AQ24" i="16"/>
  <c r="AR24" i="16"/>
  <c r="AR25" i="16" s="1"/>
  <c r="AS24" i="16"/>
  <c r="AT24" i="16"/>
  <c r="AT25" i="16" s="1"/>
  <c r="AU24" i="16"/>
  <c r="AU25" i="16" s="1"/>
  <c r="AV24" i="16"/>
  <c r="AV25" i="16" s="1"/>
  <c r="AW24" i="16"/>
  <c r="AW25" i="16" s="1"/>
  <c r="E25" i="16"/>
  <c r="L25" i="16"/>
  <c r="T25" i="16"/>
  <c r="U25" i="16"/>
  <c r="AH25" i="16"/>
  <c r="AK25" i="16"/>
  <c r="AQ25" i="16"/>
  <c r="AS25" i="16"/>
  <c r="J28" i="16"/>
  <c r="K28" i="16"/>
  <c r="K31" i="16" s="1"/>
  <c r="L28" i="16"/>
  <c r="M28" i="16"/>
  <c r="P28" i="16"/>
  <c r="Q28" i="16"/>
  <c r="R28" i="16"/>
  <c r="S28" i="16"/>
  <c r="T28" i="16"/>
  <c r="U28" i="16"/>
  <c r="V28" i="16"/>
  <c r="W28" i="16"/>
  <c r="X28" i="16"/>
  <c r="Y28" i="16"/>
  <c r="AX28" i="16"/>
  <c r="Z29" i="16"/>
  <c r="AX29" i="16" s="1"/>
  <c r="AA29" i="16"/>
  <c r="AC29" i="16"/>
  <c r="AE29" i="16"/>
  <c r="AE31" i="16" s="1"/>
  <c r="AF29" i="16"/>
  <c r="AI29" i="16"/>
  <c r="AJ29" i="16"/>
  <c r="AL29" i="16"/>
  <c r="AL31" i="16" s="1"/>
  <c r="AM29" i="16"/>
  <c r="AM31" i="16" s="1"/>
  <c r="AN29" i="16"/>
  <c r="AN31" i="16" s="1"/>
  <c r="AR29" i="16"/>
  <c r="AS29" i="16"/>
  <c r="Z30" i="16"/>
  <c r="AA30" i="16"/>
  <c r="AA31" i="16" s="1"/>
  <c r="AB30" i="16"/>
  <c r="AC30" i="16"/>
  <c r="AD30" i="16"/>
  <c r="AD31" i="16" s="1"/>
  <c r="AE30" i="16"/>
  <c r="AF30" i="16"/>
  <c r="AF31" i="16" s="1"/>
  <c r="AG30" i="16"/>
  <c r="AH30" i="16"/>
  <c r="AI30" i="16"/>
  <c r="AJ30" i="16"/>
  <c r="AJ31" i="16" s="1"/>
  <c r="AK30" i="16"/>
  <c r="AO30" i="16"/>
  <c r="AP30" i="16"/>
  <c r="AQ30" i="16"/>
  <c r="AR30" i="16"/>
  <c r="AS30" i="16"/>
  <c r="B31" i="16"/>
  <c r="C31" i="16"/>
  <c r="D31" i="16"/>
  <c r="E31" i="16"/>
  <c r="F31" i="16"/>
  <c r="G31" i="16"/>
  <c r="H31" i="16"/>
  <c r="I31" i="16"/>
  <c r="J31" i="16"/>
  <c r="L31" i="16"/>
  <c r="M31" i="16"/>
  <c r="N31" i="16"/>
  <c r="O31" i="16"/>
  <c r="P31" i="16"/>
  <c r="Q31" i="16"/>
  <c r="R31" i="16"/>
  <c r="S31" i="16"/>
  <c r="T31" i="16"/>
  <c r="U31" i="16"/>
  <c r="V31" i="16"/>
  <c r="W31" i="16"/>
  <c r="X31" i="16"/>
  <c r="Y31" i="16"/>
  <c r="Z31" i="16"/>
  <c r="AC31" i="16"/>
  <c r="AG31" i="16"/>
  <c r="AH31" i="16"/>
  <c r="AI31" i="16"/>
  <c r="AK31" i="16"/>
  <c r="AO31" i="16"/>
  <c r="AP31" i="16"/>
  <c r="AQ31" i="16"/>
  <c r="AR31" i="16"/>
  <c r="AS31" i="16"/>
  <c r="AT31" i="16"/>
  <c r="AU31" i="16"/>
  <c r="AV31" i="16"/>
  <c r="AW31" i="16"/>
  <c r="AX32" i="16"/>
  <c r="AX33" i="16"/>
  <c r="AB34" i="16"/>
  <c r="AC34" i="16"/>
  <c r="AD34" i="16"/>
  <c r="AE34" i="16"/>
  <c r="AF34" i="16"/>
  <c r="AF40" i="16" s="1"/>
  <c r="AG34" i="16"/>
  <c r="AG40" i="16" s="1"/>
  <c r="AH34" i="16"/>
  <c r="AI34" i="16"/>
  <c r="AJ34" i="16"/>
  <c r="AK34" i="16"/>
  <c r="AL34" i="16"/>
  <c r="AM34" i="16"/>
  <c r="AN34" i="16"/>
  <c r="AO34" i="16"/>
  <c r="AP34" i="16"/>
  <c r="AQ34" i="16"/>
  <c r="AQ40" i="16" s="1"/>
  <c r="AR34" i="16"/>
  <c r="AR40" i="16" s="1"/>
  <c r="Q35" i="16"/>
  <c r="R35" i="16"/>
  <c r="S35" i="16"/>
  <c r="S40" i="16" s="1"/>
  <c r="T35" i="16"/>
  <c r="T40" i="16" s="1"/>
  <c r="U35" i="16"/>
  <c r="U40" i="16" s="1"/>
  <c r="U48" i="16" s="1"/>
  <c r="V35" i="16"/>
  <c r="W35" i="16"/>
  <c r="X35" i="16"/>
  <c r="Y35" i="16"/>
  <c r="Z35" i="16"/>
  <c r="AA35" i="16"/>
  <c r="AA40" i="16" s="1"/>
  <c r="AB35" i="16"/>
  <c r="AC35" i="16"/>
  <c r="AD35" i="16"/>
  <c r="AE35" i="16"/>
  <c r="AF35" i="16"/>
  <c r="AG35" i="16"/>
  <c r="AH35" i="16"/>
  <c r="AI35" i="16"/>
  <c r="AJ35" i="16"/>
  <c r="AK35" i="16"/>
  <c r="AC36" i="16"/>
  <c r="AD36" i="16"/>
  <c r="AE36" i="16"/>
  <c r="AF36" i="16"/>
  <c r="AG36" i="16"/>
  <c r="AX36" i="16" s="1"/>
  <c r="AH36" i="16"/>
  <c r="AH40" i="16" s="1"/>
  <c r="AC37" i="16"/>
  <c r="AK37" i="16"/>
  <c r="L38" i="16"/>
  <c r="N38" i="16"/>
  <c r="AX38" i="16"/>
  <c r="L39" i="16"/>
  <c r="L40" i="16" s="1"/>
  <c r="N39" i="16"/>
  <c r="N40" i="16" s="1"/>
  <c r="B40" i="16"/>
  <c r="C40" i="16"/>
  <c r="D40" i="16"/>
  <c r="E40" i="16"/>
  <c r="F40" i="16"/>
  <c r="G40" i="16"/>
  <c r="H40" i="16"/>
  <c r="H48" i="16" s="1"/>
  <c r="I40" i="16"/>
  <c r="J40" i="16"/>
  <c r="K40" i="16"/>
  <c r="M40" i="16"/>
  <c r="O40" i="16"/>
  <c r="P40" i="16"/>
  <c r="Q40" i="16"/>
  <c r="R40" i="16"/>
  <c r="R48" i="16" s="1"/>
  <c r="V40" i="16"/>
  <c r="W40" i="16"/>
  <c r="X40" i="16"/>
  <c r="Y40" i="16"/>
  <c r="Z40" i="16"/>
  <c r="Z48" i="16" s="1"/>
  <c r="AD40" i="16"/>
  <c r="AE40" i="16"/>
  <c r="AL40" i="16"/>
  <c r="AM40" i="16"/>
  <c r="AN40" i="16"/>
  <c r="AO40" i="16"/>
  <c r="AP40" i="16"/>
  <c r="AS40" i="16"/>
  <c r="AS48" i="16" s="1"/>
  <c r="AT40" i="16"/>
  <c r="AU40" i="16"/>
  <c r="AV40" i="16"/>
  <c r="AW40" i="16"/>
  <c r="AX41" i="16"/>
  <c r="AC42" i="16"/>
  <c r="AX42" i="16"/>
  <c r="AE43" i="16"/>
  <c r="AG43" i="16"/>
  <c r="AH43" i="16"/>
  <c r="AP43" i="16"/>
  <c r="AP47" i="16" s="1"/>
  <c r="AX43" i="16"/>
  <c r="AF44" i="16"/>
  <c r="AG44" i="16"/>
  <c r="AH44" i="16"/>
  <c r="AJ44" i="16"/>
  <c r="AJ47" i="16" s="1"/>
  <c r="AL44" i="16"/>
  <c r="AN44" i="16"/>
  <c r="AO44" i="16"/>
  <c r="AP44" i="16"/>
  <c r="AQ44" i="16"/>
  <c r="AR44" i="16"/>
  <c r="V45" i="16"/>
  <c r="W45" i="16"/>
  <c r="X45" i="16"/>
  <c r="Y45" i="16"/>
  <c r="Z45" i="16"/>
  <c r="AA45" i="16"/>
  <c r="AA47" i="16" s="1"/>
  <c r="AB45" i="16"/>
  <c r="AC45" i="16"/>
  <c r="AD45" i="16"/>
  <c r="AE45" i="16"/>
  <c r="AF45" i="16"/>
  <c r="AG45" i="16"/>
  <c r="AH45" i="16"/>
  <c r="AI45" i="16"/>
  <c r="AI47" i="16" s="1"/>
  <c r="AJ45" i="16"/>
  <c r="AK45" i="16"/>
  <c r="AL45" i="16"/>
  <c r="AM45" i="16"/>
  <c r="AN45" i="16"/>
  <c r="AO45" i="16"/>
  <c r="AP45" i="16"/>
  <c r="AQ45" i="16"/>
  <c r="AR45" i="16"/>
  <c r="AF46" i="16"/>
  <c r="AX46" i="16" s="1"/>
  <c r="AH46" i="16"/>
  <c r="AH47" i="16" s="1"/>
  <c r="AI46" i="16"/>
  <c r="AK46" i="16"/>
  <c r="AK47" i="16" s="1"/>
  <c r="B47" i="16"/>
  <c r="C47" i="16"/>
  <c r="D47" i="16"/>
  <c r="E47" i="16"/>
  <c r="F47" i="16"/>
  <c r="G47" i="16"/>
  <c r="H47" i="16"/>
  <c r="I47" i="16"/>
  <c r="J47" i="16"/>
  <c r="K47" i="16"/>
  <c r="L47" i="16"/>
  <c r="M47" i="16"/>
  <c r="N47" i="16"/>
  <c r="O47" i="16"/>
  <c r="P47" i="16"/>
  <c r="Q47" i="16"/>
  <c r="R47" i="16"/>
  <c r="S47" i="16"/>
  <c r="T47" i="16"/>
  <c r="U47" i="16"/>
  <c r="V47" i="16"/>
  <c r="W47" i="16"/>
  <c r="W48" i="16" s="1"/>
  <c r="X47" i="16"/>
  <c r="Y47" i="16"/>
  <c r="Z47" i="16"/>
  <c r="AB47" i="16"/>
  <c r="AC47" i="16"/>
  <c r="AD47" i="16"/>
  <c r="AE47" i="16"/>
  <c r="AE48" i="16" s="1"/>
  <c r="AG47" i="16"/>
  <c r="AL47" i="16"/>
  <c r="AL48" i="16" s="1"/>
  <c r="AM47" i="16"/>
  <c r="AN47" i="16"/>
  <c r="AO47" i="16"/>
  <c r="AR47" i="16"/>
  <c r="AR48" i="16" s="1"/>
  <c r="AS47" i="16"/>
  <c r="AT47" i="16"/>
  <c r="AU47" i="16"/>
  <c r="AU48" i="16" s="1"/>
  <c r="AV47" i="16"/>
  <c r="AV48" i="16" s="1"/>
  <c r="AW47" i="16"/>
  <c r="AD48" i="16"/>
  <c r="AN48" i="16"/>
  <c r="AX49" i="16"/>
  <c r="AB50" i="16"/>
  <c r="AX50" i="16" s="1"/>
  <c r="AC50" i="16"/>
  <c r="AD50" i="16"/>
  <c r="AE50" i="16"/>
  <c r="AF50" i="16"/>
  <c r="AF52" i="16" s="1"/>
  <c r="AG50" i="16"/>
  <c r="AH50" i="16"/>
  <c r="AI50" i="16"/>
  <c r="AL50" i="16"/>
  <c r="AL52" i="16" s="1"/>
  <c r="AP50" i="16"/>
  <c r="AP52" i="16" s="1"/>
  <c r="AQ50" i="16"/>
  <c r="AQ52" i="16" s="1"/>
  <c r="AR50" i="16"/>
  <c r="I51" i="16"/>
  <c r="J51" i="16"/>
  <c r="K51" i="16"/>
  <c r="L51" i="16"/>
  <c r="L52" i="16" s="1"/>
  <c r="M51" i="16"/>
  <c r="M52" i="16" s="1"/>
  <c r="N51" i="16"/>
  <c r="N52" i="16" s="1"/>
  <c r="O51" i="16"/>
  <c r="P51" i="16"/>
  <c r="Q51" i="16"/>
  <c r="R51" i="16"/>
  <c r="S51" i="16"/>
  <c r="T51" i="16"/>
  <c r="T52" i="16" s="1"/>
  <c r="U51" i="16"/>
  <c r="U52" i="16" s="1"/>
  <c r="V51" i="16"/>
  <c r="V52" i="16" s="1"/>
  <c r="W51" i="16"/>
  <c r="X51" i="16"/>
  <c r="X52" i="16" s="1"/>
  <c r="Y51" i="16"/>
  <c r="Z51" i="16"/>
  <c r="AA51" i="16"/>
  <c r="AB51" i="16"/>
  <c r="AC51" i="16"/>
  <c r="AD51" i="16"/>
  <c r="AE51" i="16"/>
  <c r="AF51" i="16"/>
  <c r="AG51" i="16"/>
  <c r="AH51" i="16"/>
  <c r="AI51" i="16"/>
  <c r="AJ51" i="16"/>
  <c r="AJ52" i="16" s="1"/>
  <c r="AK51" i="16"/>
  <c r="AK52" i="16" s="1"/>
  <c r="AL51" i="16"/>
  <c r="AM51" i="16"/>
  <c r="AN51" i="16"/>
  <c r="AO51" i="16"/>
  <c r="AP51" i="16"/>
  <c r="AQ51" i="16"/>
  <c r="AR51" i="16"/>
  <c r="AR52" i="16" s="1"/>
  <c r="AS51" i="16"/>
  <c r="AS52" i="16" s="1"/>
  <c r="B52" i="16"/>
  <c r="C52" i="16"/>
  <c r="D52" i="16"/>
  <c r="E52" i="16"/>
  <c r="F52" i="16"/>
  <c r="G52" i="16"/>
  <c r="H52" i="16"/>
  <c r="I52" i="16"/>
  <c r="J52" i="16"/>
  <c r="K52" i="16"/>
  <c r="O52" i="16"/>
  <c r="P52" i="16"/>
  <c r="Q52" i="16"/>
  <c r="R52" i="16"/>
  <c r="S52" i="16"/>
  <c r="W52" i="16"/>
  <c r="Y52" i="16"/>
  <c r="Z52" i="16"/>
  <c r="AA52" i="16"/>
  <c r="AB52" i="16"/>
  <c r="AE52" i="16"/>
  <c r="AG52" i="16"/>
  <c r="AH52" i="16"/>
  <c r="AI52" i="16"/>
  <c r="AM52" i="16"/>
  <c r="AN52" i="16"/>
  <c r="AO52" i="16"/>
  <c r="AT52" i="16"/>
  <c r="AU52" i="16"/>
  <c r="AV52" i="16"/>
  <c r="AW52" i="16"/>
  <c r="AX53" i="16"/>
  <c r="H54" i="16"/>
  <c r="I54" i="16"/>
  <c r="K54" i="16"/>
  <c r="L54" i="16"/>
  <c r="M54" i="16"/>
  <c r="N54" i="16"/>
  <c r="O54" i="16"/>
  <c r="P54" i="16"/>
  <c r="Q54" i="16"/>
  <c r="R54" i="16"/>
  <c r="S54" i="16"/>
  <c r="T54" i="16"/>
  <c r="U54" i="16"/>
  <c r="V54" i="16"/>
  <c r="W54" i="16"/>
  <c r="X54" i="16"/>
  <c r="Y54" i="16"/>
  <c r="Z54" i="16"/>
  <c r="AA54" i="16"/>
  <c r="AB54" i="16"/>
  <c r="AC54" i="16"/>
  <c r="AC75" i="16" s="1"/>
  <c r="AD54" i="16"/>
  <c r="AE54" i="16"/>
  <c r="AF54" i="16"/>
  <c r="AG54" i="16"/>
  <c r="AH54" i="16"/>
  <c r="AI54" i="16"/>
  <c r="AJ54" i="16"/>
  <c r="AK54" i="16"/>
  <c r="AL54" i="16"/>
  <c r="AM54" i="16"/>
  <c r="AN54" i="16"/>
  <c r="AO54" i="16"/>
  <c r="AP54" i="16"/>
  <c r="M55" i="16"/>
  <c r="N55" i="16"/>
  <c r="AX55" i="16" s="1"/>
  <c r="O55" i="16"/>
  <c r="P55" i="16"/>
  <c r="Q55" i="16"/>
  <c r="R55" i="16"/>
  <c r="S55" i="16"/>
  <c r="T55" i="16"/>
  <c r="U55" i="16"/>
  <c r="V55" i="16"/>
  <c r="W55" i="16"/>
  <c r="X55" i="16"/>
  <c r="Y55" i="16"/>
  <c r="Z55" i="16"/>
  <c r="AA55" i="16"/>
  <c r="AB55" i="16"/>
  <c r="AC55" i="16"/>
  <c r="AD55" i="16"/>
  <c r="AE55" i="16"/>
  <c r="AF55" i="16"/>
  <c r="AG55" i="16"/>
  <c r="AH55" i="16"/>
  <c r="AI55" i="16"/>
  <c r="AJ55" i="16"/>
  <c r="AK55" i="16"/>
  <c r="AL55" i="16"/>
  <c r="AM55" i="16"/>
  <c r="AN55" i="16"/>
  <c r="AO55" i="16"/>
  <c r="AP55" i="16"/>
  <c r="AQ55" i="16"/>
  <c r="AR55" i="16"/>
  <c r="J56" i="16"/>
  <c r="L56" i="16"/>
  <c r="M56" i="16"/>
  <c r="N56" i="16"/>
  <c r="O56" i="16"/>
  <c r="P56" i="16"/>
  <c r="Q56" i="16"/>
  <c r="R56" i="16"/>
  <c r="S56" i="16"/>
  <c r="T56" i="16"/>
  <c r="U56" i="16"/>
  <c r="V56" i="16"/>
  <c r="W56" i="16"/>
  <c r="X56" i="16"/>
  <c r="Y56" i="16"/>
  <c r="Z56" i="16"/>
  <c r="AA56" i="16"/>
  <c r="AB56" i="16"/>
  <c r="AC56" i="16"/>
  <c r="AD56" i="16"/>
  <c r="AE56" i="16"/>
  <c r="AF56" i="16"/>
  <c r="AG56" i="16"/>
  <c r="AH56" i="16"/>
  <c r="AI56" i="16"/>
  <c r="AJ56" i="16"/>
  <c r="AK56" i="16"/>
  <c r="AL56" i="16"/>
  <c r="AM56" i="16"/>
  <c r="AN56" i="16"/>
  <c r="AO56" i="16"/>
  <c r="AP56" i="16"/>
  <c r="AQ56" i="16"/>
  <c r="AR56" i="16"/>
  <c r="AS56" i="16"/>
  <c r="X57" i="16"/>
  <c r="Y57" i="16"/>
  <c r="Z57" i="16"/>
  <c r="AA57" i="16"/>
  <c r="AB57" i="16"/>
  <c r="AX57" i="16" s="1"/>
  <c r="AC57" i="16"/>
  <c r="AD57" i="16"/>
  <c r="AE57" i="16"/>
  <c r="AF57" i="16"/>
  <c r="AG57" i="16"/>
  <c r="AH57" i="16"/>
  <c r="AI57" i="16"/>
  <c r="AJ57" i="16"/>
  <c r="AK57" i="16"/>
  <c r="AL57" i="16"/>
  <c r="AM57" i="16"/>
  <c r="AN57" i="16"/>
  <c r="AO57" i="16"/>
  <c r="AP57" i="16"/>
  <c r="AF58" i="16"/>
  <c r="AX58" i="16" s="1"/>
  <c r="AJ58" i="16"/>
  <c r="AO58" i="16"/>
  <c r="Y59" i="16"/>
  <c r="AX59" i="16" s="1"/>
  <c r="AG59" i="16"/>
  <c r="AX60" i="16"/>
  <c r="Z61" i="16"/>
  <c r="AD61" i="16"/>
  <c r="AD64" i="16" s="1"/>
  <c r="AL61" i="16"/>
  <c r="AX61" i="16"/>
  <c r="AF62" i="16"/>
  <c r="AH62" i="16"/>
  <c r="AL62" i="16"/>
  <c r="I63" i="16"/>
  <c r="AX63" i="16" s="1"/>
  <c r="Q63" i="16"/>
  <c r="Q64" i="16" s="1"/>
  <c r="R63" i="16"/>
  <c r="R64" i="16" s="1"/>
  <c r="Z63" i="16"/>
  <c r="Z64" i="16" s="1"/>
  <c r="AF63" i="16"/>
  <c r="AK63" i="16"/>
  <c r="AL63" i="16"/>
  <c r="B64" i="16"/>
  <c r="B75" i="16" s="1"/>
  <c r="C64" i="16"/>
  <c r="C75" i="16" s="1"/>
  <c r="D64" i="16"/>
  <c r="E64" i="16"/>
  <c r="F64" i="16"/>
  <c r="G64" i="16"/>
  <c r="H64" i="16"/>
  <c r="J64" i="16"/>
  <c r="K64" i="16"/>
  <c r="K75" i="16" s="1"/>
  <c r="L64" i="16"/>
  <c r="M64" i="16"/>
  <c r="M75" i="16" s="1"/>
  <c r="N64" i="16"/>
  <c r="O64" i="16"/>
  <c r="P64" i="16"/>
  <c r="S64" i="16"/>
  <c r="T64" i="16"/>
  <c r="U64" i="16"/>
  <c r="V64" i="16"/>
  <c r="W64" i="16"/>
  <c r="X64" i="16"/>
  <c r="Y64" i="16"/>
  <c r="AA64" i="16"/>
  <c r="AB64" i="16"/>
  <c r="AC64" i="16"/>
  <c r="AE64" i="16"/>
  <c r="AG64" i="16"/>
  <c r="AH64" i="16"/>
  <c r="AI64" i="16"/>
  <c r="AJ64" i="16"/>
  <c r="AK64" i="16"/>
  <c r="AL64" i="16"/>
  <c r="AM64" i="16"/>
  <c r="AN64" i="16"/>
  <c r="AO64" i="16"/>
  <c r="AP64" i="16"/>
  <c r="AQ64" i="16"/>
  <c r="AR64" i="16"/>
  <c r="AS64" i="16"/>
  <c r="AT64" i="16"/>
  <c r="AU64" i="16"/>
  <c r="AV64" i="16"/>
  <c r="AV75" i="16" s="1"/>
  <c r="AW64" i="16"/>
  <c r="AW75" i="16" s="1"/>
  <c r="AX65" i="16"/>
  <c r="AL66" i="16"/>
  <c r="AL71" i="16" s="1"/>
  <c r="AX66" i="16"/>
  <c r="W67" i="16"/>
  <c r="W71" i="16" s="1"/>
  <c r="Z67" i="16"/>
  <c r="AA67" i="16"/>
  <c r="AB67" i="16"/>
  <c r="AC67" i="16"/>
  <c r="AD67" i="16"/>
  <c r="AE67" i="16"/>
  <c r="AE71" i="16" s="1"/>
  <c r="AF67" i="16"/>
  <c r="AF71" i="16" s="1"/>
  <c r="AG67" i="16"/>
  <c r="AG71" i="16" s="1"/>
  <c r="AH67" i="16"/>
  <c r="AI67" i="16"/>
  <c r="AJ67" i="16"/>
  <c r="AK67" i="16"/>
  <c r="AK71" i="16" s="1"/>
  <c r="AL67" i="16"/>
  <c r="AM67" i="16"/>
  <c r="AM71" i="16" s="1"/>
  <c r="AN67" i="16"/>
  <c r="AN71" i="16" s="1"/>
  <c r="AO67" i="16"/>
  <c r="AO71" i="16" s="1"/>
  <c r="AP67" i="16"/>
  <c r="AQ67" i="16"/>
  <c r="AR67" i="16"/>
  <c r="AS67" i="16"/>
  <c r="AF68" i="16"/>
  <c r="AP68" i="16"/>
  <c r="AP71" i="16" s="1"/>
  <c r="AX68" i="16"/>
  <c r="AC69" i="16"/>
  <c r="AD69" i="16"/>
  <c r="AE69" i="16"/>
  <c r="AF69" i="16"/>
  <c r="AG69" i="16"/>
  <c r="AH69" i="16"/>
  <c r="AI69" i="16"/>
  <c r="AJ69" i="16"/>
  <c r="AJ71" i="16" s="1"/>
  <c r="AJ75" i="16" s="1"/>
  <c r="AK69" i="16"/>
  <c r="AL69" i="16"/>
  <c r="AM69" i="16"/>
  <c r="AN69" i="16"/>
  <c r="AO69" i="16"/>
  <c r="AP69" i="16"/>
  <c r="AQ69" i="16"/>
  <c r="AQ71" i="16" s="1"/>
  <c r="AQ75" i="16" s="1"/>
  <c r="AR69" i="16"/>
  <c r="AR71" i="16" s="1"/>
  <c r="AR75" i="16" s="1"/>
  <c r="I70" i="16"/>
  <c r="J70" i="16"/>
  <c r="K70" i="16"/>
  <c r="AX70" i="16" s="1"/>
  <c r="L70" i="16"/>
  <c r="M70" i="16"/>
  <c r="N70" i="16"/>
  <c r="O70" i="16"/>
  <c r="O71" i="16" s="1"/>
  <c r="P70" i="16"/>
  <c r="Q70" i="16"/>
  <c r="R70" i="16"/>
  <c r="S70" i="16"/>
  <c r="T70" i="16"/>
  <c r="U70" i="16"/>
  <c r="V70" i="16"/>
  <c r="W70" i="16"/>
  <c r="X70" i="16"/>
  <c r="Y70" i="16"/>
  <c r="B71" i="16"/>
  <c r="C71" i="16"/>
  <c r="D71" i="16"/>
  <c r="D75" i="16" s="1"/>
  <c r="E71" i="16"/>
  <c r="F71" i="16"/>
  <c r="G71" i="16"/>
  <c r="H71" i="16"/>
  <c r="I71" i="16"/>
  <c r="J71" i="16"/>
  <c r="K71" i="16"/>
  <c r="L71" i="16"/>
  <c r="L75" i="16" s="1"/>
  <c r="M71" i="16"/>
  <c r="N71" i="16"/>
  <c r="P71" i="16"/>
  <c r="Q71" i="16"/>
  <c r="R71" i="16"/>
  <c r="S71" i="16"/>
  <c r="T71" i="16"/>
  <c r="U71" i="16"/>
  <c r="V71" i="16"/>
  <c r="X71" i="16"/>
  <c r="Y71" i="16"/>
  <c r="Y75" i="16" s="1"/>
  <c r="Z71" i="16"/>
  <c r="AA71" i="16"/>
  <c r="AB71" i="16"/>
  <c r="AC71" i="16"/>
  <c r="AD71" i="16"/>
  <c r="AH71" i="16"/>
  <c r="AI71" i="16"/>
  <c r="AS71" i="16"/>
  <c r="AT71" i="16"/>
  <c r="AU71" i="16"/>
  <c r="AU75" i="16" s="1"/>
  <c r="AV71" i="16"/>
  <c r="AW71" i="16"/>
  <c r="AH72" i="16"/>
  <c r="AX72" i="16"/>
  <c r="I73" i="16"/>
  <c r="N73" i="16"/>
  <c r="P73" i="16"/>
  <c r="W73" i="16"/>
  <c r="Z73" i="16"/>
  <c r="AA73" i="16"/>
  <c r="AB73" i="16"/>
  <c r="AC73" i="16"/>
  <c r="AD73" i="16"/>
  <c r="AE73" i="16"/>
  <c r="AI73" i="16"/>
  <c r="AJ73" i="16"/>
  <c r="AK73" i="16"/>
  <c r="AM73" i="16"/>
  <c r="AO73" i="16"/>
  <c r="AQ73" i="16"/>
  <c r="AR73" i="16"/>
  <c r="AS73" i="16"/>
  <c r="AD74" i="16"/>
  <c r="AE74" i="16"/>
  <c r="AX74" i="16"/>
  <c r="E75" i="16"/>
  <c r="AC76" i="16"/>
  <c r="AX76" i="16"/>
  <c r="AX77" i="16"/>
  <c r="AB78" i="16"/>
  <c r="AE78" i="16"/>
  <c r="AG78" i="16"/>
  <c r="AG79" i="16" s="1"/>
  <c r="AH78" i="16"/>
  <c r="AI78" i="16"/>
  <c r="AJ78" i="16"/>
  <c r="AL78" i="16"/>
  <c r="AL79" i="16" s="1"/>
  <c r="AN78" i="16"/>
  <c r="AN79" i="16" s="1"/>
  <c r="AO78" i="16"/>
  <c r="AQ78" i="16"/>
  <c r="AR78" i="16"/>
  <c r="AS78" i="16"/>
  <c r="AS79" i="16" s="1"/>
  <c r="B79" i="16"/>
  <c r="C79" i="16"/>
  <c r="D79" i="16"/>
  <c r="E79" i="16"/>
  <c r="F79" i="16"/>
  <c r="G79" i="16"/>
  <c r="H79" i="16"/>
  <c r="I79" i="16"/>
  <c r="J79" i="16"/>
  <c r="K79" i="16"/>
  <c r="L79" i="16"/>
  <c r="M79" i="16"/>
  <c r="N79" i="16"/>
  <c r="O79" i="16"/>
  <c r="P79" i="16"/>
  <c r="Q79" i="16"/>
  <c r="R79" i="16"/>
  <c r="S79" i="16"/>
  <c r="T79" i="16"/>
  <c r="U79" i="16"/>
  <c r="V79" i="16"/>
  <c r="W79" i="16"/>
  <c r="X79" i="16"/>
  <c r="Y79" i="16"/>
  <c r="Z79" i="16"/>
  <c r="AA79" i="16"/>
  <c r="AB79" i="16"/>
  <c r="AC79" i="16"/>
  <c r="AD79" i="16"/>
  <c r="AE79" i="16"/>
  <c r="AF79" i="16"/>
  <c r="AH79" i="16"/>
  <c r="AI79" i="16"/>
  <c r="AJ79" i="16"/>
  <c r="AK79" i="16"/>
  <c r="AM79" i="16"/>
  <c r="AO79" i="16"/>
  <c r="AP79" i="16"/>
  <c r="AQ79" i="16"/>
  <c r="AR79" i="16"/>
  <c r="AT79" i="16"/>
  <c r="AU79" i="16"/>
  <c r="AV79" i="16"/>
  <c r="AW79" i="16"/>
  <c r="AX80" i="16"/>
  <c r="AE81" i="16"/>
  <c r="AX81" i="16" s="1"/>
  <c r="AI81" i="16"/>
  <c r="AJ81" i="16"/>
  <c r="AL81" i="16"/>
  <c r="AQ81" i="16"/>
  <c r="AQ84" i="16" s="1"/>
  <c r="AR81" i="16"/>
  <c r="AR84" i="16" s="1"/>
  <c r="K82" i="16"/>
  <c r="U82" i="16"/>
  <c r="AX82" i="16" s="1"/>
  <c r="AE82" i="16"/>
  <c r="AF82" i="16"/>
  <c r="AG82" i="16"/>
  <c r="AG84" i="16" s="1"/>
  <c r="AH82" i="16"/>
  <c r="AH84" i="16" s="1"/>
  <c r="AI82" i="16"/>
  <c r="AI84" i="16" s="1"/>
  <c r="AJ82" i="16"/>
  <c r="AK82" i="16"/>
  <c r="AL82" i="16"/>
  <c r="AM82" i="16"/>
  <c r="AN82" i="16"/>
  <c r="AO82" i="16"/>
  <c r="AO84" i="16" s="1"/>
  <c r="AP82" i="16"/>
  <c r="AP84" i="16" s="1"/>
  <c r="AQ82" i="16"/>
  <c r="AR82" i="16"/>
  <c r="AS83" i="16"/>
  <c r="AX83" i="16" s="1"/>
  <c r="B84" i="16"/>
  <c r="C84" i="16"/>
  <c r="D84" i="16"/>
  <c r="E84" i="16"/>
  <c r="F84" i="16"/>
  <c r="G84" i="16"/>
  <c r="H84" i="16"/>
  <c r="I84" i="16"/>
  <c r="J84" i="16"/>
  <c r="K84" i="16"/>
  <c r="L84" i="16"/>
  <c r="M84" i="16"/>
  <c r="N84" i="16"/>
  <c r="O84" i="16"/>
  <c r="P84" i="16"/>
  <c r="Q84" i="16"/>
  <c r="R84" i="16"/>
  <c r="S84" i="16"/>
  <c r="T84" i="16"/>
  <c r="U84" i="16"/>
  <c r="V84" i="16"/>
  <c r="W84" i="16"/>
  <c r="X84" i="16"/>
  <c r="Y84" i="16"/>
  <c r="Z84" i="16"/>
  <c r="AA84" i="16"/>
  <c r="AB84" i="16"/>
  <c r="AC84" i="16"/>
  <c r="AD84" i="16"/>
  <c r="AF84" i="16"/>
  <c r="AJ84" i="16"/>
  <c r="AK84" i="16"/>
  <c r="AL84" i="16"/>
  <c r="AM84" i="16"/>
  <c r="AN84" i="16"/>
  <c r="AS84" i="16"/>
  <c r="AT84" i="16"/>
  <c r="AU84" i="16"/>
  <c r="AV84" i="16"/>
  <c r="AW84" i="16"/>
  <c r="L85" i="16"/>
  <c r="AX85" i="16" s="1"/>
  <c r="AL86" i="16"/>
  <c r="AM86" i="16"/>
  <c r="AX86" i="16" s="1"/>
  <c r="AN86" i="16"/>
  <c r="AN89" i="16" s="1"/>
  <c r="AO86" i="16"/>
  <c r="AO89" i="16" s="1"/>
  <c r="AP86" i="16"/>
  <c r="AQ86" i="16"/>
  <c r="AR86" i="16"/>
  <c r="AS86" i="16"/>
  <c r="AL87" i="16"/>
  <c r="AM87" i="16"/>
  <c r="AX87" i="16" s="1"/>
  <c r="AN87" i="16"/>
  <c r="AO87" i="16"/>
  <c r="AP87" i="16"/>
  <c r="AQ87" i="16"/>
  <c r="AQ89" i="16" s="1"/>
  <c r="AR87" i="16"/>
  <c r="AS87" i="16"/>
  <c r="AL88" i="16"/>
  <c r="AX88" i="16" s="1"/>
  <c r="AM88" i="16"/>
  <c r="AN88" i="16"/>
  <c r="AO88" i="16"/>
  <c r="AQ88" i="16"/>
  <c r="AR88" i="16"/>
  <c r="B89" i="16"/>
  <c r="C89" i="16"/>
  <c r="D89" i="16"/>
  <c r="E89" i="16"/>
  <c r="F89" i="16"/>
  <c r="G89" i="16"/>
  <c r="H89" i="16"/>
  <c r="I89" i="16"/>
  <c r="J89" i="16"/>
  <c r="K89" i="16"/>
  <c r="L89" i="16"/>
  <c r="M89" i="16"/>
  <c r="N89" i="16"/>
  <c r="O89" i="16"/>
  <c r="P89" i="16"/>
  <c r="Q89" i="16"/>
  <c r="R89" i="16"/>
  <c r="S89" i="16"/>
  <c r="T89" i="16"/>
  <c r="U89" i="16"/>
  <c r="V89" i="16"/>
  <c r="W89" i="16"/>
  <c r="X89" i="16"/>
  <c r="Y89" i="16"/>
  <c r="Z89" i="16"/>
  <c r="AA89" i="16"/>
  <c r="AB89" i="16"/>
  <c r="AC89" i="16"/>
  <c r="AD89" i="16"/>
  <c r="AE89" i="16"/>
  <c r="AF89" i="16"/>
  <c r="AG89" i="16"/>
  <c r="AH89" i="16"/>
  <c r="AI89" i="16"/>
  <c r="AJ89" i="16"/>
  <c r="AK89" i="16"/>
  <c r="AM89" i="16"/>
  <c r="AP89" i="16"/>
  <c r="AR89" i="16"/>
  <c r="AT89" i="16"/>
  <c r="AU89" i="16"/>
  <c r="AV89" i="16"/>
  <c r="AW89" i="16"/>
  <c r="AX93" i="16"/>
  <c r="V94" i="16"/>
  <c r="W94" i="16"/>
  <c r="X94" i="16"/>
  <c r="Y94" i="16"/>
  <c r="Z94" i="16"/>
  <c r="AA94" i="16"/>
  <c r="AX94" i="16" s="1"/>
  <c r="AB94" i="16"/>
  <c r="AB95" i="16" s="1"/>
  <c r="AB96" i="16" s="1"/>
  <c r="AC94" i="16"/>
  <c r="AD94" i="16"/>
  <c r="AE94" i="16"/>
  <c r="AF94" i="16"/>
  <c r="AG94" i="16"/>
  <c r="B95" i="16"/>
  <c r="B96" i="16" s="1"/>
  <c r="C95" i="16"/>
  <c r="C96" i="16" s="1"/>
  <c r="D95" i="16"/>
  <c r="D96" i="16" s="1"/>
  <c r="E95" i="16"/>
  <c r="E96" i="16" s="1"/>
  <c r="F95" i="16"/>
  <c r="F96" i="16" s="1"/>
  <c r="G95" i="16"/>
  <c r="G96" i="16" s="1"/>
  <c r="H95" i="16"/>
  <c r="H96" i="16" s="1"/>
  <c r="I95" i="16"/>
  <c r="I96" i="16" s="1"/>
  <c r="J95" i="16"/>
  <c r="J96" i="16" s="1"/>
  <c r="K95" i="16"/>
  <c r="K96" i="16" s="1"/>
  <c r="L95" i="16"/>
  <c r="L96" i="16" s="1"/>
  <c r="L103" i="16" s="1"/>
  <c r="M95" i="16"/>
  <c r="M96" i="16" s="1"/>
  <c r="M103" i="16" s="1"/>
  <c r="N95" i="16"/>
  <c r="O95" i="16"/>
  <c r="O96" i="16" s="1"/>
  <c r="P95" i="16"/>
  <c r="P96" i="16" s="1"/>
  <c r="Q95" i="16"/>
  <c r="Q96" i="16" s="1"/>
  <c r="R95" i="16"/>
  <c r="R96" i="16" s="1"/>
  <c r="S95" i="16"/>
  <c r="S96" i="16" s="1"/>
  <c r="T95" i="16"/>
  <c r="T96" i="16" s="1"/>
  <c r="U95" i="16"/>
  <c r="U96" i="16" s="1"/>
  <c r="V95" i="16"/>
  <c r="W95" i="16"/>
  <c r="X95" i="16"/>
  <c r="X96" i="16" s="1"/>
  <c r="Y95" i="16"/>
  <c r="Y96" i="16" s="1"/>
  <c r="Z95" i="16"/>
  <c r="Z96" i="16" s="1"/>
  <c r="AA95" i="16"/>
  <c r="AA96" i="16" s="1"/>
  <c r="AC95" i="16"/>
  <c r="AC96" i="16" s="1"/>
  <c r="AD95" i="16"/>
  <c r="AD96" i="16" s="1"/>
  <c r="AE95" i="16"/>
  <c r="AF95" i="16"/>
  <c r="AG95" i="16"/>
  <c r="AG96" i="16" s="1"/>
  <c r="AH95" i="16"/>
  <c r="AH96" i="16" s="1"/>
  <c r="AI95" i="16"/>
  <c r="AI96" i="16" s="1"/>
  <c r="AJ95" i="16"/>
  <c r="AJ96" i="16" s="1"/>
  <c r="AK95" i="16"/>
  <c r="AK96" i="16" s="1"/>
  <c r="AL95" i="16"/>
  <c r="AL96" i="16" s="1"/>
  <c r="AM95" i="16"/>
  <c r="AM96" i="16" s="1"/>
  <c r="AN95" i="16"/>
  <c r="AN96" i="16" s="1"/>
  <c r="AO95" i="16"/>
  <c r="AO96" i="16" s="1"/>
  <c r="AP95" i="16"/>
  <c r="AP96" i="16" s="1"/>
  <c r="AQ95" i="16"/>
  <c r="AQ96" i="16" s="1"/>
  <c r="AR95" i="16"/>
  <c r="AS95" i="16"/>
  <c r="AS96" i="16" s="1"/>
  <c r="AS103" i="16" s="1"/>
  <c r="AT95" i="16"/>
  <c r="AT96" i="16" s="1"/>
  <c r="AU95" i="16"/>
  <c r="AV95" i="16"/>
  <c r="AW95" i="16"/>
  <c r="AW96" i="16" s="1"/>
  <c r="N96" i="16"/>
  <c r="V96" i="16"/>
  <c r="W96" i="16"/>
  <c r="AE96" i="16"/>
  <c r="AF96" i="16"/>
  <c r="AR96" i="16"/>
  <c r="AU96" i="16"/>
  <c r="AU103" i="16" s="1"/>
  <c r="AV96" i="16"/>
  <c r="AX98" i="16"/>
  <c r="AQ99" i="16"/>
  <c r="AR99" i="16"/>
  <c r="AX99" i="16"/>
  <c r="B100" i="16"/>
  <c r="B102" i="16" s="1"/>
  <c r="C100" i="16"/>
  <c r="C102" i="16" s="1"/>
  <c r="D100" i="16"/>
  <c r="D102" i="16" s="1"/>
  <c r="E100" i="16"/>
  <c r="E102" i="16" s="1"/>
  <c r="F100" i="16"/>
  <c r="F102" i="16" s="1"/>
  <c r="G100" i="16"/>
  <c r="H100" i="16"/>
  <c r="I100" i="16"/>
  <c r="I102" i="16" s="1"/>
  <c r="J100" i="16"/>
  <c r="J102" i="16" s="1"/>
  <c r="K100" i="16"/>
  <c r="K102" i="16" s="1"/>
  <c r="L100" i="16"/>
  <c r="L102" i="16" s="1"/>
  <c r="M100" i="16"/>
  <c r="M102" i="16" s="1"/>
  <c r="N100" i="16"/>
  <c r="N102" i="16" s="1"/>
  <c r="O100" i="16"/>
  <c r="P100" i="16"/>
  <c r="P102" i="16" s="1"/>
  <c r="Q100" i="16"/>
  <c r="Q102" i="16" s="1"/>
  <c r="R100" i="16"/>
  <c r="R102" i="16" s="1"/>
  <c r="S100" i="16"/>
  <c r="S102" i="16" s="1"/>
  <c r="T100" i="16"/>
  <c r="T102" i="16" s="1"/>
  <c r="U100" i="16"/>
  <c r="U102" i="16" s="1"/>
  <c r="V100" i="16"/>
  <c r="W100" i="16"/>
  <c r="X100" i="16"/>
  <c r="X102" i="16" s="1"/>
  <c r="Y100" i="16"/>
  <c r="Y102" i="16" s="1"/>
  <c r="Z100" i="16"/>
  <c r="Z102" i="16" s="1"/>
  <c r="AA100" i="16"/>
  <c r="AA102" i="16" s="1"/>
  <c r="AB100" i="16"/>
  <c r="AB102" i="16" s="1"/>
  <c r="AC100" i="16"/>
  <c r="AC102" i="16" s="1"/>
  <c r="AD100" i="16"/>
  <c r="AD102" i="16" s="1"/>
  <c r="AE100" i="16"/>
  <c r="AF100" i="16"/>
  <c r="AF102" i="16" s="1"/>
  <c r="AG100" i="16"/>
  <c r="AG102" i="16" s="1"/>
  <c r="AH100" i="16"/>
  <c r="AI100" i="16"/>
  <c r="AI102" i="16" s="1"/>
  <c r="AJ100" i="16"/>
  <c r="AJ102" i="16" s="1"/>
  <c r="AK100" i="16"/>
  <c r="AK102" i="16" s="1"/>
  <c r="AL100" i="16"/>
  <c r="AL102" i="16" s="1"/>
  <c r="AM100" i="16"/>
  <c r="AN100" i="16"/>
  <c r="AO100" i="16"/>
  <c r="AO102" i="16" s="1"/>
  <c r="AP100" i="16"/>
  <c r="AP102" i="16" s="1"/>
  <c r="AQ100" i="16"/>
  <c r="AQ102" i="16" s="1"/>
  <c r="AR100" i="16"/>
  <c r="AR102" i="16" s="1"/>
  <c r="AS100" i="16"/>
  <c r="AS102" i="16" s="1"/>
  <c r="AT100" i="16"/>
  <c r="AT102" i="16" s="1"/>
  <c r="AU100" i="16"/>
  <c r="AV100" i="16"/>
  <c r="AW100" i="16"/>
  <c r="AW102" i="16" s="1"/>
  <c r="V101" i="16"/>
  <c r="AX101" i="16"/>
  <c r="G102" i="16"/>
  <c r="H102" i="16"/>
  <c r="O102" i="16"/>
  <c r="W102" i="16"/>
  <c r="AE102" i="16"/>
  <c r="AH102" i="16"/>
  <c r="AM102" i="16"/>
  <c r="AN102" i="16"/>
  <c r="AU102" i="16"/>
  <c r="AV102" i="16"/>
  <c r="L1" i="6"/>
  <c r="K1" i="6"/>
  <c r="J1" i="6"/>
  <c r="I1" i="6"/>
  <c r="H1" i="6"/>
  <c r="G1" i="6"/>
  <c r="F1" i="6"/>
  <c r="E1" i="6"/>
  <c r="D1" i="6"/>
  <c r="H8" i="3"/>
  <c r="N8" i="3"/>
  <c r="D9" i="3"/>
  <c r="F9" i="3"/>
  <c r="J9" i="3"/>
  <c r="L9" i="3"/>
  <c r="P9" i="3"/>
  <c r="C6" i="4"/>
  <c r="R7" i="3"/>
  <c r="R8" i="3" s="1"/>
  <c r="P39" i="3"/>
  <c r="P38" i="3"/>
  <c r="P36" i="3"/>
  <c r="P37" i="3" s="1"/>
  <c r="P33" i="3"/>
  <c r="P34" i="3" s="1"/>
  <c r="P30" i="3"/>
  <c r="P28" i="3"/>
  <c r="P29" i="3" s="1"/>
  <c r="P26" i="3"/>
  <c r="P23" i="3"/>
  <c r="P24" i="3" s="1"/>
  <c r="P20" i="3"/>
  <c r="P19" i="3"/>
  <c r="P13" i="3"/>
  <c r="P14" i="3" s="1"/>
  <c r="P15" i="3" s="1"/>
  <c r="P7" i="3"/>
  <c r="P8" i="3" s="1"/>
  <c r="N61" i="3"/>
  <c r="N62" i="3" s="1"/>
  <c r="N63" i="3" s="1"/>
  <c r="N64" i="3" s="1"/>
  <c r="N55" i="3"/>
  <c r="N54" i="3"/>
  <c r="N53" i="3"/>
  <c r="N51" i="3"/>
  <c r="N50" i="3"/>
  <c r="N47" i="3"/>
  <c r="N48" i="3" s="1"/>
  <c r="N44" i="3"/>
  <c r="N42" i="3"/>
  <c r="N41" i="3"/>
  <c r="N39" i="3"/>
  <c r="N38" i="3"/>
  <c r="N35" i="3"/>
  <c r="N34" i="3"/>
  <c r="N30" i="3"/>
  <c r="N29" i="3"/>
  <c r="N26" i="3"/>
  <c r="N27" i="3" s="1"/>
  <c r="N22" i="3"/>
  <c r="N21" i="3"/>
  <c r="N15" i="3"/>
  <c r="N16" i="3" s="1"/>
  <c r="N17" i="3" s="1"/>
  <c r="N11" i="3"/>
  <c r="N10" i="3"/>
  <c r="N7" i="3"/>
  <c r="L58" i="3"/>
  <c r="L59" i="3" s="1"/>
  <c r="L60" i="3" s="1"/>
  <c r="L61" i="3" s="1"/>
  <c r="L52" i="3"/>
  <c r="L51" i="3"/>
  <c r="L50" i="3"/>
  <c r="L48" i="3"/>
  <c r="L47" i="3"/>
  <c r="L44" i="3"/>
  <c r="L45" i="3" s="1"/>
  <c r="L41" i="3"/>
  <c r="L39" i="3"/>
  <c r="L38" i="3"/>
  <c r="L36" i="3"/>
  <c r="L35" i="3"/>
  <c r="L32" i="3"/>
  <c r="L31" i="3"/>
  <c r="L27" i="3"/>
  <c r="L26" i="3"/>
  <c r="L23" i="3"/>
  <c r="L24" i="3" s="1"/>
  <c r="L19" i="3"/>
  <c r="L20" i="3" s="1"/>
  <c r="L13" i="3"/>
  <c r="L14" i="3" s="1"/>
  <c r="L15" i="3" s="1"/>
  <c r="L7" i="3"/>
  <c r="L8" i="3" s="1"/>
  <c r="J51" i="3"/>
  <c r="J50" i="3"/>
  <c r="J48" i="3"/>
  <c r="J49" i="3" s="1"/>
  <c r="J44" i="3"/>
  <c r="J43" i="3"/>
  <c r="J42" i="3"/>
  <c r="J40" i="3"/>
  <c r="J39" i="3"/>
  <c r="J38" i="3"/>
  <c r="J37" i="3"/>
  <c r="J34" i="3"/>
  <c r="J33" i="3"/>
  <c r="J29" i="3"/>
  <c r="J28" i="3"/>
  <c r="J27" i="3"/>
  <c r="J24" i="3"/>
  <c r="J25" i="3" s="1"/>
  <c r="J20" i="3"/>
  <c r="J21" i="3" s="1"/>
  <c r="J14" i="3"/>
  <c r="J15" i="3" s="1"/>
  <c r="J16" i="3" s="1"/>
  <c r="J10" i="3"/>
  <c r="J7" i="3"/>
  <c r="J8" i="3" s="1"/>
  <c r="H54" i="3"/>
  <c r="H53" i="3"/>
  <c r="H52" i="3"/>
  <c r="H50" i="3"/>
  <c r="H51" i="3" s="1"/>
  <c r="H47" i="3"/>
  <c r="H48" i="3" s="1"/>
  <c r="H44" i="3"/>
  <c r="H42" i="3"/>
  <c r="H41" i="3"/>
  <c r="H39" i="3"/>
  <c r="H38" i="3"/>
  <c r="H37" i="3"/>
  <c r="H36" i="3"/>
  <c r="H35" i="3"/>
  <c r="H32" i="3"/>
  <c r="H33" i="3" s="1"/>
  <c r="H28" i="3"/>
  <c r="H27" i="3"/>
  <c r="H24" i="3"/>
  <c r="H25" i="3" s="1"/>
  <c r="H20" i="3"/>
  <c r="H21" i="3" s="1"/>
  <c r="H14" i="3"/>
  <c r="H15" i="3" s="1"/>
  <c r="H16" i="3" s="1"/>
  <c r="H10" i="3"/>
  <c r="H7" i="3"/>
  <c r="H9" i="3" s="1"/>
  <c r="F52" i="3"/>
  <c r="F51" i="3"/>
  <c r="F50" i="3"/>
  <c r="F48" i="3"/>
  <c r="F49" i="3" s="1"/>
  <c r="F45" i="3"/>
  <c r="F46" i="3" s="1"/>
  <c r="F41" i="3"/>
  <c r="F40" i="3"/>
  <c r="F38" i="3"/>
  <c r="F37" i="3"/>
  <c r="F36" i="3"/>
  <c r="F35" i="3"/>
  <c r="F32" i="3"/>
  <c r="F33" i="3" s="1"/>
  <c r="F28" i="3"/>
  <c r="F27" i="3"/>
  <c r="F24" i="3"/>
  <c r="F25" i="3" s="1"/>
  <c r="F20" i="3"/>
  <c r="F21" i="3" s="1"/>
  <c r="F14" i="3"/>
  <c r="F15" i="3" s="1"/>
  <c r="F16" i="3" s="1"/>
  <c r="F10" i="3"/>
  <c r="F7" i="3"/>
  <c r="F8" i="3" s="1"/>
  <c r="D48" i="3"/>
  <c r="D47" i="3"/>
  <c r="D46" i="3"/>
  <c r="D44" i="3"/>
  <c r="D45" i="3" s="1"/>
  <c r="D41" i="3"/>
  <c r="D39" i="3"/>
  <c r="D38" i="3"/>
  <c r="D36" i="3"/>
  <c r="D35" i="3"/>
  <c r="D34" i="3"/>
  <c r="D33" i="3"/>
  <c r="D30" i="3"/>
  <c r="D31" i="3" s="1"/>
  <c r="D26" i="3"/>
  <c r="D27" i="3" s="1"/>
  <c r="D23" i="3"/>
  <c r="D24" i="3" s="1"/>
  <c r="D19" i="3"/>
  <c r="D20" i="3" s="1"/>
  <c r="D13" i="3"/>
  <c r="D14" i="3" s="1"/>
  <c r="D15" i="3" s="1"/>
  <c r="D7" i="3"/>
  <c r="D8" i="3" s="1"/>
  <c r="B61" i="3"/>
  <c r="B60" i="3"/>
  <c r="B59" i="3"/>
  <c r="B57" i="3"/>
  <c r="B56" i="3"/>
  <c r="B53" i="3"/>
  <c r="B54" i="3" s="1"/>
  <c r="B49" i="3"/>
  <c r="B48" i="3"/>
  <c r="B47" i="3"/>
  <c r="B44" i="3"/>
  <c r="B43" i="3"/>
  <c r="B42" i="3"/>
  <c r="B40" i="3"/>
  <c r="B39" i="3"/>
  <c r="B38" i="3"/>
  <c r="B37" i="3"/>
  <c r="B34" i="3"/>
  <c r="B33" i="3"/>
  <c r="B29" i="3"/>
  <c r="B28" i="3"/>
  <c r="B25" i="3"/>
  <c r="B26" i="3" s="1"/>
  <c r="C7" i="4" s="1"/>
  <c r="B21" i="3"/>
  <c r="B22" i="3" s="1"/>
  <c r="B15" i="3"/>
  <c r="B16" i="3" s="1"/>
  <c r="B17" i="3" s="1"/>
  <c r="B10" i="3"/>
  <c r="B11" i="3" s="1"/>
  <c r="B7" i="3"/>
  <c r="B8" i="3" s="1"/>
  <c r="AR26" i="16" l="1"/>
  <c r="AA26" i="16"/>
  <c r="K26" i="16"/>
  <c r="C19" i="16"/>
  <c r="C26" i="16" s="1"/>
  <c r="AT103" i="16"/>
  <c r="F48" i="16"/>
  <c r="AI75" i="16"/>
  <c r="X75" i="16"/>
  <c r="AE19" i="16"/>
  <c r="AE26" i="16" s="1"/>
  <c r="AP19" i="16"/>
  <c r="AP26" i="16" s="1"/>
  <c r="AH19" i="16"/>
  <c r="AH26" i="16" s="1"/>
  <c r="Z19" i="16"/>
  <c r="AM103" i="16"/>
  <c r="AH75" i="16"/>
  <c r="Y48" i="16"/>
  <c r="D48" i="16"/>
  <c r="D90" i="16" s="1"/>
  <c r="D19" i="16"/>
  <c r="AC103" i="16"/>
  <c r="D103" i="16"/>
  <c r="AB103" i="16"/>
  <c r="U19" i="16"/>
  <c r="U26" i="16" s="1"/>
  <c r="E19" i="16"/>
  <c r="E26" i="16" s="1"/>
  <c r="AU19" i="16"/>
  <c r="AU26" i="16" s="1"/>
  <c r="AM19" i="16"/>
  <c r="AM26" i="16" s="1"/>
  <c r="AO48" i="16"/>
  <c r="L48" i="16"/>
  <c r="AJ19" i="16"/>
  <c r="AW103" i="16"/>
  <c r="T48" i="16"/>
  <c r="V48" i="16"/>
  <c r="I48" i="16"/>
  <c r="N48" i="16"/>
  <c r="AC26" i="16"/>
  <c r="AX10" i="16"/>
  <c r="AV103" i="16"/>
  <c r="W103" i="16"/>
  <c r="AF103" i="16"/>
  <c r="AG75" i="16"/>
  <c r="AS75" i="16"/>
  <c r="P75" i="16"/>
  <c r="G75" i="16"/>
  <c r="AP103" i="16"/>
  <c r="D26" i="16"/>
  <c r="S26" i="16"/>
  <c r="AD103" i="16"/>
  <c r="N103" i="16"/>
  <c r="AJ26" i="16"/>
  <c r="M26" i="16"/>
  <c r="AT19" i="16"/>
  <c r="AT26" i="16" s="1"/>
  <c r="AL19" i="16"/>
  <c r="AL26" i="16" s="1"/>
  <c r="AD19" i="16"/>
  <c r="X103" i="16"/>
  <c r="T19" i="16"/>
  <c r="T26" i="16" s="1"/>
  <c r="L19" i="16"/>
  <c r="L26" i="16" s="1"/>
  <c r="Y103" i="16"/>
  <c r="R75" i="16"/>
  <c r="R90" i="16" s="1"/>
  <c r="E103" i="16"/>
  <c r="AO103" i="16"/>
  <c r="AG103" i="16"/>
  <c r="P103" i="16"/>
  <c r="H103" i="16"/>
  <c r="Z75" i="16"/>
  <c r="Z90" i="16" s="1"/>
  <c r="AR103" i="16"/>
  <c r="O103" i="16"/>
  <c r="G103" i="16"/>
  <c r="AP75" i="16"/>
  <c r="Q48" i="16"/>
  <c r="G48" i="16"/>
  <c r="G90" i="16" s="1"/>
  <c r="AH103" i="16"/>
  <c r="F103" i="16"/>
  <c r="Q75" i="16"/>
  <c r="AW48" i="16"/>
  <c r="AW90" i="16" s="1"/>
  <c r="AM48" i="16"/>
  <c r="P48" i="16"/>
  <c r="AG19" i="16"/>
  <c r="Y19" i="16"/>
  <c r="Y26" i="16" s="1"/>
  <c r="Q19" i="16"/>
  <c r="Q26" i="16" s="1"/>
  <c r="I19" i="16"/>
  <c r="I26" i="16" s="1"/>
  <c r="AE103" i="16"/>
  <c r="AX71" i="16"/>
  <c r="AN75" i="16"/>
  <c r="AN90" i="16" s="1"/>
  <c r="AV90" i="16"/>
  <c r="AV91" i="16" s="1"/>
  <c r="AV104" i="16" s="1"/>
  <c r="O48" i="16"/>
  <c r="O90" i="16" s="1"/>
  <c r="AN26" i="16"/>
  <c r="AF26" i="16"/>
  <c r="P26" i="16"/>
  <c r="AW19" i="16"/>
  <c r="AW26" i="16" s="1"/>
  <c r="AO19" i="16"/>
  <c r="AO26" i="16" s="1"/>
  <c r="AL103" i="16"/>
  <c r="Q103" i="16"/>
  <c r="V102" i="16"/>
  <c r="AX102" i="16" s="1"/>
  <c r="C90" i="16"/>
  <c r="C91" i="16" s="1"/>
  <c r="C104" i="16" s="1"/>
  <c r="AN103" i="16"/>
  <c r="AA103" i="16"/>
  <c r="S103" i="16"/>
  <c r="K103" i="16"/>
  <c r="C103" i="16"/>
  <c r="AB75" i="16"/>
  <c r="T75" i="16"/>
  <c r="T90" i="16" s="1"/>
  <c r="AT48" i="16"/>
  <c r="AT90" i="16" s="1"/>
  <c r="AT91" i="16" s="1"/>
  <c r="AT104" i="16" s="1"/>
  <c r="X48" i="16"/>
  <c r="K48" i="16"/>
  <c r="K90" i="16" s="1"/>
  <c r="K91" i="16" s="1"/>
  <c r="K104" i="16" s="1"/>
  <c r="C48" i="16"/>
  <c r="W19" i="16"/>
  <c r="W26" i="16" s="1"/>
  <c r="O19" i="16"/>
  <c r="F12" i="16"/>
  <c r="AX12" i="16" s="1"/>
  <c r="AK19" i="16"/>
  <c r="AK26" i="16" s="1"/>
  <c r="I103" i="16"/>
  <c r="Y90" i="16"/>
  <c r="U75" i="16"/>
  <c r="U90" i="16" s="1"/>
  <c r="U91" i="16" s="1"/>
  <c r="AU90" i="16"/>
  <c r="AG48" i="16"/>
  <c r="AQ103" i="16"/>
  <c r="AI103" i="16"/>
  <c r="Z103" i="16"/>
  <c r="R103" i="16"/>
  <c r="J103" i="16"/>
  <c r="AX95" i="16"/>
  <c r="AT75" i="16"/>
  <c r="AA75" i="16"/>
  <c r="S75" i="16"/>
  <c r="J75" i="16"/>
  <c r="M48" i="16"/>
  <c r="M90" i="16" s="1"/>
  <c r="E48" i="16"/>
  <c r="E90" i="16" s="1"/>
  <c r="S48" i="16"/>
  <c r="S90" i="16" s="1"/>
  <c r="S91" i="16" s="1"/>
  <c r="S104" i="16" s="1"/>
  <c r="V19" i="16"/>
  <c r="V26" i="16" s="1"/>
  <c r="N19" i="16"/>
  <c r="N26" i="16" s="1"/>
  <c r="H63" i="18"/>
  <c r="G65" i="18"/>
  <c r="F65" i="18"/>
  <c r="I70" i="18"/>
  <c r="H72" i="18"/>
  <c r="H49" i="18"/>
  <c r="H53" i="18" s="1"/>
  <c r="I43" i="18"/>
  <c r="E27" i="18"/>
  <c r="D30" i="18"/>
  <c r="D26" i="18"/>
  <c r="C31" i="18"/>
  <c r="C32" i="18" s="1"/>
  <c r="E65" i="18"/>
  <c r="E62" i="18"/>
  <c r="D65" i="18"/>
  <c r="D73" i="18" s="1"/>
  <c r="D79" i="18" s="1"/>
  <c r="E64" i="18"/>
  <c r="F64" i="18" s="1"/>
  <c r="G64" i="18" s="1"/>
  <c r="H64" i="18" s="1"/>
  <c r="I64" i="18" s="1"/>
  <c r="J64" i="18" s="1"/>
  <c r="K64" i="18" s="1"/>
  <c r="L64" i="18" s="1"/>
  <c r="M64" i="18" s="1"/>
  <c r="N64" i="18" s="1"/>
  <c r="O64" i="18" s="1"/>
  <c r="P64" i="18" s="1"/>
  <c r="Q64" i="18" s="1"/>
  <c r="D47" i="18"/>
  <c r="E47" i="18" s="1"/>
  <c r="F47" i="18" s="1"/>
  <c r="G47" i="18" s="1"/>
  <c r="H47" i="18" s="1"/>
  <c r="I47" i="18" s="1"/>
  <c r="J47" i="18" s="1"/>
  <c r="K47" i="18" s="1"/>
  <c r="C49" i="18"/>
  <c r="C53" i="18" s="1"/>
  <c r="C54" i="18" s="1"/>
  <c r="C60" i="18" s="1"/>
  <c r="I9" i="18"/>
  <c r="D23" i="18"/>
  <c r="E20" i="18"/>
  <c r="F72" i="18"/>
  <c r="E69" i="18"/>
  <c r="F66" i="18"/>
  <c r="F56" i="18"/>
  <c r="E58" i="18"/>
  <c r="E59" i="18" s="1"/>
  <c r="F44" i="18"/>
  <c r="G44" i="18" s="1"/>
  <c r="H44" i="18" s="1"/>
  <c r="I44" i="18" s="1"/>
  <c r="J44" i="18" s="1"/>
  <c r="K44" i="18" s="1"/>
  <c r="E49" i="18"/>
  <c r="E53" i="18" s="1"/>
  <c r="AT22" i="18"/>
  <c r="AS23" i="18"/>
  <c r="D69" i="18"/>
  <c r="C69" i="18"/>
  <c r="C73" i="18" s="1"/>
  <c r="C79" i="18" s="1"/>
  <c r="D58" i="18"/>
  <c r="D59" i="18" s="1"/>
  <c r="D49" i="18"/>
  <c r="D53" i="18" s="1"/>
  <c r="D40" i="18"/>
  <c r="D41" i="18" s="1"/>
  <c r="D54" i="18" s="1"/>
  <c r="D60" i="18" s="1"/>
  <c r="E38" i="18"/>
  <c r="AG20" i="18"/>
  <c r="AF23" i="18"/>
  <c r="AV20" i="18"/>
  <c r="F49" i="18"/>
  <c r="F53" i="18" s="1"/>
  <c r="B24" i="18"/>
  <c r="B33" i="18" s="1"/>
  <c r="D10" i="18"/>
  <c r="C12" i="18"/>
  <c r="C15" i="18" s="1"/>
  <c r="C24" i="18" s="1"/>
  <c r="C33" i="18" s="1"/>
  <c r="AE23" i="18"/>
  <c r="AV18" i="18"/>
  <c r="AW17" i="18"/>
  <c r="AW18" i="18" s="1"/>
  <c r="AD23" i="18"/>
  <c r="AB23" i="18"/>
  <c r="M22" i="17"/>
  <c r="M37" i="17" s="1"/>
  <c r="AM37" i="17"/>
  <c r="AE37" i="17"/>
  <c r="W37" i="17"/>
  <c r="O37" i="17"/>
  <c r="C37" i="17"/>
  <c r="L22" i="17"/>
  <c r="L37" i="17" s="1"/>
  <c r="I37" i="17"/>
  <c r="AH37" i="17"/>
  <c r="Y37" i="17"/>
  <c r="K21" i="17"/>
  <c r="K22" i="17" s="1"/>
  <c r="AX7" i="17"/>
  <c r="AX33" i="17"/>
  <c r="AX28" i="17"/>
  <c r="Z21" i="17"/>
  <c r="Z22" i="17" s="1"/>
  <c r="Z37" i="17" s="1"/>
  <c r="N21" i="17"/>
  <c r="N22" i="17" s="1"/>
  <c r="N37" i="17" s="1"/>
  <c r="R36" i="17"/>
  <c r="R37" i="17" s="1"/>
  <c r="AK75" i="16"/>
  <c r="AG90" i="16"/>
  <c r="AO75" i="16"/>
  <c r="AO90" i="16" s="1"/>
  <c r="AH48" i="16"/>
  <c r="AH90" i="16" s="1"/>
  <c r="AH91" i="16" s="1"/>
  <c r="AX96" i="16"/>
  <c r="AK103" i="16"/>
  <c r="V103" i="16"/>
  <c r="U103" i="16"/>
  <c r="AJ103" i="16"/>
  <c r="T103" i="16"/>
  <c r="AX79" i="16"/>
  <c r="AM90" i="16"/>
  <c r="B103" i="16"/>
  <c r="F75" i="16"/>
  <c r="AF64" i="16"/>
  <c r="AF75" i="16" s="1"/>
  <c r="AX56" i="16"/>
  <c r="AM75" i="16"/>
  <c r="AE75" i="16"/>
  <c r="W75" i="16"/>
  <c r="W90" i="16" s="1"/>
  <c r="W91" i="16" s="1"/>
  <c r="W104" i="16" s="1"/>
  <c r="O75" i="16"/>
  <c r="AX51" i="16"/>
  <c r="AD52" i="16"/>
  <c r="AD90" i="16" s="1"/>
  <c r="AX47" i="16"/>
  <c r="AX45" i="16"/>
  <c r="AX39" i="16"/>
  <c r="AX73" i="16"/>
  <c r="AL75" i="16"/>
  <c r="AD75" i="16"/>
  <c r="V75" i="16"/>
  <c r="V90" i="16" s="1"/>
  <c r="N75" i="16"/>
  <c r="AC52" i="16"/>
  <c r="AP48" i="16"/>
  <c r="H25" i="16"/>
  <c r="H26" i="16" s="1"/>
  <c r="AX24" i="16"/>
  <c r="AQ47" i="16"/>
  <c r="AQ48" i="16" s="1"/>
  <c r="AQ90" i="16" s="1"/>
  <c r="AQ91" i="16" s="1"/>
  <c r="AQ104" i="16" s="1"/>
  <c r="AX44" i="16"/>
  <c r="AA48" i="16"/>
  <c r="O26" i="16"/>
  <c r="AX100" i="16"/>
  <c r="AX67" i="16"/>
  <c r="AK40" i="16"/>
  <c r="AK48" i="16" s="1"/>
  <c r="AC40" i="16"/>
  <c r="AC48" i="16" s="1"/>
  <c r="G26" i="16"/>
  <c r="AD26" i="16"/>
  <c r="I64" i="16"/>
  <c r="I75" i="16" s="1"/>
  <c r="I90" i="16" s="1"/>
  <c r="AX62" i="16"/>
  <c r="AJ40" i="16"/>
  <c r="AJ48" i="16" s="1"/>
  <c r="AJ90" i="16" s="1"/>
  <c r="AB40" i="16"/>
  <c r="AB48" i="16" s="1"/>
  <c r="AX34" i="16"/>
  <c r="L90" i="16"/>
  <c r="AX30" i="16"/>
  <c r="AB31" i="16"/>
  <c r="AX31" i="16" s="1"/>
  <c r="AL89" i="16"/>
  <c r="AX89" i="16" s="1"/>
  <c r="AX78" i="16"/>
  <c r="AX54" i="16"/>
  <c r="AI40" i="16"/>
  <c r="AI48" i="16" s="1"/>
  <c r="AR90" i="16"/>
  <c r="AR91" i="16" s="1"/>
  <c r="Z26" i="16"/>
  <c r="R26" i="16"/>
  <c r="J26" i="16"/>
  <c r="B26" i="16"/>
  <c r="AS89" i="16"/>
  <c r="AE84" i="16"/>
  <c r="AX84" i="16" s="1"/>
  <c r="H75" i="16"/>
  <c r="H90" i="16" s="1"/>
  <c r="AX69" i="16"/>
  <c r="AF47" i="16"/>
  <c r="AF48" i="16" s="1"/>
  <c r="J48" i="16"/>
  <c r="J90" i="16" s="1"/>
  <c r="B48" i="16"/>
  <c r="AX37" i="16"/>
  <c r="AX35" i="16"/>
  <c r="AG26" i="16"/>
  <c r="X17" i="16"/>
  <c r="X19" i="16" s="1"/>
  <c r="X26" i="16" s="1"/>
  <c r="AX21" i="16"/>
  <c r="N9" i="3"/>
  <c r="L33" i="3"/>
  <c r="L49" i="3"/>
  <c r="R9" i="3"/>
  <c r="R10" i="3" s="1"/>
  <c r="R13" i="3" s="1"/>
  <c r="R14" i="3" s="1"/>
  <c r="N31" i="3"/>
  <c r="N32" i="3" s="1"/>
  <c r="P10" i="3"/>
  <c r="P16" i="3" s="1"/>
  <c r="P31" i="3"/>
  <c r="N23" i="3"/>
  <c r="P21" i="3"/>
  <c r="J35" i="3"/>
  <c r="N56" i="3"/>
  <c r="P40" i="3"/>
  <c r="L10" i="3"/>
  <c r="L16" i="3" s="1"/>
  <c r="N36" i="3"/>
  <c r="N52" i="3"/>
  <c r="B30" i="3"/>
  <c r="B31" i="3" s="1"/>
  <c r="L28" i="3"/>
  <c r="L29" i="3" s="1"/>
  <c r="N12" i="3"/>
  <c r="N18" i="3" s="1"/>
  <c r="N43" i="3"/>
  <c r="N45" i="3" s="1"/>
  <c r="J52" i="3"/>
  <c r="L40" i="3"/>
  <c r="L42" i="3" s="1"/>
  <c r="J30" i="3"/>
  <c r="J31" i="3" s="1"/>
  <c r="H43" i="3"/>
  <c r="H45" i="3" s="1"/>
  <c r="F29" i="3"/>
  <c r="F30" i="3" s="1"/>
  <c r="L53" i="3"/>
  <c r="H11" i="3"/>
  <c r="H17" i="3" s="1"/>
  <c r="B35" i="3"/>
  <c r="J11" i="3"/>
  <c r="J17" i="3" s="1"/>
  <c r="J45" i="3"/>
  <c r="J46" i="3" s="1"/>
  <c r="H55" i="3"/>
  <c r="B12" i="3"/>
  <c r="F42" i="3"/>
  <c r="F43" i="3" s="1"/>
  <c r="H29" i="3"/>
  <c r="H30" i="3" s="1"/>
  <c r="B45" i="3"/>
  <c r="F11" i="3"/>
  <c r="F17" i="3" s="1"/>
  <c r="D40" i="3"/>
  <c r="D42" i="3" s="1"/>
  <c r="F53" i="3"/>
  <c r="B58" i="3"/>
  <c r="B62" i="3"/>
  <c r="B50" i="3"/>
  <c r="D10" i="3"/>
  <c r="D16" i="3" s="1"/>
  <c r="D28" i="3"/>
  <c r="D49" i="3"/>
  <c r="AW91" i="16" l="1"/>
  <c r="AW104" i="16" s="1"/>
  <c r="D91" i="16"/>
  <c r="D104" i="16" s="1"/>
  <c r="T91" i="16"/>
  <c r="T104" i="16" s="1"/>
  <c r="E91" i="16"/>
  <c r="E104" i="16" s="1"/>
  <c r="L91" i="16"/>
  <c r="L104" i="16" s="1"/>
  <c r="N90" i="16"/>
  <c r="N91" i="16" s="1"/>
  <c r="N104" i="16" s="1"/>
  <c r="M91" i="16"/>
  <c r="M104" i="16" s="1"/>
  <c r="Y91" i="16"/>
  <c r="Y104" i="16" s="1"/>
  <c r="AI90" i="16"/>
  <c r="AI91" i="16" s="1"/>
  <c r="AI104" i="16" s="1"/>
  <c r="AH104" i="16"/>
  <c r="AS90" i="16"/>
  <c r="AS91" i="16" s="1"/>
  <c r="AS104" i="16" s="1"/>
  <c r="AJ91" i="16"/>
  <c r="AJ104" i="16" s="1"/>
  <c r="H91" i="16"/>
  <c r="H104" i="16" s="1"/>
  <c r="AE90" i="16"/>
  <c r="AE91" i="16" s="1"/>
  <c r="AE104" i="16" s="1"/>
  <c r="F19" i="16"/>
  <c r="P90" i="16"/>
  <c r="P91" i="16" s="1"/>
  <c r="P104" i="16" s="1"/>
  <c r="X90" i="16"/>
  <c r="AR104" i="16"/>
  <c r="AG91" i="16"/>
  <c r="AG104" i="16" s="1"/>
  <c r="AU91" i="16"/>
  <c r="AU104" i="16" s="1"/>
  <c r="AN91" i="16"/>
  <c r="AN104" i="16" s="1"/>
  <c r="AX25" i="16"/>
  <c r="AM91" i="16"/>
  <c r="AM104" i="16" s="1"/>
  <c r="G91" i="16"/>
  <c r="G104" i="16" s="1"/>
  <c r="AP90" i="16"/>
  <c r="AP91" i="16" s="1"/>
  <c r="AP104" i="16" s="1"/>
  <c r="X91" i="16"/>
  <c r="X104" i="16" s="1"/>
  <c r="AC90" i="16"/>
  <c r="AC91" i="16" s="1"/>
  <c r="AC104" i="16" s="1"/>
  <c r="AA90" i="16"/>
  <c r="AA91" i="16" s="1"/>
  <c r="AA104" i="16" s="1"/>
  <c r="R91" i="16"/>
  <c r="R104" i="16" s="1"/>
  <c r="Z91" i="16"/>
  <c r="Z104" i="16" s="1"/>
  <c r="AL90" i="16"/>
  <c r="AL91" i="16" s="1"/>
  <c r="AL104" i="16" s="1"/>
  <c r="AO91" i="16"/>
  <c r="AO104" i="16" s="1"/>
  <c r="Q90" i="16"/>
  <c r="Q91" i="16" s="1"/>
  <c r="Q104" i="16" s="1"/>
  <c r="E10" i="18"/>
  <c r="D12" i="18"/>
  <c r="D15" i="18" s="1"/>
  <c r="D24" i="18" s="1"/>
  <c r="E23" i="18"/>
  <c r="F20" i="18"/>
  <c r="G49" i="18"/>
  <c r="G53" i="18" s="1"/>
  <c r="I49" i="18"/>
  <c r="I53" i="18" s="1"/>
  <c r="J43" i="18"/>
  <c r="D80" i="18"/>
  <c r="E73" i="18"/>
  <c r="E79" i="18" s="1"/>
  <c r="F62" i="18"/>
  <c r="F58" i="18"/>
  <c r="F59" i="18" s="1"/>
  <c r="G56" i="18"/>
  <c r="AW20" i="18"/>
  <c r="F69" i="18"/>
  <c r="G66" i="18"/>
  <c r="J9" i="18"/>
  <c r="I12" i="18"/>
  <c r="I15" i="18" s="1"/>
  <c r="I72" i="18"/>
  <c r="J70" i="18"/>
  <c r="C80" i="18"/>
  <c r="D31" i="18"/>
  <c r="D32" i="18" s="1"/>
  <c r="E26" i="18"/>
  <c r="AH20" i="18"/>
  <c r="AG23" i="18"/>
  <c r="E40" i="18"/>
  <c r="E41" i="18" s="1"/>
  <c r="E54" i="18" s="1"/>
  <c r="E60" i="18" s="1"/>
  <c r="E80" i="18" s="1"/>
  <c r="F38" i="18"/>
  <c r="AU22" i="18"/>
  <c r="AT23" i="18"/>
  <c r="E30" i="18"/>
  <c r="F27" i="18"/>
  <c r="I63" i="18"/>
  <c r="H65" i="18"/>
  <c r="K37" i="17"/>
  <c r="AX22" i="17"/>
  <c r="AX37" i="17"/>
  <c r="AX36" i="17"/>
  <c r="AX21" i="17"/>
  <c r="AF90" i="16"/>
  <c r="AF91" i="16" s="1"/>
  <c r="AF104" i="16" s="1"/>
  <c r="AX75" i="16"/>
  <c r="AX64" i="16"/>
  <c r="F90" i="16"/>
  <c r="AX48" i="16"/>
  <c r="B90" i="16"/>
  <c r="B91" i="16" s="1"/>
  <c r="J91" i="16"/>
  <c r="J104" i="16" s="1"/>
  <c r="V91" i="16"/>
  <c r="V104" i="16" s="1"/>
  <c r="AX17" i="16"/>
  <c r="AX40" i="16"/>
  <c r="AD91" i="16"/>
  <c r="AD104" i="16" s="1"/>
  <c r="I91" i="16"/>
  <c r="I104" i="16" s="1"/>
  <c r="AX103" i="16"/>
  <c r="AX52" i="16"/>
  <c r="AB90" i="16"/>
  <c r="AB91" i="16" s="1"/>
  <c r="AB104" i="16" s="1"/>
  <c r="AK90" i="16"/>
  <c r="AK91" i="16" s="1"/>
  <c r="AK104" i="16" s="1"/>
  <c r="O91" i="16"/>
  <c r="O104" i="16" s="1"/>
  <c r="U104" i="16"/>
  <c r="P41" i="3"/>
  <c r="P42" i="3" s="1"/>
  <c r="P43" i="3" s="1"/>
  <c r="B18" i="3"/>
  <c r="C3" i="4"/>
  <c r="N57" i="3"/>
  <c r="N58" i="3" s="1"/>
  <c r="N65" i="3" s="1"/>
  <c r="J53" i="3"/>
  <c r="J54" i="3" s="1"/>
  <c r="J55" i="3" s="1"/>
  <c r="H56" i="3"/>
  <c r="H57" i="3" s="1"/>
  <c r="H58" i="3" s="1"/>
  <c r="F54" i="3"/>
  <c r="F55" i="3" s="1"/>
  <c r="F56" i="3" s="1"/>
  <c r="L54" i="3"/>
  <c r="L55" i="3" s="1"/>
  <c r="L62" i="3" s="1"/>
  <c r="B51" i="3"/>
  <c r="B63" i="3" s="1"/>
  <c r="D50" i="3"/>
  <c r="D51" i="3" s="1"/>
  <c r="D52" i="3" s="1"/>
  <c r="F26" i="16" l="1"/>
  <c r="AX26" i="16" s="1"/>
  <c r="AX19" i="16"/>
  <c r="I65" i="18"/>
  <c r="J63" i="18"/>
  <c r="AI20" i="18"/>
  <c r="AH23" i="18"/>
  <c r="H66" i="18"/>
  <c r="G69" i="18"/>
  <c r="F30" i="18"/>
  <c r="G27" i="18"/>
  <c r="F26" i="18"/>
  <c r="E31" i="18"/>
  <c r="E32" i="18" s="1"/>
  <c r="J49" i="18"/>
  <c r="J53" i="18" s="1"/>
  <c r="K43" i="18"/>
  <c r="AV22" i="18"/>
  <c r="AU23" i="18"/>
  <c r="J72" i="18"/>
  <c r="K70" i="18"/>
  <c r="H56" i="18"/>
  <c r="G58" i="18"/>
  <c r="G59" i="18" s="1"/>
  <c r="G20" i="18"/>
  <c r="F23" i="18"/>
  <c r="G38" i="18"/>
  <c r="F40" i="18"/>
  <c r="F41" i="18" s="1"/>
  <c r="F54" i="18" s="1"/>
  <c r="F60" i="18" s="1"/>
  <c r="F80" i="18" s="1"/>
  <c r="G62" i="18"/>
  <c r="F73" i="18"/>
  <c r="F79" i="18" s="1"/>
  <c r="D33" i="18"/>
  <c r="K9" i="18"/>
  <c r="J12" i="18"/>
  <c r="J15" i="18" s="1"/>
  <c r="F10" i="18"/>
  <c r="E12" i="18"/>
  <c r="E15" i="18" s="1"/>
  <c r="E24" i="18" s="1"/>
  <c r="E33" i="18" s="1"/>
  <c r="B104" i="16"/>
  <c r="AX90" i="16"/>
  <c r="C4" i="4"/>
  <c r="C5" i="4"/>
  <c r="B64" i="3"/>
  <c r="B65" i="3" s="1"/>
  <c r="F91" i="16" l="1"/>
  <c r="G30" i="18"/>
  <c r="H27" i="18"/>
  <c r="G10" i="18"/>
  <c r="F12" i="18"/>
  <c r="F15" i="18" s="1"/>
  <c r="F24" i="18" s="1"/>
  <c r="H38" i="18"/>
  <c r="G40" i="18"/>
  <c r="G41" i="18" s="1"/>
  <c r="G54" i="18" s="1"/>
  <c r="G60" i="18" s="1"/>
  <c r="AW22" i="18"/>
  <c r="AW23" i="18" s="1"/>
  <c r="AV23" i="18"/>
  <c r="I66" i="18"/>
  <c r="H69" i="18"/>
  <c r="L9" i="18"/>
  <c r="K12" i="18"/>
  <c r="K15" i="18" s="1"/>
  <c r="H20" i="18"/>
  <c r="G23" i="18"/>
  <c r="L43" i="18"/>
  <c r="K49" i="18"/>
  <c r="K53" i="18" s="1"/>
  <c r="AI23" i="18"/>
  <c r="AJ20" i="18"/>
  <c r="H58" i="18"/>
  <c r="H59" i="18" s="1"/>
  <c r="I56" i="18"/>
  <c r="K63" i="18"/>
  <c r="J65" i="18"/>
  <c r="G73" i="18"/>
  <c r="G79" i="18" s="1"/>
  <c r="H62" i="18"/>
  <c r="L70" i="18"/>
  <c r="K72" i="18"/>
  <c r="F31" i="18"/>
  <c r="F32" i="18" s="1"/>
  <c r="G26" i="18"/>
  <c r="F104" i="16" l="1"/>
  <c r="AX104" i="16" s="1"/>
  <c r="AX91" i="16"/>
  <c r="M43" i="18"/>
  <c r="L49" i="18"/>
  <c r="L53" i="18" s="1"/>
  <c r="L63" i="18"/>
  <c r="K65" i="18"/>
  <c r="I20" i="18"/>
  <c r="H23" i="18"/>
  <c r="L12" i="18"/>
  <c r="L15" i="18" s="1"/>
  <c r="M9" i="18"/>
  <c r="J66" i="18"/>
  <c r="I69" i="18"/>
  <c r="I27" i="18"/>
  <c r="H30" i="18"/>
  <c r="G80" i="18"/>
  <c r="H26" i="18"/>
  <c r="G31" i="18"/>
  <c r="G32" i="18" s="1"/>
  <c r="I58" i="18"/>
  <c r="I59" i="18" s="1"/>
  <c r="J56" i="18"/>
  <c r="H40" i="18"/>
  <c r="H41" i="18" s="1"/>
  <c r="H54" i="18" s="1"/>
  <c r="H60" i="18" s="1"/>
  <c r="I38" i="18"/>
  <c r="F33" i="18"/>
  <c r="AJ23" i="18"/>
  <c r="AK20" i="18"/>
  <c r="H10" i="18"/>
  <c r="H12" i="18" s="1"/>
  <c r="H15" i="18" s="1"/>
  <c r="H24" i="18" s="1"/>
  <c r="G12" i="18"/>
  <c r="G15" i="18" s="1"/>
  <c r="G24" i="18" s="1"/>
  <c r="M70" i="18"/>
  <c r="L72" i="18"/>
  <c r="I62" i="18"/>
  <c r="H73" i="18"/>
  <c r="H79" i="18" s="1"/>
  <c r="AL20" i="18" l="1"/>
  <c r="AK23" i="18"/>
  <c r="I26" i="18"/>
  <c r="H31" i="18"/>
  <c r="H32" i="18" s="1"/>
  <c r="H33" i="18" s="1"/>
  <c r="J20" i="18"/>
  <c r="I23" i="18"/>
  <c r="I24" i="18" s="1"/>
  <c r="J62" i="18"/>
  <c r="I73" i="18"/>
  <c r="I79" i="18" s="1"/>
  <c r="J38" i="18"/>
  <c r="I40" i="18"/>
  <c r="I41" i="18" s="1"/>
  <c r="I54" i="18" s="1"/>
  <c r="I60" i="18" s="1"/>
  <c r="I80" i="18" s="1"/>
  <c r="I30" i="18"/>
  <c r="J27" i="18"/>
  <c r="H80" i="18"/>
  <c r="M63" i="18"/>
  <c r="L65" i="18"/>
  <c r="N70" i="18"/>
  <c r="M72" i="18"/>
  <c r="K56" i="18"/>
  <c r="J58" i="18"/>
  <c r="J59" i="18" s="1"/>
  <c r="K66" i="18"/>
  <c r="J69" i="18"/>
  <c r="G33" i="18"/>
  <c r="M12" i="18"/>
  <c r="M15" i="18" s="1"/>
  <c r="N9" i="18"/>
  <c r="N43" i="18"/>
  <c r="M49" i="18"/>
  <c r="M53" i="18" s="1"/>
  <c r="M65" i="18" l="1"/>
  <c r="N63" i="18"/>
  <c r="J23" i="18"/>
  <c r="J24" i="18" s="1"/>
  <c r="K20" i="18"/>
  <c r="L66" i="18"/>
  <c r="K69" i="18"/>
  <c r="K27" i="18"/>
  <c r="J30" i="18"/>
  <c r="J26" i="18"/>
  <c r="I31" i="18"/>
  <c r="I32" i="18" s="1"/>
  <c r="I33" i="18" s="1"/>
  <c r="K58" i="18"/>
  <c r="K59" i="18" s="1"/>
  <c r="L56" i="18"/>
  <c r="O43" i="18"/>
  <c r="N49" i="18"/>
  <c r="N53" i="18" s="1"/>
  <c r="K38" i="18"/>
  <c r="J40" i="18"/>
  <c r="J41" i="18" s="1"/>
  <c r="J54" i="18" s="1"/>
  <c r="J60" i="18" s="1"/>
  <c r="AM20" i="18"/>
  <c r="AL23" i="18"/>
  <c r="N12" i="18"/>
  <c r="N15" i="18" s="1"/>
  <c r="O9" i="18"/>
  <c r="N72" i="18"/>
  <c r="O70" i="18"/>
  <c r="J73" i="18"/>
  <c r="J79" i="18" s="1"/>
  <c r="K62" i="18"/>
  <c r="L38" i="18" l="1"/>
  <c r="K40" i="18"/>
  <c r="K41" i="18" s="1"/>
  <c r="K54" i="18" s="1"/>
  <c r="K60" i="18" s="1"/>
  <c r="L27" i="18"/>
  <c r="K30" i="18"/>
  <c r="P70" i="18"/>
  <c r="O72" i="18"/>
  <c r="O49" i="18"/>
  <c r="O53" i="18" s="1"/>
  <c r="P43" i="18"/>
  <c r="L69" i="18"/>
  <c r="M66" i="18"/>
  <c r="O12" i="18"/>
  <c r="O15" i="18" s="1"/>
  <c r="P9" i="18"/>
  <c r="L58" i="18"/>
  <c r="L59" i="18" s="1"/>
  <c r="M56" i="18"/>
  <c r="K23" i="18"/>
  <c r="K24" i="18" s="1"/>
  <c r="L20" i="18"/>
  <c r="L62" i="18"/>
  <c r="K73" i="18"/>
  <c r="K79" i="18" s="1"/>
  <c r="AN20" i="18"/>
  <c r="AM23" i="18"/>
  <c r="J31" i="18"/>
  <c r="J32" i="18" s="1"/>
  <c r="J33" i="18" s="1"/>
  <c r="K26" i="18"/>
  <c r="N65" i="18"/>
  <c r="O63" i="18"/>
  <c r="J80" i="18"/>
  <c r="L26" i="18" l="1"/>
  <c r="K31" i="18"/>
  <c r="K32" i="18" s="1"/>
  <c r="L23" i="18"/>
  <c r="L24" i="18" s="1"/>
  <c r="M20" i="18"/>
  <c r="Q43" i="18"/>
  <c r="P49" i="18"/>
  <c r="P53" i="18" s="1"/>
  <c r="K33" i="18"/>
  <c r="N56" i="18"/>
  <c r="M58" i="18"/>
  <c r="M59" i="18" s="1"/>
  <c r="AO20" i="18"/>
  <c r="AN23" i="18"/>
  <c r="P72" i="18"/>
  <c r="Q70" i="18"/>
  <c r="Q9" i="18"/>
  <c r="P12" i="18"/>
  <c r="P15" i="18" s="1"/>
  <c r="M62" i="18"/>
  <c r="L73" i="18"/>
  <c r="L79" i="18" s="1"/>
  <c r="M27" i="18"/>
  <c r="L30" i="18"/>
  <c r="P63" i="18"/>
  <c r="O65" i="18"/>
  <c r="N66" i="18"/>
  <c r="M69" i="18"/>
  <c r="K80" i="18"/>
  <c r="L40" i="18"/>
  <c r="L41" i="18" s="1"/>
  <c r="L54" i="18" s="1"/>
  <c r="L60" i="18" s="1"/>
  <c r="L80" i="18" s="1"/>
  <c r="M38" i="18"/>
  <c r="N69" i="18" l="1"/>
  <c r="O66" i="18"/>
  <c r="Q12" i="18"/>
  <c r="Q15" i="18" s="1"/>
  <c r="R9" i="18"/>
  <c r="Q63" i="18"/>
  <c r="P65" i="18"/>
  <c r="R70" i="18"/>
  <c r="Q72" i="18"/>
  <c r="R43" i="18"/>
  <c r="Q49" i="18"/>
  <c r="Q53" i="18" s="1"/>
  <c r="N20" i="18"/>
  <c r="M23" i="18"/>
  <c r="M24" i="18" s="1"/>
  <c r="N38" i="18"/>
  <c r="M40" i="18"/>
  <c r="M41" i="18" s="1"/>
  <c r="M54" i="18" s="1"/>
  <c r="M60" i="18" s="1"/>
  <c r="M30" i="18"/>
  <c r="N27" i="18"/>
  <c r="AP20" i="18"/>
  <c r="AO23" i="18"/>
  <c r="L31" i="18"/>
  <c r="L32" i="18" s="1"/>
  <c r="L33" i="18" s="1"/>
  <c r="M26" i="18"/>
  <c r="N62" i="18"/>
  <c r="M73" i="18"/>
  <c r="M79" i="18" s="1"/>
  <c r="N58" i="18"/>
  <c r="N59" i="18" s="1"/>
  <c r="O56" i="18"/>
  <c r="R72" i="18" l="1"/>
  <c r="S70" i="18"/>
  <c r="O62" i="18"/>
  <c r="N73" i="18"/>
  <c r="N79" i="18" s="1"/>
  <c r="M80" i="18"/>
  <c r="N26" i="18"/>
  <c r="M31" i="18"/>
  <c r="M32" i="18" s="1"/>
  <c r="M33" i="18" s="1"/>
  <c r="N40" i="18"/>
  <c r="N41" i="18" s="1"/>
  <c r="N54" i="18" s="1"/>
  <c r="N60" i="18" s="1"/>
  <c r="N80" i="18" s="1"/>
  <c r="O38" i="18"/>
  <c r="Q65" i="18"/>
  <c r="R63" i="18"/>
  <c r="S9" i="18"/>
  <c r="R12" i="18"/>
  <c r="R15" i="18" s="1"/>
  <c r="O20" i="18"/>
  <c r="N23" i="18"/>
  <c r="N24" i="18" s="1"/>
  <c r="AQ20" i="18"/>
  <c r="AQ23" i="18" s="1"/>
  <c r="AP23" i="18"/>
  <c r="O58" i="18"/>
  <c r="O59" i="18" s="1"/>
  <c r="P56" i="18"/>
  <c r="R49" i="18"/>
  <c r="R53" i="18" s="1"/>
  <c r="S43" i="18"/>
  <c r="P66" i="18"/>
  <c r="O69" i="18"/>
  <c r="O27" i="18"/>
  <c r="N30" i="18"/>
  <c r="Q66" i="18" l="1"/>
  <c r="P69" i="18"/>
  <c r="N33" i="18"/>
  <c r="S49" i="18"/>
  <c r="S53" i="18" s="1"/>
  <c r="T43" i="18"/>
  <c r="O23" i="18"/>
  <c r="O24" i="18" s="1"/>
  <c r="P20" i="18"/>
  <c r="O26" i="18"/>
  <c r="N31" i="18"/>
  <c r="N32" i="18" s="1"/>
  <c r="Q56" i="18"/>
  <c r="P58" i="18"/>
  <c r="P59" i="18" s="1"/>
  <c r="T9" i="18"/>
  <c r="S12" i="18"/>
  <c r="S15" i="18" s="1"/>
  <c r="R65" i="18"/>
  <c r="S63" i="18"/>
  <c r="O73" i="18"/>
  <c r="O79" i="18" s="1"/>
  <c r="P62" i="18"/>
  <c r="O30" i="18"/>
  <c r="P27" i="18"/>
  <c r="T70" i="18"/>
  <c r="S72" i="18"/>
  <c r="O40" i="18"/>
  <c r="O41" i="18" s="1"/>
  <c r="O54" i="18" s="1"/>
  <c r="O60" i="18" s="1"/>
  <c r="O80" i="18" s="1"/>
  <c r="P38" i="18"/>
  <c r="P40" i="18" l="1"/>
  <c r="P41" i="18" s="1"/>
  <c r="P54" i="18" s="1"/>
  <c r="P60" i="18" s="1"/>
  <c r="Q38" i="18"/>
  <c r="T63" i="18"/>
  <c r="S65" i="18"/>
  <c r="Q20" i="18"/>
  <c r="P23" i="18"/>
  <c r="P24" i="18" s="1"/>
  <c r="O33" i="18"/>
  <c r="U70" i="18"/>
  <c r="T72" i="18"/>
  <c r="U9" i="18"/>
  <c r="T12" i="18"/>
  <c r="T15" i="18" s="1"/>
  <c r="U43" i="18"/>
  <c r="T49" i="18"/>
  <c r="T53" i="18" s="1"/>
  <c r="P30" i="18"/>
  <c r="Q27" i="18"/>
  <c r="R56" i="18"/>
  <c r="Q58" i="18"/>
  <c r="Q59" i="18" s="1"/>
  <c r="P73" i="18"/>
  <c r="P79" i="18" s="1"/>
  <c r="Q62" i="18"/>
  <c r="P26" i="18"/>
  <c r="O31" i="18"/>
  <c r="O32" i="18" s="1"/>
  <c r="R66" i="18"/>
  <c r="Q69" i="18"/>
  <c r="P31" i="18" l="1"/>
  <c r="P32" i="18" s="1"/>
  <c r="P33" i="18" s="1"/>
  <c r="Q26" i="18"/>
  <c r="V43" i="18"/>
  <c r="U49" i="18"/>
  <c r="U53" i="18" s="1"/>
  <c r="R20" i="18"/>
  <c r="Q23" i="18"/>
  <c r="Q24" i="18" s="1"/>
  <c r="Q73" i="18"/>
  <c r="Q79" i="18" s="1"/>
  <c r="R62" i="18"/>
  <c r="R27" i="18"/>
  <c r="Q30" i="18"/>
  <c r="S66" i="18"/>
  <c r="R69" i="18"/>
  <c r="U12" i="18"/>
  <c r="U15" i="18" s="1"/>
  <c r="V9" i="18"/>
  <c r="U63" i="18"/>
  <c r="T65" i="18"/>
  <c r="Q40" i="18"/>
  <c r="Q41" i="18" s="1"/>
  <c r="Q54" i="18" s="1"/>
  <c r="Q60" i="18" s="1"/>
  <c r="Q80" i="18" s="1"/>
  <c r="R38" i="18"/>
  <c r="S56" i="18"/>
  <c r="R58" i="18"/>
  <c r="R59" i="18" s="1"/>
  <c r="V70" i="18"/>
  <c r="U72" i="18"/>
  <c r="P80" i="18"/>
  <c r="V12" i="18" l="1"/>
  <c r="V15" i="18" s="1"/>
  <c r="W9" i="18"/>
  <c r="Q33" i="18"/>
  <c r="V72" i="18"/>
  <c r="W70" i="18"/>
  <c r="S20" i="18"/>
  <c r="R23" i="18"/>
  <c r="R24" i="18" s="1"/>
  <c r="S58" i="18"/>
  <c r="S59" i="18" s="1"/>
  <c r="T56" i="18"/>
  <c r="S69" i="18"/>
  <c r="T66" i="18"/>
  <c r="W43" i="18"/>
  <c r="V49" i="18"/>
  <c r="V53" i="18" s="1"/>
  <c r="S38" i="18"/>
  <c r="R40" i="18"/>
  <c r="R41" i="18" s="1"/>
  <c r="R54" i="18" s="1"/>
  <c r="R60" i="18" s="1"/>
  <c r="R80" i="18" s="1"/>
  <c r="Q31" i="18"/>
  <c r="Q32" i="18" s="1"/>
  <c r="R26" i="18"/>
  <c r="R30" i="18"/>
  <c r="S27" i="18"/>
  <c r="S62" i="18"/>
  <c r="R73" i="18"/>
  <c r="R79" i="18" s="1"/>
  <c r="U65" i="18"/>
  <c r="V63" i="18"/>
  <c r="W63" i="18" l="1"/>
  <c r="V65" i="18"/>
  <c r="T38" i="18"/>
  <c r="S40" i="18"/>
  <c r="S41" i="18" s="1"/>
  <c r="S54" i="18" s="1"/>
  <c r="S60" i="18" s="1"/>
  <c r="S80" i="18" s="1"/>
  <c r="S23" i="18"/>
  <c r="S24" i="18" s="1"/>
  <c r="T20" i="18"/>
  <c r="T62" i="18"/>
  <c r="S73" i="18"/>
  <c r="S79" i="18" s="1"/>
  <c r="W49" i="18"/>
  <c r="W53" i="18" s="1"/>
  <c r="X43" i="18"/>
  <c r="X70" i="18"/>
  <c r="W72" i="18"/>
  <c r="S30" i="18"/>
  <c r="T27" i="18"/>
  <c r="T69" i="18"/>
  <c r="U66" i="18"/>
  <c r="S26" i="18"/>
  <c r="R31" i="18"/>
  <c r="R32" i="18" s="1"/>
  <c r="R33" i="18" s="1"/>
  <c r="U56" i="18"/>
  <c r="T58" i="18"/>
  <c r="T59" i="18" s="1"/>
  <c r="W12" i="18"/>
  <c r="W15" i="18" s="1"/>
  <c r="X9" i="18"/>
  <c r="Y9" i="18" l="1"/>
  <c r="X12" i="18"/>
  <c r="X15" i="18" s="1"/>
  <c r="U27" i="18"/>
  <c r="T30" i="18"/>
  <c r="T23" i="18"/>
  <c r="T24" i="18" s="1"/>
  <c r="U20" i="18"/>
  <c r="S33" i="18"/>
  <c r="V56" i="18"/>
  <c r="U58" i="18"/>
  <c r="U59" i="18" s="1"/>
  <c r="X72" i="18"/>
  <c r="Y70" i="18"/>
  <c r="T40" i="18"/>
  <c r="T41" i="18" s="1"/>
  <c r="T54" i="18" s="1"/>
  <c r="T60" i="18" s="1"/>
  <c r="U38" i="18"/>
  <c r="X49" i="18"/>
  <c r="X53" i="18" s="1"/>
  <c r="Y43" i="18"/>
  <c r="T26" i="18"/>
  <c r="S31" i="18"/>
  <c r="S32" i="18" s="1"/>
  <c r="V66" i="18"/>
  <c r="U69" i="18"/>
  <c r="X63" i="18"/>
  <c r="W65" i="18"/>
  <c r="U62" i="18"/>
  <c r="T73" i="18"/>
  <c r="T79" i="18" s="1"/>
  <c r="Z43" i="18" l="1"/>
  <c r="Y49" i="18"/>
  <c r="Y53" i="18" s="1"/>
  <c r="V62" i="18"/>
  <c r="U73" i="18"/>
  <c r="U79" i="18" s="1"/>
  <c r="V38" i="18"/>
  <c r="U40" i="18"/>
  <c r="U41" i="18" s="1"/>
  <c r="U54" i="18" s="1"/>
  <c r="U60" i="18" s="1"/>
  <c r="U80" i="18" s="1"/>
  <c r="V20" i="18"/>
  <c r="U23" i="18"/>
  <c r="U24" i="18" s="1"/>
  <c r="X65" i="18"/>
  <c r="Y63" i="18"/>
  <c r="T80" i="18"/>
  <c r="Z70" i="18"/>
  <c r="Y72" i="18"/>
  <c r="W66" i="18"/>
  <c r="V69" i="18"/>
  <c r="V27" i="18"/>
  <c r="U30" i="18"/>
  <c r="U26" i="18"/>
  <c r="T31" i="18"/>
  <c r="T32" i="18" s="1"/>
  <c r="T33" i="18" s="1"/>
  <c r="V58" i="18"/>
  <c r="V59" i="18" s="1"/>
  <c r="W56" i="18"/>
  <c r="Z9" i="18"/>
  <c r="Y12" i="18"/>
  <c r="Y15" i="18" s="1"/>
  <c r="AA9" i="18" l="1"/>
  <c r="Z12" i="18"/>
  <c r="Z15" i="18" s="1"/>
  <c r="W58" i="18"/>
  <c r="W59" i="18" s="1"/>
  <c r="X56" i="18"/>
  <c r="W69" i="18"/>
  <c r="X66" i="18"/>
  <c r="W20" i="18"/>
  <c r="V23" i="18"/>
  <c r="V24" i="18" s="1"/>
  <c r="AA70" i="18"/>
  <c r="Z72" i="18"/>
  <c r="W38" i="18"/>
  <c r="V40" i="18"/>
  <c r="V41" i="18" s="1"/>
  <c r="V54" i="18" s="1"/>
  <c r="V60" i="18" s="1"/>
  <c r="V80" i="18" s="1"/>
  <c r="U31" i="18"/>
  <c r="U32" i="18" s="1"/>
  <c r="U33" i="18" s="1"/>
  <c r="V26" i="18"/>
  <c r="W62" i="18"/>
  <c r="V73" i="18"/>
  <c r="V79" i="18" s="1"/>
  <c r="Y65" i="18"/>
  <c r="Z63" i="18"/>
  <c r="V30" i="18"/>
  <c r="W27" i="18"/>
  <c r="Z49" i="18"/>
  <c r="Z53" i="18" s="1"/>
  <c r="AA43" i="18"/>
  <c r="AA49" i="18" l="1"/>
  <c r="AA53" i="18" s="1"/>
  <c r="AB43" i="18"/>
  <c r="X62" i="18"/>
  <c r="W73" i="18"/>
  <c r="W79" i="18" s="1"/>
  <c r="X20" i="18"/>
  <c r="W23" i="18"/>
  <c r="W24" i="18" s="1"/>
  <c r="V31" i="18"/>
  <c r="V32" i="18" s="1"/>
  <c r="V33" i="18" s="1"/>
  <c r="W26" i="18"/>
  <c r="W40" i="18"/>
  <c r="W41" i="18" s="1"/>
  <c r="W54" i="18" s="1"/>
  <c r="W60" i="18" s="1"/>
  <c r="X38" i="18"/>
  <c r="Z65" i="18"/>
  <c r="AA63" i="18"/>
  <c r="X69" i="18"/>
  <c r="Y66" i="18"/>
  <c r="W30" i="18"/>
  <c r="X27" i="18"/>
  <c r="X58" i="18"/>
  <c r="X59" i="18" s="1"/>
  <c r="Y56" i="18"/>
  <c r="AA72" i="18"/>
  <c r="AB70" i="18"/>
  <c r="AB9" i="18"/>
  <c r="AA12" i="18"/>
  <c r="AA15" i="18" s="1"/>
  <c r="Y27" i="18" l="1"/>
  <c r="X30" i="18"/>
  <c r="X26" i="18"/>
  <c r="W31" i="18"/>
  <c r="W32" i="18" s="1"/>
  <c r="W33" i="18" s="1"/>
  <c r="AB12" i="18"/>
  <c r="AB15" i="18" s="1"/>
  <c r="AB24" i="18" s="1"/>
  <c r="AC9" i="18"/>
  <c r="Z66" i="18"/>
  <c r="Y69" i="18"/>
  <c r="Y20" i="18"/>
  <c r="X23" i="18"/>
  <c r="X24" i="18" s="1"/>
  <c r="AC70" i="18"/>
  <c r="AB72" i="18"/>
  <c r="AB63" i="18"/>
  <c r="AA65" i="18"/>
  <c r="X73" i="18"/>
  <c r="X79" i="18" s="1"/>
  <c r="Y62" i="18"/>
  <c r="Z56" i="18"/>
  <c r="Y58" i="18"/>
  <c r="Y59" i="18" s="1"/>
  <c r="X40" i="18"/>
  <c r="X41" i="18" s="1"/>
  <c r="X54" i="18" s="1"/>
  <c r="X60" i="18" s="1"/>
  <c r="X80" i="18" s="1"/>
  <c r="Y38" i="18"/>
  <c r="AC43" i="18"/>
  <c r="AB49" i="18"/>
  <c r="AB53" i="18" s="1"/>
  <c r="W80" i="18"/>
  <c r="AC49" i="18" l="1"/>
  <c r="AC53" i="18" s="1"/>
  <c r="AD43" i="18"/>
  <c r="AC12" i="18"/>
  <c r="AC15" i="18" s="1"/>
  <c r="AC24" i="18" s="1"/>
  <c r="AD9" i="18"/>
  <c r="Y40" i="18"/>
  <c r="Y41" i="18" s="1"/>
  <c r="Y54" i="18" s="1"/>
  <c r="Y60" i="18" s="1"/>
  <c r="Y80" i="18" s="1"/>
  <c r="Z38" i="18"/>
  <c r="X33" i="18"/>
  <c r="Y26" i="18"/>
  <c r="X31" i="18"/>
  <c r="X32" i="18" s="1"/>
  <c r="Z58" i="18"/>
  <c r="Z59" i="18" s="1"/>
  <c r="AA56" i="18"/>
  <c r="Z20" i="18"/>
  <c r="Y23" i="18"/>
  <c r="Y24" i="18" s="1"/>
  <c r="AD70" i="18"/>
  <c r="AC72" i="18"/>
  <c r="Y73" i="18"/>
  <c r="Y79" i="18" s="1"/>
  <c r="Z62" i="18"/>
  <c r="Z27" i="18"/>
  <c r="Y30" i="18"/>
  <c r="AA66" i="18"/>
  <c r="Z69" i="18"/>
  <c r="AC63" i="18"/>
  <c r="AB65" i="18"/>
  <c r="Z26" i="18" l="1"/>
  <c r="Y31" i="18"/>
  <c r="Y32" i="18" s="1"/>
  <c r="AD63" i="18"/>
  <c r="AC65" i="18"/>
  <c r="AD72" i="18"/>
  <c r="AE70" i="18"/>
  <c r="AA38" i="18"/>
  <c r="Z40" i="18"/>
  <c r="Z41" i="18" s="1"/>
  <c r="Z54" i="18" s="1"/>
  <c r="Z60" i="18" s="1"/>
  <c r="Z80" i="18" s="1"/>
  <c r="AA69" i="18"/>
  <c r="AB66" i="18"/>
  <c r="Y33" i="18"/>
  <c r="AA20" i="18"/>
  <c r="AA23" i="18" s="1"/>
  <c r="AA24" i="18" s="1"/>
  <c r="Z23" i="18"/>
  <c r="Z24" i="18" s="1"/>
  <c r="AD12" i="18"/>
  <c r="AD15" i="18" s="1"/>
  <c r="AD24" i="18" s="1"/>
  <c r="AE9" i="18"/>
  <c r="AA27" i="18"/>
  <c r="Z30" i="18"/>
  <c r="AA58" i="18"/>
  <c r="AA59" i="18" s="1"/>
  <c r="AB56" i="18"/>
  <c r="AA62" i="18"/>
  <c r="Z73" i="18"/>
  <c r="Z79" i="18" s="1"/>
  <c r="AD49" i="18"/>
  <c r="AD53" i="18" s="1"/>
  <c r="AE43" i="18"/>
  <c r="AA40" i="18" l="1"/>
  <c r="AA41" i="18" s="1"/>
  <c r="AA54" i="18" s="1"/>
  <c r="AA60" i="18" s="1"/>
  <c r="AB38" i="18"/>
  <c r="AF43" i="18"/>
  <c r="AE49" i="18"/>
  <c r="AE53" i="18" s="1"/>
  <c r="AA30" i="18"/>
  <c r="AB27" i="18"/>
  <c r="AE12" i="18"/>
  <c r="AE15" i="18" s="1"/>
  <c r="AE24" i="18" s="1"/>
  <c r="AF9" i="18"/>
  <c r="AF70" i="18"/>
  <c r="AE72" i="18"/>
  <c r="AA73" i="18"/>
  <c r="AA79" i="18" s="1"/>
  <c r="AB62" i="18"/>
  <c r="AB58" i="18"/>
  <c r="AB59" i="18" s="1"/>
  <c r="AC56" i="18"/>
  <c r="AE63" i="18"/>
  <c r="AD65" i="18"/>
  <c r="AB69" i="18"/>
  <c r="AC66" i="18"/>
  <c r="Z31" i="18"/>
  <c r="Z32" i="18" s="1"/>
  <c r="Z33" i="18" s="1"/>
  <c r="AA26" i="18"/>
  <c r="AG9" i="18" l="1"/>
  <c r="AF12" i="18"/>
  <c r="AF15" i="18" s="1"/>
  <c r="AF24" i="18" s="1"/>
  <c r="AB26" i="18"/>
  <c r="AA31" i="18"/>
  <c r="AA32" i="18" s="1"/>
  <c r="AA33" i="18" s="1"/>
  <c r="AC27" i="18"/>
  <c r="AB30" i="18"/>
  <c r="AD66" i="18"/>
  <c r="AC69" i="18"/>
  <c r="AC62" i="18"/>
  <c r="AB73" i="18"/>
  <c r="AB79" i="18" s="1"/>
  <c r="AG43" i="18"/>
  <c r="AF49" i="18"/>
  <c r="AF53" i="18" s="1"/>
  <c r="AF63" i="18"/>
  <c r="AE65" i="18"/>
  <c r="AG70" i="18"/>
  <c r="AF72" i="18"/>
  <c r="AB40" i="18"/>
  <c r="AB41" i="18" s="1"/>
  <c r="AB54" i="18" s="1"/>
  <c r="AB60" i="18" s="1"/>
  <c r="AC38" i="18"/>
  <c r="AD56" i="18"/>
  <c r="AC58" i="18"/>
  <c r="AC59" i="18" s="1"/>
  <c r="AA80" i="18"/>
  <c r="AH70" i="18" l="1"/>
  <c r="AG72" i="18"/>
  <c r="AE66" i="18"/>
  <c r="AD69" i="18"/>
  <c r="AF65" i="18"/>
  <c r="AG63" i="18"/>
  <c r="AC30" i="18"/>
  <c r="AD27" i="18"/>
  <c r="AD58" i="18"/>
  <c r="AD59" i="18" s="1"/>
  <c r="AE56" i="18"/>
  <c r="AG49" i="18"/>
  <c r="AG53" i="18" s="1"/>
  <c r="AH43" i="18"/>
  <c r="AC26" i="18"/>
  <c r="AB31" i="18"/>
  <c r="AB32" i="18" s="1"/>
  <c r="AB33" i="18" s="1"/>
  <c r="AC40" i="18"/>
  <c r="AC41" i="18" s="1"/>
  <c r="AC54" i="18" s="1"/>
  <c r="AC60" i="18" s="1"/>
  <c r="AC80" i="18" s="1"/>
  <c r="AD38" i="18"/>
  <c r="AB80" i="18"/>
  <c r="AD62" i="18"/>
  <c r="AC73" i="18"/>
  <c r="AC79" i="18" s="1"/>
  <c r="AH9" i="18"/>
  <c r="AG12" i="18"/>
  <c r="AG15" i="18" s="1"/>
  <c r="AG24" i="18" s="1"/>
  <c r="AE38" i="18" l="1"/>
  <c r="AD40" i="18"/>
  <c r="AD41" i="18" s="1"/>
  <c r="AD54" i="18" s="1"/>
  <c r="AD60" i="18" s="1"/>
  <c r="AE27" i="18"/>
  <c r="AD30" i="18"/>
  <c r="AG65" i="18"/>
  <c r="AH63" i="18"/>
  <c r="AI9" i="18"/>
  <c r="AH12" i="18"/>
  <c r="AH15" i="18" s="1"/>
  <c r="AH24" i="18" s="1"/>
  <c r="AD26" i="18"/>
  <c r="AC31" i="18"/>
  <c r="AC32" i="18" s="1"/>
  <c r="AC33" i="18" s="1"/>
  <c r="AH49" i="18"/>
  <c r="AH53" i="18" s="1"/>
  <c r="AI43" i="18"/>
  <c r="AE62" i="18"/>
  <c r="AD73" i="18"/>
  <c r="AD79" i="18" s="1"/>
  <c r="AE69" i="18"/>
  <c r="AF66" i="18"/>
  <c r="AF56" i="18"/>
  <c r="AE58" i="18"/>
  <c r="AE59" i="18" s="1"/>
  <c r="AI70" i="18"/>
  <c r="AH72" i="18"/>
  <c r="AJ9" i="18" l="1"/>
  <c r="AI12" i="18"/>
  <c r="AI15" i="18" s="1"/>
  <c r="AI24" i="18" s="1"/>
  <c r="AI63" i="18"/>
  <c r="AH65" i="18"/>
  <c r="AF62" i="18"/>
  <c r="AE73" i="18"/>
  <c r="AE79" i="18" s="1"/>
  <c r="AJ43" i="18"/>
  <c r="AI49" i="18"/>
  <c r="AI53" i="18" s="1"/>
  <c r="AI72" i="18"/>
  <c r="AJ70" i="18"/>
  <c r="AE30" i="18"/>
  <c r="AF27" i="18"/>
  <c r="AG56" i="18"/>
  <c r="AF58" i="18"/>
  <c r="AF59" i="18" s="1"/>
  <c r="AE26" i="18"/>
  <c r="AD31" i="18"/>
  <c r="AD32" i="18" s="1"/>
  <c r="AD33" i="18" s="1"/>
  <c r="AD80" i="18"/>
  <c r="AF69" i="18"/>
  <c r="AG66" i="18"/>
  <c r="AF38" i="18"/>
  <c r="AE40" i="18"/>
  <c r="AE41" i="18" s="1"/>
  <c r="AE54" i="18" s="1"/>
  <c r="AE60" i="18" s="1"/>
  <c r="AE80" i="18" s="1"/>
  <c r="AF26" i="18" l="1"/>
  <c r="AE31" i="18"/>
  <c r="AE32" i="18" s="1"/>
  <c r="AE33" i="18" s="1"/>
  <c r="AK43" i="18"/>
  <c r="AJ49" i="18"/>
  <c r="AJ53" i="18" s="1"/>
  <c r="AF40" i="18"/>
  <c r="AF41" i="18" s="1"/>
  <c r="AF54" i="18" s="1"/>
  <c r="AF60" i="18" s="1"/>
  <c r="AF80" i="18" s="1"/>
  <c r="AG38" i="18"/>
  <c r="AH56" i="18"/>
  <c r="AG58" i="18"/>
  <c r="AG59" i="18" s="1"/>
  <c r="AG62" i="18"/>
  <c r="AF73" i="18"/>
  <c r="AF79" i="18" s="1"/>
  <c r="AF30" i="18"/>
  <c r="AG27" i="18"/>
  <c r="AH66" i="18"/>
  <c r="AG69" i="18"/>
  <c r="AI65" i="18"/>
  <c r="AJ63" i="18"/>
  <c r="AK70" i="18"/>
  <c r="AJ72" i="18"/>
  <c r="AK9" i="18"/>
  <c r="AJ12" i="18"/>
  <c r="AJ15" i="18" s="1"/>
  <c r="AJ24" i="18" s="1"/>
  <c r="AJ65" i="18" l="1"/>
  <c r="AK63" i="18"/>
  <c r="AI56" i="18"/>
  <c r="AH58" i="18"/>
  <c r="AH59" i="18" s="1"/>
  <c r="AH38" i="18"/>
  <c r="AG40" i="18"/>
  <c r="AG41" i="18" s="1"/>
  <c r="AG54" i="18" s="1"/>
  <c r="AG60" i="18" s="1"/>
  <c r="AG80" i="18" s="1"/>
  <c r="AI66" i="18"/>
  <c r="AH69" i="18"/>
  <c r="AK12" i="18"/>
  <c r="AK15" i="18" s="1"/>
  <c r="AK24" i="18" s="1"/>
  <c r="AL9" i="18"/>
  <c r="AH27" i="18"/>
  <c r="AG30" i="18"/>
  <c r="AL43" i="18"/>
  <c r="AK49" i="18"/>
  <c r="AK53" i="18" s="1"/>
  <c r="AL70" i="18"/>
  <c r="AK72" i="18"/>
  <c r="AH62" i="18"/>
  <c r="AG73" i="18"/>
  <c r="AG79" i="18" s="1"/>
  <c r="AF31" i="18"/>
  <c r="AF32" i="18" s="1"/>
  <c r="AF33" i="18" s="1"/>
  <c r="AG26" i="18"/>
  <c r="AL72" i="18" l="1"/>
  <c r="AM70" i="18"/>
  <c r="AJ66" i="18"/>
  <c r="AI69" i="18"/>
  <c r="AM43" i="18"/>
  <c r="AL49" i="18"/>
  <c r="AL53" i="18" s="1"/>
  <c r="AG31" i="18"/>
  <c r="AG32" i="18" s="1"/>
  <c r="AG33" i="18" s="1"/>
  <c r="AH26" i="18"/>
  <c r="AI38" i="18"/>
  <c r="AH40" i="18"/>
  <c r="AH41" i="18" s="1"/>
  <c r="AH54" i="18" s="1"/>
  <c r="AH60" i="18" s="1"/>
  <c r="AI27" i="18"/>
  <c r="AH30" i="18"/>
  <c r="AL12" i="18"/>
  <c r="AL15" i="18" s="1"/>
  <c r="AL24" i="18" s="1"/>
  <c r="AM9" i="18"/>
  <c r="AJ56" i="18"/>
  <c r="AI58" i="18"/>
  <c r="AI59" i="18" s="1"/>
  <c r="AH73" i="18"/>
  <c r="AH79" i="18" s="1"/>
  <c r="AI62" i="18"/>
  <c r="AK65" i="18"/>
  <c r="AL63" i="18"/>
  <c r="AH31" i="18" l="1"/>
  <c r="AH32" i="18" s="1"/>
  <c r="AH33" i="18" s="1"/>
  <c r="AI26" i="18"/>
  <c r="AM63" i="18"/>
  <c r="AL65" i="18"/>
  <c r="AJ62" i="18"/>
  <c r="AI73" i="18"/>
  <c r="AI79" i="18" s="1"/>
  <c r="AH80" i="18"/>
  <c r="AN70" i="18"/>
  <c r="AM72" i="18"/>
  <c r="AJ58" i="18"/>
  <c r="AJ59" i="18" s="1"/>
  <c r="AK56" i="18"/>
  <c r="AN9" i="18"/>
  <c r="AM12" i="18"/>
  <c r="AM15" i="18" s="1"/>
  <c r="AM24" i="18" s="1"/>
  <c r="AM49" i="18"/>
  <c r="AM53" i="18" s="1"/>
  <c r="AN43" i="18"/>
  <c r="AJ27" i="18"/>
  <c r="AI30" i="18"/>
  <c r="AJ69" i="18"/>
  <c r="AK66" i="18"/>
  <c r="AI40" i="18"/>
  <c r="AI41" i="18" s="1"/>
  <c r="AI54" i="18" s="1"/>
  <c r="AI60" i="18" s="1"/>
  <c r="AJ38" i="18"/>
  <c r="AO43" i="18" l="1"/>
  <c r="AN49" i="18"/>
  <c r="AN53" i="18" s="1"/>
  <c r="AN72" i="18"/>
  <c r="AO70" i="18"/>
  <c r="AJ40" i="18"/>
  <c r="AJ41" i="18" s="1"/>
  <c r="AJ54" i="18" s="1"/>
  <c r="AJ60" i="18" s="1"/>
  <c r="AJ80" i="18" s="1"/>
  <c r="AK38" i="18"/>
  <c r="AI80" i="18"/>
  <c r="AK62" i="18"/>
  <c r="AJ73" i="18"/>
  <c r="AJ79" i="18" s="1"/>
  <c r="AL66" i="18"/>
  <c r="AK69" i="18"/>
  <c r="AO9" i="18"/>
  <c r="AN12" i="18"/>
  <c r="AN15" i="18" s="1"/>
  <c r="AN24" i="18" s="1"/>
  <c r="AL56" i="18"/>
  <c r="AK58" i="18"/>
  <c r="AK59" i="18" s="1"/>
  <c r="AN63" i="18"/>
  <c r="AM65" i="18"/>
  <c r="AJ26" i="18"/>
  <c r="AI31" i="18"/>
  <c r="AI32" i="18" s="1"/>
  <c r="AI33" i="18" s="1"/>
  <c r="AK27" i="18"/>
  <c r="AJ30" i="18"/>
  <c r="AL58" i="18" l="1"/>
  <c r="AL59" i="18" s="1"/>
  <c r="AM56" i="18"/>
  <c r="AL38" i="18"/>
  <c r="AK40" i="18"/>
  <c r="AK41" i="18" s="1"/>
  <c r="AK54" i="18" s="1"/>
  <c r="AK60" i="18" s="1"/>
  <c r="AK80" i="18" s="1"/>
  <c r="AK30" i="18"/>
  <c r="AL27" i="18"/>
  <c r="AO12" i="18"/>
  <c r="AO15" i="18" s="1"/>
  <c r="AO24" i="18" s="1"/>
  <c r="AP9" i="18"/>
  <c r="AP70" i="18"/>
  <c r="AO72" i="18"/>
  <c r="AK26" i="18"/>
  <c r="AJ31" i="18"/>
  <c r="AJ32" i="18" s="1"/>
  <c r="AJ33" i="18" s="1"/>
  <c r="AM66" i="18"/>
  <c r="AL69" i="18"/>
  <c r="AN65" i="18"/>
  <c r="AO63" i="18"/>
  <c r="AK73" i="18"/>
  <c r="AK79" i="18" s="1"/>
  <c r="AL62" i="18"/>
  <c r="AO49" i="18"/>
  <c r="AO53" i="18" s="1"/>
  <c r="AP43" i="18"/>
  <c r="AL30" i="18" l="1"/>
  <c r="AM27" i="18"/>
  <c r="AN66" i="18"/>
  <c r="AM69" i="18"/>
  <c r="AP49" i="18"/>
  <c r="AP53" i="18" s="1"/>
  <c r="AQ43" i="18"/>
  <c r="AL26" i="18"/>
  <c r="AK31" i="18"/>
  <c r="AK32" i="18" s="1"/>
  <c r="AK33" i="18" s="1"/>
  <c r="AL40" i="18"/>
  <c r="AL41" i="18" s="1"/>
  <c r="AL54" i="18" s="1"/>
  <c r="AL60" i="18" s="1"/>
  <c r="AM38" i="18"/>
  <c r="AM62" i="18"/>
  <c r="AL73" i="18"/>
  <c r="AL79" i="18" s="1"/>
  <c r="AP72" i="18"/>
  <c r="AQ70" i="18"/>
  <c r="AM58" i="18"/>
  <c r="AM59" i="18" s="1"/>
  <c r="AN56" i="18"/>
  <c r="AO65" i="18"/>
  <c r="AP63" i="18"/>
  <c r="AQ9" i="18"/>
  <c r="AP12" i="18"/>
  <c r="AP15" i="18" s="1"/>
  <c r="AP24" i="18" s="1"/>
  <c r="AL31" i="18" l="1"/>
  <c r="AL32" i="18" s="1"/>
  <c r="AL33" i="18" s="1"/>
  <c r="AM26" i="18"/>
  <c r="AR70" i="18"/>
  <c r="AQ72" i="18"/>
  <c r="AQ49" i="18"/>
  <c r="AQ53" i="18" s="1"/>
  <c r="AR43" i="18"/>
  <c r="AR9" i="18"/>
  <c r="AQ12" i="18"/>
  <c r="AQ15" i="18" s="1"/>
  <c r="AQ24" i="18" s="1"/>
  <c r="AN62" i="18"/>
  <c r="AM73" i="18"/>
  <c r="AM79" i="18" s="1"/>
  <c r="AN69" i="18"/>
  <c r="AO66" i="18"/>
  <c r="AP65" i="18"/>
  <c r="AQ63" i="18"/>
  <c r="AM40" i="18"/>
  <c r="AM41" i="18" s="1"/>
  <c r="AM54" i="18" s="1"/>
  <c r="AM60" i="18" s="1"/>
  <c r="AM80" i="18" s="1"/>
  <c r="AN38" i="18"/>
  <c r="AM30" i="18"/>
  <c r="AN27" i="18"/>
  <c r="AL80" i="18"/>
  <c r="AO56" i="18"/>
  <c r="AN58" i="18"/>
  <c r="AN59" i="18" s="1"/>
  <c r="AR63" i="18" l="1"/>
  <c r="AQ65" i="18"/>
  <c r="AS43" i="18"/>
  <c r="AR49" i="18"/>
  <c r="AR53" i="18" s="1"/>
  <c r="AP56" i="18"/>
  <c r="AO58" i="18"/>
  <c r="AO59" i="18" s="1"/>
  <c r="AP66" i="18"/>
  <c r="AO69" i="18"/>
  <c r="AS9" i="18"/>
  <c r="AR12" i="18"/>
  <c r="AR15" i="18" s="1"/>
  <c r="AR24" i="18" s="1"/>
  <c r="AN30" i="18"/>
  <c r="AO27" i="18"/>
  <c r="AS70" i="18"/>
  <c r="AR72" i="18"/>
  <c r="AO62" i="18"/>
  <c r="AN73" i="18"/>
  <c r="AN79" i="18" s="1"/>
  <c r="AM31" i="18"/>
  <c r="AM32" i="18" s="1"/>
  <c r="AM33" i="18" s="1"/>
  <c r="AN26" i="18"/>
  <c r="AO38" i="18"/>
  <c r="AN40" i="18"/>
  <c r="AN41" i="18" s="1"/>
  <c r="AN54" i="18" s="1"/>
  <c r="AN60" i="18" s="1"/>
  <c r="AP62" i="18" l="1"/>
  <c r="AO73" i="18"/>
  <c r="AO79" i="18" s="1"/>
  <c r="AP69" i="18"/>
  <c r="AQ66" i="18"/>
  <c r="AS72" i="18"/>
  <c r="AT70" i="18"/>
  <c r="AQ56" i="18"/>
  <c r="AP58" i="18"/>
  <c r="AP59" i="18" s="1"/>
  <c r="AN80" i="18"/>
  <c r="AO30" i="18"/>
  <c r="AP27" i="18"/>
  <c r="AO40" i="18"/>
  <c r="AO41" i="18" s="1"/>
  <c r="AO54" i="18" s="1"/>
  <c r="AO60" i="18" s="1"/>
  <c r="AO80" i="18" s="1"/>
  <c r="AP38" i="18"/>
  <c r="AT43" i="18"/>
  <c r="AS49" i="18"/>
  <c r="AS53" i="18" s="1"/>
  <c r="AO26" i="18"/>
  <c r="AN31" i="18"/>
  <c r="AN32" i="18" s="1"/>
  <c r="AN33" i="18" s="1"/>
  <c r="AS12" i="18"/>
  <c r="AS15" i="18" s="1"/>
  <c r="AS24" i="18" s="1"/>
  <c r="AT9" i="18"/>
  <c r="AS63" i="18"/>
  <c r="AR65" i="18"/>
  <c r="AP26" i="18" l="1"/>
  <c r="AO31" i="18"/>
  <c r="AO32" i="18" s="1"/>
  <c r="AO33" i="18" s="1"/>
  <c r="AR56" i="18"/>
  <c r="AQ58" i="18"/>
  <c r="AQ59" i="18" s="1"/>
  <c r="AU43" i="18"/>
  <c r="AT49" i="18"/>
  <c r="AT53" i="18" s="1"/>
  <c r="AT72" i="18"/>
  <c r="AU70" i="18"/>
  <c r="AS65" i="18"/>
  <c r="AT63" i="18"/>
  <c r="AQ38" i="18"/>
  <c r="AP40" i="18"/>
  <c r="AP41" i="18" s="1"/>
  <c r="AP54" i="18" s="1"/>
  <c r="AP60" i="18" s="1"/>
  <c r="AT12" i="18"/>
  <c r="AT15" i="18" s="1"/>
  <c r="AT24" i="18" s="1"/>
  <c r="AU9" i="18"/>
  <c r="AQ69" i="18"/>
  <c r="AR66" i="18"/>
  <c r="AQ27" i="18"/>
  <c r="AP30" i="18"/>
  <c r="AQ62" i="18"/>
  <c r="AP73" i="18"/>
  <c r="AP79" i="18" s="1"/>
  <c r="AU72" i="18" l="1"/>
  <c r="AV70" i="18"/>
  <c r="AV9" i="18"/>
  <c r="AU12" i="18"/>
  <c r="AU15" i="18" s="1"/>
  <c r="AU24" i="18" s="1"/>
  <c r="AR69" i="18"/>
  <c r="AS66" i="18"/>
  <c r="AV43" i="18"/>
  <c r="AU49" i="18"/>
  <c r="AU53" i="18" s="1"/>
  <c r="AQ73" i="18"/>
  <c r="AQ79" i="18" s="1"/>
  <c r="AR62" i="18"/>
  <c r="AP80" i="18"/>
  <c r="AQ40" i="18"/>
  <c r="AQ41" i="18" s="1"/>
  <c r="AQ54" i="18" s="1"/>
  <c r="AQ60" i="18" s="1"/>
  <c r="AQ80" i="18" s="1"/>
  <c r="AR38" i="18"/>
  <c r="AR58" i="18"/>
  <c r="AR59" i="18" s="1"/>
  <c r="AS56" i="18"/>
  <c r="AR27" i="18"/>
  <c r="AQ30" i="18"/>
  <c r="AT65" i="18"/>
  <c r="AU63" i="18"/>
  <c r="AP31" i="18"/>
  <c r="AP32" i="18" s="1"/>
  <c r="AP33" i="18" s="1"/>
  <c r="AQ26" i="18"/>
  <c r="AT56" i="18" l="1"/>
  <c r="AS58" i="18"/>
  <c r="AS59" i="18" s="1"/>
  <c r="AR26" i="18"/>
  <c r="AQ31" i="18"/>
  <c r="AQ32" i="18" s="1"/>
  <c r="AQ33" i="18" s="1"/>
  <c r="AR40" i="18"/>
  <c r="AR41" i="18" s="1"/>
  <c r="AR54" i="18" s="1"/>
  <c r="AR60" i="18" s="1"/>
  <c r="AS38" i="18"/>
  <c r="AS69" i="18"/>
  <c r="AT66" i="18"/>
  <c r="AV63" i="18"/>
  <c r="AU65" i="18"/>
  <c r="AW43" i="18"/>
  <c r="AW49" i="18" s="1"/>
  <c r="AW53" i="18" s="1"/>
  <c r="AV49" i="18"/>
  <c r="AV53" i="18" s="1"/>
  <c r="AS62" i="18"/>
  <c r="AR73" i="18"/>
  <c r="AR79" i="18" s="1"/>
  <c r="AW9" i="18"/>
  <c r="AW12" i="18" s="1"/>
  <c r="AW15" i="18" s="1"/>
  <c r="AW24" i="18" s="1"/>
  <c r="AV12" i="18"/>
  <c r="AV15" i="18" s="1"/>
  <c r="AV24" i="18" s="1"/>
  <c r="AW70" i="18"/>
  <c r="AW72" i="18" s="1"/>
  <c r="AV72" i="18"/>
  <c r="AS27" i="18"/>
  <c r="AR30" i="18"/>
  <c r="AU66" i="18" l="1"/>
  <c r="AT69" i="18"/>
  <c r="AT62" i="18"/>
  <c r="AS73" i="18"/>
  <c r="AS79" i="18" s="1"/>
  <c r="AS40" i="18"/>
  <c r="AS41" i="18" s="1"/>
  <c r="AS54" i="18" s="1"/>
  <c r="AS60" i="18" s="1"/>
  <c r="AS80" i="18" s="1"/>
  <c r="AT38" i="18"/>
  <c r="AR80" i="18"/>
  <c r="AT27" i="18"/>
  <c r="AS30" i="18"/>
  <c r="AS26" i="18"/>
  <c r="AR31" i="18"/>
  <c r="AR32" i="18" s="1"/>
  <c r="AR33" i="18" s="1"/>
  <c r="AW63" i="18"/>
  <c r="AW65" i="18" s="1"/>
  <c r="AV65" i="18"/>
  <c r="AT58" i="18"/>
  <c r="AT59" i="18" s="1"/>
  <c r="AU56" i="18"/>
  <c r="AU38" i="18" l="1"/>
  <c r="AT40" i="18"/>
  <c r="AT41" i="18" s="1"/>
  <c r="AT54" i="18" s="1"/>
  <c r="AT60" i="18" s="1"/>
  <c r="AU62" i="18"/>
  <c r="AT73" i="18"/>
  <c r="AT79" i="18" s="1"/>
  <c r="AS31" i="18"/>
  <c r="AS32" i="18" s="1"/>
  <c r="AS33" i="18" s="1"/>
  <c r="AT26" i="18"/>
  <c r="AU69" i="18"/>
  <c r="AV66" i="18"/>
  <c r="AU58" i="18"/>
  <c r="AU59" i="18" s="1"/>
  <c r="AV56" i="18"/>
  <c r="AU27" i="18"/>
  <c r="AT30" i="18"/>
  <c r="AW66" i="18" l="1"/>
  <c r="AW69" i="18" s="1"/>
  <c r="AV69" i="18"/>
  <c r="AU26" i="18"/>
  <c r="AT31" i="18"/>
  <c r="AT32" i="18" s="1"/>
  <c r="AT33" i="18" s="1"/>
  <c r="AU30" i="18"/>
  <c r="AV27" i="18"/>
  <c r="AV62" i="18"/>
  <c r="AU73" i="18"/>
  <c r="AU79" i="18" s="1"/>
  <c r="AV58" i="18"/>
  <c r="AV59" i="18" s="1"/>
  <c r="AW56" i="18"/>
  <c r="AW58" i="18" s="1"/>
  <c r="AW59" i="18" s="1"/>
  <c r="AT80" i="18"/>
  <c r="AV38" i="18"/>
  <c r="AU40" i="18"/>
  <c r="AU41" i="18" s="1"/>
  <c r="AU54" i="18" s="1"/>
  <c r="AU60" i="18" s="1"/>
  <c r="AV73" i="18" l="1"/>
  <c r="AV79" i="18" s="1"/>
  <c r="AW62" i="18"/>
  <c r="AW73" i="18" s="1"/>
  <c r="AW79" i="18" s="1"/>
  <c r="AW27" i="18"/>
  <c r="AW30" i="18" s="1"/>
  <c r="AV30" i="18"/>
  <c r="AU80" i="18"/>
  <c r="AV40" i="18"/>
  <c r="AV41" i="18" s="1"/>
  <c r="AV54" i="18" s="1"/>
  <c r="AV60" i="18" s="1"/>
  <c r="AV80" i="18" s="1"/>
  <c r="AW38" i="18"/>
  <c r="AW40" i="18" s="1"/>
  <c r="AW41" i="18" s="1"/>
  <c r="AW54" i="18" s="1"/>
  <c r="AW60" i="18" s="1"/>
  <c r="AW80" i="18" s="1"/>
  <c r="AV26" i="18"/>
  <c r="AU31" i="18"/>
  <c r="AU32" i="18" s="1"/>
  <c r="AU33" i="18" s="1"/>
  <c r="AV31" i="18" l="1"/>
  <c r="AV32" i="18" s="1"/>
  <c r="AV33" i="18" s="1"/>
  <c r="AW26" i="18"/>
  <c r="AW31" i="18" s="1"/>
  <c r="AW32" i="18" s="1"/>
  <c r="AW33" i="18" s="1"/>
</calcChain>
</file>

<file path=xl/sharedStrings.xml><?xml version="1.0" encoding="utf-8"?>
<sst xmlns="http://schemas.openxmlformats.org/spreadsheetml/2006/main" count="1097" uniqueCount="345">
  <si>
    <t xml:space="preserve">National Average of $112 dollars an hour </t>
  </si>
  <si>
    <t>SALARY COSTS</t>
  </si>
  <si>
    <t>25th</t>
  </si>
  <si>
    <t>75th</t>
  </si>
  <si>
    <t>Free-lance?</t>
  </si>
  <si>
    <t>Wage Rate</t>
  </si>
  <si>
    <t>January 2023</t>
  </si>
  <si>
    <t>Total</t>
  </si>
  <si>
    <t>Income</t>
  </si>
  <si>
    <t xml:space="preserve">   40000 Sales</t>
  </si>
  <si>
    <t xml:space="preserve">      41000 Service Revenue</t>
  </si>
  <si>
    <t xml:space="preserve">   Total 40000 Sales</t>
  </si>
  <si>
    <t xml:space="preserve">   Uncategorized Income (Temporary Account Only)</t>
  </si>
  <si>
    <t xml:space="preserve">      Venmo Income</t>
  </si>
  <si>
    <t xml:space="preserve">   Total Uncategorized Income (Temporary Account Only)</t>
  </si>
  <si>
    <t>Total Income</t>
  </si>
  <si>
    <t>Cost of Goods Sold</t>
  </si>
  <si>
    <t xml:space="preserve">   50000 Cost of Goods Sold</t>
  </si>
  <si>
    <t xml:space="preserve">      50400 Supplies &amp; materials</t>
  </si>
  <si>
    <t xml:space="preserve">   Total 50000 Cost of Goods Sold</t>
  </si>
  <si>
    <t>Total Cost of Goods Sold</t>
  </si>
  <si>
    <t>Gross Profit</t>
  </si>
  <si>
    <t>Expenses</t>
  </si>
  <si>
    <t xml:space="preserve">   60000 Advertising &amp; Marketing</t>
  </si>
  <si>
    <t xml:space="preserve">      60100 General Marketing Expense</t>
  </si>
  <si>
    <t xml:space="preserve">   61000 Employee Expenses</t>
  </si>
  <si>
    <t xml:space="preserve">      61100 Salaries Expense</t>
  </si>
  <si>
    <t xml:space="preserve">         61101 Salaries &amp; Wages</t>
  </si>
  <si>
    <t xml:space="preserve">      Total 61100 Salaries Expense</t>
  </si>
  <si>
    <t xml:space="preserve">      61200 Fringe Benefits Expense</t>
  </si>
  <si>
    <t xml:space="preserve">         61209 Company Phone Expense</t>
  </si>
  <si>
    <t xml:space="preserve">         61210 Gym &amp; Fitness</t>
  </si>
  <si>
    <t xml:space="preserve">      Total 61200 Fringe Benefits Expense</t>
  </si>
  <si>
    <t xml:space="preserve">   Total 61000 Employee Expenses</t>
  </si>
  <si>
    <t xml:space="preserve">   62000 Meals &amp; Entertainment</t>
  </si>
  <si>
    <t xml:space="preserve">      62100 Entertainment</t>
  </si>
  <si>
    <t xml:space="preserve">      62200 Company Meals</t>
  </si>
  <si>
    <t xml:space="preserve">   Total 62000 Meals &amp; Entertainment</t>
  </si>
  <si>
    <t xml:space="preserve">   63000 Operating Expenses</t>
  </si>
  <si>
    <t xml:space="preserve">      63200 Rent &amp; Lease Expense</t>
  </si>
  <si>
    <t xml:space="preserve">      63300 Utilities</t>
  </si>
  <si>
    <t xml:space="preserve">      63400 Software</t>
  </si>
  <si>
    <t xml:space="preserve">      63425 Podium Fees</t>
  </si>
  <si>
    <t xml:space="preserve">      63500 Travel</t>
  </si>
  <si>
    <t xml:space="preserve">         63501 Airfare</t>
  </si>
  <si>
    <t xml:space="preserve">         63502 Hotel &amp; Lodging</t>
  </si>
  <si>
    <t xml:space="preserve">         63505 Other Travel Expenses</t>
  </si>
  <si>
    <t xml:space="preserve">      Total 63500 Travel</t>
  </si>
  <si>
    <t xml:space="preserve">      63600 Vehicle Expenses</t>
  </si>
  <si>
    <t xml:space="preserve">         63602 Vehicle Rental Expense</t>
  </si>
  <si>
    <t xml:space="preserve">         63603 Gas &amp; Fuel</t>
  </si>
  <si>
    <t xml:space="preserve">         63605 Repairs, Maintenance, and Other Vehicle Expenses</t>
  </si>
  <si>
    <t xml:space="preserve">      Total 63600 Vehicle Expenses</t>
  </si>
  <si>
    <t xml:space="preserve">   Total 63000 Operating Expenses</t>
  </si>
  <si>
    <t xml:space="preserve">   65000 Legal &amp; Professional Services</t>
  </si>
  <si>
    <t xml:space="preserve">      65100 Accounting Services</t>
  </si>
  <si>
    <t xml:space="preserve">   Total 65000 Legal &amp; Professional Services</t>
  </si>
  <si>
    <t xml:space="preserve">   66000 Business Expenses</t>
  </si>
  <si>
    <t xml:space="preserve">      66100 Taxes &amp; Licenses</t>
  </si>
  <si>
    <t xml:space="preserve">      66300 Insurance</t>
  </si>
  <si>
    <t xml:space="preserve">   Total 66000 Business Expenses</t>
  </si>
  <si>
    <t xml:space="preserve">   Uncategorized Expense (Temporary account only)</t>
  </si>
  <si>
    <t xml:space="preserve">      Checks</t>
  </si>
  <si>
    <t xml:space="preserve">      Venmo</t>
  </si>
  <si>
    <t xml:space="preserve">   Total Uncategorized Expense (Temporary account only)</t>
  </si>
  <si>
    <t>Total Expenses</t>
  </si>
  <si>
    <t>Net Operating Income</t>
  </si>
  <si>
    <t>Net Income</t>
  </si>
  <si>
    <t>February 2023</t>
  </si>
  <si>
    <t xml:space="preserve">      63800 Bank Charges &amp; Fees</t>
  </si>
  <si>
    <t>March 2023</t>
  </si>
  <si>
    <t xml:space="preserve">   Discounts/Refunds Given</t>
  </si>
  <si>
    <t>April 2023</t>
  </si>
  <si>
    <t xml:space="preserve">      42000 Sales of Product Income</t>
  </si>
  <si>
    <t xml:space="preserve">      60200 Ad Spend Expense</t>
  </si>
  <si>
    <t xml:space="preserve">      63450 Computers &amp; Electronics (Less than $2,500)</t>
  </si>
  <si>
    <t>May 2023</t>
  </si>
  <si>
    <t xml:space="preserve">         61207 Company Uniform</t>
  </si>
  <si>
    <t xml:space="preserve">         63604 Vehicle Insurance Expense</t>
  </si>
  <si>
    <t>June 2023</t>
  </si>
  <si>
    <t>Other Expenses</t>
  </si>
  <si>
    <t xml:space="preserve">   80000 Interest, Taxes, Depreciation, and Amortization</t>
  </si>
  <si>
    <t xml:space="preserve">      81000 Interest Expense</t>
  </si>
  <si>
    <t xml:space="preserve">   Total 80000 Interest, Taxes, Depreciation, and Amortization</t>
  </si>
  <si>
    <t>Total Other Expenses</t>
  </si>
  <si>
    <t>Net Other Income</t>
  </si>
  <si>
    <t>July 2023</t>
  </si>
  <si>
    <t>August 2023</t>
  </si>
  <si>
    <t xml:space="preserve">      66500 Interest Paid</t>
  </si>
  <si>
    <t>September 2023</t>
  </si>
  <si>
    <t>Sales</t>
  </si>
  <si>
    <t>Cost of products sold</t>
  </si>
  <si>
    <t>Number of employees</t>
  </si>
  <si>
    <t>Advertising and Marketing</t>
  </si>
  <si>
    <t>Total 61100 Salaries Expense</t>
  </si>
  <si>
    <t xml:space="preserve">   Advertising &amp; Marketing</t>
  </si>
  <si>
    <t>Advertising &amp; Marketing</t>
  </si>
  <si>
    <t>F-24</t>
  </si>
  <si>
    <t>Venmo</t>
  </si>
  <si>
    <t>Salaries Expense</t>
  </si>
  <si>
    <t>Company Phone Expense</t>
  </si>
  <si>
    <t>Gym &amp; Fitness</t>
  </si>
  <si>
    <t>Total Employee Expenses</t>
  </si>
  <si>
    <t>Entertainment</t>
  </si>
  <si>
    <t>Company Meals</t>
  </si>
  <si>
    <t>Rent and Lease Expense</t>
  </si>
  <si>
    <t>Utilities</t>
  </si>
  <si>
    <t>Software</t>
  </si>
  <si>
    <t>Podium Fees</t>
  </si>
  <si>
    <t>Airfare</t>
  </si>
  <si>
    <t>Hotel and Lodging</t>
  </si>
  <si>
    <t>Other Travel Expenses</t>
  </si>
  <si>
    <t>Total Travel</t>
  </si>
  <si>
    <t>Vehicle Rental</t>
  </si>
  <si>
    <t>Gas and Fuel</t>
  </si>
  <si>
    <t>Repairs, Maintenance, and Other Vehicle Expenses</t>
  </si>
  <si>
    <t>Total Vehicle Expenses</t>
  </si>
  <si>
    <t>Accounting Services</t>
  </si>
  <si>
    <t>Taxes and Licenses</t>
  </si>
  <si>
    <t>Insurance</t>
  </si>
  <si>
    <t>Uncategorized Expense</t>
  </si>
  <si>
    <t>Total Business Expenses</t>
  </si>
  <si>
    <t>Checks</t>
  </si>
  <si>
    <t>Total Uncategorized Expense</t>
  </si>
  <si>
    <t>Supplies &amp; materials</t>
  </si>
  <si>
    <t>Total Meals and Entertainment</t>
  </si>
  <si>
    <t>Bank Charges &amp; Fees</t>
  </si>
  <si>
    <t>Discounts/Refunds Given</t>
  </si>
  <si>
    <t>Total Salaries Expense</t>
  </si>
  <si>
    <t>Total Frindge benefits</t>
  </si>
  <si>
    <t>Operating Expenses</t>
  </si>
  <si>
    <t>Total Operating Expenses</t>
  </si>
  <si>
    <t>Total Legal and Professional Services</t>
  </si>
  <si>
    <t>Computers &amp; Electronics</t>
  </si>
  <si>
    <t>Company Uniform</t>
  </si>
  <si>
    <t>Vehicle Insurance Expense</t>
  </si>
  <si>
    <t>Uncategorized Income</t>
  </si>
  <si>
    <t>Interest, Taxes Depreciation, and Amortization</t>
  </si>
  <si>
    <t>Row Labels</t>
  </si>
  <si>
    <t>(blank)</t>
  </si>
  <si>
    <t>Grand Total</t>
  </si>
  <si>
    <t>Dates</t>
  </si>
  <si>
    <t>LINE ITEMS</t>
  </si>
  <si>
    <t xml:space="preserve">   Other Miscellaneous Expense</t>
  </si>
  <si>
    <t>Total Other Income</t>
  </si>
  <si>
    <t xml:space="preserve">   Total 70000 Other Income</t>
  </si>
  <si>
    <t xml:space="preserve">      72000 Dividend income</t>
  </si>
  <si>
    <t xml:space="preserve">   70000 Other Income</t>
  </si>
  <si>
    <t>Other Income</t>
  </si>
  <si>
    <t xml:space="preserve">   Ask My Accountant</t>
  </si>
  <si>
    <t xml:space="preserve">   64000 Charitable Donations</t>
  </si>
  <si>
    <t xml:space="preserve">      63900 Repairs and Maintenance</t>
  </si>
  <si>
    <t xml:space="preserve">      63700 Postage &amp; Shipping Expenses (General office expense)</t>
  </si>
  <si>
    <t xml:space="preserve">         63606 Car &amp; Truck</t>
  </si>
  <si>
    <t xml:space="preserve">      63475 Furniture &amp; Equipment ($2,500 or less)</t>
  </si>
  <si>
    <t xml:space="preserve">         61211 Employee Incentives</t>
  </si>
  <si>
    <t xml:space="preserve">         61204 401(k) Contribution Expense</t>
  </si>
  <si>
    <t xml:space="preserve">         Salaries &amp; Wages1</t>
  </si>
  <si>
    <t xml:space="preserve">         Payroll Tax Expense1</t>
  </si>
  <si>
    <t xml:space="preserve">         61106 Commission Expense</t>
  </si>
  <si>
    <t xml:space="preserve">         61104 Payroll Tax Expense</t>
  </si>
  <si>
    <t xml:space="preserve">         61102 Contractor Fees</t>
  </si>
  <si>
    <t xml:space="preserve">   Total 60000 Advertising &amp; Marketing</t>
  </si>
  <si>
    <t xml:space="preserve">      50500 Subcontractors</t>
  </si>
  <si>
    <t xml:space="preserve">   Uncategorized Income (Undeposited)</t>
  </si>
  <si>
    <t xml:space="preserve">      Podium Income (deleted)</t>
  </si>
  <si>
    <t xml:space="preserve">         41001 Podium (deleted)</t>
  </si>
  <si>
    <t>January 2020 - December 2023</t>
  </si>
  <si>
    <t>Profit and Loss</t>
  </si>
  <si>
    <t>Revamped Coatings</t>
  </si>
  <si>
    <t>Thursday, Sep 14, 2023 07:49:46 PM GMT-7 - Accrual Basis</t>
  </si>
  <si>
    <t>Dec 2023</t>
  </si>
  <si>
    <t>Nov 2023</t>
  </si>
  <si>
    <t>Oct 2023</t>
  </si>
  <si>
    <t>Sep 2023</t>
  </si>
  <si>
    <t>Aug 2023</t>
  </si>
  <si>
    <t>Jul 2023</t>
  </si>
  <si>
    <t>Jun 2023</t>
  </si>
  <si>
    <t>Apr 2023</t>
  </si>
  <si>
    <t>Mar 2023</t>
  </si>
  <si>
    <t>Feb 2023</t>
  </si>
  <si>
    <t>Jan 2023</t>
  </si>
  <si>
    <t>Dec 2022</t>
  </si>
  <si>
    <t>Nov 2022</t>
  </si>
  <si>
    <t>Oct 2022</t>
  </si>
  <si>
    <t>Sep 2022</t>
  </si>
  <si>
    <t>Aug 2022</t>
  </si>
  <si>
    <t>Jul 2022</t>
  </si>
  <si>
    <t>Jun 2022</t>
  </si>
  <si>
    <t>May 2022</t>
  </si>
  <si>
    <t>Apr 2022</t>
  </si>
  <si>
    <t>Mar 2022</t>
  </si>
  <si>
    <t>Feb 2022</t>
  </si>
  <si>
    <t>Jan 2022</t>
  </si>
  <si>
    <t>Dec 2021</t>
  </si>
  <si>
    <t>Nov 2021</t>
  </si>
  <si>
    <t>Oct 2021</t>
  </si>
  <si>
    <t>Sep 2021</t>
  </si>
  <si>
    <t>Aug 2021</t>
  </si>
  <si>
    <t>Jul 2021</t>
  </si>
  <si>
    <t>Jun 2021</t>
  </si>
  <si>
    <t>May 2021</t>
  </si>
  <si>
    <t>Apr 2021</t>
  </si>
  <si>
    <t>Mar 2021</t>
  </si>
  <si>
    <t>Feb 2021</t>
  </si>
  <si>
    <t>Jan 2021</t>
  </si>
  <si>
    <t>Dec 2020</t>
  </si>
  <si>
    <t>Nov 2020</t>
  </si>
  <si>
    <t>Oct 2020</t>
  </si>
  <si>
    <t>Sep 2020</t>
  </si>
  <si>
    <t>Aug 2020</t>
  </si>
  <si>
    <t>Jul 2020</t>
  </si>
  <si>
    <t>Jun 2020</t>
  </si>
  <si>
    <t>May 2020</t>
  </si>
  <si>
    <t>Apr 2020</t>
  </si>
  <si>
    <t>Mar 2020</t>
  </si>
  <si>
    <t>Feb 2020</t>
  </si>
  <si>
    <t>Jan 2020</t>
  </si>
  <si>
    <t>Thursday, Sep 14, 2023 07:54:34 PM GMT-7</t>
  </si>
  <si>
    <t>Net cash increase for period</t>
  </si>
  <si>
    <t>Net cash provided by financing activities</t>
  </si>
  <si>
    <t xml:space="preserve">   Owner's Investment</t>
  </si>
  <si>
    <t xml:space="preserve">   Owner Distributions</t>
  </si>
  <si>
    <t xml:space="preserve">   Opening Balance Equity</t>
  </si>
  <si>
    <t xml:space="preserve">   30302 Owner's Equity:Clark Capital/Board Partners LLC's Equity (51%):Clark Capital/Board Partners LLC's Contributions</t>
  </si>
  <si>
    <t xml:space="preserve">   30202 Owner's Equity:Cameron Schenk's Equity (24.5%):Cameron Schenk's Contributions</t>
  </si>
  <si>
    <t xml:space="preserve">   30201 Owner's Equity:Cameron Schenk's Equity (24.5%):Cameron Schenk's Distributions</t>
  </si>
  <si>
    <t xml:space="preserve">   30101 Owner's Equity:Conner Adams' Equity (24.5%):Conner Adam's Distributions</t>
  </si>
  <si>
    <t xml:space="preserve">   23100 Long Term Loans Payable:2022 GMC Sierra 3500 Loan Payable</t>
  </si>
  <si>
    <t>FINANCING ACTIVITIES</t>
  </si>
  <si>
    <t>Net cash provided by investing activities</t>
  </si>
  <si>
    <t xml:space="preserve">   17802 Fixed Assets:Vehicles:2022 GMC Sierra 3500</t>
  </si>
  <si>
    <t xml:space="preserve">   17801 Fixed Assets:Vehicles:Boat</t>
  </si>
  <si>
    <t>INVESTING ACTIVITIES</t>
  </si>
  <si>
    <t>Net cash provided by operating activities</t>
  </si>
  <si>
    <t xml:space="preserve">   Total Adjustments to reconcile Net Income to Net Cash provided by operations:</t>
  </si>
  <si>
    <t xml:space="preserve">      Utah State Tax Commission Payable</t>
  </si>
  <si>
    <t xml:space="preserve">      Direct Deposit Payable</t>
  </si>
  <si>
    <t xml:space="preserve">      Customer Deposit</t>
  </si>
  <si>
    <t xml:space="preserve">      22500 Payroll Liabilities:UT Income Tax</t>
  </si>
  <si>
    <t xml:space="preserve">      22400 Payroll Liabilities:UT Unemployment Tax</t>
  </si>
  <si>
    <t xml:space="preserve">      22200 Payroll Liabilities:Federal Taxes (941/943/944)</t>
  </si>
  <si>
    <t xml:space="preserve">      22100 Payroll Liabilities:Federal Taxes (941/944)</t>
  </si>
  <si>
    <t xml:space="preserve">      22002 Payroll Liabilities:Federal Unemployment (940)</t>
  </si>
  <si>
    <t xml:space="preserve">      21201 Credit Card Balance:American Express</t>
  </si>
  <si>
    <t xml:space="preserve">      Undeposited Funds (2022)</t>
  </si>
  <si>
    <t xml:space="preserve">      Uncategorized Asset (Temporary account only)</t>
  </si>
  <si>
    <t xml:space="preserve">      12000 Accounts Receivable (A/R)</t>
  </si>
  <si>
    <t xml:space="preserve">   Adjustments to reconcile Net Income to Net Cash provided by operations:</t>
  </si>
  <si>
    <t xml:space="preserve">   Net Income</t>
  </si>
  <si>
    <t>OPERATING ACTIVITIES</t>
  </si>
  <si>
    <t>Statement of Cash Flows</t>
  </si>
  <si>
    <t>Thursday, Sep 14, 2023 07:56:57 PM GMT-7 - Accrual Basis</t>
  </si>
  <si>
    <t>TOTAL LIABILITIES AND EQUITY</t>
  </si>
  <si>
    <t xml:space="preserve">   Total Equity</t>
  </si>
  <si>
    <t xml:space="preserve">      Net Income</t>
  </si>
  <si>
    <t xml:space="preserve">      Retained Earnings</t>
  </si>
  <si>
    <t xml:space="preserve">      Owner's Investment</t>
  </si>
  <si>
    <t xml:space="preserve">      Owner Distributions</t>
  </si>
  <si>
    <t xml:space="preserve">      Opening Balance Equity</t>
  </si>
  <si>
    <t xml:space="preserve">      Total 30000 Owner's Equity</t>
  </si>
  <si>
    <t xml:space="preserve">         Total 30300 Clark Capital/Board Partners LLC's Equity (51%)</t>
  </si>
  <si>
    <t xml:space="preserve">            30302 Clark Capital/Board Partners LLC's Contributions</t>
  </si>
  <si>
    <t xml:space="preserve">         30300 Clark Capital/Board Partners LLC's Equity (51%)</t>
  </si>
  <si>
    <t xml:space="preserve">         Total 30200 Cameron Schenk's Equity (24.5%)</t>
  </si>
  <si>
    <t xml:space="preserve">            30202 Cameron Schenk's Contributions</t>
  </si>
  <si>
    <t xml:space="preserve">            30201 Cameron Schenk's Distributions</t>
  </si>
  <si>
    <t xml:space="preserve">         30200 Cameron Schenk's Equity (24.5%)</t>
  </si>
  <si>
    <t xml:space="preserve">         Total 30110 Conner Adams' Equity (24.5%)</t>
  </si>
  <si>
    <t xml:space="preserve">            30101 Conner Adam's Distributions</t>
  </si>
  <si>
    <t xml:space="preserve">         30110 Conner Adams' Equity (24.5%)</t>
  </si>
  <si>
    <t xml:space="preserve">      30000 Owner's Equity</t>
  </si>
  <si>
    <t xml:space="preserve">   Equity</t>
  </si>
  <si>
    <t xml:space="preserve">   Total Liabilities</t>
  </si>
  <si>
    <t xml:space="preserve">      Total Long-Term Liabilities</t>
  </si>
  <si>
    <t xml:space="preserve">         Total 23000 Long Term Loans Payable</t>
  </si>
  <si>
    <t xml:space="preserve">            23100 2022 GMC Sierra 3500 Loan Payable</t>
  </si>
  <si>
    <t xml:space="preserve">         23000 Long Term Loans Payable</t>
  </si>
  <si>
    <t xml:space="preserve">      Long-Term Liabilities</t>
  </si>
  <si>
    <t xml:space="preserve">      Total Current Liabilities</t>
  </si>
  <si>
    <t xml:space="preserve">         Total Other Current Liabilities</t>
  </si>
  <si>
    <t xml:space="preserve">            Utah State Tax Commission Payable</t>
  </si>
  <si>
    <t xml:space="preserve">            Direct Deposit Payable</t>
  </si>
  <si>
    <t xml:space="preserve">            Customer Deposit</t>
  </si>
  <si>
    <t xml:space="preserve">            Total 22000 Payroll Liabilities</t>
  </si>
  <si>
    <t xml:space="preserve">               22500 UT Income Tax</t>
  </si>
  <si>
    <t xml:space="preserve">               22400 UT Unemployment Tax</t>
  </si>
  <si>
    <t xml:space="preserve">               22200 Federal Taxes (941/943/944)</t>
  </si>
  <si>
    <t xml:space="preserve">               22100 Federal Taxes (941/944)</t>
  </si>
  <si>
    <t xml:space="preserve">               22002 Federal Unemployment (940)</t>
  </si>
  <si>
    <t xml:space="preserve">            22000 Payroll Liabilities</t>
  </si>
  <si>
    <t xml:space="preserve">         Other Current Liabilities</t>
  </si>
  <si>
    <t xml:space="preserve">         Total Credit Cards</t>
  </si>
  <si>
    <t xml:space="preserve">            Total 21200 Credit Card Balance</t>
  </si>
  <si>
    <t xml:space="preserve">               21201 American Express</t>
  </si>
  <si>
    <t xml:space="preserve">            21200 Credit Card Balance</t>
  </si>
  <si>
    <t xml:space="preserve">         Credit Cards</t>
  </si>
  <si>
    <t xml:space="preserve">      Current Liabilities</t>
  </si>
  <si>
    <t xml:space="preserve">   Liabilities</t>
  </si>
  <si>
    <t>LIABILITIES AND EQUITY</t>
  </si>
  <si>
    <t>TOTAL ASSETS</t>
  </si>
  <si>
    <t xml:space="preserve">   Total Fixed Assets</t>
  </si>
  <si>
    <t xml:space="preserve">      Total 17000 Fixed Assets</t>
  </si>
  <si>
    <t xml:space="preserve">         Total 17800 Vehicles</t>
  </si>
  <si>
    <t xml:space="preserve">            17802 2022 GMC Sierra 3500</t>
  </si>
  <si>
    <t xml:space="preserve">            17801 Boat</t>
  </si>
  <si>
    <t xml:space="preserve">         17800 Vehicles</t>
  </si>
  <si>
    <t xml:space="preserve">      17000 Fixed Assets</t>
  </si>
  <si>
    <t xml:space="preserve">   Fixed Assets</t>
  </si>
  <si>
    <t xml:space="preserve">   Total Current Assets</t>
  </si>
  <si>
    <t xml:space="preserve">      Total Other Current Assets</t>
  </si>
  <si>
    <t xml:space="preserve">         Undeposited Funds (2022)</t>
  </si>
  <si>
    <t xml:space="preserve">         Undeposited Funds</t>
  </si>
  <si>
    <t xml:space="preserve">         Uncategorized Asset (Temporary account only)</t>
  </si>
  <si>
    <t xml:space="preserve">      Other Current Assets</t>
  </si>
  <si>
    <t xml:space="preserve">      Total Accounts Receivable</t>
  </si>
  <si>
    <t xml:space="preserve">         12000 Accounts Receivable (A/R)</t>
  </si>
  <si>
    <t xml:space="preserve">      Accounts Receivable</t>
  </si>
  <si>
    <t xml:space="preserve">      Total Bank Accounts</t>
  </si>
  <si>
    <t xml:space="preserve">         Podium Clearing Account</t>
  </si>
  <si>
    <t xml:space="preserve">         2500 (deleted)</t>
  </si>
  <si>
    <t xml:space="preserve">         Total 10100 Banking Total</t>
  </si>
  <si>
    <t xml:space="preserve">            10102 Savings</t>
  </si>
  <si>
    <t xml:space="preserve">            10101 Checking (3875)</t>
  </si>
  <si>
    <t xml:space="preserve">         10100 Banking Total</t>
  </si>
  <si>
    <t xml:space="preserve">      Bank Accounts</t>
  </si>
  <si>
    <t xml:space="preserve">   Current Assets</t>
  </si>
  <si>
    <t>ASSETS</t>
  </si>
  <si>
    <t>As of December 31, 2023</t>
  </si>
  <si>
    <t>Balance Sheet</t>
  </si>
  <si>
    <t xml:space="preserve">      Total Salaries Expense</t>
  </si>
  <si>
    <t>Total Meal and Entertainment</t>
  </si>
  <si>
    <t>Utilitiies</t>
  </si>
  <si>
    <t>Podium</t>
  </si>
  <si>
    <t>Computers and Electronics</t>
  </si>
  <si>
    <t>Furniture and Equipment</t>
  </si>
  <si>
    <t>Travel</t>
  </si>
  <si>
    <t>Divident Income</t>
  </si>
  <si>
    <t>Vehicle Rental Expense</t>
  </si>
  <si>
    <t>SALES</t>
  </si>
  <si>
    <t>COGS</t>
  </si>
  <si>
    <t>NET INCOME</t>
  </si>
  <si>
    <t>DATES</t>
  </si>
  <si>
    <t>GROSS PROFIT</t>
  </si>
  <si>
    <t>TOTAL EXPENSES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</si>
</sst>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164" formatCode="#,##0.00\ _€"/>
    <numFmt numFmtId="165" formatCode="&quot;$&quot;* #,##0.00\ _€"/>
    <numFmt numFmtId="166" formatCode="[$-409]mmmmm\-yy;@"/>
    <numFmt numFmtId="167" formatCode="_(&quot;$&quot;* #,##0_);_(&quot;$&quot;* \(#,##0\);_(&quot;$&quot;* &quot;-&quot;??_);_(@_)"/>
    <numFmt numFmtId="168" formatCode="[$-409]mmmm\-yy;@"/>
    <numFmt numFmtId="169" formatCode="[$-409]mmm\-yy;@"/>
  </numFmts>
  <fonts count="1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 Light"/>
      <family val="2"/>
      <scheme val="major"/>
    </font>
    <font>
      <b/>
      <sz val="12"/>
      <color indexed="8"/>
      <name val="Arial"/>
      <family val="2"/>
    </font>
    <font>
      <sz val="12"/>
      <color indexed="8"/>
      <name val="Calibri Light"/>
      <family val="2"/>
      <scheme val="major"/>
    </font>
    <font>
      <sz val="11"/>
      <color indexed="8"/>
      <name val="Calibri"/>
      <family val="2"/>
      <scheme val="minor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0"/>
      <color indexed="8"/>
      <name val="Arial"/>
      <family val="2"/>
    </font>
    <font>
      <b/>
      <sz val="14"/>
      <color indexed="8"/>
      <name val="Arial"/>
      <family val="2"/>
    </font>
    <font>
      <sz val="12"/>
      <color indexed="8"/>
      <name val="Calibri"/>
      <family val="2"/>
      <scheme val="minor"/>
    </font>
    <font>
      <sz val="12"/>
      <color indexed="8"/>
      <name val="Arial"/>
      <family val="2"/>
    </font>
    <font>
      <b/>
      <sz val="11"/>
      <color indexed="8"/>
      <name val="Calibri"/>
      <family val="2"/>
      <scheme val="minor"/>
    </font>
    <font>
      <b/>
      <sz val="12"/>
      <color rgb="FF000000"/>
      <name val="Arial"/>
      <family val="2"/>
    </font>
    <font>
      <sz val="12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6" fillId="0" borderId="0"/>
  </cellStyleXfs>
  <cellXfs count="68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wrapText="1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 wrapText="1"/>
    </xf>
    <xf numFmtId="0" fontId="5" fillId="0" borderId="0" xfId="0" applyFont="1" applyAlignment="1">
      <alignment horizontal="left" wrapText="1"/>
    </xf>
    <xf numFmtId="164" fontId="5" fillId="0" borderId="0" xfId="0" applyNumberFormat="1" applyFont="1" applyAlignment="1">
      <alignment wrapText="1"/>
    </xf>
    <xf numFmtId="164" fontId="5" fillId="0" borderId="0" xfId="0" applyNumberFormat="1" applyFont="1" applyAlignment="1">
      <alignment horizontal="right" wrapText="1"/>
    </xf>
    <xf numFmtId="165" fontId="5" fillId="0" borderId="0" xfId="0" applyNumberFormat="1" applyFont="1" applyAlignment="1">
      <alignment horizontal="right" wrapText="1"/>
    </xf>
    <xf numFmtId="17" fontId="0" fillId="0" borderId="0" xfId="0" applyNumberFormat="1"/>
    <xf numFmtId="166" fontId="0" fillId="0" borderId="0" xfId="0" applyNumberFormat="1"/>
    <xf numFmtId="167" fontId="0" fillId="0" borderId="0" xfId="1" applyNumberFormat="1" applyFont="1"/>
    <xf numFmtId="44" fontId="0" fillId="0" borderId="0" xfId="1" applyFont="1"/>
    <xf numFmtId="4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44" fontId="0" fillId="0" borderId="0" xfId="1" applyFont="1" applyAlignment="1">
      <alignment horizontal="center"/>
    </xf>
    <xf numFmtId="167" fontId="0" fillId="0" borderId="0" xfId="1" applyNumberFormat="1" applyFont="1" applyAlignment="1">
      <alignment horizontal="center" vertical="top"/>
    </xf>
    <xf numFmtId="167" fontId="0" fillId="2" borderId="0" xfId="1" applyNumberFormat="1" applyFont="1" applyFill="1" applyAlignment="1">
      <alignment horizontal="center" vertical="top"/>
    </xf>
    <xf numFmtId="168" fontId="0" fillId="0" borderId="0" xfId="0" applyNumberFormat="1" applyAlignment="1">
      <alignment horizontal="center"/>
    </xf>
    <xf numFmtId="0" fontId="6" fillId="0" borderId="0" xfId="2"/>
    <xf numFmtId="164" fontId="7" fillId="0" borderId="0" xfId="2" applyNumberFormat="1" applyFont="1" applyAlignment="1">
      <alignment wrapText="1"/>
    </xf>
    <xf numFmtId="0" fontId="8" fillId="0" borderId="0" xfId="2" applyFont="1" applyAlignment="1">
      <alignment horizontal="left" wrapText="1"/>
    </xf>
    <xf numFmtId="165" fontId="8" fillId="0" borderId="10" xfId="2" applyNumberFormat="1" applyFont="1" applyBorder="1" applyAlignment="1">
      <alignment horizontal="right" wrapText="1"/>
    </xf>
    <xf numFmtId="164" fontId="7" fillId="0" borderId="0" xfId="2" applyNumberFormat="1" applyFont="1" applyAlignment="1">
      <alignment horizontal="right" wrapText="1"/>
    </xf>
    <xf numFmtId="0" fontId="9" fillId="0" borderId="11" xfId="2" applyFont="1" applyBorder="1" applyAlignment="1">
      <alignment horizontal="center" wrapText="1"/>
    </xf>
    <xf numFmtId="0" fontId="6" fillId="0" borderId="0" xfId="2" applyAlignment="1">
      <alignment wrapText="1"/>
    </xf>
    <xf numFmtId="0" fontId="12" fillId="0" borderId="0" xfId="2" applyFont="1" applyAlignment="1">
      <alignment wrapText="1"/>
    </xf>
    <xf numFmtId="0" fontId="7" fillId="0" borderId="0" xfId="2" applyFont="1" applyAlignment="1">
      <alignment horizontal="left" wrapText="1"/>
    </xf>
    <xf numFmtId="0" fontId="13" fillId="0" borderId="0" xfId="2" applyFont="1" applyAlignment="1">
      <alignment horizontal="left" wrapText="1"/>
    </xf>
    <xf numFmtId="164" fontId="13" fillId="0" borderId="0" xfId="2" applyNumberFormat="1" applyFont="1" applyAlignment="1">
      <alignment wrapText="1"/>
    </xf>
    <xf numFmtId="164" fontId="13" fillId="0" borderId="0" xfId="2" applyNumberFormat="1" applyFont="1" applyAlignment="1">
      <alignment horizontal="right" wrapText="1"/>
    </xf>
    <xf numFmtId="0" fontId="4" fillId="0" borderId="0" xfId="2" applyFont="1" applyAlignment="1">
      <alignment horizontal="left" wrapText="1"/>
    </xf>
    <xf numFmtId="0" fontId="4" fillId="0" borderId="0" xfId="2" applyFont="1" applyAlignment="1">
      <alignment horizontal="center" vertical="center" wrapText="1"/>
    </xf>
    <xf numFmtId="0" fontId="4" fillId="0" borderId="0" xfId="2" applyFont="1" applyAlignment="1">
      <alignment horizontal="center" wrapText="1"/>
    </xf>
    <xf numFmtId="165" fontId="4" fillId="0" borderId="0" xfId="2" applyNumberFormat="1" applyFont="1" applyAlignment="1">
      <alignment horizontal="right" wrapText="1"/>
    </xf>
    <xf numFmtId="0" fontId="14" fillId="0" borderId="0" xfId="2" applyFont="1"/>
    <xf numFmtId="165" fontId="13" fillId="0" borderId="0" xfId="2" applyNumberFormat="1" applyFont="1" applyAlignment="1">
      <alignment horizontal="right" wrapText="1"/>
    </xf>
    <xf numFmtId="0" fontId="16" fillId="0" borderId="0" xfId="0" applyFont="1" applyAlignment="1">
      <alignment horizontal="left" wrapText="1"/>
    </xf>
    <xf numFmtId="164" fontId="16" fillId="0" borderId="0" xfId="0" applyNumberFormat="1" applyFont="1" applyAlignment="1">
      <alignment wrapText="1"/>
    </xf>
    <xf numFmtId="164" fontId="16" fillId="0" borderId="0" xfId="0" applyNumberFormat="1" applyFont="1" applyAlignment="1">
      <alignment horizontal="right" wrapText="1"/>
    </xf>
    <xf numFmtId="0" fontId="15" fillId="0" borderId="0" xfId="0" applyFont="1" applyAlignment="1">
      <alignment horizontal="left" wrapText="1"/>
    </xf>
    <xf numFmtId="165" fontId="15" fillId="0" borderId="0" xfId="0" applyNumberFormat="1" applyFont="1" applyAlignment="1">
      <alignment horizontal="right" wrapText="1"/>
    </xf>
    <xf numFmtId="165" fontId="16" fillId="0" borderId="0" xfId="0" applyNumberFormat="1" applyFont="1" applyAlignment="1">
      <alignment horizontal="right" wrapText="1"/>
    </xf>
    <xf numFmtId="169" fontId="15" fillId="0" borderId="0" xfId="0" applyNumberFormat="1" applyFont="1" applyAlignment="1">
      <alignment horizontal="center" vertical="center" wrapText="1"/>
    </xf>
    <xf numFmtId="169" fontId="15" fillId="0" borderId="0" xfId="0" applyNumberFormat="1" applyFont="1" applyAlignment="1">
      <alignment horizontal="center" wrapText="1"/>
    </xf>
    <xf numFmtId="169" fontId="0" fillId="0" borderId="0" xfId="0" applyNumberFormat="1"/>
    <xf numFmtId="44" fontId="15" fillId="0" borderId="0" xfId="1" applyFont="1" applyAlignment="1">
      <alignment horizontal="right" wrapText="1"/>
    </xf>
    <xf numFmtId="44" fontId="16" fillId="0" borderId="0" xfId="1" applyFont="1" applyAlignment="1">
      <alignment wrapText="1"/>
    </xf>
    <xf numFmtId="44" fontId="16" fillId="0" borderId="0" xfId="1" applyFont="1" applyAlignment="1">
      <alignment horizontal="right" wrapText="1"/>
    </xf>
    <xf numFmtId="16" fontId="0" fillId="0" borderId="0" xfId="0" applyNumberFormat="1"/>
    <xf numFmtId="0" fontId="4" fillId="0" borderId="0" xfId="0" applyFont="1" applyAlignment="1">
      <alignment horizontal="center"/>
    </xf>
    <xf numFmtId="0" fontId="0" fillId="0" borderId="0" xfId="0"/>
    <xf numFmtId="0" fontId="7" fillId="0" borderId="0" xfId="2" applyFont="1" applyAlignment="1">
      <alignment horizontal="center"/>
    </xf>
    <xf numFmtId="0" fontId="6" fillId="0" borderId="0" xfId="2"/>
    <xf numFmtId="0" fontId="11" fillId="0" borderId="0" xfId="2" applyFont="1" applyAlignment="1">
      <alignment horizontal="center"/>
    </xf>
    <xf numFmtId="0" fontId="10" fillId="0" borderId="0" xfId="2" applyFont="1" applyAlignment="1">
      <alignment horizontal="center"/>
    </xf>
  </cellXfs>
  <cellStyles count="3">
    <cellStyle name="Currency" xfId="1" builtinId="4"/>
    <cellStyle name="Normal" xfId="0" builtinId="0"/>
    <cellStyle name="Normal 2" xfId="2" xr:uid="{B85887B2-62B4-4443-9A15-63EE0E4D8F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tthew Marshall" refreshedDate="45183.842259259261" createdVersion="8" refreshedVersion="8" minRefreshableVersion="3" recordCount="56" xr:uid="{128D7FE9-A66A-6841-BB11-AEB3EB74818F}">
  <cacheSource type="worksheet">
    <worksheetSource ref="D1:L56" sheet="PnlClean"/>
  </cacheSource>
  <cacheFields count="9">
    <cacheField name="Jan 23" numFmtId="0">
      <sharedItems containsString="0" containsBlank="1" containsNumber="1" minValue="-649.85999999999331" maxValue="63655"/>
    </cacheField>
    <cacheField name="Feb 23" numFmtId="0">
      <sharedItems containsString="0" containsBlank="1" containsNumber="1" minValue="23.75" maxValue="157550"/>
    </cacheField>
    <cacheField name="Mar 23" numFmtId="0">
      <sharedItems containsString="0" containsBlank="1" containsNumber="1" minValue="-1000" maxValue="106992"/>
    </cacheField>
    <cacheField name="Apr 23" numFmtId="0">
      <sharedItems containsString="0" containsBlank="1" containsNumber="1" minValue="-9677.7200000000084" maxValue="86220"/>
    </cacheField>
    <cacheField name="May 23" numFmtId="0">
      <sharedItems containsString="0" containsBlank="1" containsNumber="1" minValue="-2100" maxValue="134865"/>
    </cacheField>
    <cacheField name="Jun 23" numFmtId="0">
      <sharedItems containsString="0" containsBlank="1" containsNumber="1" minValue="-0.72" maxValue="157719.38999999998"/>
    </cacheField>
    <cacheField name="Jul 23" numFmtId="0">
      <sharedItems containsString="0" containsBlank="1" containsNumber="1" minValue="-35909.57" maxValue="76238"/>
    </cacheField>
    <cacheField name="Aug 23" numFmtId="0">
      <sharedItems containsString="0" containsBlank="1" containsNumber="1" minValue="-500" maxValue="160095.51999999999"/>
    </cacheField>
    <cacheField name="Sep 23" numFmtId="0">
      <sharedItems containsString="0" containsBlank="1" containsNumber="1" containsInteger="1" minValue="22000" maxValue="22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tthew Marshall" refreshedDate="45183.854646874999" createdVersion="8" refreshedVersion="8" minRefreshableVersion="3" recordCount="55" xr:uid="{C29C692C-DC39-D742-985B-D324D9945EA7}">
  <cacheSource type="worksheet">
    <worksheetSource ref="C1:L56" sheet="PnlClean"/>
  </cacheSource>
  <cacheFields count="10">
    <cacheField name="LINE ITEMS" numFmtId="0">
      <sharedItems containsBlank="1" count="50">
        <s v="Sales"/>
        <s v="Discounts/Refunds Given"/>
        <s v="Uncategorized Income"/>
        <s v="Venmo"/>
        <s v="Total Income"/>
        <s v="Supplies &amp; materials"/>
        <m/>
        <s v="Total Cost of Goods Sold"/>
        <s v="Gross Profit"/>
        <s v="Salaries Expense"/>
        <s v="Advertising &amp; Marketing"/>
        <s v="Total Salaries Expense"/>
        <s v="Company Uniform"/>
        <s v="Company Phone Expense"/>
        <s v="Gym &amp; Fitness"/>
        <s v="Total Frindge benefits"/>
        <s v="Total Employee Expenses"/>
        <s v="Entertainment"/>
        <s v="Company Meals"/>
        <s v="Total Meals and Entertainment"/>
        <s v="Operating Expenses"/>
        <s v="Rent and Lease Expense"/>
        <s v="Utilities"/>
        <s v="Software"/>
        <s v="Podium Fees"/>
        <s v="Computers &amp; Electronics"/>
        <s v="Airfare"/>
        <s v="Hotel and Lodging"/>
        <s v="Other Travel Expenses"/>
        <s v="Total Travel"/>
        <s v="Vehicle Rental"/>
        <s v="Gas and Fuel"/>
        <s v="Vehicle Insurance Expense"/>
        <s v="Repairs, Maintenance, and Other Vehicle Expenses"/>
        <s v="Total Vehicle Expenses"/>
        <s v="Bank Charges &amp; Fees"/>
        <s v="Total Operating Expenses"/>
        <s v="Accounting Services"/>
        <s v="Total Legal and Professional Services"/>
        <s v="Taxes and Licenses"/>
        <s v="Insurance"/>
        <s v="Total Business Expenses"/>
        <s v="Uncategorized Expense"/>
        <s v="Checks"/>
        <s v="Interest, Taxes Depreciation, and Amortization"/>
        <s v="Total Uncategorized Expense"/>
        <s v="Total Expenses"/>
        <s v="Net Operating Income"/>
        <s v="Net Other Income"/>
        <s v="Net Income"/>
      </sharedItems>
    </cacheField>
    <cacheField name="Jan 23" numFmtId="167">
      <sharedItems containsString="0" containsBlank="1" containsNumber="1" minValue="-649.85999999999331" maxValue="63655" count="39">
        <n v="59380"/>
        <m/>
        <n v="4275"/>
        <n v="63655"/>
        <n v="10040.24"/>
        <n v="53614.76"/>
        <n v="14892.5"/>
        <n v="1237.67"/>
        <n v="16130.26"/>
        <n v="414.97"/>
        <n v="220"/>
        <n v="634.97"/>
        <n v="16765.23"/>
        <n v="124.19"/>
        <n v="2114.81"/>
        <n v="2239"/>
        <n v="3025"/>
        <n v="649.91999999999996"/>
        <n v="784.85"/>
        <n v="627.16999999999996"/>
        <n v="2384.27"/>
        <n v="1722.49"/>
        <n v="103"/>
        <n v="4209.76"/>
        <n v="656.82"/>
        <n v="1708.47"/>
        <n v="197.29"/>
        <n v="2562.58"/>
        <n v="11859.28"/>
        <n v="600"/>
        <n v="70"/>
        <n v="208.75"/>
        <n v="278.75"/>
        <n v="1849.48"/>
        <n v="16700.21"/>
        <n v="2735"/>
        <n v="21284.69"/>
        <n v="54264.619999999995"/>
        <n v="-649.85999999999331"/>
      </sharedItems>
    </cacheField>
    <cacheField name="Feb 23" numFmtId="167">
      <sharedItems containsString="0" containsBlank="1" containsNumber="1" minValue="23.75" maxValue="157550" count="25">
        <n v="92300"/>
        <m/>
        <n v="157550"/>
        <n v="18649.810000000001"/>
        <n v="138900.19"/>
        <n v="291.35000000000002"/>
        <n v="17721.34"/>
        <n v="220"/>
        <n v="17941.34"/>
        <n v="474.22"/>
        <n v="3025"/>
        <n v="863.19"/>
        <n v="362.89"/>
        <n v="1026.79"/>
        <n v="1906.88"/>
        <n v="23.75"/>
        <n v="1930.63"/>
        <n v="39"/>
        <n v="7247.5"/>
        <n v="208.75"/>
        <n v="34645"/>
        <n v="3966"/>
        <n v="54505.45"/>
        <n v="80668.61"/>
        <n v="58231.58"/>
      </sharedItems>
    </cacheField>
    <cacheField name="Mar 23" numFmtId="167">
      <sharedItems containsString="0" containsBlank="1" containsNumber="1" minValue="-1000" maxValue="106992" count="27">
        <n v="66750"/>
        <n v="-1000"/>
        <m/>
        <n v="106992"/>
        <n v="32926.31"/>
        <n v="22315.62"/>
        <n v="2110.0700000000002"/>
        <n v="766.3"/>
        <n v="220"/>
        <n v="986.3"/>
        <n v="23301.919999999998"/>
        <n v="498.02"/>
        <n v="3025"/>
        <n v="774.55"/>
        <n v="862.69"/>
        <n v="1172.46"/>
        <n v="1734.59"/>
        <n v="213.61"/>
        <n v="1948.1999999999998"/>
        <n v="625"/>
        <n v="208.75"/>
        <n v="732.42"/>
        <n v="33104.080000000002"/>
        <n v="410"/>
        <n v="34246.5"/>
        <n v="68773.16"/>
        <n v="5292.5299999999988"/>
      </sharedItems>
    </cacheField>
    <cacheField name="Apr 23" numFmtId="167">
      <sharedItems containsString="0" containsBlank="1" containsNumber="1" minValue="-9677.7200000000084" maxValue="86220"/>
    </cacheField>
    <cacheField name="May 23" numFmtId="167">
      <sharedItems containsString="0" containsBlank="1" containsNumber="1" minValue="-2100" maxValue="134865"/>
    </cacheField>
    <cacheField name="Jun 23" numFmtId="167">
      <sharedItems containsString="0" containsBlank="1" containsNumber="1" minValue="-0.72" maxValue="157719.38999999998"/>
    </cacheField>
    <cacheField name="Jul 23" numFmtId="167">
      <sharedItems containsString="0" containsBlank="1" containsNumber="1" minValue="-35909.57" maxValue="76238"/>
    </cacheField>
    <cacheField name="Aug 23" numFmtId="167">
      <sharedItems containsString="0" containsBlank="1" containsNumber="1" minValue="-500" maxValue="160095.51999999999"/>
    </cacheField>
    <cacheField name="Sep 23" numFmtId="167">
      <sharedItems containsString="0" containsBlank="1" containsNumber="1" containsInteger="1" minValue="22000" maxValue="22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6">
  <r>
    <m/>
    <m/>
    <m/>
    <m/>
    <m/>
    <m/>
    <m/>
    <m/>
    <m/>
  </r>
  <r>
    <n v="59380"/>
    <n v="92300"/>
    <n v="66750"/>
    <n v="79120"/>
    <n v="118340"/>
    <n v="102365.05"/>
    <n v="66938"/>
    <n v="160095.51999999999"/>
    <n v="22000"/>
  </r>
  <r>
    <m/>
    <m/>
    <n v="-1000"/>
    <m/>
    <n v="-2100"/>
    <m/>
    <m/>
    <n v="-500"/>
    <m/>
  </r>
  <r>
    <m/>
    <m/>
    <m/>
    <m/>
    <m/>
    <n v="95486"/>
    <n v="9500"/>
    <m/>
    <m/>
  </r>
  <r>
    <n v="4275"/>
    <m/>
    <m/>
    <m/>
    <m/>
    <m/>
    <m/>
    <m/>
    <m/>
  </r>
  <r>
    <n v="63655"/>
    <n v="157550"/>
    <n v="106992"/>
    <n v="86220"/>
    <n v="134865"/>
    <m/>
    <n v="76238"/>
    <m/>
    <m/>
  </r>
  <r>
    <n v="10040.24"/>
    <n v="18649.810000000001"/>
    <n v="32926.31"/>
    <m/>
    <m/>
    <m/>
    <n v="41960.11"/>
    <m/>
    <m/>
  </r>
  <r>
    <m/>
    <m/>
    <n v="32926.31"/>
    <m/>
    <m/>
    <m/>
    <m/>
    <m/>
    <m/>
  </r>
  <r>
    <n v="10040.24"/>
    <n v="18649.810000000001"/>
    <n v="32926.31"/>
    <n v="38246.980000000003"/>
    <n v="46029.34"/>
    <n v="40131.660000000003"/>
    <n v="41960.11"/>
    <n v="8042.95"/>
    <m/>
  </r>
  <r>
    <n v="53614.76"/>
    <n v="138900.19"/>
    <m/>
    <m/>
    <m/>
    <n v="157719.38999999998"/>
    <m/>
    <n v="151552.56999999998"/>
    <m/>
  </r>
  <r>
    <n v="14892.5"/>
    <m/>
    <n v="22315.62"/>
    <n v="26211.84"/>
    <n v="14544.1"/>
    <m/>
    <n v="28667.57"/>
    <m/>
    <m/>
  </r>
  <r>
    <n v="1237.67"/>
    <n v="291.35000000000002"/>
    <n v="2110.0700000000002"/>
    <n v="449"/>
    <n v="1724.76"/>
    <n v="2806.53"/>
    <m/>
    <n v="1228.9000000000001"/>
    <m/>
  </r>
  <r>
    <n v="16130.26"/>
    <n v="17721.34"/>
    <n v="22315.62"/>
    <m/>
    <n v="14544.1"/>
    <n v="9611.61"/>
    <m/>
    <n v="528.55999999999995"/>
    <m/>
  </r>
  <r>
    <m/>
    <m/>
    <m/>
    <m/>
    <n v="1520"/>
    <m/>
    <n v="28667.57"/>
    <m/>
    <m/>
  </r>
  <r>
    <n v="414.97"/>
    <m/>
    <n v="766.3"/>
    <n v="1649.7"/>
    <n v="337.89"/>
    <n v="318.62"/>
    <n v="383.55"/>
    <m/>
    <m/>
  </r>
  <r>
    <n v="220"/>
    <n v="220"/>
    <n v="220"/>
    <n v="220"/>
    <n v="220"/>
    <n v="220"/>
    <n v="220"/>
    <m/>
    <m/>
  </r>
  <r>
    <n v="634.97"/>
    <n v="220"/>
    <n v="986.3"/>
    <n v="1869.7"/>
    <n v="2077.89"/>
    <n v="538.62"/>
    <n v="603.54999999999995"/>
    <m/>
    <m/>
  </r>
  <r>
    <n v="16765.23"/>
    <n v="17941.34"/>
    <n v="23301.919999999998"/>
    <n v="28081.54"/>
    <n v="16621.990000000002"/>
    <n v="10150.230000000001"/>
    <n v="29271.119999999999"/>
    <m/>
    <m/>
  </r>
  <r>
    <n v="124.19"/>
    <m/>
    <m/>
    <m/>
    <n v="439.95"/>
    <n v="1581.69"/>
    <n v="294.95"/>
    <m/>
    <m/>
  </r>
  <r>
    <n v="2114.81"/>
    <n v="474.22"/>
    <n v="498.02"/>
    <n v="1125.51"/>
    <n v="439.3"/>
    <n v="389.23"/>
    <n v="426.16"/>
    <m/>
    <m/>
  </r>
  <r>
    <n v="2239"/>
    <n v="474.22"/>
    <n v="498.02"/>
    <n v="1125.51"/>
    <n v="879.25"/>
    <n v="1970.92"/>
    <n v="721.11"/>
    <m/>
    <m/>
  </r>
  <r>
    <m/>
    <m/>
    <m/>
    <m/>
    <m/>
    <m/>
    <m/>
    <m/>
    <m/>
  </r>
  <r>
    <n v="3025"/>
    <n v="3025"/>
    <n v="3025"/>
    <n v="3025"/>
    <n v="6050"/>
    <m/>
    <m/>
    <m/>
    <m/>
  </r>
  <r>
    <n v="649.91999999999996"/>
    <n v="863.19"/>
    <n v="774.55"/>
    <n v="1249.8399999999999"/>
    <n v="1093.23"/>
    <n v="157.72"/>
    <n v="245.47"/>
    <m/>
    <m/>
  </r>
  <r>
    <n v="784.85"/>
    <n v="362.89"/>
    <n v="862.69"/>
    <n v="946.32"/>
    <n v="671.5"/>
    <n v="1038.97"/>
    <n v="816.39"/>
    <n v="54.69"/>
    <m/>
  </r>
  <r>
    <n v="627.16999999999996"/>
    <n v="1026.79"/>
    <n v="1172.46"/>
    <n v="1715.3"/>
    <n v="3246.94"/>
    <m/>
    <m/>
    <m/>
    <m/>
  </r>
  <r>
    <m/>
    <m/>
    <m/>
    <n v="374.3"/>
    <m/>
    <m/>
    <m/>
    <m/>
    <m/>
  </r>
  <r>
    <n v="2384.27"/>
    <m/>
    <m/>
    <m/>
    <m/>
    <m/>
    <m/>
    <m/>
    <m/>
  </r>
  <r>
    <n v="1722.49"/>
    <m/>
    <m/>
    <m/>
    <m/>
    <m/>
    <n v="1186.6099999999999"/>
    <m/>
    <m/>
  </r>
  <r>
    <n v="103"/>
    <m/>
    <m/>
    <m/>
    <m/>
    <m/>
    <n v="244.42"/>
    <m/>
    <m/>
  </r>
  <r>
    <n v="4209.76"/>
    <m/>
    <m/>
    <m/>
    <m/>
    <n v="1920.24"/>
    <n v="1431.03"/>
    <m/>
    <m/>
  </r>
  <r>
    <m/>
    <m/>
    <m/>
    <m/>
    <m/>
    <n v="13.93"/>
    <n v="-0.28000000000000003"/>
    <m/>
    <m/>
  </r>
  <r>
    <n v="656.82"/>
    <m/>
    <m/>
    <m/>
    <m/>
    <n v="1934.17"/>
    <n v="2492.6099999999997"/>
    <m/>
    <m/>
  </r>
  <r>
    <n v="1708.47"/>
    <n v="1906.88"/>
    <n v="1734.59"/>
    <n v="1263.74"/>
    <n v="2070.02"/>
    <n v="-0.72"/>
    <m/>
    <n v="595.75"/>
    <m/>
  </r>
  <r>
    <m/>
    <m/>
    <m/>
    <m/>
    <n v="813"/>
    <n v="3130.1400000000003"/>
    <m/>
    <n v="595.75"/>
    <m/>
  </r>
  <r>
    <n v="197.29"/>
    <n v="23.75"/>
    <n v="213.61"/>
    <n v="774.56"/>
    <n v="314.82"/>
    <m/>
    <m/>
    <m/>
    <m/>
  </r>
  <r>
    <n v="2562.58"/>
    <n v="1930.63"/>
    <n v="1948.1999999999998"/>
    <n v="2038.3"/>
    <n v="3197.84"/>
    <n v="600"/>
    <m/>
    <m/>
    <m/>
  </r>
  <r>
    <m/>
    <n v="39"/>
    <m/>
    <n v="345"/>
    <m/>
    <n v="49"/>
    <m/>
    <n v="117"/>
    <m/>
  </r>
  <r>
    <n v="11859.28"/>
    <n v="7247.5"/>
    <m/>
    <n v="9694.06"/>
    <n v="14259.51"/>
    <n v="214.59"/>
    <m/>
    <n v="767.44"/>
    <m/>
  </r>
  <r>
    <m/>
    <m/>
    <m/>
    <m/>
    <m/>
    <n v="263.59000000000003"/>
    <m/>
    <m/>
    <m/>
  </r>
  <r>
    <m/>
    <m/>
    <m/>
    <m/>
    <m/>
    <n v="46582.21"/>
    <m/>
    <m/>
    <m/>
  </r>
  <r>
    <n v="600"/>
    <m/>
    <n v="625"/>
    <n v="300"/>
    <m/>
    <m/>
    <n v="309"/>
    <n v="309"/>
    <m/>
  </r>
  <r>
    <m/>
    <m/>
    <n v="625"/>
    <n v="300"/>
    <m/>
    <m/>
    <n v="309"/>
    <n v="309"/>
    <m/>
  </r>
  <r>
    <n v="70"/>
    <m/>
    <m/>
    <m/>
    <m/>
    <m/>
    <n v="14754.5"/>
    <m/>
    <m/>
  </r>
  <r>
    <n v="208.75"/>
    <n v="208.75"/>
    <n v="208.75"/>
    <n v="208.75"/>
    <n v="208.78"/>
    <m/>
    <n v="214.68"/>
    <m/>
    <m/>
  </r>
  <r>
    <n v="278.75"/>
    <n v="208.75"/>
    <n v="208.75"/>
    <n v="208.75"/>
    <n v="208.78"/>
    <m/>
    <n v="14969.18"/>
    <n v="41.61"/>
    <m/>
  </r>
  <r>
    <n v="1849.48"/>
    <m/>
    <n v="732.42"/>
    <n v="341.88"/>
    <n v="20063.16"/>
    <m/>
    <n v="324.13"/>
    <m/>
    <m/>
  </r>
  <r>
    <n v="16700.21"/>
    <n v="34645"/>
    <n v="33104.080000000002"/>
    <n v="16550"/>
    <n v="11042"/>
    <n v="55167.47"/>
    <n v="15775"/>
    <n v="38934.51"/>
    <m/>
  </r>
  <r>
    <n v="2735"/>
    <n v="3966"/>
    <n v="410"/>
    <n v="900"/>
    <m/>
    <n v="4150"/>
    <n v="3407"/>
    <m/>
    <m/>
  </r>
  <r>
    <m/>
    <m/>
    <m/>
    <m/>
    <m/>
    <n v="37.92"/>
    <m/>
    <m/>
    <m/>
  </r>
  <r>
    <n v="21284.69"/>
    <n v="54505.45"/>
    <n v="34246.5"/>
    <n v="17791.88"/>
    <n v="31105.16"/>
    <m/>
    <n v="19506.129999999997"/>
    <n v="38934.5"/>
    <m/>
  </r>
  <r>
    <m/>
    <m/>
    <m/>
    <m/>
    <m/>
    <n v="105899.68"/>
    <m/>
    <m/>
    <m/>
  </r>
  <r>
    <n v="54264.619999999995"/>
    <n v="80668.61"/>
    <n v="68773.16"/>
    <n v="57650.740000000005"/>
    <n v="64799.45"/>
    <n v="124821.09"/>
    <n v="70150.92"/>
    <n v="42251.43"/>
    <m/>
  </r>
  <r>
    <n v="-649.85999999999331"/>
    <n v="58231.58"/>
    <n v="5292.5299999999988"/>
    <n v="-9677.7200000000084"/>
    <n v="24036.210000000006"/>
    <n v="32898.299999999988"/>
    <n v="-35873.03"/>
    <n v="109301.13999999998"/>
    <m/>
  </r>
  <r>
    <m/>
    <m/>
    <m/>
    <m/>
    <m/>
    <m/>
    <n v="-36.54"/>
    <m/>
    <n v="22000"/>
  </r>
  <r>
    <n v="-649.85999999999331"/>
    <n v="58231.58"/>
    <n v="5292.5299999999988"/>
    <n v="-9677.7200000000084"/>
    <n v="24036.210000000006"/>
    <n v="32860.37999999999"/>
    <n v="-35909.57"/>
    <n v="109301.13999999998"/>
    <n v="220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5">
  <r>
    <x v="0"/>
    <x v="0"/>
    <x v="0"/>
    <x v="0"/>
    <n v="79120"/>
    <n v="118340"/>
    <n v="102365.05"/>
    <n v="66938"/>
    <n v="160095.51999999999"/>
    <n v="22000"/>
  </r>
  <r>
    <x v="1"/>
    <x v="1"/>
    <x v="1"/>
    <x v="1"/>
    <m/>
    <n v="-2100"/>
    <m/>
    <m/>
    <n v="-500"/>
    <m/>
  </r>
  <r>
    <x v="2"/>
    <x v="1"/>
    <x v="1"/>
    <x v="2"/>
    <m/>
    <m/>
    <n v="95486"/>
    <n v="9500"/>
    <m/>
    <m/>
  </r>
  <r>
    <x v="3"/>
    <x v="2"/>
    <x v="1"/>
    <x v="2"/>
    <m/>
    <m/>
    <m/>
    <m/>
    <m/>
    <m/>
  </r>
  <r>
    <x v="4"/>
    <x v="3"/>
    <x v="2"/>
    <x v="3"/>
    <n v="86220"/>
    <n v="134865"/>
    <m/>
    <n v="76238"/>
    <m/>
    <m/>
  </r>
  <r>
    <x v="5"/>
    <x v="4"/>
    <x v="3"/>
    <x v="4"/>
    <m/>
    <m/>
    <m/>
    <n v="41960.11"/>
    <m/>
    <m/>
  </r>
  <r>
    <x v="6"/>
    <x v="1"/>
    <x v="1"/>
    <x v="4"/>
    <m/>
    <m/>
    <m/>
    <m/>
    <m/>
    <m/>
  </r>
  <r>
    <x v="7"/>
    <x v="4"/>
    <x v="3"/>
    <x v="4"/>
    <n v="38246.980000000003"/>
    <n v="46029.34"/>
    <n v="40131.660000000003"/>
    <n v="41960.11"/>
    <n v="8042.95"/>
    <m/>
  </r>
  <r>
    <x v="8"/>
    <x v="5"/>
    <x v="4"/>
    <x v="2"/>
    <m/>
    <m/>
    <n v="157719.38999999998"/>
    <m/>
    <n v="151552.56999999998"/>
    <m/>
  </r>
  <r>
    <x v="9"/>
    <x v="6"/>
    <x v="1"/>
    <x v="5"/>
    <n v="26211.84"/>
    <n v="14544.1"/>
    <m/>
    <n v="28667.57"/>
    <m/>
    <m/>
  </r>
  <r>
    <x v="10"/>
    <x v="7"/>
    <x v="5"/>
    <x v="6"/>
    <n v="449"/>
    <n v="1724.76"/>
    <n v="2806.53"/>
    <m/>
    <n v="1228.9000000000001"/>
    <m/>
  </r>
  <r>
    <x v="11"/>
    <x v="8"/>
    <x v="6"/>
    <x v="5"/>
    <m/>
    <n v="14544.1"/>
    <n v="9611.61"/>
    <m/>
    <n v="528.55999999999995"/>
    <m/>
  </r>
  <r>
    <x v="12"/>
    <x v="1"/>
    <x v="1"/>
    <x v="2"/>
    <m/>
    <n v="1520"/>
    <m/>
    <n v="28667.57"/>
    <m/>
    <m/>
  </r>
  <r>
    <x v="13"/>
    <x v="9"/>
    <x v="1"/>
    <x v="7"/>
    <n v="1649.7"/>
    <n v="337.89"/>
    <n v="318.62"/>
    <n v="383.55"/>
    <m/>
    <m/>
  </r>
  <r>
    <x v="14"/>
    <x v="10"/>
    <x v="7"/>
    <x v="8"/>
    <n v="220"/>
    <n v="220"/>
    <n v="220"/>
    <n v="220"/>
    <m/>
    <m/>
  </r>
  <r>
    <x v="15"/>
    <x v="11"/>
    <x v="7"/>
    <x v="9"/>
    <n v="1869.7"/>
    <n v="2077.89"/>
    <n v="538.62"/>
    <n v="603.54999999999995"/>
    <m/>
    <m/>
  </r>
  <r>
    <x v="16"/>
    <x v="12"/>
    <x v="8"/>
    <x v="10"/>
    <n v="28081.54"/>
    <n v="16621.990000000002"/>
    <n v="10150.230000000001"/>
    <n v="29271.119999999999"/>
    <m/>
    <m/>
  </r>
  <r>
    <x v="17"/>
    <x v="13"/>
    <x v="1"/>
    <x v="2"/>
    <m/>
    <n v="439.95"/>
    <n v="1581.69"/>
    <n v="294.95"/>
    <m/>
    <m/>
  </r>
  <r>
    <x v="18"/>
    <x v="14"/>
    <x v="9"/>
    <x v="11"/>
    <n v="1125.51"/>
    <n v="439.3"/>
    <n v="389.23"/>
    <n v="426.16"/>
    <m/>
    <m/>
  </r>
  <r>
    <x v="19"/>
    <x v="15"/>
    <x v="9"/>
    <x v="11"/>
    <n v="1125.51"/>
    <n v="879.25"/>
    <n v="1970.92"/>
    <n v="721.11"/>
    <m/>
    <m/>
  </r>
  <r>
    <x v="20"/>
    <x v="1"/>
    <x v="1"/>
    <x v="2"/>
    <m/>
    <m/>
    <m/>
    <m/>
    <m/>
    <m/>
  </r>
  <r>
    <x v="21"/>
    <x v="16"/>
    <x v="10"/>
    <x v="12"/>
    <n v="3025"/>
    <n v="6050"/>
    <m/>
    <m/>
    <m/>
    <m/>
  </r>
  <r>
    <x v="22"/>
    <x v="17"/>
    <x v="11"/>
    <x v="13"/>
    <n v="1249.8399999999999"/>
    <n v="1093.23"/>
    <n v="157.72"/>
    <n v="245.47"/>
    <m/>
    <m/>
  </r>
  <r>
    <x v="23"/>
    <x v="18"/>
    <x v="12"/>
    <x v="14"/>
    <n v="946.32"/>
    <n v="671.5"/>
    <n v="1038.97"/>
    <n v="816.39"/>
    <n v="54.69"/>
    <m/>
  </r>
  <r>
    <x v="24"/>
    <x v="19"/>
    <x v="13"/>
    <x v="15"/>
    <n v="1715.3"/>
    <n v="3246.94"/>
    <m/>
    <m/>
    <m/>
    <m/>
  </r>
  <r>
    <x v="25"/>
    <x v="1"/>
    <x v="1"/>
    <x v="2"/>
    <n v="374.3"/>
    <m/>
    <m/>
    <m/>
    <m/>
    <m/>
  </r>
  <r>
    <x v="26"/>
    <x v="20"/>
    <x v="1"/>
    <x v="2"/>
    <m/>
    <m/>
    <m/>
    <m/>
    <m/>
    <m/>
  </r>
  <r>
    <x v="27"/>
    <x v="21"/>
    <x v="1"/>
    <x v="2"/>
    <m/>
    <m/>
    <m/>
    <n v="1186.6099999999999"/>
    <m/>
    <m/>
  </r>
  <r>
    <x v="28"/>
    <x v="22"/>
    <x v="1"/>
    <x v="2"/>
    <m/>
    <m/>
    <m/>
    <n v="244.42"/>
    <m/>
    <m/>
  </r>
  <r>
    <x v="29"/>
    <x v="23"/>
    <x v="1"/>
    <x v="2"/>
    <m/>
    <m/>
    <n v="1920.24"/>
    <n v="1431.03"/>
    <m/>
    <m/>
  </r>
  <r>
    <x v="6"/>
    <x v="1"/>
    <x v="1"/>
    <x v="2"/>
    <m/>
    <m/>
    <n v="13.93"/>
    <n v="-0.28000000000000003"/>
    <m/>
    <m/>
  </r>
  <r>
    <x v="30"/>
    <x v="24"/>
    <x v="1"/>
    <x v="2"/>
    <m/>
    <m/>
    <n v="1934.17"/>
    <n v="2492.6099999999997"/>
    <m/>
    <m/>
  </r>
  <r>
    <x v="31"/>
    <x v="25"/>
    <x v="14"/>
    <x v="16"/>
    <n v="1263.74"/>
    <n v="2070.02"/>
    <n v="-0.72"/>
    <m/>
    <n v="595.75"/>
    <m/>
  </r>
  <r>
    <x v="32"/>
    <x v="1"/>
    <x v="1"/>
    <x v="2"/>
    <m/>
    <n v="813"/>
    <n v="3130.1400000000003"/>
    <m/>
    <n v="595.75"/>
    <m/>
  </r>
  <r>
    <x v="33"/>
    <x v="26"/>
    <x v="15"/>
    <x v="17"/>
    <n v="774.56"/>
    <n v="314.82"/>
    <m/>
    <m/>
    <m/>
    <m/>
  </r>
  <r>
    <x v="34"/>
    <x v="27"/>
    <x v="16"/>
    <x v="18"/>
    <n v="2038.3"/>
    <n v="3197.84"/>
    <n v="600"/>
    <m/>
    <m/>
    <m/>
  </r>
  <r>
    <x v="35"/>
    <x v="1"/>
    <x v="17"/>
    <x v="2"/>
    <n v="345"/>
    <m/>
    <n v="49"/>
    <m/>
    <n v="117"/>
    <m/>
  </r>
  <r>
    <x v="36"/>
    <x v="28"/>
    <x v="18"/>
    <x v="2"/>
    <n v="9694.06"/>
    <n v="14259.51"/>
    <n v="214.59"/>
    <m/>
    <n v="767.44"/>
    <m/>
  </r>
  <r>
    <x v="6"/>
    <x v="1"/>
    <x v="1"/>
    <x v="2"/>
    <m/>
    <m/>
    <n v="263.59000000000003"/>
    <m/>
    <m/>
    <m/>
  </r>
  <r>
    <x v="6"/>
    <x v="1"/>
    <x v="1"/>
    <x v="2"/>
    <m/>
    <m/>
    <n v="46582.21"/>
    <m/>
    <m/>
    <m/>
  </r>
  <r>
    <x v="37"/>
    <x v="29"/>
    <x v="1"/>
    <x v="19"/>
    <n v="300"/>
    <m/>
    <m/>
    <n v="309"/>
    <n v="309"/>
    <m/>
  </r>
  <r>
    <x v="38"/>
    <x v="1"/>
    <x v="1"/>
    <x v="19"/>
    <n v="300"/>
    <m/>
    <m/>
    <n v="309"/>
    <n v="309"/>
    <m/>
  </r>
  <r>
    <x v="39"/>
    <x v="30"/>
    <x v="1"/>
    <x v="2"/>
    <m/>
    <m/>
    <m/>
    <n v="14754.5"/>
    <m/>
    <m/>
  </r>
  <r>
    <x v="40"/>
    <x v="31"/>
    <x v="19"/>
    <x v="20"/>
    <n v="208.75"/>
    <n v="208.78"/>
    <m/>
    <n v="214.68"/>
    <m/>
    <m/>
  </r>
  <r>
    <x v="41"/>
    <x v="32"/>
    <x v="19"/>
    <x v="20"/>
    <n v="208.75"/>
    <n v="208.78"/>
    <m/>
    <n v="14969.18"/>
    <n v="41.61"/>
    <m/>
  </r>
  <r>
    <x v="42"/>
    <x v="33"/>
    <x v="1"/>
    <x v="21"/>
    <n v="341.88"/>
    <n v="20063.16"/>
    <m/>
    <n v="324.13"/>
    <m/>
    <m/>
  </r>
  <r>
    <x v="43"/>
    <x v="34"/>
    <x v="20"/>
    <x v="22"/>
    <n v="16550"/>
    <n v="11042"/>
    <n v="55167.47"/>
    <n v="15775"/>
    <n v="38934.51"/>
    <m/>
  </r>
  <r>
    <x v="3"/>
    <x v="35"/>
    <x v="21"/>
    <x v="23"/>
    <n v="900"/>
    <m/>
    <n v="4150"/>
    <n v="3407"/>
    <m/>
    <m/>
  </r>
  <r>
    <x v="44"/>
    <x v="1"/>
    <x v="1"/>
    <x v="2"/>
    <m/>
    <m/>
    <n v="37.92"/>
    <m/>
    <m/>
    <m/>
  </r>
  <r>
    <x v="45"/>
    <x v="36"/>
    <x v="22"/>
    <x v="24"/>
    <n v="17791.88"/>
    <n v="31105.16"/>
    <m/>
    <n v="19506.129999999997"/>
    <n v="38934.5"/>
    <m/>
  </r>
  <r>
    <x v="6"/>
    <x v="1"/>
    <x v="1"/>
    <x v="2"/>
    <m/>
    <m/>
    <n v="105899.68"/>
    <m/>
    <m/>
    <m/>
  </r>
  <r>
    <x v="46"/>
    <x v="37"/>
    <x v="23"/>
    <x v="25"/>
    <n v="57650.740000000005"/>
    <n v="64799.45"/>
    <n v="124821.09"/>
    <n v="70150.92"/>
    <n v="42251.43"/>
    <m/>
  </r>
  <r>
    <x v="47"/>
    <x v="38"/>
    <x v="24"/>
    <x v="26"/>
    <n v="-9677.7200000000084"/>
    <n v="24036.210000000006"/>
    <n v="32898.299999999988"/>
    <n v="-35873.03"/>
    <n v="109301.13999999998"/>
    <m/>
  </r>
  <r>
    <x v="48"/>
    <x v="1"/>
    <x v="1"/>
    <x v="2"/>
    <m/>
    <m/>
    <m/>
    <n v="-36.54"/>
    <m/>
    <n v="22000"/>
  </r>
  <r>
    <x v="49"/>
    <x v="38"/>
    <x v="24"/>
    <x v="26"/>
    <n v="-9677.7200000000084"/>
    <n v="24036.210000000006"/>
    <n v="32860.37999999999"/>
    <n v="-35909.57"/>
    <n v="109301.13999999998"/>
    <n v="22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8DA8D4-C489-744E-AAC6-F3D0BF306398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0" firstHeaderRow="1" firstDataRow="1" firstDataCol="0"/>
  <pivotFields count="9"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92E0BB-D503-A944-BEEC-535C258AA606}" name="PivotTable5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54" firstHeaderRow="1" firstDataRow="1" firstDataCol="1"/>
  <pivotFields count="10">
    <pivotField axis="axisRow" showAll="0">
      <items count="51">
        <item x="37"/>
        <item x="10"/>
        <item x="26"/>
        <item x="35"/>
        <item x="43"/>
        <item x="18"/>
        <item x="13"/>
        <item x="12"/>
        <item x="25"/>
        <item x="1"/>
        <item x="17"/>
        <item x="31"/>
        <item x="8"/>
        <item x="14"/>
        <item x="27"/>
        <item x="40"/>
        <item x="44"/>
        <item x="49"/>
        <item x="47"/>
        <item x="48"/>
        <item x="20"/>
        <item x="28"/>
        <item x="24"/>
        <item x="21"/>
        <item x="33"/>
        <item x="9"/>
        <item x="0"/>
        <item x="23"/>
        <item x="5"/>
        <item x="39"/>
        <item x="41"/>
        <item x="7"/>
        <item x="16"/>
        <item x="46"/>
        <item x="15"/>
        <item x="4"/>
        <item x="38"/>
        <item x="19"/>
        <item x="36"/>
        <item x="11"/>
        <item x="29"/>
        <item x="45"/>
        <item x="34"/>
        <item x="42"/>
        <item x="2"/>
        <item x="22"/>
        <item x="32"/>
        <item x="30"/>
        <item x="3"/>
        <item x="6"/>
        <item t="default"/>
      </items>
    </pivotField>
    <pivotField showAll="0">
      <items count="40">
        <item x="38"/>
        <item x="30"/>
        <item x="22"/>
        <item x="13"/>
        <item x="26"/>
        <item x="31"/>
        <item x="10"/>
        <item x="32"/>
        <item x="9"/>
        <item x="29"/>
        <item x="19"/>
        <item x="11"/>
        <item x="17"/>
        <item x="24"/>
        <item x="18"/>
        <item x="7"/>
        <item x="25"/>
        <item x="21"/>
        <item x="33"/>
        <item x="14"/>
        <item x="15"/>
        <item x="20"/>
        <item x="27"/>
        <item x="35"/>
        <item x="16"/>
        <item x="23"/>
        <item x="2"/>
        <item x="4"/>
        <item x="28"/>
        <item x="6"/>
        <item x="8"/>
        <item x="34"/>
        <item x="12"/>
        <item x="36"/>
        <item x="5"/>
        <item x="37"/>
        <item x="0"/>
        <item x="3"/>
        <item x="1"/>
        <item t="default"/>
      </items>
    </pivotField>
    <pivotField showAll="0">
      <items count="26">
        <item x="15"/>
        <item x="17"/>
        <item x="19"/>
        <item x="7"/>
        <item x="5"/>
        <item x="12"/>
        <item x="9"/>
        <item x="11"/>
        <item x="13"/>
        <item x="14"/>
        <item x="16"/>
        <item x="10"/>
        <item x="21"/>
        <item x="18"/>
        <item x="6"/>
        <item x="8"/>
        <item x="3"/>
        <item x="20"/>
        <item x="22"/>
        <item x="24"/>
        <item x="23"/>
        <item x="0"/>
        <item x="4"/>
        <item x="2"/>
        <item x="1"/>
        <item t="default"/>
      </items>
    </pivotField>
    <pivotField showAll="0">
      <items count="28">
        <item x="1"/>
        <item x="20"/>
        <item x="17"/>
        <item x="8"/>
        <item x="23"/>
        <item x="11"/>
        <item x="19"/>
        <item x="21"/>
        <item x="7"/>
        <item x="13"/>
        <item x="14"/>
        <item x="9"/>
        <item x="15"/>
        <item x="16"/>
        <item x="18"/>
        <item x="6"/>
        <item x="12"/>
        <item x="26"/>
        <item x="5"/>
        <item x="10"/>
        <item x="4"/>
        <item x="22"/>
        <item x="24"/>
        <item x="0"/>
        <item x="25"/>
        <item x="3"/>
        <item x="2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0"/>
  </rowFields>
  <rowItems count="5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91DF3-6075-5144-96D0-151409107223}">
  <dimension ref="A1:U65"/>
  <sheetViews>
    <sheetView zoomScale="97" zoomScaleNormal="100" workbookViewId="0">
      <selection activeCell="C50" sqref="C50"/>
    </sheetView>
  </sheetViews>
  <sheetFormatPr baseColWidth="10" defaultRowHeight="16" x14ac:dyDescent="0.2"/>
  <cols>
    <col min="1" max="1" width="16.6640625" bestFit="1" customWidth="1"/>
    <col min="2" max="2" width="21.5" bestFit="1" customWidth="1"/>
    <col min="3" max="3" width="16.6640625" bestFit="1" customWidth="1"/>
    <col min="4" max="4" width="12.1640625" bestFit="1" customWidth="1"/>
    <col min="5" max="5" width="16.6640625" bestFit="1" customWidth="1"/>
    <col min="6" max="6" width="12.1640625" bestFit="1" customWidth="1"/>
    <col min="7" max="7" width="16.6640625" bestFit="1" customWidth="1"/>
    <col min="8" max="8" width="11.1640625" bestFit="1" customWidth="1"/>
    <col min="9" max="9" width="16.6640625" bestFit="1" customWidth="1"/>
    <col min="10" max="10" width="12.1640625" bestFit="1" customWidth="1"/>
    <col min="11" max="11" width="16.6640625" bestFit="1" customWidth="1"/>
    <col min="12" max="12" width="12.1640625" bestFit="1" customWidth="1"/>
    <col min="13" max="13" width="16.6640625" bestFit="1" customWidth="1"/>
    <col min="14" max="14" width="11.83203125" bestFit="1" customWidth="1"/>
    <col min="15" max="15" width="16.6640625" bestFit="1" customWidth="1"/>
    <col min="16" max="16" width="12.1640625" bestFit="1" customWidth="1"/>
    <col min="17" max="17" width="11.33203125" bestFit="1" customWidth="1"/>
    <col min="18" max="18" width="11.1640625" bestFit="1" customWidth="1"/>
  </cols>
  <sheetData>
    <row r="1" spans="1:21" x14ac:dyDescent="0.2">
      <c r="A1" s="62" t="s">
        <v>6</v>
      </c>
      <c r="B1" s="63"/>
      <c r="C1" s="62" t="s">
        <v>68</v>
      </c>
      <c r="D1" s="63"/>
      <c r="E1" s="62" t="s">
        <v>70</v>
      </c>
      <c r="F1" s="63"/>
      <c r="G1" s="62" t="s">
        <v>72</v>
      </c>
      <c r="H1" s="63"/>
      <c r="I1" s="62" t="s">
        <v>76</v>
      </c>
      <c r="J1" s="63"/>
      <c r="K1" s="62" t="s">
        <v>79</v>
      </c>
      <c r="L1" s="63"/>
      <c r="M1" s="62" t="s">
        <v>86</v>
      </c>
      <c r="N1" s="63"/>
      <c r="O1" s="62" t="s">
        <v>87</v>
      </c>
      <c r="P1" s="63"/>
      <c r="Q1" s="62" t="s">
        <v>89</v>
      </c>
      <c r="R1" s="63"/>
    </row>
    <row r="2" spans="1:21" x14ac:dyDescent="0.2">
      <c r="A2" s="4"/>
      <c r="B2" s="11">
        <v>44927</v>
      </c>
      <c r="C2" s="4"/>
      <c r="D2" t="s">
        <v>97</v>
      </c>
      <c r="E2" s="4"/>
      <c r="G2" s="4"/>
      <c r="I2" s="4"/>
      <c r="K2" s="4"/>
      <c r="M2" s="4"/>
      <c r="O2" s="4"/>
      <c r="Q2" s="4"/>
    </row>
    <row r="3" spans="1:21" ht="19" customHeight="1" x14ac:dyDescent="0.2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 spans="1:21" ht="19" customHeight="1" x14ac:dyDescent="0.2">
      <c r="A4" s="3"/>
      <c r="B4" s="5" t="s">
        <v>7</v>
      </c>
      <c r="C4" s="3"/>
      <c r="D4" s="5" t="s">
        <v>7</v>
      </c>
      <c r="E4" s="3"/>
      <c r="F4" s="5" t="s">
        <v>7</v>
      </c>
      <c r="G4" s="3"/>
      <c r="H4" s="5" t="s">
        <v>7</v>
      </c>
      <c r="I4" s="3"/>
      <c r="J4" s="5" t="s">
        <v>7</v>
      </c>
      <c r="K4" s="3"/>
      <c r="L4" s="5" t="s">
        <v>7</v>
      </c>
      <c r="M4" s="3"/>
      <c r="N4" s="5" t="s">
        <v>7</v>
      </c>
      <c r="O4" s="3"/>
      <c r="P4" s="5" t="s">
        <v>7</v>
      </c>
      <c r="Q4" s="3"/>
      <c r="R4" s="5" t="s">
        <v>7</v>
      </c>
      <c r="S4" s="2"/>
      <c r="T4" s="2"/>
      <c r="U4" s="2"/>
    </row>
    <row r="5" spans="1:21" ht="19" customHeight="1" x14ac:dyDescent="0.2">
      <c r="A5" s="6" t="s">
        <v>8</v>
      </c>
      <c r="B5" s="7"/>
      <c r="C5" s="6" t="s">
        <v>8</v>
      </c>
      <c r="D5" s="7"/>
      <c r="E5" s="6" t="s">
        <v>8</v>
      </c>
      <c r="F5" s="7"/>
      <c r="G5" s="6" t="s">
        <v>8</v>
      </c>
      <c r="H5" s="7"/>
      <c r="I5" s="6" t="s">
        <v>8</v>
      </c>
      <c r="J5" s="7"/>
      <c r="K5" s="6" t="s">
        <v>8</v>
      </c>
      <c r="L5" s="7"/>
      <c r="M5" s="6" t="s">
        <v>8</v>
      </c>
      <c r="N5" s="7"/>
      <c r="O5" s="6" t="s">
        <v>8</v>
      </c>
      <c r="P5" s="7"/>
      <c r="Q5" s="6" t="s">
        <v>8</v>
      </c>
      <c r="R5" s="7"/>
      <c r="S5" s="2"/>
      <c r="T5" s="2"/>
      <c r="U5" s="2"/>
    </row>
    <row r="6" spans="1:21" ht="19" customHeight="1" x14ac:dyDescent="0.2">
      <c r="A6" s="6" t="s">
        <v>9</v>
      </c>
      <c r="B6" s="7"/>
      <c r="C6" s="6" t="s">
        <v>9</v>
      </c>
      <c r="D6" s="7"/>
      <c r="E6" s="6" t="s">
        <v>9</v>
      </c>
      <c r="F6" s="7"/>
      <c r="G6" s="6" t="s">
        <v>9</v>
      </c>
      <c r="H6" s="7"/>
      <c r="I6" s="6" t="s">
        <v>9</v>
      </c>
      <c r="J6" s="7"/>
      <c r="K6" s="6" t="s">
        <v>9</v>
      </c>
      <c r="L6" s="7"/>
      <c r="M6" s="6" t="s">
        <v>9</v>
      </c>
      <c r="N6" s="7"/>
      <c r="O6" s="6" t="s">
        <v>9</v>
      </c>
      <c r="P6" s="7"/>
      <c r="Q6" s="6" t="s">
        <v>9</v>
      </c>
      <c r="R6" s="7"/>
      <c r="S6" s="2"/>
      <c r="T6" s="2"/>
      <c r="U6" s="2"/>
    </row>
    <row r="7" spans="1:21" ht="19" customHeight="1" x14ac:dyDescent="0.2">
      <c r="A7" s="6" t="s">
        <v>10</v>
      </c>
      <c r="B7" s="8">
        <f>59380</f>
        <v>59380</v>
      </c>
      <c r="C7" s="6" t="s">
        <v>10</v>
      </c>
      <c r="D7" s="8">
        <f>92300</f>
        <v>92300</v>
      </c>
      <c r="E7" s="6" t="s">
        <v>10</v>
      </c>
      <c r="F7" s="8">
        <f>66750</f>
        <v>66750</v>
      </c>
      <c r="G7" s="6" t="s">
        <v>10</v>
      </c>
      <c r="H7" s="8">
        <f>78720</f>
        <v>78720</v>
      </c>
      <c r="I7" s="6" t="s">
        <v>10</v>
      </c>
      <c r="J7" s="8">
        <f>118340</f>
        <v>118340</v>
      </c>
      <c r="K7" s="6" t="s">
        <v>10</v>
      </c>
      <c r="L7" s="8">
        <f>102365.05</f>
        <v>102365.05</v>
      </c>
      <c r="M7" s="6" t="s">
        <v>10</v>
      </c>
      <c r="N7" s="8">
        <f>66713</f>
        <v>66713</v>
      </c>
      <c r="O7" s="6" t="s">
        <v>10</v>
      </c>
      <c r="P7" s="8">
        <f>160095.52</f>
        <v>160095.51999999999</v>
      </c>
      <c r="Q7" s="6" t="s">
        <v>10</v>
      </c>
      <c r="R7" s="8">
        <f>22000</f>
        <v>22000</v>
      </c>
      <c r="S7" s="2"/>
      <c r="T7" s="2"/>
      <c r="U7" s="2"/>
    </row>
    <row r="8" spans="1:21" ht="19" customHeight="1" x14ac:dyDescent="0.2">
      <c r="A8" s="6" t="s">
        <v>11</v>
      </c>
      <c r="B8" s="9">
        <f>(B6)+(B7)</f>
        <v>59380</v>
      </c>
      <c r="C8" s="6" t="s">
        <v>11</v>
      </c>
      <c r="D8" s="9">
        <f>(D6)+(D7)</f>
        <v>92300</v>
      </c>
      <c r="E8" s="6" t="s">
        <v>11</v>
      </c>
      <c r="F8" s="9">
        <f>(F6)+(F7)</f>
        <v>66750</v>
      </c>
      <c r="G8" s="6" t="s">
        <v>73</v>
      </c>
      <c r="H8" s="8">
        <f>400</f>
        <v>400</v>
      </c>
      <c r="I8" s="6" t="s">
        <v>11</v>
      </c>
      <c r="J8" s="9">
        <f>(J6)+(J7)</f>
        <v>118340</v>
      </c>
      <c r="K8" s="6" t="s">
        <v>11</v>
      </c>
      <c r="L8" s="9">
        <f>(L6)+(L7)</f>
        <v>102365.05</v>
      </c>
      <c r="M8" s="6" t="s">
        <v>73</v>
      </c>
      <c r="N8" s="8">
        <f>225</f>
        <v>225</v>
      </c>
      <c r="O8" s="6" t="s">
        <v>11</v>
      </c>
      <c r="P8" s="9">
        <f>(P6)+(P7)</f>
        <v>160095.51999999999</v>
      </c>
      <c r="Q8" s="6" t="s">
        <v>11</v>
      </c>
      <c r="R8" s="9">
        <f>(R6)+(R7)</f>
        <v>22000</v>
      </c>
      <c r="S8" s="2"/>
      <c r="T8" s="2"/>
      <c r="U8" s="2"/>
    </row>
    <row r="9" spans="1:21" ht="19" customHeight="1" x14ac:dyDescent="0.2">
      <c r="A9" s="6" t="s">
        <v>12</v>
      </c>
      <c r="B9" s="7"/>
      <c r="C9" s="6" t="s">
        <v>12</v>
      </c>
      <c r="D9" s="8">
        <f>65250</f>
        <v>65250</v>
      </c>
      <c r="E9" s="6" t="s">
        <v>71</v>
      </c>
      <c r="F9" s="8">
        <f>-1000</f>
        <v>-1000</v>
      </c>
      <c r="G9" s="6" t="s">
        <v>11</v>
      </c>
      <c r="H9" s="9">
        <f>((H6)+(H7))+(H8)</f>
        <v>79120</v>
      </c>
      <c r="I9" s="6" t="s">
        <v>71</v>
      </c>
      <c r="J9" s="8">
        <f>-2100</f>
        <v>-2100</v>
      </c>
      <c r="K9" s="6" t="s">
        <v>12</v>
      </c>
      <c r="L9" s="8">
        <f>95486</f>
        <v>95486</v>
      </c>
      <c r="M9" s="6" t="s">
        <v>11</v>
      </c>
      <c r="N9" s="9">
        <f>((N6)+(N7))+(N8)</f>
        <v>66938</v>
      </c>
      <c r="O9" s="6" t="s">
        <v>71</v>
      </c>
      <c r="P9" s="8">
        <f>-500</f>
        <v>-500</v>
      </c>
      <c r="Q9" s="6" t="s">
        <v>15</v>
      </c>
      <c r="R9" s="9">
        <f>R8</f>
        <v>22000</v>
      </c>
      <c r="S9" s="2"/>
      <c r="T9" s="2"/>
      <c r="U9" s="2"/>
    </row>
    <row r="10" spans="1:21" ht="19" customHeight="1" x14ac:dyDescent="0.2">
      <c r="A10" s="6" t="s">
        <v>13</v>
      </c>
      <c r="B10" s="8">
        <f>4275</f>
        <v>4275</v>
      </c>
      <c r="C10" s="6" t="s">
        <v>15</v>
      </c>
      <c r="D10" s="9">
        <f>(D8)+(D9)</f>
        <v>157550</v>
      </c>
      <c r="E10" s="6" t="s">
        <v>12</v>
      </c>
      <c r="F10" s="8">
        <f>41242</f>
        <v>41242</v>
      </c>
      <c r="G10" s="6" t="s">
        <v>12</v>
      </c>
      <c r="H10" s="8">
        <f>7100</f>
        <v>7100</v>
      </c>
      <c r="I10" s="6" t="s">
        <v>12</v>
      </c>
      <c r="J10" s="8">
        <f>18625</f>
        <v>18625</v>
      </c>
      <c r="K10" s="6" t="s">
        <v>15</v>
      </c>
      <c r="L10" s="9">
        <f>(L8)+(L9)</f>
        <v>197851.05</v>
      </c>
      <c r="M10" s="6" t="s">
        <v>71</v>
      </c>
      <c r="N10" s="8">
        <f>-200</f>
        <v>-200</v>
      </c>
      <c r="O10" s="6" t="s">
        <v>15</v>
      </c>
      <c r="P10" s="9">
        <f>(P8)+(P9)</f>
        <v>159595.51999999999</v>
      </c>
      <c r="Q10" s="6" t="s">
        <v>21</v>
      </c>
      <c r="R10" s="9">
        <f>(R9)-(0)</f>
        <v>22000</v>
      </c>
      <c r="S10" s="2"/>
      <c r="T10" s="2"/>
      <c r="U10" s="2"/>
    </row>
    <row r="11" spans="1:21" ht="19" customHeight="1" x14ac:dyDescent="0.2">
      <c r="A11" s="6" t="s">
        <v>14</v>
      </c>
      <c r="B11" s="9">
        <f>(B9)+(B10)</f>
        <v>4275</v>
      </c>
      <c r="C11" s="6" t="s">
        <v>16</v>
      </c>
      <c r="D11" s="7"/>
      <c r="E11" s="6" t="s">
        <v>15</v>
      </c>
      <c r="F11" s="9">
        <f>((F8)+(F9))+(F10)</f>
        <v>106992</v>
      </c>
      <c r="G11" s="6" t="s">
        <v>15</v>
      </c>
      <c r="H11" s="9">
        <f>(H9)+(H10)</f>
        <v>86220</v>
      </c>
      <c r="I11" s="6" t="s">
        <v>15</v>
      </c>
      <c r="J11" s="9">
        <f>((J8)+(J9))+(J10)</f>
        <v>134865</v>
      </c>
      <c r="K11" s="6" t="s">
        <v>16</v>
      </c>
      <c r="L11" s="7"/>
      <c r="M11" s="6" t="s">
        <v>12</v>
      </c>
      <c r="N11" s="8">
        <f>9500</f>
        <v>9500</v>
      </c>
      <c r="O11" s="6" t="s">
        <v>16</v>
      </c>
      <c r="P11" s="7"/>
      <c r="Q11" s="6" t="s">
        <v>22</v>
      </c>
      <c r="R11" s="7"/>
      <c r="S11" s="2"/>
      <c r="T11" s="2"/>
      <c r="U11" s="2"/>
    </row>
    <row r="12" spans="1:21" ht="19" customHeight="1" x14ac:dyDescent="0.2">
      <c r="A12" s="6" t="s">
        <v>15</v>
      </c>
      <c r="B12" s="9">
        <f>(B8)+(B11)</f>
        <v>63655</v>
      </c>
      <c r="C12" s="6" t="s">
        <v>17</v>
      </c>
      <c r="D12" s="7"/>
      <c r="E12" s="6" t="s">
        <v>16</v>
      </c>
      <c r="F12" s="7"/>
      <c r="G12" s="6" t="s">
        <v>16</v>
      </c>
      <c r="H12" s="7"/>
      <c r="I12" s="6" t="s">
        <v>16</v>
      </c>
      <c r="J12" s="7"/>
      <c r="K12" s="6" t="s">
        <v>17</v>
      </c>
      <c r="L12" s="7"/>
      <c r="M12" s="6" t="s">
        <v>15</v>
      </c>
      <c r="N12" s="9">
        <f>((N9)+(N10))+(N11)</f>
        <v>76238</v>
      </c>
      <c r="O12" s="6" t="s">
        <v>17</v>
      </c>
      <c r="P12" s="7"/>
      <c r="Q12" s="6" t="s">
        <v>65</v>
      </c>
      <c r="R12" s="7"/>
      <c r="S12" s="2"/>
      <c r="T12" s="2"/>
      <c r="U12" s="2"/>
    </row>
    <row r="13" spans="1:21" ht="19" customHeight="1" x14ac:dyDescent="0.2">
      <c r="A13" s="6" t="s">
        <v>16</v>
      </c>
      <c r="B13" s="7"/>
      <c r="C13" s="6" t="s">
        <v>18</v>
      </c>
      <c r="D13" s="8">
        <f>18649.81</f>
        <v>18649.810000000001</v>
      </c>
      <c r="E13" s="6" t="s">
        <v>17</v>
      </c>
      <c r="F13" s="7"/>
      <c r="G13" s="6" t="s">
        <v>17</v>
      </c>
      <c r="H13" s="7"/>
      <c r="I13" s="6" t="s">
        <v>17</v>
      </c>
      <c r="J13" s="7"/>
      <c r="K13" s="6" t="s">
        <v>18</v>
      </c>
      <c r="L13" s="8">
        <f>40131.66</f>
        <v>40131.660000000003</v>
      </c>
      <c r="M13" s="6" t="s">
        <v>16</v>
      </c>
      <c r="N13" s="7"/>
      <c r="O13" s="6" t="s">
        <v>18</v>
      </c>
      <c r="P13" s="8">
        <f>8042.95</f>
        <v>8042.95</v>
      </c>
      <c r="Q13" s="6" t="s">
        <v>66</v>
      </c>
      <c r="R13" s="9">
        <f>(R10)-(R12)</f>
        <v>22000</v>
      </c>
      <c r="S13" s="2"/>
      <c r="T13" s="2"/>
      <c r="U13" s="2"/>
    </row>
    <row r="14" spans="1:21" ht="19" customHeight="1" x14ac:dyDescent="0.2">
      <c r="A14" s="6" t="s">
        <v>17</v>
      </c>
      <c r="B14" s="7"/>
      <c r="C14" s="6" t="s">
        <v>19</v>
      </c>
      <c r="D14" s="9">
        <f>(D12)+(D13)</f>
        <v>18649.810000000001</v>
      </c>
      <c r="E14" s="6" t="s">
        <v>18</v>
      </c>
      <c r="F14" s="8">
        <f>32926.31</f>
        <v>32926.31</v>
      </c>
      <c r="G14" s="6" t="s">
        <v>18</v>
      </c>
      <c r="H14" s="8">
        <f>38246.98</f>
        <v>38246.980000000003</v>
      </c>
      <c r="I14" s="6" t="s">
        <v>18</v>
      </c>
      <c r="J14" s="8">
        <f>46029.34</f>
        <v>46029.34</v>
      </c>
      <c r="K14" s="6" t="s">
        <v>19</v>
      </c>
      <c r="L14" s="9">
        <f>(L12)+(L13)</f>
        <v>40131.660000000003</v>
      </c>
      <c r="M14" s="6" t="s">
        <v>17</v>
      </c>
      <c r="N14" s="7"/>
      <c r="O14" s="6" t="s">
        <v>19</v>
      </c>
      <c r="P14" s="9">
        <f>(P12)+(P13)</f>
        <v>8042.95</v>
      </c>
      <c r="Q14" s="6" t="s">
        <v>67</v>
      </c>
      <c r="R14" s="9">
        <f>(R13)+(0)</f>
        <v>22000</v>
      </c>
      <c r="S14" s="2"/>
      <c r="T14" s="2"/>
      <c r="U14" s="2"/>
    </row>
    <row r="15" spans="1:21" ht="19" customHeight="1" x14ac:dyDescent="0.2">
      <c r="A15" s="6" t="s">
        <v>18</v>
      </c>
      <c r="B15" s="8">
        <f>10040.24</f>
        <v>10040.24</v>
      </c>
      <c r="C15" s="6" t="s">
        <v>20</v>
      </c>
      <c r="D15" s="9">
        <f>D14</f>
        <v>18649.810000000001</v>
      </c>
      <c r="E15" s="6" t="s">
        <v>19</v>
      </c>
      <c r="F15" s="9">
        <f>(F13)+(F14)</f>
        <v>32926.31</v>
      </c>
      <c r="G15" s="6" t="s">
        <v>19</v>
      </c>
      <c r="H15" s="9">
        <f>(H13)+(H14)</f>
        <v>38246.980000000003</v>
      </c>
      <c r="I15" s="6" t="s">
        <v>19</v>
      </c>
      <c r="J15" s="9">
        <f>(J13)+(J14)</f>
        <v>46029.34</v>
      </c>
      <c r="K15" s="6" t="s">
        <v>20</v>
      </c>
      <c r="L15" s="9">
        <f>L14</f>
        <v>40131.660000000003</v>
      </c>
      <c r="M15" s="6" t="s">
        <v>18</v>
      </c>
      <c r="N15" s="8">
        <f>41960.11</f>
        <v>41960.11</v>
      </c>
      <c r="O15" s="6" t="s">
        <v>20</v>
      </c>
      <c r="P15" s="9">
        <f>P14</f>
        <v>8042.95</v>
      </c>
      <c r="Q15" s="2"/>
      <c r="R15" s="2"/>
      <c r="S15" s="2"/>
      <c r="T15" s="2"/>
      <c r="U15" s="2"/>
    </row>
    <row r="16" spans="1:21" ht="19" customHeight="1" x14ac:dyDescent="0.2">
      <c r="A16" s="6" t="s">
        <v>19</v>
      </c>
      <c r="B16" s="9">
        <f>(B14)+(B15)</f>
        <v>10040.24</v>
      </c>
      <c r="C16" s="6" t="s">
        <v>21</v>
      </c>
      <c r="D16" s="9">
        <f>(D10)-(D15)</f>
        <v>138900.19</v>
      </c>
      <c r="E16" s="6" t="s">
        <v>20</v>
      </c>
      <c r="F16" s="9">
        <f>F15</f>
        <v>32926.31</v>
      </c>
      <c r="G16" s="6" t="s">
        <v>20</v>
      </c>
      <c r="H16" s="9">
        <f>H15</f>
        <v>38246.980000000003</v>
      </c>
      <c r="I16" s="6" t="s">
        <v>20</v>
      </c>
      <c r="J16" s="9">
        <f>J15</f>
        <v>46029.34</v>
      </c>
      <c r="K16" s="6" t="s">
        <v>21</v>
      </c>
      <c r="L16" s="9">
        <f>(L10)-(L15)</f>
        <v>157719.38999999998</v>
      </c>
      <c r="M16" s="6" t="s">
        <v>19</v>
      </c>
      <c r="N16" s="9">
        <f>(N14)+(N15)</f>
        <v>41960.11</v>
      </c>
      <c r="O16" s="6" t="s">
        <v>21</v>
      </c>
      <c r="P16" s="9">
        <f>(P10)-(P15)</f>
        <v>151552.56999999998</v>
      </c>
      <c r="Q16" s="2"/>
      <c r="R16" s="2"/>
      <c r="S16" s="2"/>
      <c r="T16" s="2"/>
      <c r="U16" s="2"/>
    </row>
    <row r="17" spans="1:21" ht="19" customHeight="1" x14ac:dyDescent="0.2">
      <c r="A17" s="6" t="s">
        <v>20</v>
      </c>
      <c r="B17" s="9">
        <f>B16</f>
        <v>10040.24</v>
      </c>
      <c r="C17" s="6" t="s">
        <v>22</v>
      </c>
      <c r="D17" s="7"/>
      <c r="E17" s="6" t="s">
        <v>21</v>
      </c>
      <c r="F17" s="9">
        <f>(F11)-(F16)</f>
        <v>74065.69</v>
      </c>
      <c r="G17" s="6" t="s">
        <v>21</v>
      </c>
      <c r="H17" s="9">
        <f>(H11)-(H16)</f>
        <v>47973.02</v>
      </c>
      <c r="I17" s="6" t="s">
        <v>21</v>
      </c>
      <c r="J17" s="9">
        <f>(J11)-(J16)</f>
        <v>88835.66</v>
      </c>
      <c r="K17" s="6" t="s">
        <v>22</v>
      </c>
      <c r="L17" s="7"/>
      <c r="M17" s="6" t="s">
        <v>20</v>
      </c>
      <c r="N17" s="9">
        <f>N16</f>
        <v>41960.11</v>
      </c>
      <c r="O17" s="6" t="s">
        <v>22</v>
      </c>
      <c r="P17" s="7"/>
      <c r="Q17" s="2"/>
      <c r="R17" s="2"/>
      <c r="S17" s="2"/>
      <c r="T17" s="2"/>
      <c r="U17" s="2"/>
    </row>
    <row r="18" spans="1:21" ht="19" customHeight="1" x14ac:dyDescent="0.2">
      <c r="A18" s="6" t="s">
        <v>21</v>
      </c>
      <c r="B18" s="9">
        <f>(B12)-(B17)</f>
        <v>53614.76</v>
      </c>
      <c r="C18" s="6" t="s">
        <v>23</v>
      </c>
      <c r="D18" s="7"/>
      <c r="E18" s="6" t="s">
        <v>22</v>
      </c>
      <c r="F18" s="7"/>
      <c r="G18" s="6" t="s">
        <v>22</v>
      </c>
      <c r="H18" s="7"/>
      <c r="I18" s="6" t="s">
        <v>22</v>
      </c>
      <c r="J18" s="7"/>
      <c r="K18" s="6" t="s">
        <v>23</v>
      </c>
      <c r="L18" s="7"/>
      <c r="M18" s="6" t="s">
        <v>21</v>
      </c>
      <c r="N18" s="9">
        <f>(N12)-(N17)</f>
        <v>34277.89</v>
      </c>
      <c r="O18" s="6" t="s">
        <v>23</v>
      </c>
      <c r="P18" s="7"/>
      <c r="Q18" s="2"/>
      <c r="R18" s="2"/>
      <c r="S18" s="2"/>
      <c r="T18" s="2"/>
      <c r="U18" s="2"/>
    </row>
    <row r="19" spans="1:21" ht="19" customHeight="1" x14ac:dyDescent="0.2">
      <c r="A19" s="6" t="s">
        <v>22</v>
      </c>
      <c r="B19" s="7"/>
      <c r="C19" s="6" t="s">
        <v>24</v>
      </c>
      <c r="D19" s="8">
        <f>291.35</f>
        <v>291.35000000000002</v>
      </c>
      <c r="E19" s="6" t="s">
        <v>23</v>
      </c>
      <c r="F19" s="7"/>
      <c r="G19" s="6" t="s">
        <v>23</v>
      </c>
      <c r="H19" s="7"/>
      <c r="I19" s="6" t="s">
        <v>23</v>
      </c>
      <c r="J19" s="7"/>
      <c r="K19" s="6" t="s">
        <v>74</v>
      </c>
      <c r="L19" s="8">
        <f>2806.53</f>
        <v>2806.53</v>
      </c>
      <c r="M19" s="6" t="s">
        <v>22</v>
      </c>
      <c r="N19" s="7"/>
      <c r="O19" s="6" t="s">
        <v>24</v>
      </c>
      <c r="P19" s="8">
        <f>441.42</f>
        <v>441.42</v>
      </c>
      <c r="Q19" s="2"/>
      <c r="R19" s="2"/>
      <c r="S19" s="2"/>
      <c r="T19" s="2"/>
      <c r="U19" s="2"/>
    </row>
    <row r="20" spans="1:21" ht="19" customHeight="1" x14ac:dyDescent="0.2">
      <c r="A20" s="6" t="s">
        <v>23</v>
      </c>
      <c r="B20" s="7"/>
      <c r="C20" s="6" t="s">
        <v>95</v>
      </c>
      <c r="D20" s="9">
        <f>(D18)+(D19)</f>
        <v>291.35000000000002</v>
      </c>
      <c r="E20" s="6" t="s">
        <v>24</v>
      </c>
      <c r="F20" s="8">
        <f>2110.07</f>
        <v>2110.0700000000002</v>
      </c>
      <c r="G20" s="6" t="s">
        <v>74</v>
      </c>
      <c r="H20" s="8">
        <f>449</f>
        <v>449</v>
      </c>
      <c r="I20" s="6" t="s">
        <v>74</v>
      </c>
      <c r="J20" s="8">
        <f>1724.76</f>
        <v>1724.76</v>
      </c>
      <c r="K20" s="6" t="s">
        <v>95</v>
      </c>
      <c r="L20" s="9">
        <f>(L18)+(L19)</f>
        <v>2806.53</v>
      </c>
      <c r="M20" s="6" t="s">
        <v>23</v>
      </c>
      <c r="N20" s="7"/>
      <c r="O20" s="6" t="s">
        <v>74</v>
      </c>
      <c r="P20" s="8">
        <f>1228.9</f>
        <v>1228.9000000000001</v>
      </c>
      <c r="Q20" s="2"/>
      <c r="R20" s="2"/>
      <c r="S20" s="2"/>
      <c r="T20" s="2"/>
      <c r="U20" s="2"/>
    </row>
    <row r="21" spans="1:21" ht="19" customHeight="1" x14ac:dyDescent="0.2">
      <c r="A21" s="6" t="s">
        <v>24</v>
      </c>
      <c r="B21" s="8">
        <f>1237.67</f>
        <v>1237.67</v>
      </c>
      <c r="C21" s="6" t="s">
        <v>25</v>
      </c>
      <c r="D21" s="7"/>
      <c r="E21" s="6" t="s">
        <v>95</v>
      </c>
      <c r="F21" s="9">
        <f>(F19)+(F20)</f>
        <v>2110.0700000000002</v>
      </c>
      <c r="G21" s="6" t="s">
        <v>95</v>
      </c>
      <c r="H21" s="9">
        <f>(H19)+(H20)</f>
        <v>449</v>
      </c>
      <c r="I21" s="6" t="s">
        <v>95</v>
      </c>
      <c r="J21" s="9">
        <f>(J19)+(J20)</f>
        <v>1724.76</v>
      </c>
      <c r="K21" s="6" t="s">
        <v>25</v>
      </c>
      <c r="L21" s="7"/>
      <c r="M21" s="6" t="s">
        <v>24</v>
      </c>
      <c r="N21" s="8">
        <f>444.29</f>
        <v>444.29</v>
      </c>
      <c r="O21" s="6" t="s">
        <v>95</v>
      </c>
      <c r="P21" s="9">
        <f>((P18)+(P19))+(P20)</f>
        <v>1670.3200000000002</v>
      </c>
      <c r="Q21" s="2"/>
      <c r="R21" s="2"/>
      <c r="S21" s="2"/>
      <c r="T21" s="2"/>
      <c r="U21" s="2"/>
    </row>
    <row r="22" spans="1:21" ht="19" customHeight="1" x14ac:dyDescent="0.2">
      <c r="A22" s="6" t="s">
        <v>96</v>
      </c>
      <c r="B22" s="9">
        <f>(B20)+(B21)</f>
        <v>1237.67</v>
      </c>
      <c r="C22" s="6" t="s">
        <v>26</v>
      </c>
      <c r="D22" s="7"/>
      <c r="E22" s="6" t="s">
        <v>25</v>
      </c>
      <c r="F22" s="7"/>
      <c r="G22" s="6" t="s">
        <v>25</v>
      </c>
      <c r="H22" s="7"/>
      <c r="I22" s="6" t="s">
        <v>25</v>
      </c>
      <c r="J22" s="7"/>
      <c r="K22" s="6" t="s">
        <v>26</v>
      </c>
      <c r="L22" s="7"/>
      <c r="M22" s="6" t="s">
        <v>74</v>
      </c>
      <c r="N22" s="8">
        <f>2437.48</f>
        <v>2437.48</v>
      </c>
      <c r="O22" s="6" t="s">
        <v>34</v>
      </c>
      <c r="P22" s="7"/>
      <c r="Q22" s="2"/>
      <c r="R22" s="2"/>
      <c r="S22" s="2"/>
      <c r="T22" s="2"/>
      <c r="U22" s="2"/>
    </row>
    <row r="23" spans="1:21" ht="19" customHeight="1" x14ac:dyDescent="0.2">
      <c r="A23" s="6" t="s">
        <v>25</v>
      </c>
      <c r="B23" s="7"/>
      <c r="C23" s="6" t="s">
        <v>27</v>
      </c>
      <c r="D23" s="8">
        <f>17721.34</f>
        <v>17721.34</v>
      </c>
      <c r="E23" s="6" t="s">
        <v>26</v>
      </c>
      <c r="F23" s="7"/>
      <c r="G23" s="6" t="s">
        <v>26</v>
      </c>
      <c r="H23" s="7"/>
      <c r="I23" s="6" t="s">
        <v>26</v>
      </c>
      <c r="J23" s="7"/>
      <c r="K23" s="6" t="s">
        <v>27</v>
      </c>
      <c r="L23" s="8">
        <f>9611.61</f>
        <v>9611.61</v>
      </c>
      <c r="M23" s="6" t="s">
        <v>95</v>
      </c>
      <c r="N23" s="9">
        <f>((N20)+(N21))+(N22)</f>
        <v>2881.77</v>
      </c>
      <c r="O23" s="6" t="s">
        <v>36</v>
      </c>
      <c r="P23" s="8">
        <f>528.56</f>
        <v>528.55999999999995</v>
      </c>
      <c r="Q23" s="2"/>
      <c r="R23" s="2"/>
      <c r="S23" s="2"/>
      <c r="T23" s="2"/>
      <c r="U23" s="2"/>
    </row>
    <row r="24" spans="1:21" ht="19" customHeight="1" x14ac:dyDescent="0.2">
      <c r="A24" s="6" t="s">
        <v>26</v>
      </c>
      <c r="B24" s="7"/>
      <c r="C24" s="6" t="s">
        <v>28</v>
      </c>
      <c r="D24" s="9">
        <f>(D22)+(D23)</f>
        <v>17721.34</v>
      </c>
      <c r="E24" s="6" t="s">
        <v>27</v>
      </c>
      <c r="F24" s="8">
        <f>22315.62</f>
        <v>22315.62</v>
      </c>
      <c r="G24" s="6" t="s">
        <v>27</v>
      </c>
      <c r="H24" s="8">
        <f>26211.84</f>
        <v>26211.84</v>
      </c>
      <c r="I24" s="6" t="s">
        <v>27</v>
      </c>
      <c r="J24" s="8">
        <f>14544.1</f>
        <v>14544.1</v>
      </c>
      <c r="K24" s="6" t="s">
        <v>28</v>
      </c>
      <c r="L24" s="9">
        <f>(L22)+(L23)</f>
        <v>9611.61</v>
      </c>
      <c r="M24" s="6" t="s">
        <v>25</v>
      </c>
      <c r="N24" s="7"/>
      <c r="O24" s="6" t="s">
        <v>37</v>
      </c>
      <c r="P24" s="9">
        <f>(P22)+(P23)</f>
        <v>528.55999999999995</v>
      </c>
      <c r="Q24" s="2"/>
      <c r="R24" s="2"/>
      <c r="S24" s="2"/>
      <c r="T24" s="2"/>
      <c r="U24" s="2"/>
    </row>
    <row r="25" spans="1:21" ht="19" customHeight="1" x14ac:dyDescent="0.2">
      <c r="A25" s="6" t="s">
        <v>27</v>
      </c>
      <c r="B25" s="8">
        <f>16130.26</f>
        <v>16130.26</v>
      </c>
      <c r="C25" s="6" t="s">
        <v>29</v>
      </c>
      <c r="D25" s="7"/>
      <c r="E25" s="6" t="s">
        <v>28</v>
      </c>
      <c r="F25" s="9">
        <f>(F23)+(F24)</f>
        <v>22315.62</v>
      </c>
      <c r="G25" s="6" t="s">
        <v>28</v>
      </c>
      <c r="H25" s="9">
        <f>(H23)+(H24)</f>
        <v>26211.84</v>
      </c>
      <c r="I25" s="6" t="s">
        <v>28</v>
      </c>
      <c r="J25" s="9">
        <f>(J23)+(J24)</f>
        <v>14544.1</v>
      </c>
      <c r="K25" s="6" t="s">
        <v>29</v>
      </c>
      <c r="L25" s="7"/>
      <c r="M25" s="6" t="s">
        <v>26</v>
      </c>
      <c r="N25" s="7"/>
      <c r="O25" s="6" t="s">
        <v>38</v>
      </c>
      <c r="P25" s="7"/>
      <c r="Q25" s="2"/>
      <c r="R25" s="2"/>
      <c r="S25" s="2"/>
      <c r="T25" s="2"/>
      <c r="U25" s="2"/>
    </row>
    <row r="26" spans="1:21" ht="19" customHeight="1" x14ac:dyDescent="0.2">
      <c r="A26" s="6" t="s">
        <v>94</v>
      </c>
      <c r="B26" s="9">
        <f>(B24)+(B25)</f>
        <v>16130.26</v>
      </c>
      <c r="C26" s="6" t="s">
        <v>31</v>
      </c>
      <c r="D26" s="8">
        <f>220</f>
        <v>220</v>
      </c>
      <c r="E26" s="6" t="s">
        <v>29</v>
      </c>
      <c r="F26" s="7"/>
      <c r="G26" s="6" t="s">
        <v>29</v>
      </c>
      <c r="H26" s="7"/>
      <c r="I26" s="6" t="s">
        <v>29</v>
      </c>
      <c r="J26" s="7"/>
      <c r="K26" s="6" t="s">
        <v>30</v>
      </c>
      <c r="L26" s="8">
        <f>318.62</f>
        <v>318.62</v>
      </c>
      <c r="M26" s="6" t="s">
        <v>27</v>
      </c>
      <c r="N26" s="8">
        <f>28667.57</f>
        <v>28667.57</v>
      </c>
      <c r="O26" s="6" t="s">
        <v>41</v>
      </c>
      <c r="P26" s="8">
        <f>54.69</f>
        <v>54.69</v>
      </c>
      <c r="Q26" s="2"/>
      <c r="R26" s="2"/>
      <c r="S26" s="2"/>
      <c r="T26" s="2"/>
      <c r="U26" s="2"/>
    </row>
    <row r="27" spans="1:21" ht="19" customHeight="1" x14ac:dyDescent="0.2">
      <c r="A27" s="6" t="s">
        <v>29</v>
      </c>
      <c r="B27" s="7"/>
      <c r="C27" s="6" t="s">
        <v>32</v>
      </c>
      <c r="D27" s="9">
        <f>(D25)+(D26)</f>
        <v>220</v>
      </c>
      <c r="E27" s="6" t="s">
        <v>30</v>
      </c>
      <c r="F27" s="8">
        <f>766.3</f>
        <v>766.3</v>
      </c>
      <c r="G27" s="6" t="s">
        <v>30</v>
      </c>
      <c r="H27" s="8">
        <f>1649.7</f>
        <v>1649.7</v>
      </c>
      <c r="I27" s="6" t="s">
        <v>77</v>
      </c>
      <c r="J27" s="8">
        <f>1520</f>
        <v>1520</v>
      </c>
      <c r="K27" s="6" t="s">
        <v>31</v>
      </c>
      <c r="L27" s="8">
        <f>220</f>
        <v>220</v>
      </c>
      <c r="M27" s="6" t="s">
        <v>28</v>
      </c>
      <c r="N27" s="9">
        <f>(N25)+(N26)</f>
        <v>28667.57</v>
      </c>
      <c r="O27" s="6" t="s">
        <v>48</v>
      </c>
      <c r="P27" s="7"/>
      <c r="Q27" s="2"/>
      <c r="R27" s="2"/>
      <c r="S27" s="2"/>
      <c r="T27" s="2"/>
      <c r="U27" s="2"/>
    </row>
    <row r="28" spans="1:21" ht="19" customHeight="1" x14ac:dyDescent="0.2">
      <c r="A28" s="6" t="s">
        <v>30</v>
      </c>
      <c r="B28" s="8">
        <f>414.97</f>
        <v>414.97</v>
      </c>
      <c r="C28" s="6" t="s">
        <v>33</v>
      </c>
      <c r="D28" s="9">
        <f>((D21)+(D24))+(D27)</f>
        <v>17941.34</v>
      </c>
      <c r="E28" s="6" t="s">
        <v>31</v>
      </c>
      <c r="F28" s="8">
        <f>220</f>
        <v>220</v>
      </c>
      <c r="G28" s="6" t="s">
        <v>31</v>
      </c>
      <c r="H28" s="8">
        <f>220</f>
        <v>220</v>
      </c>
      <c r="I28" s="6" t="s">
        <v>30</v>
      </c>
      <c r="J28" s="8">
        <f>337.89</f>
        <v>337.89</v>
      </c>
      <c r="K28" s="6" t="s">
        <v>32</v>
      </c>
      <c r="L28" s="9">
        <f>((L25)+(L26))+(L27)</f>
        <v>538.62</v>
      </c>
      <c r="M28" s="6" t="s">
        <v>29</v>
      </c>
      <c r="N28" s="7"/>
      <c r="O28" s="6" t="s">
        <v>50</v>
      </c>
      <c r="P28" s="8">
        <f>595.75</f>
        <v>595.75</v>
      </c>
      <c r="Q28" s="2"/>
      <c r="R28" s="2"/>
      <c r="S28" s="2"/>
      <c r="T28" s="2"/>
      <c r="U28" s="2"/>
    </row>
    <row r="29" spans="1:21" ht="19" customHeight="1" x14ac:dyDescent="0.2">
      <c r="A29" s="6" t="s">
        <v>31</v>
      </c>
      <c r="B29" s="8">
        <f>220</f>
        <v>220</v>
      </c>
      <c r="C29" s="6" t="s">
        <v>34</v>
      </c>
      <c r="D29" s="7"/>
      <c r="E29" s="6" t="s">
        <v>32</v>
      </c>
      <c r="F29" s="9">
        <f>((F26)+(F27))+(F28)</f>
        <v>986.3</v>
      </c>
      <c r="G29" s="6" t="s">
        <v>32</v>
      </c>
      <c r="H29" s="9">
        <f>((H26)+(H27))+(H28)</f>
        <v>1869.7</v>
      </c>
      <c r="I29" s="6" t="s">
        <v>31</v>
      </c>
      <c r="J29" s="8">
        <f>220</f>
        <v>220</v>
      </c>
      <c r="K29" s="6" t="s">
        <v>33</v>
      </c>
      <c r="L29" s="9">
        <f>((L21)+(L24))+(L28)</f>
        <v>10150.230000000001</v>
      </c>
      <c r="M29" s="6" t="s">
        <v>30</v>
      </c>
      <c r="N29" s="8">
        <f>383.55</f>
        <v>383.55</v>
      </c>
      <c r="O29" s="6" t="s">
        <v>52</v>
      </c>
      <c r="P29" s="9">
        <f>(P27)+(P28)</f>
        <v>595.75</v>
      </c>
      <c r="Q29" s="2"/>
      <c r="R29" s="2"/>
      <c r="S29" s="2"/>
      <c r="T29" s="2"/>
      <c r="U29" s="2"/>
    </row>
    <row r="30" spans="1:21" ht="19" customHeight="1" x14ac:dyDescent="0.2">
      <c r="A30" s="6" t="s">
        <v>32</v>
      </c>
      <c r="B30" s="9">
        <f>((B27)+(B28))+(B29)</f>
        <v>634.97</v>
      </c>
      <c r="C30" s="6" t="s">
        <v>36</v>
      </c>
      <c r="D30" s="8">
        <f>474.22</f>
        <v>474.22</v>
      </c>
      <c r="E30" s="6" t="s">
        <v>33</v>
      </c>
      <c r="F30" s="9">
        <f>((F22)+(F25))+(F29)</f>
        <v>23301.919999999998</v>
      </c>
      <c r="G30" s="6" t="s">
        <v>33</v>
      </c>
      <c r="H30" s="9">
        <f>((H22)+(H25))+(H29)</f>
        <v>28081.54</v>
      </c>
      <c r="I30" s="6" t="s">
        <v>32</v>
      </c>
      <c r="J30" s="9">
        <f>(((J26)+(J27))+(J28))+(J29)</f>
        <v>2077.89</v>
      </c>
      <c r="K30" s="6" t="s">
        <v>34</v>
      </c>
      <c r="L30" s="7"/>
      <c r="M30" s="6" t="s">
        <v>31</v>
      </c>
      <c r="N30" s="8">
        <f>220</f>
        <v>220</v>
      </c>
      <c r="O30" s="6" t="s">
        <v>69</v>
      </c>
      <c r="P30" s="8">
        <f>117</f>
        <v>117</v>
      </c>
      <c r="Q30" s="2"/>
      <c r="R30" s="2"/>
      <c r="S30" s="2"/>
      <c r="T30" s="2"/>
      <c r="U30" s="2"/>
    </row>
    <row r="31" spans="1:21" ht="19" customHeight="1" x14ac:dyDescent="0.2">
      <c r="A31" s="6" t="s">
        <v>33</v>
      </c>
      <c r="B31" s="9">
        <f>((B23)+(B26))+(B30)</f>
        <v>16765.23</v>
      </c>
      <c r="C31" s="6" t="s">
        <v>37</v>
      </c>
      <c r="D31" s="9">
        <f>(D29)+(D30)</f>
        <v>474.22</v>
      </c>
      <c r="E31" s="6" t="s">
        <v>34</v>
      </c>
      <c r="F31" s="7"/>
      <c r="G31" s="6" t="s">
        <v>34</v>
      </c>
      <c r="H31" s="7"/>
      <c r="I31" s="6" t="s">
        <v>33</v>
      </c>
      <c r="J31" s="9">
        <f>((J22)+(J25))+(J30)</f>
        <v>16621.990000000002</v>
      </c>
      <c r="K31" s="6" t="s">
        <v>35</v>
      </c>
      <c r="L31" s="8">
        <f>1581.69</f>
        <v>1581.69</v>
      </c>
      <c r="M31" s="6" t="s">
        <v>32</v>
      </c>
      <c r="N31" s="9">
        <f>((N28)+(N29))+(N30)</f>
        <v>603.54999999999995</v>
      </c>
      <c r="O31" s="6" t="s">
        <v>53</v>
      </c>
      <c r="P31" s="9">
        <f>(((P25)+(P26))+(P29))+(P30)</f>
        <v>767.44</v>
      </c>
      <c r="Q31" s="2"/>
      <c r="R31" s="2"/>
      <c r="S31" s="2"/>
      <c r="T31" s="2"/>
      <c r="U31" s="2"/>
    </row>
    <row r="32" spans="1:21" ht="19" customHeight="1" x14ac:dyDescent="0.2">
      <c r="A32" s="6" t="s">
        <v>34</v>
      </c>
      <c r="B32" s="7"/>
      <c r="C32" s="6" t="s">
        <v>38</v>
      </c>
      <c r="D32" s="7"/>
      <c r="E32" s="6" t="s">
        <v>36</v>
      </c>
      <c r="F32" s="8">
        <f>498.02</f>
        <v>498.02</v>
      </c>
      <c r="G32" s="6" t="s">
        <v>36</v>
      </c>
      <c r="H32" s="8">
        <f>1125.51</f>
        <v>1125.51</v>
      </c>
      <c r="I32" s="6" t="s">
        <v>34</v>
      </c>
      <c r="J32" s="7"/>
      <c r="K32" s="6" t="s">
        <v>36</v>
      </c>
      <c r="L32" s="8">
        <f>389.23</f>
        <v>389.23</v>
      </c>
      <c r="M32" s="6" t="s">
        <v>33</v>
      </c>
      <c r="N32" s="9">
        <f>((N24)+(N27))+(N31)</f>
        <v>29271.119999999999</v>
      </c>
      <c r="O32" s="6" t="s">
        <v>54</v>
      </c>
      <c r="P32" s="7"/>
      <c r="Q32" s="2"/>
      <c r="R32" s="2"/>
      <c r="S32" s="2"/>
      <c r="T32" s="2"/>
      <c r="U32" s="2"/>
    </row>
    <row r="33" spans="1:21" ht="19" customHeight="1" x14ac:dyDescent="0.2">
      <c r="A33" s="6" t="s">
        <v>35</v>
      </c>
      <c r="B33" s="8">
        <f>124.19</f>
        <v>124.19</v>
      </c>
      <c r="C33" s="6" t="s">
        <v>39</v>
      </c>
      <c r="D33" s="8">
        <f>3025</f>
        <v>3025</v>
      </c>
      <c r="E33" s="6" t="s">
        <v>37</v>
      </c>
      <c r="F33" s="9">
        <f>(F31)+(F32)</f>
        <v>498.02</v>
      </c>
      <c r="G33" s="6" t="s">
        <v>37</v>
      </c>
      <c r="H33" s="9">
        <f>(H31)+(H32)</f>
        <v>1125.51</v>
      </c>
      <c r="I33" s="6" t="s">
        <v>35</v>
      </c>
      <c r="J33" s="8">
        <f>439.95</f>
        <v>439.95</v>
      </c>
      <c r="K33" s="6" t="s">
        <v>37</v>
      </c>
      <c r="L33" s="9">
        <f>((L30)+(L31))+(L32)</f>
        <v>1970.92</v>
      </c>
      <c r="M33" s="6" t="s">
        <v>34</v>
      </c>
      <c r="N33" s="7"/>
      <c r="O33" s="6" t="s">
        <v>55</v>
      </c>
      <c r="P33" s="8">
        <f>309</f>
        <v>309</v>
      </c>
      <c r="Q33" s="2"/>
      <c r="R33" s="2"/>
      <c r="S33" s="2"/>
      <c r="T33" s="2"/>
      <c r="U33" s="2"/>
    </row>
    <row r="34" spans="1:21" ht="19" customHeight="1" x14ac:dyDescent="0.2">
      <c r="A34" s="6" t="s">
        <v>36</v>
      </c>
      <c r="B34" s="8">
        <f>2114.81</f>
        <v>2114.81</v>
      </c>
      <c r="C34" s="6" t="s">
        <v>40</v>
      </c>
      <c r="D34" s="8">
        <f>863.19</f>
        <v>863.19</v>
      </c>
      <c r="E34" s="6" t="s">
        <v>38</v>
      </c>
      <c r="F34" s="7"/>
      <c r="G34" s="6" t="s">
        <v>38</v>
      </c>
      <c r="H34" s="7"/>
      <c r="I34" s="6" t="s">
        <v>36</v>
      </c>
      <c r="J34" s="8">
        <f>439.3</f>
        <v>439.3</v>
      </c>
      <c r="K34" s="6" t="s">
        <v>38</v>
      </c>
      <c r="L34" s="7"/>
      <c r="M34" s="6" t="s">
        <v>35</v>
      </c>
      <c r="N34" s="8">
        <f>294.95</f>
        <v>294.95</v>
      </c>
      <c r="O34" s="6" t="s">
        <v>56</v>
      </c>
      <c r="P34" s="9">
        <f>(P32)+(P33)</f>
        <v>309</v>
      </c>
      <c r="Q34" s="2"/>
      <c r="R34" s="2"/>
      <c r="S34" s="2"/>
      <c r="T34" s="2"/>
      <c r="U34" s="2"/>
    </row>
    <row r="35" spans="1:21" ht="19" customHeight="1" x14ac:dyDescent="0.2">
      <c r="A35" s="6" t="s">
        <v>37</v>
      </c>
      <c r="B35" s="9">
        <f>((B32)+(B33))+(B34)</f>
        <v>2239</v>
      </c>
      <c r="C35" s="6" t="s">
        <v>41</v>
      </c>
      <c r="D35" s="8">
        <f>362.89</f>
        <v>362.89</v>
      </c>
      <c r="E35" s="6" t="s">
        <v>39</v>
      </c>
      <c r="F35" s="8">
        <f>3025</f>
        <v>3025</v>
      </c>
      <c r="G35" s="6" t="s">
        <v>39</v>
      </c>
      <c r="H35" s="8">
        <f>3025</f>
        <v>3025</v>
      </c>
      <c r="I35" s="6" t="s">
        <v>37</v>
      </c>
      <c r="J35" s="9">
        <f>((J32)+(J33))+(J34)</f>
        <v>879.25</v>
      </c>
      <c r="K35" s="6" t="s">
        <v>40</v>
      </c>
      <c r="L35" s="8">
        <f>157.72</f>
        <v>157.72</v>
      </c>
      <c r="M35" s="6" t="s">
        <v>36</v>
      </c>
      <c r="N35" s="8">
        <f>426.16</f>
        <v>426.16</v>
      </c>
      <c r="O35" s="6" t="s">
        <v>57</v>
      </c>
      <c r="P35" s="7"/>
      <c r="Q35" s="2"/>
      <c r="R35" s="2"/>
      <c r="S35" s="2"/>
      <c r="T35" s="2"/>
      <c r="U35" s="2"/>
    </row>
    <row r="36" spans="1:21" ht="19" customHeight="1" x14ac:dyDescent="0.2">
      <c r="A36" s="6" t="s">
        <v>38</v>
      </c>
      <c r="B36" s="7"/>
      <c r="C36" s="6" t="s">
        <v>42</v>
      </c>
      <c r="D36" s="8">
        <f>1026.79</f>
        <v>1026.79</v>
      </c>
      <c r="E36" s="6" t="s">
        <v>40</v>
      </c>
      <c r="F36" s="8">
        <f>774.55</f>
        <v>774.55</v>
      </c>
      <c r="G36" s="6" t="s">
        <v>40</v>
      </c>
      <c r="H36" s="8">
        <f>1249.84</f>
        <v>1249.8399999999999</v>
      </c>
      <c r="I36" s="6" t="s">
        <v>38</v>
      </c>
      <c r="J36" s="7"/>
      <c r="K36" s="6" t="s">
        <v>41</v>
      </c>
      <c r="L36" s="8">
        <f>1038.97</f>
        <v>1038.97</v>
      </c>
      <c r="M36" s="6" t="s">
        <v>37</v>
      </c>
      <c r="N36" s="9">
        <f>((N33)+(N34))+(N35)</f>
        <v>721.11</v>
      </c>
      <c r="O36" s="6" t="s">
        <v>88</v>
      </c>
      <c r="P36" s="8">
        <f>41.61</f>
        <v>41.61</v>
      </c>
      <c r="Q36" s="2"/>
      <c r="R36" s="2"/>
      <c r="S36" s="2"/>
      <c r="T36" s="2"/>
      <c r="U36" s="2"/>
    </row>
    <row r="37" spans="1:21" ht="19" customHeight="1" x14ac:dyDescent="0.2">
      <c r="A37" s="6" t="s">
        <v>39</v>
      </c>
      <c r="B37" s="8">
        <f>3025</f>
        <v>3025</v>
      </c>
      <c r="C37" s="6" t="s">
        <v>48</v>
      </c>
      <c r="D37" s="7"/>
      <c r="E37" s="6" t="s">
        <v>41</v>
      </c>
      <c r="F37" s="8">
        <f>862.69</f>
        <v>862.69</v>
      </c>
      <c r="G37" s="6" t="s">
        <v>41</v>
      </c>
      <c r="H37" s="8">
        <f>946.32</f>
        <v>946.32</v>
      </c>
      <c r="I37" s="6" t="s">
        <v>39</v>
      </c>
      <c r="J37" s="8">
        <f>6050</f>
        <v>6050</v>
      </c>
      <c r="K37" s="6" t="s">
        <v>48</v>
      </c>
      <c r="L37" s="7"/>
      <c r="M37" s="6" t="s">
        <v>38</v>
      </c>
      <c r="N37" s="7"/>
      <c r="O37" s="6" t="s">
        <v>60</v>
      </c>
      <c r="P37" s="9">
        <f>(P35)+(P36)</f>
        <v>41.61</v>
      </c>
      <c r="Q37" s="2"/>
      <c r="R37" s="2"/>
      <c r="S37" s="2"/>
      <c r="T37" s="2"/>
      <c r="U37" s="2"/>
    </row>
    <row r="38" spans="1:21" ht="19" customHeight="1" x14ac:dyDescent="0.2">
      <c r="A38" s="6" t="s">
        <v>40</v>
      </c>
      <c r="B38" s="8">
        <f>649.92</f>
        <v>649.91999999999996</v>
      </c>
      <c r="C38" s="6" t="s">
        <v>50</v>
      </c>
      <c r="D38" s="8">
        <f>1906.88</f>
        <v>1906.88</v>
      </c>
      <c r="E38" s="6" t="s">
        <v>42</v>
      </c>
      <c r="F38" s="8">
        <f>1172.46</f>
        <v>1172.46</v>
      </c>
      <c r="G38" s="6" t="s">
        <v>42</v>
      </c>
      <c r="H38" s="8">
        <f>1715.3</f>
        <v>1715.3</v>
      </c>
      <c r="I38" s="6" t="s">
        <v>40</v>
      </c>
      <c r="J38" s="8">
        <f>1093.23</f>
        <v>1093.23</v>
      </c>
      <c r="K38" s="6" t="s">
        <v>50</v>
      </c>
      <c r="L38" s="8">
        <f>1920.24</f>
        <v>1920.24</v>
      </c>
      <c r="M38" s="6" t="s">
        <v>40</v>
      </c>
      <c r="N38" s="8">
        <f>245.47</f>
        <v>245.47</v>
      </c>
      <c r="O38" s="6" t="s">
        <v>61</v>
      </c>
      <c r="P38" s="8">
        <f>-0.01</f>
        <v>-0.01</v>
      </c>
      <c r="Q38" s="2"/>
      <c r="R38" s="2"/>
      <c r="S38" s="2"/>
      <c r="T38" s="2"/>
      <c r="U38" s="2"/>
    </row>
    <row r="39" spans="1:21" ht="19" customHeight="1" x14ac:dyDescent="0.2">
      <c r="A39" s="6" t="s">
        <v>41</v>
      </c>
      <c r="B39" s="8">
        <f>784.85</f>
        <v>784.85</v>
      </c>
      <c r="C39" s="6" t="s">
        <v>51</v>
      </c>
      <c r="D39" s="8">
        <f>23.75</f>
        <v>23.75</v>
      </c>
      <c r="E39" s="6" t="s">
        <v>48</v>
      </c>
      <c r="F39" s="7"/>
      <c r="G39" s="6" t="s">
        <v>75</v>
      </c>
      <c r="H39" s="8">
        <f>374.3</f>
        <v>374.3</v>
      </c>
      <c r="I39" s="6" t="s">
        <v>41</v>
      </c>
      <c r="J39" s="8">
        <f>671.5</f>
        <v>671.5</v>
      </c>
      <c r="K39" s="6" t="s">
        <v>51</v>
      </c>
      <c r="L39" s="8">
        <f>13.93</f>
        <v>13.93</v>
      </c>
      <c r="M39" s="6" t="s">
        <v>41</v>
      </c>
      <c r="N39" s="8">
        <f>816.39</f>
        <v>816.39</v>
      </c>
      <c r="O39" s="6" t="s">
        <v>62</v>
      </c>
      <c r="P39" s="8">
        <f>38934.51</f>
        <v>38934.51</v>
      </c>
      <c r="Q39" s="2"/>
      <c r="R39" s="2"/>
      <c r="S39" s="2"/>
      <c r="T39" s="2"/>
      <c r="U39" s="2"/>
    </row>
    <row r="40" spans="1:21" ht="19" customHeight="1" x14ac:dyDescent="0.2">
      <c r="A40" s="6" t="s">
        <v>42</v>
      </c>
      <c r="B40" s="8">
        <f>627.17</f>
        <v>627.16999999999996</v>
      </c>
      <c r="C40" s="6" t="s">
        <v>52</v>
      </c>
      <c r="D40" s="9">
        <f>((D37)+(D38))+(D39)</f>
        <v>1930.63</v>
      </c>
      <c r="E40" s="6" t="s">
        <v>50</v>
      </c>
      <c r="F40" s="8">
        <f>1734.59</f>
        <v>1734.59</v>
      </c>
      <c r="G40" s="6" t="s">
        <v>48</v>
      </c>
      <c r="H40" s="7"/>
      <c r="I40" s="6" t="s">
        <v>42</v>
      </c>
      <c r="J40" s="8">
        <f>3246.94</f>
        <v>3246.94</v>
      </c>
      <c r="K40" s="6" t="s">
        <v>52</v>
      </c>
      <c r="L40" s="9">
        <f>((L37)+(L38))+(L39)</f>
        <v>1934.17</v>
      </c>
      <c r="M40" s="6" t="s">
        <v>48</v>
      </c>
      <c r="N40" s="7"/>
      <c r="O40" s="6" t="s">
        <v>64</v>
      </c>
      <c r="P40" s="9">
        <f>(P38)+(P39)</f>
        <v>38934.5</v>
      </c>
      <c r="Q40" s="2"/>
      <c r="R40" s="2"/>
      <c r="S40" s="2"/>
      <c r="T40" s="2"/>
      <c r="U40" s="2"/>
    </row>
    <row r="41" spans="1:21" ht="19" customHeight="1" x14ac:dyDescent="0.2">
      <c r="A41" s="6" t="s">
        <v>43</v>
      </c>
      <c r="B41" s="7"/>
      <c r="C41" s="6" t="s">
        <v>69</v>
      </c>
      <c r="D41" s="8">
        <f>39</f>
        <v>39</v>
      </c>
      <c r="E41" s="6" t="s">
        <v>51</v>
      </c>
      <c r="F41" s="8">
        <f>213.61</f>
        <v>213.61</v>
      </c>
      <c r="G41" s="6" t="s">
        <v>50</v>
      </c>
      <c r="H41" s="8">
        <f>1263.74</f>
        <v>1263.74</v>
      </c>
      <c r="I41" s="6" t="s">
        <v>48</v>
      </c>
      <c r="J41" s="7"/>
      <c r="K41" s="6" t="s">
        <v>69</v>
      </c>
      <c r="L41" s="8">
        <f>-0.72</f>
        <v>-0.72</v>
      </c>
      <c r="M41" s="6" t="s">
        <v>50</v>
      </c>
      <c r="N41" s="8">
        <f>1186.61</f>
        <v>1186.6099999999999</v>
      </c>
      <c r="O41" s="6" t="s">
        <v>65</v>
      </c>
      <c r="P41" s="9">
        <f>(((((P21)+(P24))+(P31))+(P34))+(P37))+(P40)</f>
        <v>42251.43</v>
      </c>
      <c r="Q41" s="2"/>
      <c r="R41" s="2"/>
      <c r="S41" s="2"/>
      <c r="T41" s="2"/>
      <c r="U41" s="2"/>
    </row>
    <row r="42" spans="1:21" ht="19" customHeight="1" x14ac:dyDescent="0.2">
      <c r="A42" s="6" t="s">
        <v>44</v>
      </c>
      <c r="B42" s="8">
        <f>2384.27</f>
        <v>2384.27</v>
      </c>
      <c r="C42" s="6" t="s">
        <v>53</v>
      </c>
      <c r="D42" s="9">
        <f>((((((D32)+(D33))+(D34))+(D35))+(D36))+(D40))+(D41)</f>
        <v>7247.5</v>
      </c>
      <c r="E42" s="6" t="s">
        <v>52</v>
      </c>
      <c r="F42" s="9">
        <f>((F39)+(F40))+(F41)</f>
        <v>1948.1999999999998</v>
      </c>
      <c r="G42" s="6" t="s">
        <v>51</v>
      </c>
      <c r="H42" s="8">
        <f>774.56</f>
        <v>774.56</v>
      </c>
      <c r="I42" s="6" t="s">
        <v>50</v>
      </c>
      <c r="J42" s="8">
        <f>2070.02</f>
        <v>2070.02</v>
      </c>
      <c r="K42" s="6" t="s">
        <v>53</v>
      </c>
      <c r="L42" s="9">
        <f>((((L34)+(L35))+(L36))+(L40))+(L41)</f>
        <v>3130.1400000000003</v>
      </c>
      <c r="M42" s="6" t="s">
        <v>51</v>
      </c>
      <c r="N42" s="8">
        <f>244.42</f>
        <v>244.42</v>
      </c>
      <c r="O42" s="6" t="s">
        <v>66</v>
      </c>
      <c r="P42" s="9">
        <f>(P16)-(P41)</f>
        <v>109301.13999999998</v>
      </c>
      <c r="Q42" s="2"/>
      <c r="R42" s="2"/>
      <c r="S42" s="2"/>
      <c r="T42" s="2"/>
      <c r="U42" s="2"/>
    </row>
    <row r="43" spans="1:21" ht="19" customHeight="1" x14ac:dyDescent="0.2">
      <c r="A43" s="6" t="s">
        <v>45</v>
      </c>
      <c r="B43" s="8">
        <f>1722.49</f>
        <v>1722.49</v>
      </c>
      <c r="C43" s="6" t="s">
        <v>57</v>
      </c>
      <c r="D43" s="7"/>
      <c r="E43" s="6" t="s">
        <v>53</v>
      </c>
      <c r="F43" s="9">
        <f>(((((F34)+(F35))+(F36))+(F37))+(F38))+(F42)</f>
        <v>7782.9</v>
      </c>
      <c r="G43" s="6" t="s">
        <v>52</v>
      </c>
      <c r="H43" s="9">
        <f>((H40)+(H41))+(H42)</f>
        <v>2038.3</v>
      </c>
      <c r="I43" s="6" t="s">
        <v>78</v>
      </c>
      <c r="J43" s="8">
        <f>813</f>
        <v>813</v>
      </c>
      <c r="K43" s="6" t="s">
        <v>54</v>
      </c>
      <c r="L43" s="7"/>
      <c r="M43" s="6" t="s">
        <v>52</v>
      </c>
      <c r="N43" s="9">
        <f>((N40)+(N41))+(N42)</f>
        <v>1431.03</v>
      </c>
      <c r="O43" s="6" t="s">
        <v>67</v>
      </c>
      <c r="P43" s="9">
        <f>(P42)+(0)</f>
        <v>109301.13999999998</v>
      </c>
      <c r="Q43" s="2"/>
      <c r="R43" s="2"/>
      <c r="S43" s="2"/>
      <c r="T43" s="2"/>
      <c r="U43" s="2"/>
    </row>
    <row r="44" spans="1:21" ht="19" customHeight="1" x14ac:dyDescent="0.2">
      <c r="A44" s="6" t="s">
        <v>46</v>
      </c>
      <c r="B44" s="8">
        <f>103</f>
        <v>103</v>
      </c>
      <c r="C44" s="6" t="s">
        <v>59</v>
      </c>
      <c r="D44" s="8">
        <f>208.75</f>
        <v>208.75</v>
      </c>
      <c r="E44" s="6" t="s">
        <v>54</v>
      </c>
      <c r="F44" s="7"/>
      <c r="G44" s="6" t="s">
        <v>69</v>
      </c>
      <c r="H44" s="8">
        <f>345</f>
        <v>345</v>
      </c>
      <c r="I44" s="6" t="s">
        <v>51</v>
      </c>
      <c r="J44" s="8">
        <f>314.82</f>
        <v>314.82</v>
      </c>
      <c r="K44" s="6" t="s">
        <v>55</v>
      </c>
      <c r="L44" s="8">
        <f>600</f>
        <v>600</v>
      </c>
      <c r="M44" s="6" t="s">
        <v>69</v>
      </c>
      <c r="N44" s="8">
        <f>-0.28</f>
        <v>-0.28000000000000003</v>
      </c>
      <c r="O44" s="2"/>
      <c r="P44" s="2"/>
      <c r="Q44" s="2"/>
      <c r="R44" s="2"/>
      <c r="S44" s="2"/>
      <c r="T44" s="2"/>
      <c r="U44" s="2"/>
    </row>
    <row r="45" spans="1:21" ht="19" customHeight="1" x14ac:dyDescent="0.2">
      <c r="A45" s="6" t="s">
        <v>47</v>
      </c>
      <c r="B45" s="9">
        <f>(((B41)+(B42))+(B43))+(B44)</f>
        <v>4209.76</v>
      </c>
      <c r="C45" s="6" t="s">
        <v>60</v>
      </c>
      <c r="D45" s="9">
        <f>(D43)+(D44)</f>
        <v>208.75</v>
      </c>
      <c r="E45" s="6" t="s">
        <v>55</v>
      </c>
      <c r="F45" s="8">
        <f>625</f>
        <v>625</v>
      </c>
      <c r="G45" s="6" t="s">
        <v>53</v>
      </c>
      <c r="H45" s="9">
        <f>(((((((H34)+(H35))+(H36))+(H37))+(H38))+(H39))+(H43))+(H44)</f>
        <v>9694.06</v>
      </c>
      <c r="I45" s="6" t="s">
        <v>52</v>
      </c>
      <c r="J45" s="9">
        <f>(((J41)+(J42))+(J43))+(J44)</f>
        <v>3197.84</v>
      </c>
      <c r="K45" s="6" t="s">
        <v>56</v>
      </c>
      <c r="L45" s="9">
        <f>(L43)+(L44)</f>
        <v>600</v>
      </c>
      <c r="M45" s="6" t="s">
        <v>53</v>
      </c>
      <c r="N45" s="9">
        <f>((((N37)+(N38))+(N39))+(N43))+(N44)</f>
        <v>2492.6099999999997</v>
      </c>
      <c r="O45" s="2"/>
      <c r="P45" s="2"/>
      <c r="Q45" s="2"/>
      <c r="R45" s="2"/>
      <c r="S45" s="2"/>
      <c r="T45" s="2"/>
      <c r="U45" s="2"/>
    </row>
    <row r="46" spans="1:21" ht="19" customHeight="1" x14ac:dyDescent="0.2">
      <c r="A46" s="6" t="s">
        <v>48</v>
      </c>
      <c r="B46" s="7"/>
      <c r="C46" s="6" t="s">
        <v>61</v>
      </c>
      <c r="D46" s="8">
        <f>15894.45</f>
        <v>15894.45</v>
      </c>
      <c r="E46" s="6" t="s">
        <v>56</v>
      </c>
      <c r="F46" s="9">
        <f>(F44)+(F45)</f>
        <v>625</v>
      </c>
      <c r="G46" s="6" t="s">
        <v>54</v>
      </c>
      <c r="H46" s="7"/>
      <c r="I46" s="6" t="s">
        <v>53</v>
      </c>
      <c r="J46" s="9">
        <f>(((((J36)+(J37))+(J38))+(J39))+(J40))+(J45)</f>
        <v>14259.51</v>
      </c>
      <c r="K46" s="6" t="s">
        <v>57</v>
      </c>
      <c r="L46" s="7"/>
      <c r="M46" s="6" t="s">
        <v>54</v>
      </c>
      <c r="N46" s="7"/>
      <c r="O46" s="2"/>
      <c r="P46" s="2"/>
      <c r="Q46" s="2"/>
      <c r="R46" s="2"/>
      <c r="S46" s="2"/>
      <c r="T46" s="2"/>
      <c r="U46" s="2"/>
    </row>
    <row r="47" spans="1:21" ht="19" customHeight="1" x14ac:dyDescent="0.2">
      <c r="A47" s="6" t="s">
        <v>49</v>
      </c>
      <c r="B47" s="8">
        <f>656.82</f>
        <v>656.82</v>
      </c>
      <c r="C47" s="6" t="s">
        <v>62</v>
      </c>
      <c r="D47" s="8">
        <f>34645</f>
        <v>34645</v>
      </c>
      <c r="E47" s="6" t="s">
        <v>57</v>
      </c>
      <c r="F47" s="7"/>
      <c r="G47" s="6" t="s">
        <v>55</v>
      </c>
      <c r="H47" s="8">
        <f>300</f>
        <v>300</v>
      </c>
      <c r="I47" s="6" t="s">
        <v>57</v>
      </c>
      <c r="J47" s="7"/>
      <c r="K47" s="6" t="s">
        <v>58</v>
      </c>
      <c r="L47" s="8">
        <f>49</f>
        <v>49</v>
      </c>
      <c r="M47" s="6" t="s">
        <v>55</v>
      </c>
      <c r="N47" s="8">
        <f>309</f>
        <v>309</v>
      </c>
      <c r="O47" s="2"/>
      <c r="P47" s="2"/>
      <c r="Q47" s="2"/>
      <c r="R47" s="2"/>
      <c r="S47" s="2"/>
      <c r="T47" s="2"/>
      <c r="U47" s="2"/>
    </row>
    <row r="48" spans="1:21" ht="19" customHeight="1" x14ac:dyDescent="0.2">
      <c r="A48" s="6" t="s">
        <v>50</v>
      </c>
      <c r="B48" s="8">
        <f>1708.47</f>
        <v>1708.47</v>
      </c>
      <c r="C48" s="6" t="s">
        <v>63</v>
      </c>
      <c r="D48" s="8">
        <f>3966</f>
        <v>3966</v>
      </c>
      <c r="E48" s="6" t="s">
        <v>59</v>
      </c>
      <c r="F48" s="8">
        <f>208.75</f>
        <v>208.75</v>
      </c>
      <c r="G48" s="6" t="s">
        <v>56</v>
      </c>
      <c r="H48" s="9">
        <f>(H46)+(H47)</f>
        <v>300</v>
      </c>
      <c r="I48" s="6" t="s">
        <v>59</v>
      </c>
      <c r="J48" s="8">
        <f>208.78</f>
        <v>208.78</v>
      </c>
      <c r="K48" s="6" t="s">
        <v>59</v>
      </c>
      <c r="L48" s="8">
        <f>214.59</f>
        <v>214.59</v>
      </c>
      <c r="M48" s="6" t="s">
        <v>56</v>
      </c>
      <c r="N48" s="9">
        <f>(N46)+(N47)</f>
        <v>309</v>
      </c>
      <c r="O48" s="2"/>
      <c r="P48" s="2"/>
      <c r="Q48" s="2"/>
      <c r="R48" s="2"/>
      <c r="S48" s="2"/>
      <c r="T48" s="2"/>
      <c r="U48" s="2"/>
    </row>
    <row r="49" spans="1:21" ht="19" customHeight="1" x14ac:dyDescent="0.2">
      <c r="A49" s="6" t="s">
        <v>51</v>
      </c>
      <c r="B49" s="8">
        <f>197.29</f>
        <v>197.29</v>
      </c>
      <c r="C49" s="6" t="s">
        <v>64</v>
      </c>
      <c r="D49" s="9">
        <f>((D46)+(D47))+(D48)</f>
        <v>54505.45</v>
      </c>
      <c r="E49" s="6" t="s">
        <v>60</v>
      </c>
      <c r="F49" s="9">
        <f>(F47)+(F48)</f>
        <v>208.75</v>
      </c>
      <c r="G49" s="6" t="s">
        <v>57</v>
      </c>
      <c r="H49" s="7"/>
      <c r="I49" s="6" t="s">
        <v>60</v>
      </c>
      <c r="J49" s="9">
        <f>(J47)+(J48)</f>
        <v>208.78</v>
      </c>
      <c r="K49" s="6" t="s">
        <v>60</v>
      </c>
      <c r="L49" s="9">
        <f>((L46)+(L47))+(L48)</f>
        <v>263.59000000000003</v>
      </c>
      <c r="M49" s="6" t="s">
        <v>57</v>
      </c>
      <c r="N49" s="7"/>
      <c r="O49" s="2"/>
      <c r="P49" s="2"/>
      <c r="Q49" s="2"/>
      <c r="R49" s="2"/>
      <c r="S49" s="2"/>
      <c r="T49" s="2"/>
      <c r="U49" s="2"/>
    </row>
    <row r="50" spans="1:21" ht="19" customHeight="1" x14ac:dyDescent="0.2">
      <c r="A50" s="6" t="s">
        <v>52</v>
      </c>
      <c r="B50" s="9">
        <f>(((B46)+(B47))+(B48))+(B49)</f>
        <v>2562.58</v>
      </c>
      <c r="C50" s="6" t="s">
        <v>65</v>
      </c>
      <c r="D50" s="9">
        <f>(((((D20)+(D28))+(D31))+(D42))+(D45))+(D49)</f>
        <v>80668.61</v>
      </c>
      <c r="E50" s="6" t="s">
        <v>61</v>
      </c>
      <c r="F50" s="8">
        <f>732.42</f>
        <v>732.42</v>
      </c>
      <c r="G50" s="6" t="s">
        <v>59</v>
      </c>
      <c r="H50" s="8">
        <f>208.75</f>
        <v>208.75</v>
      </c>
      <c r="I50" s="6" t="s">
        <v>61</v>
      </c>
      <c r="J50" s="8">
        <f>20063.16</f>
        <v>20063.16</v>
      </c>
      <c r="K50" s="6" t="s">
        <v>61</v>
      </c>
      <c r="L50" s="8">
        <f>46582.21</f>
        <v>46582.21</v>
      </c>
      <c r="M50" s="6" t="s">
        <v>58</v>
      </c>
      <c r="N50" s="8">
        <f>14754.5</f>
        <v>14754.5</v>
      </c>
      <c r="O50" s="2"/>
      <c r="P50" s="2"/>
      <c r="Q50" s="2"/>
      <c r="R50" s="2"/>
      <c r="S50" s="2"/>
      <c r="T50" s="2"/>
      <c r="U50" s="2"/>
    </row>
    <row r="51" spans="1:21" ht="19" customHeight="1" x14ac:dyDescent="0.2">
      <c r="A51" s="6" t="s">
        <v>53</v>
      </c>
      <c r="B51" s="9">
        <f>((((((B36)+(B37))+(B38))+(B39))+(B40))+(B45))+(B50)</f>
        <v>11859.28</v>
      </c>
      <c r="C51" s="6" t="s">
        <v>66</v>
      </c>
      <c r="D51" s="9">
        <f>(D16)-(D50)</f>
        <v>58231.58</v>
      </c>
      <c r="E51" s="6" t="s">
        <v>62</v>
      </c>
      <c r="F51" s="8">
        <f>33104.08</f>
        <v>33104.080000000002</v>
      </c>
      <c r="G51" s="6" t="s">
        <v>60</v>
      </c>
      <c r="H51" s="9">
        <f>(H49)+(H50)</f>
        <v>208.75</v>
      </c>
      <c r="I51" s="6" t="s">
        <v>62</v>
      </c>
      <c r="J51" s="8">
        <f>11042</f>
        <v>11042</v>
      </c>
      <c r="K51" s="6" t="s">
        <v>62</v>
      </c>
      <c r="L51" s="8">
        <f>55167.47</f>
        <v>55167.47</v>
      </c>
      <c r="M51" s="6" t="s">
        <v>59</v>
      </c>
      <c r="N51" s="8">
        <f>214.68</f>
        <v>214.68</v>
      </c>
      <c r="O51" s="2"/>
      <c r="P51" s="2"/>
      <c r="Q51" s="2"/>
      <c r="R51" s="2"/>
      <c r="S51" s="2"/>
      <c r="T51" s="2"/>
      <c r="U51" s="2"/>
    </row>
    <row r="52" spans="1:21" ht="19" customHeight="1" x14ac:dyDescent="0.2">
      <c r="A52" s="6" t="s">
        <v>54</v>
      </c>
      <c r="B52" s="7"/>
      <c r="C52" s="6" t="s">
        <v>67</v>
      </c>
      <c r="D52" s="9">
        <f>(D51)+(0)</f>
        <v>58231.58</v>
      </c>
      <c r="E52" s="6" t="s">
        <v>63</v>
      </c>
      <c r="F52" s="8">
        <f>410</f>
        <v>410</v>
      </c>
      <c r="G52" s="6" t="s">
        <v>61</v>
      </c>
      <c r="H52" s="8">
        <f>341.88</f>
        <v>341.88</v>
      </c>
      <c r="I52" s="6" t="s">
        <v>64</v>
      </c>
      <c r="J52" s="9">
        <f>(J50)+(J51)</f>
        <v>31105.16</v>
      </c>
      <c r="K52" s="6" t="s">
        <v>63</v>
      </c>
      <c r="L52" s="8">
        <f>4150</f>
        <v>4150</v>
      </c>
      <c r="M52" s="6" t="s">
        <v>60</v>
      </c>
      <c r="N52" s="9">
        <f>((N49)+(N50))+(N51)</f>
        <v>14969.18</v>
      </c>
      <c r="O52" s="2"/>
      <c r="P52" s="2"/>
      <c r="Q52" s="2"/>
      <c r="R52" s="2"/>
      <c r="S52" s="2"/>
      <c r="T52" s="2"/>
      <c r="U52" s="2"/>
    </row>
    <row r="53" spans="1:21" ht="19" customHeight="1" x14ac:dyDescent="0.2">
      <c r="A53" s="6" t="s">
        <v>55</v>
      </c>
      <c r="B53" s="8">
        <f>600</f>
        <v>600</v>
      </c>
      <c r="C53" s="2"/>
      <c r="D53" s="2"/>
      <c r="E53" s="6" t="s">
        <v>64</v>
      </c>
      <c r="F53" s="9">
        <f>((F50)+(F51))+(F52)</f>
        <v>34246.5</v>
      </c>
      <c r="G53" s="6" t="s">
        <v>62</v>
      </c>
      <c r="H53" s="8">
        <f>16550</f>
        <v>16550</v>
      </c>
      <c r="I53" s="6" t="s">
        <v>65</v>
      </c>
      <c r="J53" s="9">
        <f>(((((J21)+(J31))+(J35))+(J46))+(J49))+(J52)</f>
        <v>64799.45</v>
      </c>
      <c r="K53" s="6" t="s">
        <v>64</v>
      </c>
      <c r="L53" s="9">
        <f>((L50)+(L51))+(L52)</f>
        <v>105899.68</v>
      </c>
      <c r="M53" s="6" t="s">
        <v>61</v>
      </c>
      <c r="N53" s="8">
        <f>324.13</f>
        <v>324.13</v>
      </c>
      <c r="O53" s="2"/>
      <c r="P53" s="2"/>
      <c r="Q53" s="2"/>
      <c r="R53" s="2"/>
      <c r="S53" s="2"/>
      <c r="T53" s="2"/>
      <c r="U53" s="2"/>
    </row>
    <row r="54" spans="1:21" ht="19" customHeight="1" x14ac:dyDescent="0.2">
      <c r="A54" s="6" t="s">
        <v>56</v>
      </c>
      <c r="B54" s="9">
        <f>(B52)+(B53)</f>
        <v>600</v>
      </c>
      <c r="C54" s="2"/>
      <c r="D54" s="2"/>
      <c r="E54" s="6" t="s">
        <v>65</v>
      </c>
      <c r="F54" s="9">
        <f>((((((F21)+(F30))+(F33))+(F43))+(F46))+(F49))+(F53)</f>
        <v>68773.16</v>
      </c>
      <c r="G54" s="6" t="s">
        <v>63</v>
      </c>
      <c r="H54" s="8">
        <f>900</f>
        <v>900</v>
      </c>
      <c r="I54" s="6" t="s">
        <v>66</v>
      </c>
      <c r="J54" s="9">
        <f>(J17)-(J53)</f>
        <v>24036.210000000006</v>
      </c>
      <c r="K54" s="6" t="s">
        <v>65</v>
      </c>
      <c r="L54" s="9">
        <f>((((((L20)+(L29))+(L33))+(L42))+(L45))+(L49))+(L53)</f>
        <v>124821.09</v>
      </c>
      <c r="M54" s="6" t="s">
        <v>62</v>
      </c>
      <c r="N54" s="8">
        <f>15775</f>
        <v>15775</v>
      </c>
      <c r="O54" s="2"/>
      <c r="P54" s="2"/>
      <c r="Q54" s="2"/>
      <c r="R54" s="2"/>
      <c r="S54" s="2"/>
      <c r="T54" s="2"/>
      <c r="U54" s="2"/>
    </row>
    <row r="55" spans="1:21" ht="19" customHeight="1" x14ac:dyDescent="0.2">
      <c r="A55" s="6" t="s">
        <v>57</v>
      </c>
      <c r="B55" s="7"/>
      <c r="C55" s="2"/>
      <c r="D55" s="2"/>
      <c r="E55" s="6" t="s">
        <v>66</v>
      </c>
      <c r="F55" s="9">
        <f>(F17)-(F54)</f>
        <v>5292.5299999999988</v>
      </c>
      <c r="G55" s="6" t="s">
        <v>64</v>
      </c>
      <c r="H55" s="9">
        <f>((H52)+(H53))+(H54)</f>
        <v>17791.88</v>
      </c>
      <c r="I55" s="6" t="s">
        <v>67</v>
      </c>
      <c r="J55" s="9">
        <f>(J54)+(0)</f>
        <v>24036.210000000006</v>
      </c>
      <c r="K55" s="6" t="s">
        <v>66</v>
      </c>
      <c r="L55" s="9">
        <f>(L16)-(L54)</f>
        <v>32898.299999999988</v>
      </c>
      <c r="M55" s="6" t="s">
        <v>63</v>
      </c>
      <c r="N55" s="8">
        <f>3407</f>
        <v>3407</v>
      </c>
      <c r="O55" s="2"/>
      <c r="P55" s="2"/>
      <c r="Q55" s="2"/>
      <c r="R55" s="2"/>
      <c r="S55" s="2"/>
      <c r="T55" s="2"/>
      <c r="U55" s="2"/>
    </row>
    <row r="56" spans="1:21" ht="19" customHeight="1" x14ac:dyDescent="0.2">
      <c r="A56" s="6" t="s">
        <v>58</v>
      </c>
      <c r="B56" s="8">
        <f>70</f>
        <v>70</v>
      </c>
      <c r="C56" s="2"/>
      <c r="D56" s="2"/>
      <c r="E56" s="6" t="s">
        <v>67</v>
      </c>
      <c r="F56" s="9">
        <f>(F55)+(0)</f>
        <v>5292.5299999999988</v>
      </c>
      <c r="G56" s="6" t="s">
        <v>65</v>
      </c>
      <c r="H56" s="9">
        <f>((((((H21)+(H30))+(H33))+(H45))+(H48))+(H51))+(H55)</f>
        <v>57650.740000000005</v>
      </c>
      <c r="I56" s="2"/>
      <c r="J56" s="2"/>
      <c r="K56" s="6" t="s">
        <v>80</v>
      </c>
      <c r="L56" s="7"/>
      <c r="M56" s="6" t="s">
        <v>64</v>
      </c>
      <c r="N56" s="9">
        <f>((N53)+(N54))+(N55)</f>
        <v>19506.129999999997</v>
      </c>
      <c r="O56" s="2"/>
      <c r="P56" s="2"/>
      <c r="Q56" s="2"/>
      <c r="R56" s="2"/>
      <c r="S56" s="2"/>
      <c r="T56" s="2"/>
      <c r="U56" s="2"/>
    </row>
    <row r="57" spans="1:21" ht="19" customHeight="1" x14ac:dyDescent="0.2">
      <c r="A57" s="6" t="s">
        <v>59</v>
      </c>
      <c r="B57" s="8">
        <f>208.75</f>
        <v>208.75</v>
      </c>
      <c r="C57" s="2"/>
      <c r="D57" s="2"/>
      <c r="E57" s="2"/>
      <c r="F57" s="2"/>
      <c r="G57" s="6" t="s">
        <v>66</v>
      </c>
      <c r="H57" s="9">
        <f>(H17)-(H56)</f>
        <v>-9677.7200000000084</v>
      </c>
      <c r="I57" s="2"/>
      <c r="J57" s="2"/>
      <c r="K57" s="6" t="s">
        <v>81</v>
      </c>
      <c r="L57" s="7"/>
      <c r="M57" s="6" t="s">
        <v>65</v>
      </c>
      <c r="N57" s="9">
        <f>((((((N23)+(N32))+(N36))+(N45))+(N48))+(N52))+(N56)</f>
        <v>70150.92</v>
      </c>
      <c r="O57" s="2"/>
      <c r="P57" s="2"/>
      <c r="Q57" s="2"/>
      <c r="R57" s="2"/>
      <c r="S57" s="2"/>
      <c r="T57" s="2"/>
      <c r="U57" s="2"/>
    </row>
    <row r="58" spans="1:21" ht="19" customHeight="1" x14ac:dyDescent="0.2">
      <c r="A58" s="6" t="s">
        <v>60</v>
      </c>
      <c r="B58" s="9">
        <f>((B55)+(B56))+(B57)</f>
        <v>278.75</v>
      </c>
      <c r="C58" s="2"/>
      <c r="D58" s="2"/>
      <c r="E58" s="2"/>
      <c r="F58" s="2"/>
      <c r="G58" s="6" t="s">
        <v>67</v>
      </c>
      <c r="H58" s="9">
        <f>(H57)+(0)</f>
        <v>-9677.7200000000084</v>
      </c>
      <c r="I58" s="2"/>
      <c r="J58" s="2"/>
      <c r="K58" s="6" t="s">
        <v>82</v>
      </c>
      <c r="L58" s="8">
        <f>37.92</f>
        <v>37.92</v>
      </c>
      <c r="M58" s="6" t="s">
        <v>66</v>
      </c>
      <c r="N58" s="9">
        <f>(N18)-(N57)</f>
        <v>-35873.03</v>
      </c>
      <c r="O58" s="2"/>
      <c r="P58" s="2"/>
      <c r="Q58" s="2"/>
      <c r="R58" s="2"/>
      <c r="S58" s="2"/>
      <c r="T58" s="2"/>
      <c r="U58" s="2"/>
    </row>
    <row r="59" spans="1:21" ht="19" customHeight="1" x14ac:dyDescent="0.2">
      <c r="A59" s="6" t="s">
        <v>61</v>
      </c>
      <c r="B59" s="8">
        <f>1849.48</f>
        <v>1849.48</v>
      </c>
      <c r="C59" s="2"/>
      <c r="D59" s="2"/>
      <c r="E59" s="2"/>
      <c r="F59" s="2"/>
      <c r="G59" s="2"/>
      <c r="H59" s="2"/>
      <c r="I59" s="2"/>
      <c r="J59" s="2"/>
      <c r="K59" s="6" t="s">
        <v>83</v>
      </c>
      <c r="L59" s="9">
        <f>(L57)+(L58)</f>
        <v>37.92</v>
      </c>
      <c r="M59" s="6" t="s">
        <v>80</v>
      </c>
      <c r="N59" s="7"/>
      <c r="O59" s="2"/>
      <c r="P59" s="2"/>
      <c r="Q59" s="2"/>
      <c r="R59" s="2"/>
      <c r="S59" s="2"/>
      <c r="T59" s="2"/>
      <c r="U59" s="2"/>
    </row>
    <row r="60" spans="1:21" ht="19" customHeight="1" x14ac:dyDescent="0.2">
      <c r="A60" s="6" t="s">
        <v>62</v>
      </c>
      <c r="B60" s="8">
        <f>16700.21</f>
        <v>16700.21</v>
      </c>
      <c r="C60" s="2"/>
      <c r="D60" s="2"/>
      <c r="E60" s="2"/>
      <c r="F60" s="2"/>
      <c r="G60" s="2"/>
      <c r="H60" s="2"/>
      <c r="I60" s="2"/>
      <c r="J60" s="2"/>
      <c r="K60" s="6" t="s">
        <v>84</v>
      </c>
      <c r="L60" s="9">
        <f>L59</f>
        <v>37.92</v>
      </c>
      <c r="M60" s="6" t="s">
        <v>81</v>
      </c>
      <c r="N60" s="7"/>
      <c r="O60" s="2"/>
      <c r="P60" s="2"/>
      <c r="Q60" s="2"/>
      <c r="R60" s="2"/>
      <c r="S60" s="2"/>
      <c r="T60" s="2"/>
      <c r="U60" s="2"/>
    </row>
    <row r="61" spans="1:21" ht="19" customHeight="1" x14ac:dyDescent="0.2">
      <c r="A61" s="6" t="s">
        <v>63</v>
      </c>
      <c r="B61" s="8">
        <f>2735</f>
        <v>2735</v>
      </c>
      <c r="C61" s="2"/>
      <c r="D61" s="2"/>
      <c r="E61" s="2"/>
      <c r="F61" s="2"/>
      <c r="G61" s="2"/>
      <c r="H61" s="2"/>
      <c r="I61" s="2"/>
      <c r="J61" s="2"/>
      <c r="K61" s="6" t="s">
        <v>85</v>
      </c>
      <c r="L61" s="9">
        <f>(0)-(L60)</f>
        <v>-37.92</v>
      </c>
      <c r="M61" s="6" t="s">
        <v>82</v>
      </c>
      <c r="N61" s="8">
        <f>36.54</f>
        <v>36.54</v>
      </c>
      <c r="O61" s="2"/>
      <c r="P61" s="2"/>
      <c r="Q61" s="2"/>
      <c r="R61" s="2"/>
      <c r="S61" s="2"/>
      <c r="T61" s="2"/>
      <c r="U61" s="2"/>
    </row>
    <row r="62" spans="1:21" ht="19" customHeight="1" x14ac:dyDescent="0.2">
      <c r="A62" s="6" t="s">
        <v>64</v>
      </c>
      <c r="B62" s="9">
        <f>((B59)+(B60))+(B61)</f>
        <v>21284.69</v>
      </c>
      <c r="C62" s="2"/>
      <c r="D62" s="2"/>
      <c r="E62" s="2">
        <v>11859.28</v>
      </c>
      <c r="F62" s="2">
        <v>7247.5</v>
      </c>
      <c r="G62" s="2">
        <v>7782.9</v>
      </c>
      <c r="H62" s="2"/>
      <c r="I62" s="2"/>
      <c r="J62" s="2"/>
      <c r="K62" s="6" t="s">
        <v>67</v>
      </c>
      <c r="L62" s="9">
        <f>(L55)+(L61)</f>
        <v>32860.37999999999</v>
      </c>
      <c r="M62" s="6" t="s">
        <v>83</v>
      </c>
      <c r="N62" s="9">
        <f>(N60)+(N61)</f>
        <v>36.54</v>
      </c>
      <c r="O62" s="2"/>
      <c r="P62" s="2"/>
      <c r="Q62" s="2"/>
      <c r="R62" s="2"/>
      <c r="S62" s="2"/>
      <c r="T62" s="2"/>
      <c r="U62" s="2"/>
    </row>
    <row r="63" spans="1:21" ht="19" customHeight="1" x14ac:dyDescent="0.2">
      <c r="A63" s="6" t="s">
        <v>65</v>
      </c>
      <c r="B63" s="9">
        <f>((((((B22)+(B31))+(B35))+(B51))+(B54))+(B58))+(B62)</f>
        <v>54264.619999999995</v>
      </c>
      <c r="C63" s="2"/>
      <c r="D63" s="2"/>
      <c r="E63" s="2"/>
      <c r="F63" s="2"/>
      <c r="G63" s="2"/>
      <c r="H63" s="2"/>
      <c r="I63" s="2"/>
      <c r="J63" s="2"/>
      <c r="K63" s="2"/>
      <c r="L63" s="2"/>
      <c r="M63" s="6" t="s">
        <v>84</v>
      </c>
      <c r="N63" s="9">
        <f>N62</f>
        <v>36.54</v>
      </c>
      <c r="O63" s="2"/>
      <c r="P63" s="2"/>
      <c r="Q63" s="2"/>
      <c r="R63" s="2"/>
      <c r="S63" s="2"/>
      <c r="T63" s="2"/>
      <c r="U63" s="2"/>
    </row>
    <row r="64" spans="1:21" ht="19" customHeight="1" x14ac:dyDescent="0.2">
      <c r="A64" s="6" t="s">
        <v>66</v>
      </c>
      <c r="B64" s="9">
        <f>(B18)-(B63)</f>
        <v>-649.85999999999331</v>
      </c>
      <c r="C64" s="2"/>
      <c r="D64" s="2"/>
      <c r="E64" s="2"/>
      <c r="F64" s="2"/>
      <c r="G64" s="2"/>
      <c r="H64" s="2"/>
      <c r="I64" s="2"/>
      <c r="J64" s="2"/>
      <c r="K64" s="2"/>
      <c r="L64" s="2"/>
      <c r="M64" s="6" t="s">
        <v>85</v>
      </c>
      <c r="N64" s="9">
        <f>(0)-(N63)</f>
        <v>-36.54</v>
      </c>
      <c r="O64" s="2"/>
      <c r="P64" s="2"/>
      <c r="Q64" s="2"/>
      <c r="R64" s="2"/>
      <c r="S64" s="2"/>
      <c r="T64" s="2"/>
      <c r="U64" s="2"/>
    </row>
    <row r="65" spans="1:21" ht="19" customHeight="1" x14ac:dyDescent="0.2">
      <c r="A65" s="6" t="s">
        <v>67</v>
      </c>
      <c r="B65" s="9">
        <f>(B64)+(0)</f>
        <v>-649.85999999999331</v>
      </c>
      <c r="C65" s="2"/>
      <c r="D65" s="2"/>
      <c r="E65" s="2"/>
      <c r="F65" s="2"/>
      <c r="G65" s="2"/>
      <c r="H65" s="2"/>
      <c r="I65" s="2"/>
      <c r="J65" s="2"/>
      <c r="K65" s="2"/>
      <c r="L65" s="2"/>
      <c r="M65" s="6" t="s">
        <v>67</v>
      </c>
      <c r="N65" s="9">
        <f>(N58)+(N64)</f>
        <v>-35909.57</v>
      </c>
      <c r="O65" s="2"/>
      <c r="P65" s="2"/>
      <c r="Q65" s="2"/>
      <c r="R65" s="2"/>
      <c r="S65" s="2"/>
      <c r="T65" s="2"/>
      <c r="U65" s="2"/>
    </row>
  </sheetData>
  <mergeCells count="9">
    <mergeCell ref="M1:N1"/>
    <mergeCell ref="O1:P1"/>
    <mergeCell ref="Q1:R1"/>
    <mergeCell ref="A1:B1"/>
    <mergeCell ref="C1:D1"/>
    <mergeCell ref="E1:F1"/>
    <mergeCell ref="G1:H1"/>
    <mergeCell ref="I1:J1"/>
    <mergeCell ref="K1:L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0F1573-9AF5-5D48-8BFD-6FE4C74D6600}">
  <dimension ref="A1:AX41"/>
  <sheetViews>
    <sheetView workbookViewId="0">
      <selection activeCell="Y7" sqref="Y7"/>
    </sheetView>
  </sheetViews>
  <sheetFormatPr baseColWidth="10" defaultColWidth="8.83203125" defaultRowHeight="15" x14ac:dyDescent="0.2"/>
  <cols>
    <col min="1" max="1" width="86.83203125" style="31" customWidth="1"/>
    <col min="2" max="7" width="7.6640625" style="31" customWidth="1"/>
    <col min="8" max="8" width="8.6640625" style="31" customWidth="1"/>
    <col min="9" max="9" width="9.5" style="31" customWidth="1"/>
    <col min="10" max="11" width="10.33203125" style="31" customWidth="1"/>
    <col min="12" max="12" width="9.5" style="31" customWidth="1"/>
    <col min="13" max="13" width="11.1640625" style="31" customWidth="1"/>
    <col min="14" max="14" width="8.6640625" style="31" customWidth="1"/>
    <col min="15" max="17" width="10.33203125" style="31" customWidth="1"/>
    <col min="18" max="19" width="11.1640625" style="31" customWidth="1"/>
    <col min="20" max="21" width="10.33203125" style="31" customWidth="1"/>
    <col min="22" max="23" width="11.1640625" style="31" customWidth="1"/>
    <col min="24" max="24" width="10.33203125" style="31" customWidth="1"/>
    <col min="25" max="25" width="12" style="31" customWidth="1"/>
    <col min="26" max="26" width="10.33203125" style="31" customWidth="1"/>
    <col min="27" max="28" width="11.1640625" style="31" customWidth="1"/>
    <col min="29" max="30" width="10.33203125" style="31" customWidth="1"/>
    <col min="31" max="31" width="11.1640625" style="31" customWidth="1"/>
    <col min="32" max="32" width="10.33203125" style="31" customWidth="1"/>
    <col min="33" max="33" width="12" style="31" customWidth="1"/>
    <col min="34" max="34" width="10.33203125" style="31" customWidth="1"/>
    <col min="35" max="35" width="11.1640625" style="31" customWidth="1"/>
    <col min="36" max="36" width="10.33203125" style="31" customWidth="1"/>
    <col min="37" max="37" width="11.1640625" style="31" customWidth="1"/>
    <col min="38" max="40" width="10.33203125" style="31" customWidth="1"/>
    <col min="41" max="41" width="11.1640625" style="31" customWidth="1"/>
    <col min="42" max="44" width="10.33203125" style="31" customWidth="1"/>
    <col min="45" max="46" width="9.5" style="31" customWidth="1"/>
    <col min="47" max="49" width="7.6640625" style="31" customWidth="1"/>
    <col min="50" max="50" width="12" style="31" customWidth="1"/>
    <col min="51" max="16384" width="8.83203125" style="31"/>
  </cols>
  <sheetData>
    <row r="1" spans="1:50" ht="18" x14ac:dyDescent="0.2">
      <c r="A1" s="66" t="s">
        <v>169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  <c r="AH1" s="65"/>
      <c r="AI1" s="65"/>
      <c r="AJ1" s="65"/>
      <c r="AK1" s="65"/>
      <c r="AL1" s="65"/>
      <c r="AM1" s="65"/>
      <c r="AN1" s="65"/>
      <c r="AO1" s="65"/>
      <c r="AP1" s="65"/>
      <c r="AQ1" s="65"/>
      <c r="AR1" s="65"/>
      <c r="AS1" s="65"/>
      <c r="AT1" s="65"/>
      <c r="AU1" s="65"/>
      <c r="AV1" s="65"/>
      <c r="AW1" s="65"/>
      <c r="AX1" s="65"/>
    </row>
    <row r="2" spans="1:50" ht="18" x14ac:dyDescent="0.2">
      <c r="A2" s="66" t="s">
        <v>251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  <c r="AA2" s="65"/>
      <c r="AB2" s="65"/>
      <c r="AC2" s="65"/>
      <c r="AD2" s="65"/>
      <c r="AE2" s="65"/>
      <c r="AF2" s="65"/>
      <c r="AG2" s="65"/>
      <c r="AH2" s="65"/>
      <c r="AI2" s="65"/>
      <c r="AJ2" s="65"/>
      <c r="AK2" s="65"/>
      <c r="AL2" s="65"/>
      <c r="AM2" s="65"/>
      <c r="AN2" s="65"/>
      <c r="AO2" s="65"/>
      <c r="AP2" s="65"/>
      <c r="AQ2" s="65"/>
      <c r="AR2" s="65"/>
      <c r="AS2" s="65"/>
      <c r="AT2" s="65"/>
      <c r="AU2" s="65"/>
      <c r="AV2" s="65"/>
      <c r="AW2" s="65"/>
      <c r="AX2" s="65"/>
    </row>
    <row r="3" spans="1:50" x14ac:dyDescent="0.2">
      <c r="A3" s="67" t="s">
        <v>167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65"/>
      <c r="AB3" s="65"/>
      <c r="AC3" s="65"/>
      <c r="AD3" s="65"/>
      <c r="AE3" s="65"/>
      <c r="AF3" s="65"/>
      <c r="AG3" s="65"/>
      <c r="AH3" s="65"/>
      <c r="AI3" s="65"/>
      <c r="AJ3" s="65"/>
      <c r="AK3" s="65"/>
      <c r="AL3" s="65"/>
      <c r="AM3" s="65"/>
      <c r="AN3" s="65"/>
      <c r="AO3" s="65"/>
      <c r="AP3" s="65"/>
      <c r="AQ3" s="65"/>
      <c r="AR3" s="65"/>
      <c r="AS3" s="65"/>
      <c r="AT3" s="65"/>
      <c r="AU3" s="65"/>
      <c r="AV3" s="65"/>
      <c r="AW3" s="65"/>
      <c r="AX3" s="65"/>
    </row>
    <row r="5" spans="1:50" ht="27" x14ac:dyDescent="0.2">
      <c r="A5" s="37"/>
      <c r="B5" s="36" t="s">
        <v>217</v>
      </c>
      <c r="C5" s="36" t="s">
        <v>216</v>
      </c>
      <c r="D5" s="36" t="s">
        <v>215</v>
      </c>
      <c r="E5" s="36" t="s">
        <v>214</v>
      </c>
      <c r="F5" s="36" t="s">
        <v>213</v>
      </c>
      <c r="G5" s="36" t="s">
        <v>212</v>
      </c>
      <c r="H5" s="36" t="s">
        <v>211</v>
      </c>
      <c r="I5" s="36" t="s">
        <v>210</v>
      </c>
      <c r="J5" s="36" t="s">
        <v>209</v>
      </c>
      <c r="K5" s="36" t="s">
        <v>208</v>
      </c>
      <c r="L5" s="36" t="s">
        <v>207</v>
      </c>
      <c r="M5" s="36" t="s">
        <v>206</v>
      </c>
      <c r="N5" s="36" t="s">
        <v>205</v>
      </c>
      <c r="O5" s="36" t="s">
        <v>204</v>
      </c>
      <c r="P5" s="36" t="s">
        <v>203</v>
      </c>
      <c r="Q5" s="36" t="s">
        <v>202</v>
      </c>
      <c r="R5" s="36" t="s">
        <v>201</v>
      </c>
      <c r="S5" s="36" t="s">
        <v>200</v>
      </c>
      <c r="T5" s="36" t="s">
        <v>199</v>
      </c>
      <c r="U5" s="36" t="s">
        <v>198</v>
      </c>
      <c r="V5" s="36" t="s">
        <v>197</v>
      </c>
      <c r="W5" s="36" t="s">
        <v>196</v>
      </c>
      <c r="X5" s="36" t="s">
        <v>195</v>
      </c>
      <c r="Y5" s="36" t="s">
        <v>194</v>
      </c>
      <c r="Z5" s="36" t="s">
        <v>193</v>
      </c>
      <c r="AA5" s="36" t="s">
        <v>192</v>
      </c>
      <c r="AB5" s="36" t="s">
        <v>191</v>
      </c>
      <c r="AC5" s="36" t="s">
        <v>190</v>
      </c>
      <c r="AD5" s="36" t="s">
        <v>189</v>
      </c>
      <c r="AE5" s="36" t="s">
        <v>188</v>
      </c>
      <c r="AF5" s="36" t="s">
        <v>187</v>
      </c>
      <c r="AG5" s="36" t="s">
        <v>186</v>
      </c>
      <c r="AH5" s="36" t="s">
        <v>185</v>
      </c>
      <c r="AI5" s="36" t="s">
        <v>184</v>
      </c>
      <c r="AJ5" s="36" t="s">
        <v>183</v>
      </c>
      <c r="AK5" s="36" t="s">
        <v>182</v>
      </c>
      <c r="AL5" s="36" t="s">
        <v>181</v>
      </c>
      <c r="AM5" s="36" t="s">
        <v>180</v>
      </c>
      <c r="AN5" s="36" t="s">
        <v>179</v>
      </c>
      <c r="AO5" s="36" t="s">
        <v>178</v>
      </c>
      <c r="AP5" s="36" t="s">
        <v>76</v>
      </c>
      <c r="AQ5" s="36" t="s">
        <v>177</v>
      </c>
      <c r="AR5" s="36" t="s">
        <v>176</v>
      </c>
      <c r="AS5" s="36" t="s">
        <v>175</v>
      </c>
      <c r="AT5" s="36" t="s">
        <v>174</v>
      </c>
      <c r="AU5" s="36" t="s">
        <v>173</v>
      </c>
      <c r="AV5" s="36" t="s">
        <v>172</v>
      </c>
      <c r="AW5" s="36" t="s">
        <v>171</v>
      </c>
      <c r="AX5" s="36" t="s">
        <v>7</v>
      </c>
    </row>
    <row r="6" spans="1:50" x14ac:dyDescent="0.2">
      <c r="A6" s="33" t="s">
        <v>250</v>
      </c>
      <c r="B6" s="32"/>
      <c r="C6" s="32"/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32"/>
      <c r="AV6" s="32"/>
      <c r="AW6" s="32"/>
      <c r="AX6" s="32"/>
    </row>
    <row r="7" spans="1:50" x14ac:dyDescent="0.2">
      <c r="A7" s="33" t="s">
        <v>249</v>
      </c>
      <c r="B7" s="32"/>
      <c r="C7" s="32"/>
      <c r="D7" s="32"/>
      <c r="E7" s="32"/>
      <c r="F7" s="32"/>
      <c r="G7" s="32"/>
      <c r="H7" s="35">
        <f>11526.48</f>
        <v>11526.48</v>
      </c>
      <c r="I7" s="35">
        <f>21150.24</f>
        <v>21150.240000000002</v>
      </c>
      <c r="J7" s="35">
        <f>15791.47</f>
        <v>15791.47</v>
      </c>
      <c r="K7" s="35">
        <f>1189.87</f>
        <v>1189.8699999999999</v>
      </c>
      <c r="L7" s="35">
        <f>16886.87</f>
        <v>16886.87</v>
      </c>
      <c r="M7" s="35">
        <f>-20844.16</f>
        <v>-20844.16</v>
      </c>
      <c r="N7" s="35">
        <f>1769.15</f>
        <v>1769.15</v>
      </c>
      <c r="O7" s="35">
        <f>30426.31</f>
        <v>30426.31</v>
      </c>
      <c r="P7" s="35">
        <f>73492.84</f>
        <v>73492.84</v>
      </c>
      <c r="Q7" s="35">
        <f>47613.32</f>
        <v>47613.32</v>
      </c>
      <c r="R7" s="35">
        <f>40243.36</f>
        <v>40243.360000000001</v>
      </c>
      <c r="S7" s="35">
        <f>67119.92</f>
        <v>67119.92</v>
      </c>
      <c r="T7" s="35">
        <f>25561.38</f>
        <v>25561.38</v>
      </c>
      <c r="U7" s="35">
        <f>46212.16</f>
        <v>46212.160000000003</v>
      </c>
      <c r="V7" s="35">
        <f>62997.56</f>
        <v>62997.56</v>
      </c>
      <c r="W7" s="35">
        <f>25742.14</f>
        <v>25742.14</v>
      </c>
      <c r="X7" s="35">
        <f>15214.47</f>
        <v>15214.47</v>
      </c>
      <c r="Y7" s="35">
        <f>-277162.21</f>
        <v>-277162.21000000002</v>
      </c>
      <c r="Z7" s="35">
        <f>31093.56</f>
        <v>31093.56</v>
      </c>
      <c r="AA7" s="35">
        <f>39308.94</f>
        <v>39308.94</v>
      </c>
      <c r="AB7" s="35">
        <f>40800.35</f>
        <v>40800.35</v>
      </c>
      <c r="AC7" s="35">
        <f>22207.4</f>
        <v>22207.4</v>
      </c>
      <c r="AD7" s="35">
        <f>11723.55</f>
        <v>11723.55</v>
      </c>
      <c r="AE7" s="35">
        <f>29891.04</f>
        <v>29891.040000000001</v>
      </c>
      <c r="AF7" s="35">
        <f>193.74</f>
        <v>193.74</v>
      </c>
      <c r="AG7" s="35">
        <f>37837.15</f>
        <v>37837.15</v>
      </c>
      <c r="AH7" s="35">
        <f>-27876.17</f>
        <v>-27876.17</v>
      </c>
      <c r="AI7" s="35">
        <f>37804.73</f>
        <v>37804.730000000003</v>
      </c>
      <c r="AJ7" s="35">
        <f>-56454.32</f>
        <v>-56454.32</v>
      </c>
      <c r="AK7" s="35">
        <f>104423.17</f>
        <v>104423.17</v>
      </c>
      <c r="AL7" s="35">
        <f>-649.86</f>
        <v>-649.86</v>
      </c>
      <c r="AM7" s="35">
        <f>58231.58</f>
        <v>58231.58</v>
      </c>
      <c r="AN7" s="35">
        <f>5292.53</f>
        <v>5292.53</v>
      </c>
      <c r="AO7" s="35">
        <f>-9677.72</f>
        <v>-9677.7199999999993</v>
      </c>
      <c r="AP7" s="35">
        <f>24036.21</f>
        <v>24036.21</v>
      </c>
      <c r="AQ7" s="35">
        <f>32860.38</f>
        <v>32860.379999999997</v>
      </c>
      <c r="AR7" s="35">
        <f>-35909.57</f>
        <v>-35909.57</v>
      </c>
      <c r="AS7" s="35">
        <f>109301.14</f>
        <v>109301.14</v>
      </c>
      <c r="AT7" s="35">
        <f>22000</f>
        <v>22000</v>
      </c>
      <c r="AU7" s="32"/>
      <c r="AV7" s="32"/>
      <c r="AW7" s="32"/>
      <c r="AX7" s="35">
        <f t="shared" ref="AX7:AX22" si="0">(((((((((((((((((((((((((((((((((((((((((((((((B7)+(C7))+(D7))+(E7))+(F7))+(G7))+(H7))+(I7))+(J7))+(K7))+(L7))+(M7))+(N7))+(O7))+(P7))+(Q7))+(R7))+(S7))+(T7))+(U7))+(V7))+(W7))+(X7))+(Y7))+(Z7))+(AA7))+(AB7))+(AC7))+(AD7))+(AE7))+(AF7))+(AG7))+(AH7))+(AI7))+(AJ7))+(AK7))+(AL7))+(AM7))+(AN7))+(AO7))+(AP7))+(AQ7))+(AR7))+(AS7))+(AT7))+(AU7))+(AV7))+(AW7)</f>
        <v>681369</v>
      </c>
    </row>
    <row r="8" spans="1:50" x14ac:dyDescent="0.2">
      <c r="A8" s="33" t="s">
        <v>248</v>
      </c>
      <c r="B8" s="32"/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5">
        <f t="shared" si="0"/>
        <v>0</v>
      </c>
    </row>
    <row r="9" spans="1:50" x14ac:dyDescent="0.2">
      <c r="A9" s="33" t="s">
        <v>247</v>
      </c>
      <c r="B9" s="32"/>
      <c r="C9" s="32"/>
      <c r="D9" s="32"/>
      <c r="E9" s="32"/>
      <c r="F9" s="32"/>
      <c r="G9" s="32"/>
      <c r="H9" s="35">
        <f>-1800</f>
        <v>-1800</v>
      </c>
      <c r="I9" s="35">
        <f>-3900</f>
        <v>-3900</v>
      </c>
      <c r="J9" s="35">
        <f>3700</f>
        <v>3700</v>
      </c>
      <c r="K9" s="35">
        <f>-2300</f>
        <v>-2300</v>
      </c>
      <c r="L9" s="35">
        <f>-5700</f>
        <v>-5700</v>
      </c>
      <c r="M9" s="35">
        <f>-3000</f>
        <v>-3000</v>
      </c>
      <c r="N9" s="32"/>
      <c r="O9" s="35">
        <f>5665</f>
        <v>5665</v>
      </c>
      <c r="P9" s="35">
        <f>-4175</f>
        <v>-4175</v>
      </c>
      <c r="Q9" s="35">
        <f>-2615</f>
        <v>-2615</v>
      </c>
      <c r="R9" s="35">
        <f>-3625</f>
        <v>-3625</v>
      </c>
      <c r="S9" s="35">
        <f>300</f>
        <v>300</v>
      </c>
      <c r="T9" s="35">
        <f>8200</f>
        <v>8200</v>
      </c>
      <c r="U9" s="35">
        <f>-10900</f>
        <v>-10900</v>
      </c>
      <c r="V9" s="35">
        <f>800</f>
        <v>800</v>
      </c>
      <c r="W9" s="35">
        <f>5750</f>
        <v>5750</v>
      </c>
      <c r="X9" s="35">
        <f>-3100</f>
        <v>-3100</v>
      </c>
      <c r="Y9" s="35">
        <f>40385</f>
        <v>40385</v>
      </c>
      <c r="Z9" s="35">
        <f>-31235</f>
        <v>-31235</v>
      </c>
      <c r="AA9" s="35">
        <f>-16050</f>
        <v>-16050</v>
      </c>
      <c r="AB9" s="35">
        <f>4300</f>
        <v>4300</v>
      </c>
      <c r="AC9" s="35">
        <f>-15750</f>
        <v>-15750</v>
      </c>
      <c r="AD9" s="35">
        <f>10670</f>
        <v>10670</v>
      </c>
      <c r="AE9" s="35">
        <f>-32835</f>
        <v>-32835</v>
      </c>
      <c r="AF9" s="35">
        <f>20085</f>
        <v>20085</v>
      </c>
      <c r="AG9" s="35">
        <f>-27415</f>
        <v>-27415</v>
      </c>
      <c r="AH9" s="35">
        <f>39645</f>
        <v>39645</v>
      </c>
      <c r="AI9" s="35">
        <f>-63475</f>
        <v>-63475</v>
      </c>
      <c r="AJ9" s="35">
        <f>69855</f>
        <v>69855</v>
      </c>
      <c r="AK9" s="35">
        <f>-27880</f>
        <v>-27880</v>
      </c>
      <c r="AL9" s="35">
        <f>7700</f>
        <v>7700</v>
      </c>
      <c r="AM9" s="35">
        <f>-16600</f>
        <v>-16600</v>
      </c>
      <c r="AN9" s="35">
        <f>12300</f>
        <v>12300</v>
      </c>
      <c r="AO9" s="35">
        <f>-28625</f>
        <v>-28625</v>
      </c>
      <c r="AP9" s="35">
        <f>-6175</f>
        <v>-6175</v>
      </c>
      <c r="AQ9" s="35">
        <f>36794.25</f>
        <v>36794.25</v>
      </c>
      <c r="AR9" s="35">
        <f>7262</f>
        <v>7262</v>
      </c>
      <c r="AS9" s="35">
        <f>9613</f>
        <v>9613</v>
      </c>
      <c r="AT9" s="35">
        <f>1775</f>
        <v>1775</v>
      </c>
      <c r="AU9" s="32"/>
      <c r="AV9" s="32"/>
      <c r="AW9" s="32"/>
      <c r="AX9" s="35">
        <f t="shared" si="0"/>
        <v>-22355.75</v>
      </c>
    </row>
    <row r="10" spans="1:50" x14ac:dyDescent="0.2">
      <c r="A10" s="33" t="s">
        <v>246</v>
      </c>
      <c r="B10" s="32"/>
      <c r="C10" s="32"/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5">
        <f>-17000</f>
        <v>-17000</v>
      </c>
      <c r="AC10" s="35">
        <f>-5000</f>
        <v>-5000</v>
      </c>
      <c r="AD10" s="32"/>
      <c r="AE10" s="32"/>
      <c r="AF10" s="32"/>
      <c r="AG10" s="32"/>
      <c r="AH10" s="32"/>
      <c r="AI10" s="32"/>
      <c r="AJ10" s="32"/>
      <c r="AK10" s="32"/>
      <c r="AL10" s="32"/>
      <c r="AM10" s="32"/>
      <c r="AN10" s="32"/>
      <c r="AO10" s="32"/>
      <c r="AP10" s="32"/>
      <c r="AQ10" s="32"/>
      <c r="AR10" s="35">
        <f>-31093</f>
        <v>-31093</v>
      </c>
      <c r="AS10" s="35">
        <f>-3000</f>
        <v>-3000</v>
      </c>
      <c r="AT10" s="32"/>
      <c r="AU10" s="32"/>
      <c r="AV10" s="32"/>
      <c r="AW10" s="32"/>
      <c r="AX10" s="35">
        <f t="shared" si="0"/>
        <v>-56093</v>
      </c>
    </row>
    <row r="11" spans="1:50" x14ac:dyDescent="0.2">
      <c r="A11" s="33" t="s">
        <v>245</v>
      </c>
      <c r="B11" s="32"/>
      <c r="C11" s="32"/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5">
        <f>44602.05</f>
        <v>44602.05</v>
      </c>
      <c r="AA11" s="35">
        <f>4000</f>
        <v>4000</v>
      </c>
      <c r="AB11" s="35">
        <f>-6000</f>
        <v>-6000</v>
      </c>
      <c r="AC11" s="35">
        <f>47300</f>
        <v>47300</v>
      </c>
      <c r="AD11" s="35">
        <f>-10100</f>
        <v>-10100</v>
      </c>
      <c r="AE11" s="35">
        <f>19865</f>
        <v>19865</v>
      </c>
      <c r="AF11" s="35">
        <f>-8537</f>
        <v>-8537</v>
      </c>
      <c r="AG11" s="35">
        <f>-10750</f>
        <v>-10750</v>
      </c>
      <c r="AH11" s="35">
        <f>4789.12</f>
        <v>4789.12</v>
      </c>
      <c r="AI11" s="35">
        <f>-19800</f>
        <v>-19800</v>
      </c>
      <c r="AJ11" s="35">
        <f>24130</f>
        <v>24130</v>
      </c>
      <c r="AK11" s="35">
        <f>-79699.17</f>
        <v>-79699.17</v>
      </c>
      <c r="AL11" s="32"/>
      <c r="AM11" s="32"/>
      <c r="AN11" s="32"/>
      <c r="AO11" s="32"/>
      <c r="AP11" s="32"/>
      <c r="AQ11" s="32"/>
      <c r="AR11" s="32"/>
      <c r="AS11" s="32"/>
      <c r="AT11" s="32"/>
      <c r="AU11" s="32"/>
      <c r="AV11" s="32"/>
      <c r="AW11" s="32"/>
      <c r="AX11" s="35">
        <f t="shared" si="0"/>
        <v>9800</v>
      </c>
    </row>
    <row r="12" spans="1:50" x14ac:dyDescent="0.2">
      <c r="A12" s="33" t="s">
        <v>244</v>
      </c>
      <c r="B12" s="32"/>
      <c r="C12" s="32"/>
      <c r="D12" s="32"/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5">
        <f>1195.1</f>
        <v>1195.0999999999999</v>
      </c>
      <c r="AD12" s="35">
        <f>3649.83</f>
        <v>3649.83</v>
      </c>
      <c r="AE12" s="35">
        <f>-1452.8</f>
        <v>-1452.8</v>
      </c>
      <c r="AF12" s="35">
        <f>-3152.83</f>
        <v>-3152.83</v>
      </c>
      <c r="AG12" s="35">
        <f>12449.07</f>
        <v>12449.07</v>
      </c>
      <c r="AH12" s="35">
        <f>1356.74</f>
        <v>1356.74</v>
      </c>
      <c r="AI12" s="35">
        <f>18637.67</f>
        <v>18637.669999999998</v>
      </c>
      <c r="AJ12" s="35">
        <f>-14631.06</f>
        <v>-14631.06</v>
      </c>
      <c r="AK12" s="35">
        <f>-12682.37</f>
        <v>-12682.37</v>
      </c>
      <c r="AL12" s="35">
        <f>13028.05</f>
        <v>13028.05</v>
      </c>
      <c r="AM12" s="35">
        <f>-14878.79</f>
        <v>-14878.79</v>
      </c>
      <c r="AN12" s="35">
        <f>2418.44</f>
        <v>2418.44</v>
      </c>
      <c r="AO12" s="35">
        <f>18779.93</f>
        <v>18779.93</v>
      </c>
      <c r="AP12" s="35">
        <f>29591.61</f>
        <v>29591.61</v>
      </c>
      <c r="AQ12" s="35">
        <f>-33337.53</f>
        <v>-33337.53</v>
      </c>
      <c r="AR12" s="35">
        <f>52436.43</f>
        <v>52436.43</v>
      </c>
      <c r="AS12" s="35">
        <f>-32376.14</f>
        <v>-32376.14</v>
      </c>
      <c r="AT12" s="32"/>
      <c r="AU12" s="32"/>
      <c r="AV12" s="32"/>
      <c r="AW12" s="32"/>
      <c r="AX12" s="35">
        <f t="shared" si="0"/>
        <v>41031.350000000006</v>
      </c>
    </row>
    <row r="13" spans="1:50" x14ac:dyDescent="0.2">
      <c r="A13" s="33" t="s">
        <v>243</v>
      </c>
      <c r="B13" s="32"/>
      <c r="C13" s="32"/>
      <c r="D13" s="32"/>
      <c r="E13" s="32"/>
      <c r="F13" s="32"/>
      <c r="G13" s="32"/>
      <c r="H13" s="32"/>
      <c r="I13" s="32"/>
      <c r="J13" s="32"/>
      <c r="K13" s="32"/>
      <c r="L13" s="35">
        <f>48</f>
        <v>48</v>
      </c>
      <c r="M13" s="32"/>
      <c r="N13" s="35">
        <f>24</f>
        <v>24</v>
      </c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5">
        <f>89.42</f>
        <v>89.42</v>
      </c>
      <c r="AD13" s="35">
        <f>95.47</f>
        <v>95.47</v>
      </c>
      <c r="AE13" s="35">
        <f>39.82</f>
        <v>39.82</v>
      </c>
      <c r="AF13" s="35">
        <f>15.07</f>
        <v>15.07</v>
      </c>
      <c r="AG13" s="35">
        <f>10.7</f>
        <v>10.7</v>
      </c>
      <c r="AH13" s="35">
        <f>1.52</f>
        <v>1.52</v>
      </c>
      <c r="AI13" s="32"/>
      <c r="AJ13" s="32"/>
      <c r="AK13" s="32"/>
      <c r="AL13" s="32"/>
      <c r="AM13" s="32"/>
      <c r="AN13" s="32"/>
      <c r="AO13" s="32"/>
      <c r="AP13" s="32"/>
      <c r="AQ13" s="32"/>
      <c r="AR13" s="32"/>
      <c r="AS13" s="32"/>
      <c r="AT13" s="32"/>
      <c r="AU13" s="32"/>
      <c r="AV13" s="32"/>
      <c r="AW13" s="32"/>
      <c r="AX13" s="35">
        <f t="shared" si="0"/>
        <v>323.99999999999994</v>
      </c>
    </row>
    <row r="14" spans="1:50" x14ac:dyDescent="0.2">
      <c r="A14" s="33" t="s">
        <v>242</v>
      </c>
      <c r="B14" s="32"/>
      <c r="C14" s="32"/>
      <c r="D14" s="32"/>
      <c r="E14" s="32"/>
      <c r="F14" s="32"/>
      <c r="G14" s="32"/>
      <c r="H14" s="32"/>
      <c r="I14" s="32"/>
      <c r="J14" s="32"/>
      <c r="K14" s="32"/>
      <c r="L14" s="35">
        <f>1622.16</f>
        <v>1622.16</v>
      </c>
      <c r="M14" s="32"/>
      <c r="N14" s="35">
        <f>811.08</f>
        <v>811.08</v>
      </c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5">
        <f>2990.56</f>
        <v>2990.56</v>
      </c>
      <c r="AD14" s="35">
        <f>3481.43</f>
        <v>3481.43</v>
      </c>
      <c r="AE14" s="35">
        <f>1902.5</f>
        <v>1902.5</v>
      </c>
      <c r="AF14" s="32"/>
      <c r="AG14" s="32"/>
      <c r="AH14" s="32"/>
      <c r="AI14" s="32"/>
      <c r="AJ14" s="32"/>
      <c r="AK14" s="32"/>
      <c r="AL14" s="32"/>
      <c r="AM14" s="32"/>
      <c r="AN14" s="32"/>
      <c r="AO14" s="32"/>
      <c r="AP14" s="32"/>
      <c r="AQ14" s="32"/>
      <c r="AR14" s="32"/>
      <c r="AS14" s="32"/>
      <c r="AT14" s="32"/>
      <c r="AU14" s="32"/>
      <c r="AV14" s="32"/>
      <c r="AW14" s="32"/>
      <c r="AX14" s="35">
        <f t="shared" si="0"/>
        <v>10807.73</v>
      </c>
    </row>
    <row r="15" spans="1:50" x14ac:dyDescent="0.2">
      <c r="A15" s="33" t="s">
        <v>241</v>
      </c>
      <c r="B15" s="32"/>
      <c r="C15" s="32"/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5">
        <f>1940.92</f>
        <v>1940.92</v>
      </c>
      <c r="AF15" s="35">
        <f>2502.42</f>
        <v>2502.42</v>
      </c>
      <c r="AG15" s="35">
        <f>3042.6</f>
        <v>3042.6</v>
      </c>
      <c r="AH15" s="35">
        <f>3418.03</f>
        <v>3418.03</v>
      </c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5">
        <f t="shared" si="0"/>
        <v>10903.970000000001</v>
      </c>
    </row>
    <row r="16" spans="1:50" x14ac:dyDescent="0.2">
      <c r="A16" s="33" t="s">
        <v>240</v>
      </c>
      <c r="B16" s="32"/>
      <c r="C16" s="32"/>
      <c r="D16" s="32"/>
      <c r="E16" s="32"/>
      <c r="F16" s="32"/>
      <c r="G16" s="32"/>
      <c r="H16" s="32"/>
      <c r="I16" s="32"/>
      <c r="J16" s="32"/>
      <c r="K16" s="32"/>
      <c r="L16" s="35">
        <f>568</f>
        <v>568</v>
      </c>
      <c r="M16" s="32"/>
      <c r="N16" s="35">
        <f>284</f>
        <v>284</v>
      </c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5">
        <f>1058.12</f>
        <v>1058.1199999999999</v>
      </c>
      <c r="AD16" s="35">
        <f>1289.39</f>
        <v>1289.3900000000001</v>
      </c>
      <c r="AE16" s="35">
        <f>1384.32</f>
        <v>1384.32</v>
      </c>
      <c r="AF16" s="35">
        <f>798.8</f>
        <v>798.8</v>
      </c>
      <c r="AG16" s="35">
        <f>1094.76</f>
        <v>1094.76</v>
      </c>
      <c r="AH16" s="35">
        <f>1222.43</f>
        <v>1222.43</v>
      </c>
      <c r="AI16" s="32"/>
      <c r="AJ16" s="32"/>
      <c r="AK16" s="32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5">
        <f t="shared" si="0"/>
        <v>7699.8200000000006</v>
      </c>
    </row>
    <row r="17" spans="1:50" x14ac:dyDescent="0.2">
      <c r="A17" s="33" t="s">
        <v>239</v>
      </c>
      <c r="B17" s="32"/>
      <c r="C17" s="32"/>
      <c r="D17" s="32"/>
      <c r="E17" s="32"/>
      <c r="F17" s="32"/>
      <c r="G17" s="32"/>
      <c r="H17" s="32"/>
      <c r="I17" s="32"/>
      <c r="J17" s="32"/>
      <c r="K17" s="32"/>
      <c r="L17" s="35">
        <f>349.12</f>
        <v>349.12</v>
      </c>
      <c r="M17" s="32"/>
      <c r="N17" s="35">
        <f>174.56</f>
        <v>174.56</v>
      </c>
      <c r="O17" s="32"/>
      <c r="P17" s="32"/>
      <c r="Q17" s="32"/>
      <c r="R17" s="32"/>
      <c r="S17" s="35">
        <f>-485</f>
        <v>-485</v>
      </c>
      <c r="T17" s="32"/>
      <c r="U17" s="32"/>
      <c r="V17" s="32"/>
      <c r="W17" s="32"/>
      <c r="X17" s="32"/>
      <c r="Y17" s="32"/>
      <c r="Z17" s="32"/>
      <c r="AA17" s="32"/>
      <c r="AB17" s="32"/>
      <c r="AC17" s="35">
        <f>616.2</f>
        <v>616.20000000000005</v>
      </c>
      <c r="AD17" s="35">
        <f>752.2</f>
        <v>752.2</v>
      </c>
      <c r="AE17" s="35">
        <f>803.91</f>
        <v>803.91</v>
      </c>
      <c r="AF17" s="35">
        <f>511.76</f>
        <v>511.76</v>
      </c>
      <c r="AG17" s="35">
        <f>620.89</f>
        <v>620.89</v>
      </c>
      <c r="AH17" s="35">
        <f>729.69</f>
        <v>729.69</v>
      </c>
      <c r="AI17" s="32"/>
      <c r="AJ17" s="32"/>
      <c r="AK17" s="32"/>
      <c r="AL17" s="32"/>
      <c r="AM17" s="32"/>
      <c r="AN17" s="32"/>
      <c r="AO17" s="32"/>
      <c r="AP17" s="32"/>
      <c r="AQ17" s="32"/>
      <c r="AR17" s="32"/>
      <c r="AS17" s="32"/>
      <c r="AT17" s="32"/>
      <c r="AU17" s="32"/>
      <c r="AV17" s="32"/>
      <c r="AW17" s="32"/>
      <c r="AX17" s="35">
        <f t="shared" si="0"/>
        <v>4073.33</v>
      </c>
    </row>
    <row r="18" spans="1:50" x14ac:dyDescent="0.2">
      <c r="A18" s="33" t="s">
        <v>238</v>
      </c>
      <c r="B18" s="32"/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5">
        <f>200</f>
        <v>200</v>
      </c>
      <c r="AC18" s="35">
        <f>-200</f>
        <v>-200</v>
      </c>
      <c r="AD18" s="32"/>
      <c r="AE18" s="32"/>
      <c r="AF18" s="32"/>
      <c r="AG18" s="32"/>
      <c r="AH18" s="32"/>
      <c r="AI18" s="32"/>
      <c r="AJ18" s="32"/>
      <c r="AK18" s="32"/>
      <c r="AL18" s="32"/>
      <c r="AM18" s="32"/>
      <c r="AN18" s="32"/>
      <c r="AO18" s="32"/>
      <c r="AP18" s="32"/>
      <c r="AQ18" s="32"/>
      <c r="AR18" s="32"/>
      <c r="AS18" s="32"/>
      <c r="AT18" s="32"/>
      <c r="AU18" s="32"/>
      <c r="AV18" s="32"/>
      <c r="AW18" s="32"/>
      <c r="AX18" s="35">
        <f t="shared" si="0"/>
        <v>0</v>
      </c>
    </row>
    <row r="19" spans="1:50" x14ac:dyDescent="0.2">
      <c r="A19" s="33" t="s">
        <v>237</v>
      </c>
      <c r="B19" s="32"/>
      <c r="C19" s="32"/>
      <c r="D19" s="32"/>
      <c r="E19" s="32"/>
      <c r="F19" s="32"/>
      <c r="G19" s="32"/>
      <c r="H19" s="32"/>
      <c r="I19" s="32"/>
      <c r="J19" s="32"/>
      <c r="K19" s="32"/>
      <c r="L19" s="35">
        <f>0</f>
        <v>0</v>
      </c>
      <c r="M19" s="32"/>
      <c r="N19" s="35">
        <f>0</f>
        <v>0</v>
      </c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5">
        <f>0</f>
        <v>0</v>
      </c>
      <c r="AD19" s="35">
        <f>0</f>
        <v>0</v>
      </c>
      <c r="AE19" s="35">
        <f>0</f>
        <v>0</v>
      </c>
      <c r="AF19" s="35">
        <f>0</f>
        <v>0</v>
      </c>
      <c r="AG19" s="35">
        <f>0</f>
        <v>0</v>
      </c>
      <c r="AH19" s="35">
        <f>0</f>
        <v>0</v>
      </c>
      <c r="AI19" s="32"/>
      <c r="AJ19" s="32"/>
      <c r="AK19" s="32"/>
      <c r="AL19" s="32"/>
      <c r="AM19" s="32"/>
      <c r="AN19" s="32"/>
      <c r="AO19" s="32"/>
      <c r="AP19" s="32"/>
      <c r="AQ19" s="32"/>
      <c r="AR19" s="32"/>
      <c r="AS19" s="32"/>
      <c r="AT19" s="32"/>
      <c r="AU19" s="32"/>
      <c r="AV19" s="32"/>
      <c r="AW19" s="32"/>
      <c r="AX19" s="35">
        <f t="shared" si="0"/>
        <v>0</v>
      </c>
    </row>
    <row r="20" spans="1:50" x14ac:dyDescent="0.2">
      <c r="A20" s="33" t="s">
        <v>236</v>
      </c>
      <c r="B20" s="32"/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5">
        <f>0</f>
        <v>0</v>
      </c>
      <c r="Q20" s="35">
        <f>0</f>
        <v>0</v>
      </c>
      <c r="R20" s="35">
        <f>0</f>
        <v>0</v>
      </c>
      <c r="S20" s="35">
        <f>0</f>
        <v>0</v>
      </c>
      <c r="T20" s="32"/>
      <c r="U20" s="35">
        <f>0</f>
        <v>0</v>
      </c>
      <c r="V20" s="35">
        <f>0</f>
        <v>0</v>
      </c>
      <c r="W20" s="35">
        <f>0</f>
        <v>0</v>
      </c>
      <c r="X20" s="35">
        <f>0</f>
        <v>0</v>
      </c>
      <c r="Y20" s="35">
        <f>0</f>
        <v>0</v>
      </c>
      <c r="Z20" s="35">
        <f>0</f>
        <v>0</v>
      </c>
      <c r="AA20" s="35">
        <f>0</f>
        <v>0</v>
      </c>
      <c r="AB20" s="35">
        <f>0</f>
        <v>0</v>
      </c>
      <c r="AC20" s="35">
        <f>0</f>
        <v>0</v>
      </c>
      <c r="AD20" s="35">
        <f>0</f>
        <v>0</v>
      </c>
      <c r="AE20" s="35">
        <f>0</f>
        <v>0</v>
      </c>
      <c r="AF20" s="35">
        <f>467.1</f>
        <v>467.1</v>
      </c>
      <c r="AG20" s="35">
        <f>0</f>
        <v>0</v>
      </c>
      <c r="AH20" s="35">
        <f>10.88</f>
        <v>10.88</v>
      </c>
      <c r="AI20" s="35">
        <f>0</f>
        <v>0</v>
      </c>
      <c r="AJ20" s="35">
        <f>0</f>
        <v>0</v>
      </c>
      <c r="AK20" s="35">
        <f>21.45</f>
        <v>21.45</v>
      </c>
      <c r="AL20" s="35">
        <f>0</f>
        <v>0</v>
      </c>
      <c r="AM20" s="35">
        <f>0</f>
        <v>0</v>
      </c>
      <c r="AN20" s="35">
        <f>0</f>
        <v>0</v>
      </c>
      <c r="AO20" s="35">
        <f>0</f>
        <v>0</v>
      </c>
      <c r="AP20" s="35">
        <f>0</f>
        <v>0</v>
      </c>
      <c r="AQ20" s="35">
        <f>77.94</f>
        <v>77.94</v>
      </c>
      <c r="AR20" s="35">
        <f>0</f>
        <v>0</v>
      </c>
      <c r="AS20" s="35">
        <f>0</f>
        <v>0</v>
      </c>
      <c r="AT20" s="35">
        <f>0</f>
        <v>0</v>
      </c>
      <c r="AU20" s="32"/>
      <c r="AV20" s="32"/>
      <c r="AW20" s="32"/>
      <c r="AX20" s="35">
        <f t="shared" si="0"/>
        <v>577.37</v>
      </c>
    </row>
    <row r="21" spans="1:50" x14ac:dyDescent="0.2">
      <c r="A21" s="33" t="s">
        <v>235</v>
      </c>
      <c r="B21" s="34">
        <f t="shared" ref="B21:AW21" si="1">((((((((((((B8)+(B9))+(B10))+(B11))+(B12))+(B13))+(B14))+(B15))+(B16))+(B17))+(B18))+(B19))+(B20)</f>
        <v>0</v>
      </c>
      <c r="C21" s="34">
        <f t="shared" si="1"/>
        <v>0</v>
      </c>
      <c r="D21" s="34">
        <f t="shared" si="1"/>
        <v>0</v>
      </c>
      <c r="E21" s="34">
        <f t="shared" si="1"/>
        <v>0</v>
      </c>
      <c r="F21" s="34">
        <f t="shared" si="1"/>
        <v>0</v>
      </c>
      <c r="G21" s="34">
        <f t="shared" si="1"/>
        <v>0</v>
      </c>
      <c r="H21" s="34">
        <f t="shared" si="1"/>
        <v>-1800</v>
      </c>
      <c r="I21" s="34">
        <f t="shared" si="1"/>
        <v>-3900</v>
      </c>
      <c r="J21" s="34">
        <f t="shared" si="1"/>
        <v>3700</v>
      </c>
      <c r="K21" s="34">
        <f t="shared" si="1"/>
        <v>-2300</v>
      </c>
      <c r="L21" s="34">
        <f t="shared" si="1"/>
        <v>-3112.7200000000003</v>
      </c>
      <c r="M21" s="34">
        <f t="shared" si="1"/>
        <v>-3000</v>
      </c>
      <c r="N21" s="34">
        <f t="shared" si="1"/>
        <v>1293.6399999999999</v>
      </c>
      <c r="O21" s="34">
        <f t="shared" si="1"/>
        <v>5665</v>
      </c>
      <c r="P21" s="34">
        <f t="shared" si="1"/>
        <v>-4175</v>
      </c>
      <c r="Q21" s="34">
        <f t="shared" si="1"/>
        <v>-2615</v>
      </c>
      <c r="R21" s="34">
        <f t="shared" si="1"/>
        <v>-3625</v>
      </c>
      <c r="S21" s="34">
        <f t="shared" si="1"/>
        <v>-185</v>
      </c>
      <c r="T21" s="34">
        <f t="shared" si="1"/>
        <v>8200</v>
      </c>
      <c r="U21" s="34">
        <f t="shared" si="1"/>
        <v>-10900</v>
      </c>
      <c r="V21" s="34">
        <f t="shared" si="1"/>
        <v>800</v>
      </c>
      <c r="W21" s="34">
        <f t="shared" si="1"/>
        <v>5750</v>
      </c>
      <c r="X21" s="34">
        <f t="shared" si="1"/>
        <v>-3100</v>
      </c>
      <c r="Y21" s="34">
        <f t="shared" si="1"/>
        <v>40385</v>
      </c>
      <c r="Z21" s="34">
        <f t="shared" si="1"/>
        <v>13367.050000000003</v>
      </c>
      <c r="AA21" s="34">
        <f t="shared" si="1"/>
        <v>-12050</v>
      </c>
      <c r="AB21" s="34">
        <f t="shared" si="1"/>
        <v>-18500</v>
      </c>
      <c r="AC21" s="34">
        <f t="shared" si="1"/>
        <v>32299.399999999998</v>
      </c>
      <c r="AD21" s="34">
        <f t="shared" si="1"/>
        <v>9838.32</v>
      </c>
      <c r="AE21" s="34">
        <f t="shared" si="1"/>
        <v>-8351.33</v>
      </c>
      <c r="AF21" s="34">
        <f t="shared" si="1"/>
        <v>12690.32</v>
      </c>
      <c r="AG21" s="34">
        <f t="shared" si="1"/>
        <v>-20946.980000000003</v>
      </c>
      <c r="AH21" s="34">
        <f t="shared" si="1"/>
        <v>51173.409999999996</v>
      </c>
      <c r="AI21" s="34">
        <f t="shared" si="1"/>
        <v>-64637.33</v>
      </c>
      <c r="AJ21" s="34">
        <f t="shared" si="1"/>
        <v>79353.94</v>
      </c>
      <c r="AK21" s="34">
        <f t="shared" si="1"/>
        <v>-120240.09</v>
      </c>
      <c r="AL21" s="34">
        <f t="shared" si="1"/>
        <v>20728.05</v>
      </c>
      <c r="AM21" s="34">
        <f t="shared" si="1"/>
        <v>-31478.79</v>
      </c>
      <c r="AN21" s="34">
        <f t="shared" si="1"/>
        <v>14718.44</v>
      </c>
      <c r="AO21" s="34">
        <f t="shared" si="1"/>
        <v>-9845.07</v>
      </c>
      <c r="AP21" s="34">
        <f t="shared" si="1"/>
        <v>23416.61</v>
      </c>
      <c r="AQ21" s="34">
        <f t="shared" si="1"/>
        <v>3534.6600000000012</v>
      </c>
      <c r="AR21" s="34">
        <f t="shared" si="1"/>
        <v>28605.43</v>
      </c>
      <c r="AS21" s="34">
        <f t="shared" si="1"/>
        <v>-25763.14</v>
      </c>
      <c r="AT21" s="34">
        <f t="shared" si="1"/>
        <v>1775</v>
      </c>
      <c r="AU21" s="34">
        <f t="shared" si="1"/>
        <v>0</v>
      </c>
      <c r="AV21" s="34">
        <f t="shared" si="1"/>
        <v>0</v>
      </c>
      <c r="AW21" s="34">
        <f t="shared" si="1"/>
        <v>0</v>
      </c>
      <c r="AX21" s="34">
        <f t="shared" si="0"/>
        <v>6768.8199999999888</v>
      </c>
    </row>
    <row r="22" spans="1:50" x14ac:dyDescent="0.2">
      <c r="A22" s="33" t="s">
        <v>234</v>
      </c>
      <c r="B22" s="34">
        <f t="shared" ref="B22:AW22" si="2">(B7)+(B21)</f>
        <v>0</v>
      </c>
      <c r="C22" s="34">
        <f t="shared" si="2"/>
        <v>0</v>
      </c>
      <c r="D22" s="34">
        <f t="shared" si="2"/>
        <v>0</v>
      </c>
      <c r="E22" s="34">
        <f t="shared" si="2"/>
        <v>0</v>
      </c>
      <c r="F22" s="34">
        <f t="shared" si="2"/>
        <v>0</v>
      </c>
      <c r="G22" s="34">
        <f t="shared" si="2"/>
        <v>0</v>
      </c>
      <c r="H22" s="34">
        <f t="shared" si="2"/>
        <v>9726.48</v>
      </c>
      <c r="I22" s="34">
        <f t="shared" si="2"/>
        <v>17250.240000000002</v>
      </c>
      <c r="J22" s="34">
        <f t="shared" si="2"/>
        <v>19491.47</v>
      </c>
      <c r="K22" s="34">
        <f t="shared" si="2"/>
        <v>-1110.1300000000001</v>
      </c>
      <c r="L22" s="34">
        <f t="shared" si="2"/>
        <v>13774.149999999998</v>
      </c>
      <c r="M22" s="34">
        <f t="shared" si="2"/>
        <v>-23844.16</v>
      </c>
      <c r="N22" s="34">
        <f t="shared" si="2"/>
        <v>3062.79</v>
      </c>
      <c r="O22" s="34">
        <f t="shared" si="2"/>
        <v>36091.31</v>
      </c>
      <c r="P22" s="34">
        <f t="shared" si="2"/>
        <v>69317.84</v>
      </c>
      <c r="Q22" s="34">
        <f t="shared" si="2"/>
        <v>44998.32</v>
      </c>
      <c r="R22" s="34">
        <f t="shared" si="2"/>
        <v>36618.36</v>
      </c>
      <c r="S22" s="34">
        <f t="shared" si="2"/>
        <v>66934.92</v>
      </c>
      <c r="T22" s="34">
        <f t="shared" si="2"/>
        <v>33761.380000000005</v>
      </c>
      <c r="U22" s="34">
        <f t="shared" si="2"/>
        <v>35312.160000000003</v>
      </c>
      <c r="V22" s="34">
        <f t="shared" si="2"/>
        <v>63797.56</v>
      </c>
      <c r="W22" s="34">
        <f t="shared" si="2"/>
        <v>31492.14</v>
      </c>
      <c r="X22" s="34">
        <f t="shared" si="2"/>
        <v>12114.47</v>
      </c>
      <c r="Y22" s="34">
        <f t="shared" si="2"/>
        <v>-236777.21000000002</v>
      </c>
      <c r="Z22" s="34">
        <f t="shared" si="2"/>
        <v>44460.61</v>
      </c>
      <c r="AA22" s="34">
        <f t="shared" si="2"/>
        <v>27258.940000000002</v>
      </c>
      <c r="AB22" s="34">
        <f t="shared" si="2"/>
        <v>22300.35</v>
      </c>
      <c r="AC22" s="34">
        <f t="shared" si="2"/>
        <v>54506.8</v>
      </c>
      <c r="AD22" s="34">
        <f t="shared" si="2"/>
        <v>21561.87</v>
      </c>
      <c r="AE22" s="34">
        <f t="shared" si="2"/>
        <v>21539.71</v>
      </c>
      <c r="AF22" s="34">
        <f t="shared" si="2"/>
        <v>12884.06</v>
      </c>
      <c r="AG22" s="34">
        <f t="shared" si="2"/>
        <v>16890.169999999998</v>
      </c>
      <c r="AH22" s="34">
        <f t="shared" si="2"/>
        <v>23297.239999999998</v>
      </c>
      <c r="AI22" s="34">
        <f t="shared" si="2"/>
        <v>-26832.6</v>
      </c>
      <c r="AJ22" s="34">
        <f t="shared" si="2"/>
        <v>22899.620000000003</v>
      </c>
      <c r="AK22" s="34">
        <f t="shared" si="2"/>
        <v>-15816.919999999998</v>
      </c>
      <c r="AL22" s="34">
        <f t="shared" si="2"/>
        <v>20078.189999999999</v>
      </c>
      <c r="AM22" s="34">
        <f t="shared" si="2"/>
        <v>26752.79</v>
      </c>
      <c r="AN22" s="34">
        <f t="shared" si="2"/>
        <v>20010.97</v>
      </c>
      <c r="AO22" s="34">
        <f t="shared" si="2"/>
        <v>-19522.79</v>
      </c>
      <c r="AP22" s="34">
        <f t="shared" si="2"/>
        <v>47452.82</v>
      </c>
      <c r="AQ22" s="34">
        <f t="shared" si="2"/>
        <v>36395.040000000001</v>
      </c>
      <c r="AR22" s="34">
        <f t="shared" si="2"/>
        <v>-7304.1399999999994</v>
      </c>
      <c r="AS22" s="34">
        <f t="shared" si="2"/>
        <v>83538</v>
      </c>
      <c r="AT22" s="34">
        <f t="shared" si="2"/>
        <v>23775</v>
      </c>
      <c r="AU22" s="34">
        <f t="shared" si="2"/>
        <v>0</v>
      </c>
      <c r="AV22" s="34">
        <f t="shared" si="2"/>
        <v>0</v>
      </c>
      <c r="AW22" s="34">
        <f t="shared" si="2"/>
        <v>0</v>
      </c>
      <c r="AX22" s="34">
        <f t="shared" si="0"/>
        <v>688137.82</v>
      </c>
    </row>
    <row r="23" spans="1:50" x14ac:dyDescent="0.2">
      <c r="A23" s="33" t="s">
        <v>233</v>
      </c>
      <c r="B23" s="32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R23" s="32"/>
      <c r="AS23" s="32"/>
      <c r="AT23" s="32"/>
      <c r="AU23" s="32"/>
      <c r="AV23" s="32"/>
      <c r="AW23" s="32"/>
      <c r="AX23" s="32"/>
    </row>
    <row r="24" spans="1:50" x14ac:dyDescent="0.2">
      <c r="A24" s="33" t="s">
        <v>232</v>
      </c>
      <c r="B24" s="32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5">
        <f>-79595</f>
        <v>-79595</v>
      </c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2"/>
      <c r="AQ24" s="32"/>
      <c r="AR24" s="32"/>
      <c r="AS24" s="32"/>
      <c r="AT24" s="32"/>
      <c r="AU24" s="32"/>
      <c r="AV24" s="32"/>
      <c r="AW24" s="32"/>
      <c r="AX24" s="35">
        <f>(((((((((((((((((((((((((((((((((((((((((((((((B24)+(C24))+(D24))+(E24))+(F24))+(G24))+(H24))+(I24))+(J24))+(K24))+(L24))+(M24))+(N24))+(O24))+(P24))+(Q24))+(R24))+(S24))+(T24))+(U24))+(V24))+(W24))+(X24))+(Y24))+(Z24))+(AA24))+(AB24))+(AC24))+(AD24))+(AE24))+(AF24))+(AG24))+(AH24))+(AI24))+(AJ24))+(AK24))+(AL24))+(AM24))+(AN24))+(AO24))+(AP24))+(AQ24))+(AR24))+(AS24))+(AT24))+(AU24))+(AV24))+(AW24)</f>
        <v>-79595</v>
      </c>
    </row>
    <row r="25" spans="1:50" x14ac:dyDescent="0.2">
      <c r="A25" s="33" t="s">
        <v>231</v>
      </c>
      <c r="B25" s="32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5">
        <f>-82250.89</f>
        <v>-82250.89</v>
      </c>
      <c r="AC25" s="32"/>
      <c r="AD25" s="32"/>
      <c r="AE25" s="32"/>
      <c r="AF25" s="32"/>
      <c r="AG25" s="32"/>
      <c r="AH25" s="32"/>
      <c r="AI25" s="32"/>
      <c r="AJ25" s="32"/>
      <c r="AK25" s="32"/>
      <c r="AL25" s="32"/>
      <c r="AM25" s="32"/>
      <c r="AN25" s="32"/>
      <c r="AO25" s="32"/>
      <c r="AP25" s="32"/>
      <c r="AQ25" s="32"/>
      <c r="AR25" s="32"/>
      <c r="AS25" s="32"/>
      <c r="AT25" s="32"/>
      <c r="AU25" s="32"/>
      <c r="AV25" s="32"/>
      <c r="AW25" s="32"/>
      <c r="AX25" s="35">
        <f>(((((((((((((((((((((((((((((((((((((((((((((((B25)+(C25))+(D25))+(E25))+(F25))+(G25))+(H25))+(I25))+(J25))+(K25))+(L25))+(M25))+(N25))+(O25))+(P25))+(Q25))+(R25))+(S25))+(T25))+(U25))+(V25))+(W25))+(X25))+(Y25))+(Z25))+(AA25))+(AB25))+(AC25))+(AD25))+(AE25))+(AF25))+(AG25))+(AH25))+(AI25))+(AJ25))+(AK25))+(AL25))+(AM25))+(AN25))+(AO25))+(AP25))+(AQ25))+(AR25))+(AS25))+(AT25))+(AU25))+(AV25))+(AW25)</f>
        <v>-82250.89</v>
      </c>
    </row>
    <row r="26" spans="1:50" x14ac:dyDescent="0.2">
      <c r="A26" s="33" t="s">
        <v>230</v>
      </c>
      <c r="B26" s="34">
        <f t="shared" ref="B26:AW26" si="3">(B24)+(B25)</f>
        <v>0</v>
      </c>
      <c r="C26" s="34">
        <f t="shared" si="3"/>
        <v>0</v>
      </c>
      <c r="D26" s="34">
        <f t="shared" si="3"/>
        <v>0</v>
      </c>
      <c r="E26" s="34">
        <f t="shared" si="3"/>
        <v>0</v>
      </c>
      <c r="F26" s="34">
        <f t="shared" si="3"/>
        <v>0</v>
      </c>
      <c r="G26" s="34">
        <f t="shared" si="3"/>
        <v>0</v>
      </c>
      <c r="H26" s="34">
        <f t="shared" si="3"/>
        <v>0</v>
      </c>
      <c r="I26" s="34">
        <f t="shared" si="3"/>
        <v>0</v>
      </c>
      <c r="J26" s="34">
        <f t="shared" si="3"/>
        <v>0</v>
      </c>
      <c r="K26" s="34">
        <f t="shared" si="3"/>
        <v>0</v>
      </c>
      <c r="L26" s="34">
        <f t="shared" si="3"/>
        <v>0</v>
      </c>
      <c r="M26" s="34">
        <f t="shared" si="3"/>
        <v>0</v>
      </c>
      <c r="N26" s="34">
        <f t="shared" si="3"/>
        <v>0</v>
      </c>
      <c r="O26" s="34">
        <f t="shared" si="3"/>
        <v>0</v>
      </c>
      <c r="P26" s="34">
        <f t="shared" si="3"/>
        <v>0</v>
      </c>
      <c r="Q26" s="34">
        <f t="shared" si="3"/>
        <v>0</v>
      </c>
      <c r="R26" s="34">
        <f t="shared" si="3"/>
        <v>0</v>
      </c>
      <c r="S26" s="34">
        <f t="shared" si="3"/>
        <v>0</v>
      </c>
      <c r="T26" s="34">
        <f t="shared" si="3"/>
        <v>0</v>
      </c>
      <c r="U26" s="34">
        <f t="shared" si="3"/>
        <v>0</v>
      </c>
      <c r="V26" s="34">
        <f t="shared" si="3"/>
        <v>0</v>
      </c>
      <c r="W26" s="34">
        <f t="shared" si="3"/>
        <v>0</v>
      </c>
      <c r="X26" s="34">
        <f t="shared" si="3"/>
        <v>0</v>
      </c>
      <c r="Y26" s="34">
        <f t="shared" si="3"/>
        <v>0</v>
      </c>
      <c r="Z26" s="34">
        <f t="shared" si="3"/>
        <v>0</v>
      </c>
      <c r="AA26" s="34">
        <f t="shared" si="3"/>
        <v>0</v>
      </c>
      <c r="AB26" s="34">
        <f t="shared" si="3"/>
        <v>-82250.89</v>
      </c>
      <c r="AC26" s="34">
        <f t="shared" si="3"/>
        <v>0</v>
      </c>
      <c r="AD26" s="34">
        <f t="shared" si="3"/>
        <v>0</v>
      </c>
      <c r="AE26" s="34">
        <f t="shared" si="3"/>
        <v>-79595</v>
      </c>
      <c r="AF26" s="34">
        <f t="shared" si="3"/>
        <v>0</v>
      </c>
      <c r="AG26" s="34">
        <f t="shared" si="3"/>
        <v>0</v>
      </c>
      <c r="AH26" s="34">
        <f t="shared" si="3"/>
        <v>0</v>
      </c>
      <c r="AI26" s="34">
        <f t="shared" si="3"/>
        <v>0</v>
      </c>
      <c r="AJ26" s="34">
        <f t="shared" si="3"/>
        <v>0</v>
      </c>
      <c r="AK26" s="34">
        <f t="shared" si="3"/>
        <v>0</v>
      </c>
      <c r="AL26" s="34">
        <f t="shared" si="3"/>
        <v>0</v>
      </c>
      <c r="AM26" s="34">
        <f t="shared" si="3"/>
        <v>0</v>
      </c>
      <c r="AN26" s="34">
        <f t="shared" si="3"/>
        <v>0</v>
      </c>
      <c r="AO26" s="34">
        <f t="shared" si="3"/>
        <v>0</v>
      </c>
      <c r="AP26" s="34">
        <f t="shared" si="3"/>
        <v>0</v>
      </c>
      <c r="AQ26" s="34">
        <f t="shared" si="3"/>
        <v>0</v>
      </c>
      <c r="AR26" s="34">
        <f t="shared" si="3"/>
        <v>0</v>
      </c>
      <c r="AS26" s="34">
        <f t="shared" si="3"/>
        <v>0</v>
      </c>
      <c r="AT26" s="34">
        <f t="shared" si="3"/>
        <v>0</v>
      </c>
      <c r="AU26" s="34">
        <f t="shared" si="3"/>
        <v>0</v>
      </c>
      <c r="AV26" s="34">
        <f t="shared" si="3"/>
        <v>0</v>
      </c>
      <c r="AW26" s="34">
        <f t="shared" si="3"/>
        <v>0</v>
      </c>
      <c r="AX26" s="34">
        <f>(((((((((((((((((((((((((((((((((((((((((((((((B26)+(C26))+(D26))+(E26))+(F26))+(G26))+(H26))+(I26))+(J26))+(K26))+(L26))+(M26))+(N26))+(O26))+(P26))+(Q26))+(R26))+(S26))+(T26))+(U26))+(V26))+(W26))+(X26))+(Y26))+(Z26))+(AA26))+(AB26))+(AC26))+(AD26))+(AE26))+(AF26))+(AG26))+(AH26))+(AI26))+(AJ26))+(AK26))+(AL26))+(AM26))+(AN26))+(AO26))+(AP26))+(AQ26))+(AR26))+(AS26))+(AT26))+(AU26))+(AV26))+(AW26)</f>
        <v>-161845.89000000001</v>
      </c>
    </row>
    <row r="27" spans="1:50" x14ac:dyDescent="0.2">
      <c r="A27" s="33" t="s">
        <v>229</v>
      </c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  <c r="AG27" s="32"/>
      <c r="AH27" s="32"/>
      <c r="AI27" s="32"/>
      <c r="AJ27" s="32"/>
      <c r="AK27" s="32"/>
      <c r="AL27" s="32"/>
      <c r="AM27" s="32"/>
      <c r="AN27" s="32"/>
      <c r="AO27" s="32"/>
      <c r="AP27" s="32"/>
      <c r="AQ27" s="32"/>
      <c r="AR27" s="32"/>
      <c r="AS27" s="32"/>
      <c r="AT27" s="32"/>
      <c r="AU27" s="32"/>
      <c r="AV27" s="32"/>
      <c r="AW27" s="32"/>
      <c r="AX27" s="32"/>
    </row>
    <row r="28" spans="1:50" x14ac:dyDescent="0.2">
      <c r="A28" s="33" t="s">
        <v>228</v>
      </c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5">
        <f>72250.89</f>
        <v>72250.89</v>
      </c>
      <c r="AC28" s="35">
        <f t="shared" ref="AC28:AR28" si="4">-1084.34</f>
        <v>-1084.3399999999999</v>
      </c>
      <c r="AD28" s="35">
        <f t="shared" si="4"/>
        <v>-1084.3399999999999</v>
      </c>
      <c r="AE28" s="35">
        <f t="shared" si="4"/>
        <v>-1084.3399999999999</v>
      </c>
      <c r="AF28" s="35">
        <f t="shared" si="4"/>
        <v>-1084.3399999999999</v>
      </c>
      <c r="AG28" s="35">
        <f t="shared" si="4"/>
        <v>-1084.3399999999999</v>
      </c>
      <c r="AH28" s="35">
        <f t="shared" si="4"/>
        <v>-1084.3399999999999</v>
      </c>
      <c r="AI28" s="35">
        <f t="shared" si="4"/>
        <v>-1084.3399999999999</v>
      </c>
      <c r="AJ28" s="35">
        <f t="shared" si="4"/>
        <v>-1084.3399999999999</v>
      </c>
      <c r="AK28" s="35">
        <f t="shared" si="4"/>
        <v>-1084.3399999999999</v>
      </c>
      <c r="AL28" s="35">
        <f t="shared" si="4"/>
        <v>-1084.3399999999999</v>
      </c>
      <c r="AM28" s="35">
        <f t="shared" si="4"/>
        <v>-1084.3399999999999</v>
      </c>
      <c r="AN28" s="35">
        <f t="shared" si="4"/>
        <v>-1084.3399999999999</v>
      </c>
      <c r="AO28" s="35">
        <f t="shared" si="4"/>
        <v>-1084.3399999999999</v>
      </c>
      <c r="AP28" s="35">
        <f t="shared" si="4"/>
        <v>-1084.3399999999999</v>
      </c>
      <c r="AQ28" s="35">
        <f t="shared" si="4"/>
        <v>-1084.3399999999999</v>
      </c>
      <c r="AR28" s="35">
        <f t="shared" si="4"/>
        <v>-1084.3399999999999</v>
      </c>
      <c r="AS28" s="32"/>
      <c r="AT28" s="32"/>
      <c r="AU28" s="32"/>
      <c r="AV28" s="32"/>
      <c r="AW28" s="32"/>
      <c r="AX28" s="35">
        <f t="shared" ref="AX28:AX37" si="5">(((((((((((((((((((((((((((((((((((((((((((((((B28)+(C28))+(D28))+(E28))+(F28))+(G28))+(H28))+(I28))+(J28))+(K28))+(L28))+(M28))+(N28))+(O28))+(P28))+(Q28))+(R28))+(S28))+(T28))+(U28))+(V28))+(W28))+(X28))+(Y28))+(Z28))+(AA28))+(AB28))+(AC28))+(AD28))+(AE28))+(AF28))+(AG28))+(AH28))+(AI28))+(AJ28))+(AK28))+(AL28))+(AM28))+(AN28))+(AO28))+(AP28))+(AQ28))+(AR28))+(AS28))+(AT28))+(AU28))+(AV28))+(AW28)</f>
        <v>54901.450000000055</v>
      </c>
    </row>
    <row r="29" spans="1:50" x14ac:dyDescent="0.2">
      <c r="A29" s="33" t="s">
        <v>227</v>
      </c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5">
        <f t="shared" ref="R29:AB29" si="6">-425</f>
        <v>-425</v>
      </c>
      <c r="S29" s="35">
        <f t="shared" si="6"/>
        <v>-425</v>
      </c>
      <c r="T29" s="35">
        <f t="shared" si="6"/>
        <v>-425</v>
      </c>
      <c r="U29" s="35">
        <f t="shared" si="6"/>
        <v>-425</v>
      </c>
      <c r="V29" s="35">
        <f t="shared" si="6"/>
        <v>-425</v>
      </c>
      <c r="W29" s="35">
        <f t="shared" si="6"/>
        <v>-425</v>
      </c>
      <c r="X29" s="35">
        <f t="shared" si="6"/>
        <v>-425</v>
      </c>
      <c r="Y29" s="35">
        <f t="shared" si="6"/>
        <v>-425</v>
      </c>
      <c r="Z29" s="35">
        <f t="shared" si="6"/>
        <v>-425</v>
      </c>
      <c r="AA29" s="35">
        <f t="shared" si="6"/>
        <v>-425</v>
      </c>
      <c r="AB29" s="35">
        <f t="shared" si="6"/>
        <v>-425</v>
      </c>
      <c r="AC29" s="35">
        <f>-5425</f>
        <v>-5425</v>
      </c>
      <c r="AD29" s="35">
        <f>-425</f>
        <v>-425</v>
      </c>
      <c r="AE29" s="35">
        <f>-425</f>
        <v>-425</v>
      </c>
      <c r="AF29" s="35">
        <f>-965.38</f>
        <v>-965.38</v>
      </c>
      <c r="AG29" s="35">
        <f>-66471.81</f>
        <v>-66471.81</v>
      </c>
      <c r="AH29" s="35">
        <f>-1738.95</f>
        <v>-1738.95</v>
      </c>
      <c r="AI29" s="35">
        <f>-671.81</f>
        <v>-671.81</v>
      </c>
      <c r="AJ29" s="35">
        <f>-165671.81</f>
        <v>-165671.81</v>
      </c>
      <c r="AK29" s="35">
        <f>-838.97</f>
        <v>-838.97</v>
      </c>
      <c r="AL29" s="35">
        <f t="shared" ref="AL29:AR29" si="7">-671.81</f>
        <v>-671.81</v>
      </c>
      <c r="AM29" s="35">
        <f t="shared" si="7"/>
        <v>-671.81</v>
      </c>
      <c r="AN29" s="35">
        <f t="shared" si="7"/>
        <v>-671.81</v>
      </c>
      <c r="AO29" s="35">
        <f t="shared" si="7"/>
        <v>-671.81</v>
      </c>
      <c r="AP29" s="35">
        <f t="shared" si="7"/>
        <v>-671.81</v>
      </c>
      <c r="AQ29" s="35">
        <f t="shared" si="7"/>
        <v>-671.81</v>
      </c>
      <c r="AR29" s="35">
        <f t="shared" si="7"/>
        <v>-671.81</v>
      </c>
      <c r="AS29" s="32"/>
      <c r="AT29" s="32"/>
      <c r="AU29" s="32"/>
      <c r="AV29" s="32"/>
      <c r="AW29" s="32"/>
      <c r="AX29" s="35">
        <f t="shared" si="5"/>
        <v>-252011.4</v>
      </c>
    </row>
    <row r="30" spans="1:50" x14ac:dyDescent="0.2">
      <c r="A30" s="33" t="s">
        <v>226</v>
      </c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5">
        <f>-65800</f>
        <v>-65800</v>
      </c>
      <c r="AH30" s="35">
        <f>-1700</f>
        <v>-1700</v>
      </c>
      <c r="AI30" s="35">
        <f>-3600</f>
        <v>-3600</v>
      </c>
      <c r="AJ30" s="35">
        <f>-165000</f>
        <v>-165000</v>
      </c>
      <c r="AK30" s="32"/>
      <c r="AL30" s="32"/>
      <c r="AM30" s="32"/>
      <c r="AN30" s="32"/>
      <c r="AO30" s="32"/>
      <c r="AP30" s="32"/>
      <c r="AQ30" s="32"/>
      <c r="AR30" s="32"/>
      <c r="AS30" s="32"/>
      <c r="AT30" s="32"/>
      <c r="AU30" s="32"/>
      <c r="AV30" s="32"/>
      <c r="AW30" s="32"/>
      <c r="AX30" s="35">
        <f t="shared" si="5"/>
        <v>-236100</v>
      </c>
    </row>
    <row r="31" spans="1:50" x14ac:dyDescent="0.2">
      <c r="A31" s="33" t="s">
        <v>225</v>
      </c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5">
        <f>405</f>
        <v>405</v>
      </c>
      <c r="AC31" s="32"/>
      <c r="AD31" s="32"/>
      <c r="AE31" s="32"/>
      <c r="AF31" s="32"/>
      <c r="AG31" s="32"/>
      <c r="AH31" s="32"/>
      <c r="AI31" s="32"/>
      <c r="AJ31" s="32"/>
      <c r="AK31" s="32"/>
      <c r="AL31" s="32"/>
      <c r="AM31" s="32"/>
      <c r="AN31" s="32"/>
      <c r="AO31" s="32"/>
      <c r="AP31" s="32"/>
      <c r="AQ31" s="32"/>
      <c r="AR31" s="32"/>
      <c r="AS31" s="32"/>
      <c r="AT31" s="32"/>
      <c r="AU31" s="32"/>
      <c r="AV31" s="32"/>
      <c r="AW31" s="32"/>
      <c r="AX31" s="35">
        <f t="shared" si="5"/>
        <v>405</v>
      </c>
    </row>
    <row r="32" spans="1:50" x14ac:dyDescent="0.2">
      <c r="A32" s="33" t="s">
        <v>224</v>
      </c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  <c r="AG32" s="32"/>
      <c r="AH32" s="32"/>
      <c r="AI32" s="32"/>
      <c r="AJ32" s="35">
        <f>330000</f>
        <v>330000</v>
      </c>
      <c r="AK32" s="32"/>
      <c r="AL32" s="32"/>
      <c r="AM32" s="32"/>
      <c r="AN32" s="32"/>
      <c r="AO32" s="32"/>
      <c r="AP32" s="32"/>
      <c r="AQ32" s="32"/>
      <c r="AR32" s="32"/>
      <c r="AS32" s="32"/>
      <c r="AT32" s="32"/>
      <c r="AU32" s="32"/>
      <c r="AV32" s="32"/>
      <c r="AW32" s="32"/>
      <c r="AX32" s="35">
        <f t="shared" si="5"/>
        <v>330000</v>
      </c>
    </row>
    <row r="33" spans="1:50" x14ac:dyDescent="0.2">
      <c r="A33" s="33" t="s">
        <v>223</v>
      </c>
      <c r="B33" s="32"/>
      <c r="C33" s="32"/>
      <c r="D33" s="32"/>
      <c r="E33" s="32"/>
      <c r="F33" s="32"/>
      <c r="G33" s="32"/>
      <c r="H33" s="32"/>
      <c r="I33" s="35">
        <f>0</f>
        <v>0</v>
      </c>
      <c r="J33" s="32"/>
      <c r="K33" s="32"/>
      <c r="L33" s="32"/>
      <c r="M33" s="32"/>
      <c r="N33" s="35">
        <f>1</f>
        <v>1</v>
      </c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  <c r="AH33" s="32"/>
      <c r="AI33" s="32"/>
      <c r="AJ33" s="32"/>
      <c r="AK33" s="32"/>
      <c r="AL33" s="32"/>
      <c r="AM33" s="32"/>
      <c r="AN33" s="32"/>
      <c r="AO33" s="32"/>
      <c r="AP33" s="32"/>
      <c r="AQ33" s="32"/>
      <c r="AR33" s="32"/>
      <c r="AS33" s="32"/>
      <c r="AT33" s="32"/>
      <c r="AU33" s="32"/>
      <c r="AV33" s="32"/>
      <c r="AW33" s="32"/>
      <c r="AX33" s="35">
        <f t="shared" si="5"/>
        <v>1</v>
      </c>
    </row>
    <row r="34" spans="1:50" x14ac:dyDescent="0.2">
      <c r="A34" s="33" t="s">
        <v>222</v>
      </c>
      <c r="B34" s="32"/>
      <c r="C34" s="32"/>
      <c r="D34" s="32"/>
      <c r="E34" s="32"/>
      <c r="F34" s="32"/>
      <c r="G34" s="32"/>
      <c r="H34" s="32"/>
      <c r="I34" s="35">
        <f>-2000</f>
        <v>-2000</v>
      </c>
      <c r="J34" s="35">
        <f>-2500</f>
        <v>-2500</v>
      </c>
      <c r="K34" s="35">
        <f>-151.75</f>
        <v>-151.75</v>
      </c>
      <c r="L34" s="35">
        <f>-44</f>
        <v>-44</v>
      </c>
      <c r="M34" s="35">
        <f>-26299.72</f>
        <v>-26299.72</v>
      </c>
      <c r="N34" s="35">
        <f>-200</f>
        <v>-200</v>
      </c>
      <c r="O34" s="35">
        <f>-5100</f>
        <v>-5100</v>
      </c>
      <c r="P34" s="35">
        <f>-7422.85</f>
        <v>-7422.85</v>
      </c>
      <c r="Q34" s="35">
        <f>-6908.21</f>
        <v>-6908.21</v>
      </c>
      <c r="R34" s="35">
        <f>-11797.44</f>
        <v>-11797.44</v>
      </c>
      <c r="S34" s="35">
        <f>-31464.2</f>
        <v>-31464.2</v>
      </c>
      <c r="T34" s="35">
        <f>-4718.87</f>
        <v>-4718.87</v>
      </c>
      <c r="U34" s="35">
        <f>-6330.35</f>
        <v>-6330.35</v>
      </c>
      <c r="V34" s="35">
        <f>-10448.75</f>
        <v>-10448.75</v>
      </c>
      <c r="W34" s="35">
        <f>-35027.85</f>
        <v>-35027.85</v>
      </c>
      <c r="X34" s="35">
        <f>-4881.09</f>
        <v>-4881.09</v>
      </c>
      <c r="Y34" s="35">
        <f>-29782</f>
        <v>-29782</v>
      </c>
      <c r="Z34" s="35">
        <f>-5260</f>
        <v>-5260</v>
      </c>
      <c r="AA34" s="35">
        <f>-10500</f>
        <v>-10500</v>
      </c>
      <c r="AB34" s="35">
        <f>-7233.94</f>
        <v>-7233.94</v>
      </c>
      <c r="AC34" s="32"/>
      <c r="AD34" s="32"/>
      <c r="AE34" s="32"/>
      <c r="AF34" s="32"/>
      <c r="AG34" s="32"/>
      <c r="AH34" s="32"/>
      <c r="AI34" s="32"/>
      <c r="AJ34" s="32"/>
      <c r="AK34" s="32"/>
      <c r="AL34" s="32"/>
      <c r="AM34" s="32"/>
      <c r="AN34" s="32"/>
      <c r="AO34" s="32"/>
      <c r="AP34" s="32"/>
      <c r="AQ34" s="32"/>
      <c r="AR34" s="32"/>
      <c r="AS34" s="32"/>
      <c r="AT34" s="32"/>
      <c r="AU34" s="32"/>
      <c r="AV34" s="32"/>
      <c r="AW34" s="32"/>
      <c r="AX34" s="35">
        <f t="shared" si="5"/>
        <v>-208071.02</v>
      </c>
    </row>
    <row r="35" spans="1:50" x14ac:dyDescent="0.2">
      <c r="A35" s="33" t="s">
        <v>221</v>
      </c>
      <c r="B35" s="32"/>
      <c r="C35" s="32"/>
      <c r="D35" s="32"/>
      <c r="E35" s="32"/>
      <c r="F35" s="32"/>
      <c r="G35" s="32"/>
      <c r="H35" s="32"/>
      <c r="I35" s="35">
        <f>3989.93</f>
        <v>3989.93</v>
      </c>
      <c r="J35" s="32"/>
      <c r="K35" s="32"/>
      <c r="L35" s="35">
        <f>9214.35</f>
        <v>9214.35</v>
      </c>
      <c r="M35" s="35">
        <f>2605.63</f>
        <v>2605.63</v>
      </c>
      <c r="N35" s="35">
        <f>3320.36</f>
        <v>3320.36</v>
      </c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  <c r="AG35" s="32"/>
      <c r="AH35" s="32"/>
      <c r="AI35" s="32"/>
      <c r="AJ35" s="32"/>
      <c r="AK35" s="32"/>
      <c r="AL35" s="32"/>
      <c r="AM35" s="32"/>
      <c r="AN35" s="32"/>
      <c r="AO35" s="32"/>
      <c r="AP35" s="32"/>
      <c r="AQ35" s="32"/>
      <c r="AR35" s="32"/>
      <c r="AS35" s="32"/>
      <c r="AT35" s="32"/>
      <c r="AU35" s="32"/>
      <c r="AV35" s="32"/>
      <c r="AW35" s="32"/>
      <c r="AX35" s="35">
        <f t="shared" si="5"/>
        <v>19130.27</v>
      </c>
    </row>
    <row r="36" spans="1:50" x14ac:dyDescent="0.2">
      <c r="A36" s="33" t="s">
        <v>220</v>
      </c>
      <c r="B36" s="34">
        <f t="shared" ref="B36:AW36" si="8">(((((((B28)+(B29))+(B30))+(B31))+(B32))+(B33))+(B34))+(B35)</f>
        <v>0</v>
      </c>
      <c r="C36" s="34">
        <f t="shared" si="8"/>
        <v>0</v>
      </c>
      <c r="D36" s="34">
        <f t="shared" si="8"/>
        <v>0</v>
      </c>
      <c r="E36" s="34">
        <f t="shared" si="8"/>
        <v>0</v>
      </c>
      <c r="F36" s="34">
        <f t="shared" si="8"/>
        <v>0</v>
      </c>
      <c r="G36" s="34">
        <f t="shared" si="8"/>
        <v>0</v>
      </c>
      <c r="H36" s="34">
        <f t="shared" si="8"/>
        <v>0</v>
      </c>
      <c r="I36" s="34">
        <f t="shared" si="8"/>
        <v>1989.9299999999998</v>
      </c>
      <c r="J36" s="34">
        <f t="shared" si="8"/>
        <v>-2500</v>
      </c>
      <c r="K36" s="34">
        <f t="shared" si="8"/>
        <v>-151.75</v>
      </c>
      <c r="L36" s="34">
        <f t="shared" si="8"/>
        <v>9170.35</v>
      </c>
      <c r="M36" s="34">
        <f t="shared" si="8"/>
        <v>-23694.09</v>
      </c>
      <c r="N36" s="34">
        <f t="shared" si="8"/>
        <v>3121.36</v>
      </c>
      <c r="O36" s="34">
        <f t="shared" si="8"/>
        <v>-5100</v>
      </c>
      <c r="P36" s="34">
        <f t="shared" si="8"/>
        <v>-7422.85</v>
      </c>
      <c r="Q36" s="34">
        <f t="shared" si="8"/>
        <v>-6908.21</v>
      </c>
      <c r="R36" s="34">
        <f t="shared" si="8"/>
        <v>-12222.44</v>
      </c>
      <c r="S36" s="34">
        <f t="shared" si="8"/>
        <v>-31889.200000000001</v>
      </c>
      <c r="T36" s="34">
        <f t="shared" si="8"/>
        <v>-5143.87</v>
      </c>
      <c r="U36" s="34">
        <f t="shared" si="8"/>
        <v>-6755.35</v>
      </c>
      <c r="V36" s="34">
        <f t="shared" si="8"/>
        <v>-10873.75</v>
      </c>
      <c r="W36" s="34">
        <f t="shared" si="8"/>
        <v>-35452.85</v>
      </c>
      <c r="X36" s="34">
        <f t="shared" si="8"/>
        <v>-5306.09</v>
      </c>
      <c r="Y36" s="34">
        <f t="shared" si="8"/>
        <v>-30207</v>
      </c>
      <c r="Z36" s="34">
        <f t="shared" si="8"/>
        <v>-5685</v>
      </c>
      <c r="AA36" s="34">
        <f t="shared" si="8"/>
        <v>-10925</v>
      </c>
      <c r="AB36" s="34">
        <f t="shared" si="8"/>
        <v>64996.95</v>
      </c>
      <c r="AC36" s="34">
        <f t="shared" si="8"/>
        <v>-6509.34</v>
      </c>
      <c r="AD36" s="34">
        <f t="shared" si="8"/>
        <v>-1509.34</v>
      </c>
      <c r="AE36" s="34">
        <f t="shared" si="8"/>
        <v>-1509.34</v>
      </c>
      <c r="AF36" s="34">
        <f t="shared" si="8"/>
        <v>-2049.7199999999998</v>
      </c>
      <c r="AG36" s="34">
        <f t="shared" si="8"/>
        <v>-133356.15</v>
      </c>
      <c r="AH36" s="34">
        <f t="shared" si="8"/>
        <v>-4523.29</v>
      </c>
      <c r="AI36" s="34">
        <f t="shared" si="8"/>
        <v>-5356.15</v>
      </c>
      <c r="AJ36" s="34">
        <f t="shared" si="8"/>
        <v>-1756.1500000000233</v>
      </c>
      <c r="AK36" s="34">
        <f t="shared" si="8"/>
        <v>-1923.31</v>
      </c>
      <c r="AL36" s="34">
        <f t="shared" si="8"/>
        <v>-1756.1499999999999</v>
      </c>
      <c r="AM36" s="34">
        <f t="shared" si="8"/>
        <v>-1756.1499999999999</v>
      </c>
      <c r="AN36" s="34">
        <f t="shared" si="8"/>
        <v>-1756.1499999999999</v>
      </c>
      <c r="AO36" s="34">
        <f t="shared" si="8"/>
        <v>-1756.1499999999999</v>
      </c>
      <c r="AP36" s="34">
        <f t="shared" si="8"/>
        <v>-1756.1499999999999</v>
      </c>
      <c r="AQ36" s="34">
        <f t="shared" si="8"/>
        <v>-1756.1499999999999</v>
      </c>
      <c r="AR36" s="34">
        <f t="shared" si="8"/>
        <v>-1756.1499999999999</v>
      </c>
      <c r="AS36" s="34">
        <f t="shared" si="8"/>
        <v>0</v>
      </c>
      <c r="AT36" s="34">
        <f t="shared" si="8"/>
        <v>0</v>
      </c>
      <c r="AU36" s="34">
        <f t="shared" si="8"/>
        <v>0</v>
      </c>
      <c r="AV36" s="34">
        <f t="shared" si="8"/>
        <v>0</v>
      </c>
      <c r="AW36" s="34">
        <f t="shared" si="8"/>
        <v>0</v>
      </c>
      <c r="AX36" s="34">
        <f t="shared" si="5"/>
        <v>-291744.70000000019</v>
      </c>
    </row>
    <row r="37" spans="1:50" x14ac:dyDescent="0.2">
      <c r="A37" s="33" t="s">
        <v>219</v>
      </c>
      <c r="B37" s="34">
        <f t="shared" ref="B37:AW37" si="9">((B22)+(B26))+(B36)</f>
        <v>0</v>
      </c>
      <c r="C37" s="34">
        <f t="shared" si="9"/>
        <v>0</v>
      </c>
      <c r="D37" s="34">
        <f t="shared" si="9"/>
        <v>0</v>
      </c>
      <c r="E37" s="34">
        <f t="shared" si="9"/>
        <v>0</v>
      </c>
      <c r="F37" s="34">
        <f t="shared" si="9"/>
        <v>0</v>
      </c>
      <c r="G37" s="34">
        <f t="shared" si="9"/>
        <v>0</v>
      </c>
      <c r="H37" s="34">
        <f t="shared" si="9"/>
        <v>9726.48</v>
      </c>
      <c r="I37" s="34">
        <f t="shared" si="9"/>
        <v>19240.170000000002</v>
      </c>
      <c r="J37" s="34">
        <f t="shared" si="9"/>
        <v>16991.47</v>
      </c>
      <c r="K37" s="34">
        <f t="shared" si="9"/>
        <v>-1261.8800000000001</v>
      </c>
      <c r="L37" s="34">
        <f t="shared" si="9"/>
        <v>22944.5</v>
      </c>
      <c r="M37" s="34">
        <f t="shared" si="9"/>
        <v>-47538.25</v>
      </c>
      <c r="N37" s="34">
        <f t="shared" si="9"/>
        <v>6184.15</v>
      </c>
      <c r="O37" s="34">
        <f t="shared" si="9"/>
        <v>30991.309999999998</v>
      </c>
      <c r="P37" s="34">
        <f t="shared" si="9"/>
        <v>61894.99</v>
      </c>
      <c r="Q37" s="34">
        <f t="shared" si="9"/>
        <v>38090.11</v>
      </c>
      <c r="R37" s="34">
        <f t="shared" si="9"/>
        <v>24395.919999999998</v>
      </c>
      <c r="S37" s="34">
        <f t="shared" si="9"/>
        <v>35045.72</v>
      </c>
      <c r="T37" s="34">
        <f t="shared" si="9"/>
        <v>28617.510000000006</v>
      </c>
      <c r="U37" s="34">
        <f t="shared" si="9"/>
        <v>28556.810000000005</v>
      </c>
      <c r="V37" s="34">
        <f t="shared" si="9"/>
        <v>52923.81</v>
      </c>
      <c r="W37" s="34">
        <f t="shared" si="9"/>
        <v>-3960.7099999999991</v>
      </c>
      <c r="X37" s="34">
        <f t="shared" si="9"/>
        <v>6808.3799999999992</v>
      </c>
      <c r="Y37" s="34">
        <f t="shared" si="9"/>
        <v>-266984.21000000002</v>
      </c>
      <c r="Z37" s="34">
        <f t="shared" si="9"/>
        <v>38775.61</v>
      </c>
      <c r="AA37" s="34">
        <f t="shared" si="9"/>
        <v>16333.940000000002</v>
      </c>
      <c r="AB37" s="34">
        <f t="shared" si="9"/>
        <v>5046.4099999999962</v>
      </c>
      <c r="AC37" s="34">
        <f t="shared" si="9"/>
        <v>47997.460000000006</v>
      </c>
      <c r="AD37" s="34">
        <f t="shared" si="9"/>
        <v>20052.53</v>
      </c>
      <c r="AE37" s="34">
        <f t="shared" si="9"/>
        <v>-59564.63</v>
      </c>
      <c r="AF37" s="34">
        <f t="shared" si="9"/>
        <v>10834.34</v>
      </c>
      <c r="AG37" s="34">
        <f t="shared" si="9"/>
        <v>-116465.98</v>
      </c>
      <c r="AH37" s="34">
        <f t="shared" si="9"/>
        <v>18773.949999999997</v>
      </c>
      <c r="AI37" s="34">
        <f t="shared" si="9"/>
        <v>-32188.75</v>
      </c>
      <c r="AJ37" s="34">
        <f t="shared" si="9"/>
        <v>21143.469999999979</v>
      </c>
      <c r="AK37" s="34">
        <f t="shared" si="9"/>
        <v>-17740.23</v>
      </c>
      <c r="AL37" s="34">
        <f t="shared" si="9"/>
        <v>18322.039999999997</v>
      </c>
      <c r="AM37" s="34">
        <f t="shared" si="9"/>
        <v>24996.639999999999</v>
      </c>
      <c r="AN37" s="34">
        <f t="shared" si="9"/>
        <v>18254.82</v>
      </c>
      <c r="AO37" s="34">
        <f t="shared" si="9"/>
        <v>-21278.940000000002</v>
      </c>
      <c r="AP37" s="34">
        <f t="shared" si="9"/>
        <v>45696.67</v>
      </c>
      <c r="AQ37" s="34">
        <f t="shared" si="9"/>
        <v>34638.89</v>
      </c>
      <c r="AR37" s="34">
        <f t="shared" si="9"/>
        <v>-9060.2899999999991</v>
      </c>
      <c r="AS37" s="34">
        <f t="shared" si="9"/>
        <v>83538</v>
      </c>
      <c r="AT37" s="34">
        <f t="shared" si="9"/>
        <v>23775</v>
      </c>
      <c r="AU37" s="34">
        <f t="shared" si="9"/>
        <v>0</v>
      </c>
      <c r="AV37" s="34">
        <f t="shared" si="9"/>
        <v>0</v>
      </c>
      <c r="AW37" s="34">
        <f t="shared" si="9"/>
        <v>0</v>
      </c>
      <c r="AX37" s="34">
        <f t="shared" si="5"/>
        <v>234547.22999999992</v>
      </c>
    </row>
    <row r="38" spans="1:50" x14ac:dyDescent="0.2">
      <c r="A38" s="33"/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  <c r="AG38" s="32"/>
      <c r="AH38" s="32"/>
      <c r="AI38" s="32"/>
      <c r="AJ38" s="32"/>
      <c r="AK38" s="32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</row>
    <row r="41" spans="1:50" x14ac:dyDescent="0.2">
      <c r="A41" s="64" t="s">
        <v>218</v>
      </c>
      <c r="B41" s="65"/>
      <c r="C41" s="65"/>
      <c r="D41" s="65"/>
      <c r="E41" s="65"/>
      <c r="F41" s="65"/>
      <c r="G41" s="65"/>
      <c r="H41" s="65"/>
      <c r="I41" s="65"/>
      <c r="J41" s="65"/>
      <c r="K41" s="65"/>
      <c r="L41" s="65"/>
      <c r="M41" s="65"/>
      <c r="N41" s="65"/>
      <c r="O41" s="65"/>
      <c r="P41" s="65"/>
      <c r="Q41" s="65"/>
      <c r="R41" s="65"/>
      <c r="S41" s="65"/>
      <c r="T41" s="65"/>
      <c r="U41" s="65"/>
      <c r="V41" s="65"/>
      <c r="W41" s="65"/>
      <c r="X41" s="65"/>
      <c r="Y41" s="65"/>
      <c r="Z41" s="65"/>
      <c r="AA41" s="65"/>
      <c r="AB41" s="65"/>
      <c r="AC41" s="65"/>
      <c r="AD41" s="65"/>
      <c r="AE41" s="65"/>
      <c r="AF41" s="65"/>
      <c r="AG41" s="65"/>
      <c r="AH41" s="65"/>
      <c r="AI41" s="65"/>
      <c r="AJ41" s="65"/>
      <c r="AK41" s="65"/>
      <c r="AL41" s="65"/>
      <c r="AM41" s="65"/>
      <c r="AN41" s="65"/>
      <c r="AO41" s="65"/>
      <c r="AP41" s="65"/>
      <c r="AQ41" s="65"/>
      <c r="AR41" s="65"/>
      <c r="AS41" s="65"/>
      <c r="AT41" s="65"/>
      <c r="AU41" s="65"/>
      <c r="AV41" s="65"/>
      <c r="AW41" s="65"/>
      <c r="AX41" s="65"/>
    </row>
  </sheetData>
  <mergeCells count="4">
    <mergeCell ref="A41:AX41"/>
    <mergeCell ref="A1:AX1"/>
    <mergeCell ref="A2:AX2"/>
    <mergeCell ref="A3:AX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9BAAF-5008-9A42-B021-5D6CA3D6295B}">
  <dimension ref="D7:AX181"/>
  <sheetViews>
    <sheetView topLeftCell="A112" zoomScaleNormal="100" workbookViewId="0">
      <selection activeCell="B156" sqref="B156"/>
    </sheetView>
  </sheetViews>
  <sheetFormatPr baseColWidth="10" defaultRowHeight="16" x14ac:dyDescent="0.2"/>
  <cols>
    <col min="4" max="4" width="45.5" style="25" customWidth="1"/>
    <col min="5" max="5" width="12.5" bestFit="1" customWidth="1"/>
    <col min="6" max="7" width="11.5" bestFit="1" customWidth="1"/>
    <col min="8" max="8" width="7.6640625" bestFit="1" customWidth="1"/>
    <col min="9" max="9" width="8.1640625" bestFit="1" customWidth="1"/>
    <col min="10" max="10" width="7.6640625" bestFit="1" customWidth="1"/>
    <col min="11" max="13" width="12.6640625" bestFit="1" customWidth="1"/>
    <col min="14" max="14" width="11.5" bestFit="1" customWidth="1"/>
    <col min="15" max="15" width="12.6640625" bestFit="1" customWidth="1"/>
    <col min="16" max="16" width="13.33203125" bestFit="1" customWidth="1"/>
    <col min="17" max="27" width="12.6640625" bestFit="1" customWidth="1"/>
    <col min="28" max="28" width="14.5" bestFit="1" customWidth="1"/>
    <col min="29" max="31" width="12.6640625" bestFit="1" customWidth="1"/>
    <col min="32" max="32" width="13.83203125" bestFit="1" customWidth="1"/>
    <col min="33" max="36" width="12.6640625" bestFit="1" customWidth="1"/>
    <col min="37" max="37" width="13.33203125" bestFit="1" customWidth="1"/>
    <col min="38" max="38" width="13.83203125" bestFit="1" customWidth="1"/>
    <col min="39" max="39" width="13.33203125" bestFit="1" customWidth="1"/>
    <col min="40" max="40" width="13.83203125" bestFit="1" customWidth="1"/>
    <col min="41" max="41" width="12.6640625" bestFit="1" customWidth="1"/>
    <col min="42" max="43" width="13.83203125" bestFit="1" customWidth="1"/>
    <col min="44" max="44" width="12.6640625" bestFit="1" customWidth="1"/>
    <col min="45" max="46" width="13.83203125" bestFit="1" customWidth="1"/>
    <col min="47" max="47" width="13.33203125" bestFit="1" customWidth="1"/>
    <col min="48" max="48" width="13.83203125" bestFit="1" customWidth="1"/>
    <col min="49" max="49" width="12.6640625" bestFit="1" customWidth="1"/>
    <col min="50" max="50" width="15.33203125" hidden="1" customWidth="1"/>
  </cols>
  <sheetData>
    <row r="7" spans="4:50" s="57" customFormat="1" ht="16" customHeight="1" x14ac:dyDescent="0.2">
      <c r="D7" s="52"/>
      <c r="E7" s="55">
        <v>43831</v>
      </c>
      <c r="F7" s="55">
        <v>43862</v>
      </c>
      <c r="G7" s="55">
        <v>43891</v>
      </c>
      <c r="H7" s="55">
        <v>43922</v>
      </c>
      <c r="I7" s="55">
        <v>43952</v>
      </c>
      <c r="J7" s="55">
        <v>43983</v>
      </c>
      <c r="K7" s="55">
        <v>44013</v>
      </c>
      <c r="L7" s="55">
        <v>44044</v>
      </c>
      <c r="M7" s="55">
        <v>44075</v>
      </c>
      <c r="N7" s="55">
        <v>44105</v>
      </c>
      <c r="O7" s="55">
        <v>44136</v>
      </c>
      <c r="P7" s="55">
        <v>44166</v>
      </c>
      <c r="Q7" s="55">
        <v>44197</v>
      </c>
      <c r="R7" s="55">
        <v>44228</v>
      </c>
      <c r="S7" s="55">
        <v>44256</v>
      </c>
      <c r="T7" s="55">
        <v>44287</v>
      </c>
      <c r="U7" s="55">
        <v>44317</v>
      </c>
      <c r="V7" s="55">
        <v>44348</v>
      </c>
      <c r="W7" s="55">
        <v>44378</v>
      </c>
      <c r="X7" s="55">
        <v>44409</v>
      </c>
      <c r="Y7" s="55">
        <v>44440</v>
      </c>
      <c r="Z7" s="55">
        <v>44470</v>
      </c>
      <c r="AA7" s="55">
        <v>44501</v>
      </c>
      <c r="AB7" s="55">
        <v>44531</v>
      </c>
      <c r="AC7" s="55">
        <v>44562</v>
      </c>
      <c r="AD7" s="55">
        <v>44593</v>
      </c>
      <c r="AE7" s="55">
        <v>44621</v>
      </c>
      <c r="AF7" s="55">
        <v>44652</v>
      </c>
      <c r="AG7" s="55">
        <v>44682</v>
      </c>
      <c r="AH7" s="55">
        <v>44713</v>
      </c>
      <c r="AI7" s="55">
        <v>44743</v>
      </c>
      <c r="AJ7" s="55">
        <v>44774</v>
      </c>
      <c r="AK7" s="55">
        <v>44805</v>
      </c>
      <c r="AL7" s="55">
        <v>44835</v>
      </c>
      <c r="AM7" s="55">
        <v>44866</v>
      </c>
      <c r="AN7" s="55">
        <v>44896</v>
      </c>
      <c r="AO7" s="55">
        <v>44927</v>
      </c>
      <c r="AP7" s="55">
        <v>44958</v>
      </c>
      <c r="AQ7" s="55">
        <v>44986</v>
      </c>
      <c r="AR7" s="55">
        <v>45017</v>
      </c>
      <c r="AS7" s="55">
        <v>45047</v>
      </c>
      <c r="AT7" s="55">
        <v>45078</v>
      </c>
      <c r="AU7" s="55">
        <v>45108</v>
      </c>
      <c r="AV7" s="55">
        <v>45139</v>
      </c>
      <c r="AW7" s="55">
        <v>45170</v>
      </c>
      <c r="AX7" s="56" t="s">
        <v>7</v>
      </c>
    </row>
    <row r="8" spans="4:50" ht="16" hidden="1" customHeight="1" x14ac:dyDescent="0.2">
      <c r="D8" s="49" t="s">
        <v>8</v>
      </c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50"/>
      <c r="T8" s="50"/>
      <c r="U8" s="50"/>
      <c r="V8" s="50"/>
      <c r="W8" s="50"/>
      <c r="X8" s="50"/>
      <c r="Y8" s="50"/>
      <c r="Z8" s="50"/>
      <c r="AA8" s="50"/>
      <c r="AB8" s="50"/>
      <c r="AC8" s="50"/>
      <c r="AD8" s="50"/>
      <c r="AE8" s="50"/>
      <c r="AF8" s="50"/>
      <c r="AG8" s="50"/>
      <c r="AH8" s="50"/>
      <c r="AI8" s="50"/>
      <c r="AJ8" s="50"/>
      <c r="AK8" s="50"/>
      <c r="AL8" s="50"/>
      <c r="AM8" s="50"/>
      <c r="AN8" s="50"/>
      <c r="AO8" s="50"/>
      <c r="AP8" s="50"/>
      <c r="AQ8" s="50"/>
      <c r="AR8" s="50"/>
      <c r="AS8" s="50"/>
      <c r="AT8" s="50"/>
      <c r="AU8" s="50"/>
      <c r="AV8" s="50"/>
      <c r="AW8" s="50"/>
      <c r="AX8" s="50"/>
    </row>
    <row r="9" spans="4:50" ht="16" hidden="1" customHeight="1" x14ac:dyDescent="0.2">
      <c r="D9" s="49" t="s">
        <v>9</v>
      </c>
      <c r="E9" s="50"/>
      <c r="F9" s="50"/>
      <c r="G9" s="50"/>
      <c r="H9" s="50"/>
      <c r="I9" s="50"/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  <c r="W9" s="50"/>
      <c r="X9" s="50"/>
      <c r="Y9" s="50"/>
      <c r="Z9" s="50"/>
      <c r="AA9" s="50"/>
      <c r="AB9" s="50"/>
      <c r="AC9" s="50"/>
      <c r="AD9" s="50"/>
      <c r="AE9" s="50"/>
      <c r="AF9" s="50"/>
      <c r="AG9" s="50"/>
      <c r="AH9" s="50"/>
      <c r="AI9" s="50"/>
      <c r="AJ9" s="50"/>
      <c r="AK9" s="50"/>
      <c r="AL9" s="50"/>
      <c r="AM9" s="50"/>
      <c r="AN9" s="50"/>
      <c r="AO9" s="50"/>
      <c r="AP9" s="50"/>
      <c r="AQ9" s="50"/>
      <c r="AR9" s="50"/>
      <c r="AS9" s="50"/>
      <c r="AT9" s="50"/>
      <c r="AU9" s="50"/>
      <c r="AV9" s="50"/>
      <c r="AW9" s="50"/>
      <c r="AX9" s="51">
        <v>0</v>
      </c>
    </row>
    <row r="10" spans="4:50" ht="16" hidden="1" customHeight="1" x14ac:dyDescent="0.2">
      <c r="D10" s="49" t="s">
        <v>10</v>
      </c>
      <c r="E10" s="50"/>
      <c r="F10" s="50"/>
      <c r="G10" s="50"/>
      <c r="H10" s="50"/>
      <c r="I10" s="50"/>
      <c r="J10" s="50"/>
      <c r="K10" s="51">
        <v>15900.11</v>
      </c>
      <c r="L10" s="51">
        <v>23200</v>
      </c>
      <c r="M10" s="51">
        <v>12450</v>
      </c>
      <c r="N10" s="51">
        <v>2300</v>
      </c>
      <c r="O10" s="51">
        <v>28433</v>
      </c>
      <c r="P10" s="51">
        <v>3148.57</v>
      </c>
      <c r="Q10" s="51">
        <v>21.77</v>
      </c>
      <c r="R10" s="51">
        <v>26635</v>
      </c>
      <c r="S10" s="51">
        <v>42500</v>
      </c>
      <c r="T10" s="51">
        <v>27525</v>
      </c>
      <c r="U10" s="51">
        <v>30650</v>
      </c>
      <c r="V10" s="51">
        <v>35950</v>
      </c>
      <c r="W10" s="51">
        <v>19700</v>
      </c>
      <c r="X10" s="51">
        <v>39251.279999999999</v>
      </c>
      <c r="Y10" s="51">
        <v>47300</v>
      </c>
      <c r="Z10" s="51">
        <v>18850</v>
      </c>
      <c r="AA10" s="51">
        <v>18050</v>
      </c>
      <c r="AB10" s="51">
        <v>62832</v>
      </c>
      <c r="AC10" s="51">
        <v>58517</v>
      </c>
      <c r="AD10" s="51">
        <v>76504</v>
      </c>
      <c r="AE10" s="51">
        <v>67875</v>
      </c>
      <c r="AF10" s="51">
        <v>103750</v>
      </c>
      <c r="AG10" s="51">
        <v>81580</v>
      </c>
      <c r="AH10" s="51">
        <v>89560</v>
      </c>
      <c r="AI10" s="51">
        <v>69850</v>
      </c>
      <c r="AJ10" s="51">
        <v>87945</v>
      </c>
      <c r="AK10" s="51">
        <v>30650</v>
      </c>
      <c r="AL10" s="51">
        <v>106425</v>
      </c>
      <c r="AM10" s="51">
        <v>24895</v>
      </c>
      <c r="AN10" s="51">
        <v>180749.17</v>
      </c>
      <c r="AO10" s="51">
        <v>59380</v>
      </c>
      <c r="AP10" s="51">
        <v>92300</v>
      </c>
      <c r="AQ10" s="51">
        <v>66750</v>
      </c>
      <c r="AR10" s="51">
        <v>78720</v>
      </c>
      <c r="AS10" s="51">
        <v>118340</v>
      </c>
      <c r="AT10" s="51">
        <v>102365.05</v>
      </c>
      <c r="AU10" s="51">
        <v>66713</v>
      </c>
      <c r="AV10" s="51">
        <v>160095.51999999999</v>
      </c>
      <c r="AW10" s="51">
        <v>22000</v>
      </c>
      <c r="AX10" s="51">
        <v>2199660.4700000002</v>
      </c>
    </row>
    <row r="11" spans="4:50" ht="16" hidden="1" customHeight="1" x14ac:dyDescent="0.2">
      <c r="D11" s="49" t="s">
        <v>166</v>
      </c>
      <c r="E11" s="50"/>
      <c r="F11" s="50"/>
      <c r="G11" s="50"/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51">
        <v>0.5</v>
      </c>
      <c r="AB11" s="50"/>
      <c r="AC11" s="50"/>
      <c r="AD11" s="50"/>
      <c r="AE11" s="50"/>
      <c r="AF11" s="50"/>
      <c r="AG11" s="50"/>
      <c r="AH11" s="50"/>
      <c r="AI11" s="50"/>
      <c r="AJ11" s="50"/>
      <c r="AK11" s="50"/>
      <c r="AL11" s="50"/>
      <c r="AM11" s="50"/>
      <c r="AN11" s="50"/>
      <c r="AO11" s="50"/>
      <c r="AP11" s="50"/>
      <c r="AQ11" s="50"/>
      <c r="AR11" s="50"/>
      <c r="AS11" s="50"/>
      <c r="AT11" s="50"/>
      <c r="AU11" s="50"/>
      <c r="AV11" s="50"/>
      <c r="AW11" s="50"/>
      <c r="AX11" s="51">
        <v>0.5</v>
      </c>
    </row>
    <row r="12" spans="4:50" ht="16" customHeight="1" x14ac:dyDescent="0.2">
      <c r="D12" s="52" t="s">
        <v>90</v>
      </c>
      <c r="E12" s="58">
        <v>0</v>
      </c>
      <c r="F12" s="58">
        <v>0</v>
      </c>
      <c r="G12" s="58">
        <v>0</v>
      </c>
      <c r="H12" s="58">
        <v>0</v>
      </c>
      <c r="I12" s="58">
        <v>0</v>
      </c>
      <c r="J12" s="58">
        <v>0</v>
      </c>
      <c r="K12" s="58">
        <v>15900.11</v>
      </c>
      <c r="L12" s="58">
        <v>23200</v>
      </c>
      <c r="M12" s="58">
        <v>12450</v>
      </c>
      <c r="N12" s="58">
        <v>2300</v>
      </c>
      <c r="O12" s="58">
        <v>28433</v>
      </c>
      <c r="P12" s="58">
        <v>3148.57</v>
      </c>
      <c r="Q12" s="58">
        <v>21.77</v>
      </c>
      <c r="R12" s="58">
        <v>26635</v>
      </c>
      <c r="S12" s="58">
        <v>42500</v>
      </c>
      <c r="T12" s="58">
        <v>27525</v>
      </c>
      <c r="U12" s="58">
        <v>30650</v>
      </c>
      <c r="V12" s="58">
        <v>35950</v>
      </c>
      <c r="W12" s="58">
        <v>19700</v>
      </c>
      <c r="X12" s="58">
        <v>39251.279999999999</v>
      </c>
      <c r="Y12" s="58">
        <v>47300</v>
      </c>
      <c r="Z12" s="58">
        <v>18850</v>
      </c>
      <c r="AA12" s="58">
        <v>18050.5</v>
      </c>
      <c r="AB12" s="58">
        <v>62832</v>
      </c>
      <c r="AC12" s="58">
        <v>58517</v>
      </c>
      <c r="AD12" s="58">
        <v>76504</v>
      </c>
      <c r="AE12" s="58">
        <v>67875</v>
      </c>
      <c r="AF12" s="58">
        <v>103750</v>
      </c>
      <c r="AG12" s="58">
        <v>81580</v>
      </c>
      <c r="AH12" s="58">
        <v>89560</v>
      </c>
      <c r="AI12" s="58">
        <v>69850</v>
      </c>
      <c r="AJ12" s="58">
        <v>87945</v>
      </c>
      <c r="AK12" s="58">
        <v>30650</v>
      </c>
      <c r="AL12" s="58">
        <v>106425</v>
      </c>
      <c r="AM12" s="58">
        <v>24895</v>
      </c>
      <c r="AN12" s="58">
        <v>180749.17</v>
      </c>
      <c r="AO12" s="58">
        <v>59380</v>
      </c>
      <c r="AP12" s="58">
        <v>92300</v>
      </c>
      <c r="AQ12" s="58">
        <v>66750</v>
      </c>
      <c r="AR12" s="58">
        <v>78720</v>
      </c>
      <c r="AS12" s="58">
        <v>118340</v>
      </c>
      <c r="AT12" s="58">
        <v>102365.05</v>
      </c>
      <c r="AU12" s="58">
        <v>66713</v>
      </c>
      <c r="AV12" s="58">
        <v>160095.51999999999</v>
      </c>
      <c r="AW12" s="58">
        <v>22000</v>
      </c>
      <c r="AX12" s="53">
        <v>2199660.9700000002</v>
      </c>
    </row>
    <row r="13" spans="4:50" ht="16" hidden="1" customHeight="1" x14ac:dyDescent="0.2">
      <c r="D13" s="49" t="s">
        <v>73</v>
      </c>
      <c r="E13" s="59"/>
      <c r="F13" s="59"/>
      <c r="G13" s="59"/>
      <c r="H13" s="59"/>
      <c r="I13" s="59"/>
      <c r="J13" s="59"/>
      <c r="K13" s="59"/>
      <c r="L13" s="59"/>
      <c r="M13" s="59"/>
      <c r="N13" s="59"/>
      <c r="O13" s="59"/>
      <c r="P13" s="59"/>
      <c r="Q13" s="59"/>
      <c r="R13" s="59"/>
      <c r="S13" s="59"/>
      <c r="T13" s="59"/>
      <c r="U13" s="59"/>
      <c r="V13" s="59"/>
      <c r="W13" s="59"/>
      <c r="X13" s="59"/>
      <c r="Y13" s="59"/>
      <c r="Z13" s="59"/>
      <c r="AA13" s="59"/>
      <c r="AB13" s="59"/>
      <c r="AC13" s="59"/>
      <c r="AD13" s="59"/>
      <c r="AE13" s="59"/>
      <c r="AF13" s="60">
        <v>40</v>
      </c>
      <c r="AG13" s="59"/>
      <c r="AH13" s="59"/>
      <c r="AI13" s="59"/>
      <c r="AJ13" s="60">
        <v>500</v>
      </c>
      <c r="AK13" s="59"/>
      <c r="AL13" s="60">
        <v>650</v>
      </c>
      <c r="AM13" s="59"/>
      <c r="AN13" s="60">
        <v>3400</v>
      </c>
      <c r="AO13" s="59"/>
      <c r="AP13" s="59"/>
      <c r="AQ13" s="59"/>
      <c r="AR13" s="60">
        <v>400</v>
      </c>
      <c r="AS13" s="59"/>
      <c r="AT13" s="59"/>
      <c r="AU13" s="60">
        <v>225</v>
      </c>
      <c r="AV13" s="59"/>
      <c r="AW13" s="59"/>
      <c r="AX13" s="51">
        <v>5215</v>
      </c>
    </row>
    <row r="14" spans="4:50" ht="16" hidden="1" customHeight="1" x14ac:dyDescent="0.2">
      <c r="D14" s="49" t="s">
        <v>11</v>
      </c>
      <c r="E14" s="60">
        <v>0</v>
      </c>
      <c r="F14" s="60">
        <v>0</v>
      </c>
      <c r="G14" s="60">
        <v>0</v>
      </c>
      <c r="H14" s="60">
        <v>0</v>
      </c>
      <c r="I14" s="60">
        <v>0</v>
      </c>
      <c r="J14" s="60">
        <v>0</v>
      </c>
      <c r="K14" s="60">
        <v>15900.11</v>
      </c>
      <c r="L14" s="60">
        <v>23200</v>
      </c>
      <c r="M14" s="60">
        <v>12450</v>
      </c>
      <c r="N14" s="60">
        <v>2300</v>
      </c>
      <c r="O14" s="60">
        <v>28433</v>
      </c>
      <c r="P14" s="60">
        <v>3148.57</v>
      </c>
      <c r="Q14" s="60">
        <v>21.77</v>
      </c>
      <c r="R14" s="60">
        <v>26635</v>
      </c>
      <c r="S14" s="60">
        <v>42500</v>
      </c>
      <c r="T14" s="60">
        <v>27525</v>
      </c>
      <c r="U14" s="60">
        <v>30650</v>
      </c>
      <c r="V14" s="60">
        <v>35950</v>
      </c>
      <c r="W14" s="60">
        <v>19700</v>
      </c>
      <c r="X14" s="60">
        <v>39251.279999999999</v>
      </c>
      <c r="Y14" s="60">
        <v>47300</v>
      </c>
      <c r="Z14" s="60">
        <v>18850</v>
      </c>
      <c r="AA14" s="60">
        <v>18050.5</v>
      </c>
      <c r="AB14" s="60">
        <v>62832</v>
      </c>
      <c r="AC14" s="60">
        <v>58517</v>
      </c>
      <c r="AD14" s="60">
        <v>76504</v>
      </c>
      <c r="AE14" s="60">
        <v>67875</v>
      </c>
      <c r="AF14" s="60">
        <v>103790</v>
      </c>
      <c r="AG14" s="60">
        <v>81580</v>
      </c>
      <c r="AH14" s="60">
        <v>89560</v>
      </c>
      <c r="AI14" s="60">
        <v>69850</v>
      </c>
      <c r="AJ14" s="60">
        <v>88445</v>
      </c>
      <c r="AK14" s="60">
        <v>30650</v>
      </c>
      <c r="AL14" s="60">
        <v>107075</v>
      </c>
      <c r="AM14" s="60">
        <v>24895</v>
      </c>
      <c r="AN14" s="60">
        <v>184149.17</v>
      </c>
      <c r="AO14" s="60">
        <v>59380</v>
      </c>
      <c r="AP14" s="60">
        <v>92300</v>
      </c>
      <c r="AQ14" s="60">
        <v>66750</v>
      </c>
      <c r="AR14" s="60">
        <v>79120</v>
      </c>
      <c r="AS14" s="60">
        <v>118340</v>
      </c>
      <c r="AT14" s="60">
        <v>102365.05</v>
      </c>
      <c r="AU14" s="60">
        <v>66938</v>
      </c>
      <c r="AV14" s="60">
        <v>160095.51999999999</v>
      </c>
      <c r="AW14" s="60">
        <v>22000</v>
      </c>
      <c r="AX14" s="54">
        <v>2204875.9700000002</v>
      </c>
    </row>
    <row r="15" spans="4:50" ht="16" hidden="1" customHeight="1" x14ac:dyDescent="0.2">
      <c r="D15" s="49" t="s">
        <v>71</v>
      </c>
      <c r="E15" s="59"/>
      <c r="F15" s="59"/>
      <c r="G15" s="59"/>
      <c r="H15" s="59"/>
      <c r="I15" s="59"/>
      <c r="J15" s="59"/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60">
        <v>-400</v>
      </c>
      <c r="W15" s="59"/>
      <c r="X15" s="59"/>
      <c r="Y15" s="60">
        <v>-500</v>
      </c>
      <c r="Z15" s="59"/>
      <c r="AA15" s="59"/>
      <c r="AB15" s="60">
        <v>-1000</v>
      </c>
      <c r="AC15" s="60">
        <v>-850</v>
      </c>
      <c r="AD15" s="60">
        <v>-2300</v>
      </c>
      <c r="AE15" s="60">
        <v>-250</v>
      </c>
      <c r="AF15" s="59"/>
      <c r="AG15" s="59"/>
      <c r="AH15" s="60">
        <v>-100</v>
      </c>
      <c r="AI15" s="59"/>
      <c r="AJ15" s="59"/>
      <c r="AK15" s="59"/>
      <c r="AL15" s="60">
        <v>-1000</v>
      </c>
      <c r="AM15" s="60">
        <v>-9900</v>
      </c>
      <c r="AN15" s="60">
        <v>-1400</v>
      </c>
      <c r="AO15" s="59"/>
      <c r="AP15" s="59"/>
      <c r="AQ15" s="60">
        <v>-1000</v>
      </c>
      <c r="AR15" s="59"/>
      <c r="AS15" s="60">
        <v>-2100</v>
      </c>
      <c r="AT15" s="59"/>
      <c r="AU15" s="60">
        <v>-200</v>
      </c>
      <c r="AV15" s="60">
        <v>-500</v>
      </c>
      <c r="AW15" s="59"/>
      <c r="AX15" s="51">
        <v>-21500</v>
      </c>
    </row>
    <row r="16" spans="4:50" ht="16" hidden="1" customHeight="1" x14ac:dyDescent="0.2">
      <c r="D16" s="49" t="s">
        <v>12</v>
      </c>
      <c r="E16" s="59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59"/>
      <c r="AA16" s="59"/>
      <c r="AB16" s="59"/>
      <c r="AC16" s="59"/>
      <c r="AD16" s="59"/>
      <c r="AE16" s="59"/>
      <c r="AF16" s="59"/>
      <c r="AG16" s="59"/>
      <c r="AH16" s="59"/>
      <c r="AI16" s="59"/>
      <c r="AJ16" s="59"/>
      <c r="AK16" s="59"/>
      <c r="AL16" s="59"/>
      <c r="AM16" s="59"/>
      <c r="AN16" s="59"/>
      <c r="AO16" s="59"/>
      <c r="AP16" s="60">
        <v>65250</v>
      </c>
      <c r="AQ16" s="60">
        <v>41242</v>
      </c>
      <c r="AR16" s="60">
        <v>7100</v>
      </c>
      <c r="AS16" s="60">
        <v>18625</v>
      </c>
      <c r="AT16" s="60">
        <v>95486</v>
      </c>
      <c r="AU16" s="60">
        <v>9500</v>
      </c>
      <c r="AV16" s="59"/>
      <c r="AW16" s="59"/>
      <c r="AX16" s="51">
        <v>237203</v>
      </c>
    </row>
    <row r="17" spans="4:50" ht="16" hidden="1" customHeight="1" x14ac:dyDescent="0.2">
      <c r="D17" s="49" t="s">
        <v>165</v>
      </c>
      <c r="E17" s="59"/>
      <c r="F17" s="59"/>
      <c r="G17" s="59"/>
      <c r="H17" s="59"/>
      <c r="I17" s="59"/>
      <c r="J17" s="59"/>
      <c r="K17" s="59"/>
      <c r="L17" s="59"/>
      <c r="M17" s="59"/>
      <c r="N17" s="59"/>
      <c r="O17" s="59"/>
      <c r="P17" s="59"/>
      <c r="Q17" s="59"/>
      <c r="R17" s="59"/>
      <c r="S17" s="59"/>
      <c r="T17" s="59"/>
      <c r="U17" s="59"/>
      <c r="V17" s="59"/>
      <c r="W17" s="59"/>
      <c r="X17" s="59"/>
      <c r="Y17" s="59"/>
      <c r="Z17" s="59"/>
      <c r="AA17" s="60">
        <v>0</v>
      </c>
      <c r="AB17" s="59"/>
      <c r="AC17" s="59"/>
      <c r="AD17" s="59"/>
      <c r="AE17" s="59"/>
      <c r="AF17" s="59"/>
      <c r="AG17" s="59"/>
      <c r="AH17" s="59"/>
      <c r="AI17" s="59"/>
      <c r="AJ17" s="59"/>
      <c r="AK17" s="59"/>
      <c r="AL17" s="59"/>
      <c r="AM17" s="59"/>
      <c r="AN17" s="59"/>
      <c r="AO17" s="59"/>
      <c r="AP17" s="59"/>
      <c r="AQ17" s="59"/>
      <c r="AR17" s="59"/>
      <c r="AS17" s="59"/>
      <c r="AT17" s="59"/>
      <c r="AU17" s="59"/>
      <c r="AV17" s="59"/>
      <c r="AW17" s="59"/>
      <c r="AX17" s="51">
        <v>0</v>
      </c>
    </row>
    <row r="18" spans="4:50" ht="16" hidden="1" customHeight="1" x14ac:dyDescent="0.2">
      <c r="D18" s="49" t="s">
        <v>13</v>
      </c>
      <c r="E18" s="59"/>
      <c r="F18" s="59"/>
      <c r="G18" s="59"/>
      <c r="H18" s="59"/>
      <c r="I18" s="59"/>
      <c r="J18" s="59"/>
      <c r="K18" s="59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59"/>
      <c r="AA18" s="59"/>
      <c r="AB18" s="59"/>
      <c r="AC18" s="59"/>
      <c r="AD18" s="59"/>
      <c r="AE18" s="59"/>
      <c r="AF18" s="59"/>
      <c r="AG18" s="59"/>
      <c r="AH18" s="59"/>
      <c r="AI18" s="59"/>
      <c r="AJ18" s="59"/>
      <c r="AK18" s="59"/>
      <c r="AL18" s="59"/>
      <c r="AM18" s="59"/>
      <c r="AN18" s="59"/>
      <c r="AO18" s="60">
        <v>4275</v>
      </c>
      <c r="AP18" s="59"/>
      <c r="AQ18" s="59"/>
      <c r="AR18" s="59"/>
      <c r="AS18" s="59"/>
      <c r="AT18" s="59"/>
      <c r="AU18" s="59"/>
      <c r="AV18" s="59"/>
      <c r="AW18" s="59"/>
      <c r="AX18" s="51">
        <v>4275</v>
      </c>
    </row>
    <row r="19" spans="4:50" ht="16" hidden="1" customHeight="1" x14ac:dyDescent="0.2">
      <c r="D19" s="49" t="s">
        <v>14</v>
      </c>
      <c r="E19" s="60">
        <v>0</v>
      </c>
      <c r="F19" s="60">
        <v>0</v>
      </c>
      <c r="G19" s="60">
        <v>0</v>
      </c>
      <c r="H19" s="60">
        <v>0</v>
      </c>
      <c r="I19" s="60">
        <v>0</v>
      </c>
      <c r="J19" s="60">
        <v>0</v>
      </c>
      <c r="K19" s="60">
        <v>0</v>
      </c>
      <c r="L19" s="60">
        <v>0</v>
      </c>
      <c r="M19" s="60">
        <v>0</v>
      </c>
      <c r="N19" s="60">
        <v>0</v>
      </c>
      <c r="O19" s="60">
        <v>0</v>
      </c>
      <c r="P19" s="60">
        <v>0</v>
      </c>
      <c r="Q19" s="60">
        <v>0</v>
      </c>
      <c r="R19" s="60">
        <v>0</v>
      </c>
      <c r="S19" s="60">
        <v>0</v>
      </c>
      <c r="T19" s="60">
        <v>0</v>
      </c>
      <c r="U19" s="60">
        <v>0</v>
      </c>
      <c r="V19" s="60">
        <v>0</v>
      </c>
      <c r="W19" s="60">
        <v>0</v>
      </c>
      <c r="X19" s="60">
        <v>0</v>
      </c>
      <c r="Y19" s="60">
        <v>0</v>
      </c>
      <c r="Z19" s="60">
        <v>0</v>
      </c>
      <c r="AA19" s="60">
        <v>0</v>
      </c>
      <c r="AB19" s="60">
        <v>0</v>
      </c>
      <c r="AC19" s="60">
        <v>0</v>
      </c>
      <c r="AD19" s="60">
        <v>0</v>
      </c>
      <c r="AE19" s="60">
        <v>0</v>
      </c>
      <c r="AF19" s="60">
        <v>0</v>
      </c>
      <c r="AG19" s="60">
        <v>0</v>
      </c>
      <c r="AH19" s="60">
        <v>0</v>
      </c>
      <c r="AI19" s="60">
        <v>0</v>
      </c>
      <c r="AJ19" s="60">
        <v>0</v>
      </c>
      <c r="AK19" s="60">
        <v>0</v>
      </c>
      <c r="AL19" s="60">
        <v>0</v>
      </c>
      <c r="AM19" s="60">
        <v>0</v>
      </c>
      <c r="AN19" s="60">
        <v>0</v>
      </c>
      <c r="AO19" s="60">
        <v>4275</v>
      </c>
      <c r="AP19" s="60">
        <v>65250</v>
      </c>
      <c r="AQ19" s="60">
        <v>41242</v>
      </c>
      <c r="AR19" s="60">
        <v>7100</v>
      </c>
      <c r="AS19" s="60">
        <v>18625</v>
      </c>
      <c r="AT19" s="60">
        <v>95486</v>
      </c>
      <c r="AU19" s="60">
        <v>9500</v>
      </c>
      <c r="AV19" s="60">
        <v>0</v>
      </c>
      <c r="AW19" s="60">
        <v>0</v>
      </c>
      <c r="AX19" s="54">
        <v>241478</v>
      </c>
    </row>
    <row r="20" spans="4:50" ht="16" hidden="1" customHeight="1" x14ac:dyDescent="0.2">
      <c r="D20" s="49" t="s">
        <v>164</v>
      </c>
      <c r="E20" s="59"/>
      <c r="F20" s="59"/>
      <c r="G20" s="59"/>
      <c r="H20" s="59"/>
      <c r="I20" s="59"/>
      <c r="J20" s="59"/>
      <c r="K20" s="59"/>
      <c r="L20" s="60">
        <v>2100</v>
      </c>
      <c r="M20" s="60">
        <v>5570</v>
      </c>
      <c r="N20" s="60">
        <v>5700</v>
      </c>
      <c r="O20" s="60">
        <v>5255</v>
      </c>
      <c r="P20" s="60">
        <v>-17389.11</v>
      </c>
      <c r="Q20" s="60">
        <v>14350</v>
      </c>
      <c r="R20" s="60">
        <v>12055</v>
      </c>
      <c r="S20" s="60">
        <v>37649.25</v>
      </c>
      <c r="T20" s="60">
        <v>35469.47</v>
      </c>
      <c r="U20" s="60">
        <v>22420.97</v>
      </c>
      <c r="V20" s="60">
        <v>44933.75</v>
      </c>
      <c r="W20" s="60">
        <v>20957.189999999999</v>
      </c>
      <c r="X20" s="60">
        <v>25089.599999999999</v>
      </c>
      <c r="Y20" s="60">
        <v>40133.35</v>
      </c>
      <c r="Z20" s="60">
        <v>30112.3</v>
      </c>
      <c r="AA20" s="60">
        <v>16857.5</v>
      </c>
      <c r="AB20" s="60">
        <v>-301910.13</v>
      </c>
      <c r="AC20" s="59"/>
      <c r="AD20" s="59"/>
      <c r="AE20" s="59"/>
      <c r="AF20" s="59"/>
      <c r="AG20" s="59"/>
      <c r="AH20" s="59"/>
      <c r="AI20" s="59"/>
      <c r="AJ20" s="59"/>
      <c r="AK20" s="59"/>
      <c r="AL20" s="59"/>
      <c r="AM20" s="59"/>
      <c r="AN20" s="59"/>
      <c r="AO20" s="59"/>
      <c r="AP20" s="59"/>
      <c r="AQ20" s="59"/>
      <c r="AR20" s="59"/>
      <c r="AS20" s="59"/>
      <c r="AT20" s="59"/>
      <c r="AU20" s="59"/>
      <c r="AV20" s="59"/>
      <c r="AW20" s="59"/>
      <c r="AX20" s="51">
        <v>-645.86</v>
      </c>
    </row>
    <row r="21" spans="4:50" ht="16" hidden="1" customHeight="1" x14ac:dyDescent="0.2">
      <c r="D21" s="49" t="s">
        <v>15</v>
      </c>
      <c r="E21" s="60">
        <v>0</v>
      </c>
      <c r="F21" s="60">
        <v>0</v>
      </c>
      <c r="G21" s="60">
        <v>0</v>
      </c>
      <c r="H21" s="60">
        <v>0</v>
      </c>
      <c r="I21" s="60">
        <v>0</v>
      </c>
      <c r="J21" s="60">
        <v>0</v>
      </c>
      <c r="K21" s="60">
        <v>15900.11</v>
      </c>
      <c r="L21" s="60">
        <v>25300</v>
      </c>
      <c r="M21" s="60">
        <v>18020</v>
      </c>
      <c r="N21" s="60">
        <v>8000</v>
      </c>
      <c r="O21" s="60">
        <v>33688</v>
      </c>
      <c r="P21" s="60">
        <v>-14240.54</v>
      </c>
      <c r="Q21" s="60">
        <v>14371.77</v>
      </c>
      <c r="R21" s="60">
        <v>38690</v>
      </c>
      <c r="S21" s="60">
        <v>80149.25</v>
      </c>
      <c r="T21" s="60">
        <v>62994.47</v>
      </c>
      <c r="U21" s="60">
        <v>53070.97</v>
      </c>
      <c r="V21" s="60">
        <v>80483.75</v>
      </c>
      <c r="W21" s="60">
        <v>40657.19</v>
      </c>
      <c r="X21" s="60">
        <v>64340.88</v>
      </c>
      <c r="Y21" s="60">
        <v>86933.35</v>
      </c>
      <c r="Z21" s="60">
        <v>48962.3</v>
      </c>
      <c r="AA21" s="60">
        <v>34908</v>
      </c>
      <c r="AB21" s="60">
        <v>-240078.13</v>
      </c>
      <c r="AC21" s="60">
        <v>57667</v>
      </c>
      <c r="AD21" s="60">
        <v>74204</v>
      </c>
      <c r="AE21" s="60">
        <v>67625</v>
      </c>
      <c r="AF21" s="60">
        <v>103790</v>
      </c>
      <c r="AG21" s="60">
        <v>81580</v>
      </c>
      <c r="AH21" s="60">
        <v>89460</v>
      </c>
      <c r="AI21" s="60">
        <v>69850</v>
      </c>
      <c r="AJ21" s="60">
        <v>88445</v>
      </c>
      <c r="AK21" s="60">
        <v>30650</v>
      </c>
      <c r="AL21" s="60">
        <v>106075</v>
      </c>
      <c r="AM21" s="60">
        <v>14995</v>
      </c>
      <c r="AN21" s="60">
        <v>182749.17</v>
      </c>
      <c r="AO21" s="60">
        <v>63655</v>
      </c>
      <c r="AP21" s="60">
        <v>157550</v>
      </c>
      <c r="AQ21" s="60">
        <v>106992</v>
      </c>
      <c r="AR21" s="60">
        <v>86220</v>
      </c>
      <c r="AS21" s="60">
        <v>134865</v>
      </c>
      <c r="AT21" s="60">
        <v>197851.05</v>
      </c>
      <c r="AU21" s="60">
        <v>76238</v>
      </c>
      <c r="AV21" s="60">
        <v>159595.51999999999</v>
      </c>
      <c r="AW21" s="60">
        <v>22000</v>
      </c>
      <c r="AX21" s="54">
        <v>2424208.11</v>
      </c>
    </row>
    <row r="22" spans="4:50" ht="16" hidden="1" customHeight="1" x14ac:dyDescent="0.2">
      <c r="D22" s="49" t="s">
        <v>16</v>
      </c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59"/>
      <c r="AA22" s="59"/>
      <c r="AB22" s="59"/>
      <c r="AC22" s="59"/>
      <c r="AD22" s="59"/>
      <c r="AE22" s="59"/>
      <c r="AF22" s="59"/>
      <c r="AG22" s="59"/>
      <c r="AH22" s="59"/>
      <c r="AI22" s="59"/>
      <c r="AJ22" s="59"/>
      <c r="AK22" s="59"/>
      <c r="AL22" s="59"/>
      <c r="AM22" s="59"/>
      <c r="AN22" s="59"/>
      <c r="AO22" s="59"/>
      <c r="AP22" s="59"/>
      <c r="AQ22" s="59"/>
      <c r="AR22" s="59"/>
      <c r="AS22" s="59"/>
      <c r="AT22" s="59"/>
      <c r="AU22" s="59"/>
      <c r="AV22" s="59"/>
      <c r="AW22" s="59"/>
      <c r="AX22" s="50"/>
    </row>
    <row r="23" spans="4:50" ht="16" hidden="1" customHeight="1" x14ac:dyDescent="0.2">
      <c r="D23" s="49" t="s">
        <v>17</v>
      </c>
      <c r="E23" s="59"/>
      <c r="F23" s="59"/>
      <c r="G23" s="59"/>
      <c r="H23" s="59"/>
      <c r="I23" s="59"/>
      <c r="J23" s="59"/>
      <c r="K23" s="60">
        <v>1495</v>
      </c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59"/>
      <c r="AA23" s="59"/>
      <c r="AB23" s="59"/>
      <c r="AC23" s="59"/>
      <c r="AD23" s="59"/>
      <c r="AE23" s="59"/>
      <c r="AF23" s="59"/>
      <c r="AG23" s="59"/>
      <c r="AH23" s="59"/>
      <c r="AI23" s="59"/>
      <c r="AJ23" s="59"/>
      <c r="AK23" s="59"/>
      <c r="AL23" s="59"/>
      <c r="AM23" s="59"/>
      <c r="AN23" s="59"/>
      <c r="AO23" s="59"/>
      <c r="AP23" s="59"/>
      <c r="AQ23" s="59"/>
      <c r="AR23" s="59"/>
      <c r="AS23" s="59"/>
      <c r="AT23" s="59"/>
      <c r="AU23" s="59"/>
      <c r="AV23" s="59"/>
      <c r="AW23" s="59"/>
      <c r="AX23" s="51">
        <v>1495</v>
      </c>
    </row>
    <row r="24" spans="4:50" ht="16" hidden="1" customHeight="1" x14ac:dyDescent="0.2">
      <c r="D24" s="49" t="s">
        <v>18</v>
      </c>
      <c r="E24" s="59"/>
      <c r="F24" s="59"/>
      <c r="G24" s="59"/>
      <c r="H24" s="59"/>
      <c r="I24" s="59"/>
      <c r="J24" s="59"/>
      <c r="K24" s="60">
        <v>1078.6300000000001</v>
      </c>
      <c r="L24" s="60">
        <v>1130.33</v>
      </c>
      <c r="M24" s="60">
        <v>327.60000000000002</v>
      </c>
      <c r="N24" s="60">
        <v>2066.7199999999998</v>
      </c>
      <c r="O24" s="60">
        <v>1571.12</v>
      </c>
      <c r="P24" s="60">
        <v>2464.13</v>
      </c>
      <c r="Q24" s="60">
        <v>457.12</v>
      </c>
      <c r="R24" s="60">
        <v>3032.48</v>
      </c>
      <c r="S24" s="60">
        <v>2430.64</v>
      </c>
      <c r="T24" s="60">
        <v>5896.77</v>
      </c>
      <c r="U24" s="60">
        <v>3353.24</v>
      </c>
      <c r="V24" s="60">
        <v>4913.5</v>
      </c>
      <c r="W24" s="60">
        <v>5606.01</v>
      </c>
      <c r="X24" s="60">
        <v>3928.15</v>
      </c>
      <c r="Y24" s="60">
        <v>9327.14</v>
      </c>
      <c r="Z24" s="60">
        <v>14266.13</v>
      </c>
      <c r="AA24" s="60">
        <v>7366.9</v>
      </c>
      <c r="AB24" s="60">
        <v>20308.25</v>
      </c>
      <c r="AC24" s="60">
        <v>4981.6400000000003</v>
      </c>
      <c r="AD24" s="60">
        <v>13258.78</v>
      </c>
      <c r="AE24" s="60">
        <v>5062.8100000000004</v>
      </c>
      <c r="AF24" s="60">
        <v>9411.83</v>
      </c>
      <c r="AG24" s="60">
        <v>11466.37</v>
      </c>
      <c r="AH24" s="60">
        <v>12898.83</v>
      </c>
      <c r="AI24" s="60">
        <v>11587.27</v>
      </c>
      <c r="AJ24" s="60">
        <v>8275.1299999999992</v>
      </c>
      <c r="AK24" s="60">
        <v>7404.69</v>
      </c>
      <c r="AL24" s="60">
        <v>13457.31</v>
      </c>
      <c r="AM24" s="60">
        <v>16961.509999999998</v>
      </c>
      <c r="AN24" s="60">
        <v>7046.85</v>
      </c>
      <c r="AO24" s="60">
        <v>10040.24</v>
      </c>
      <c r="AP24" s="60">
        <v>18649.810000000001</v>
      </c>
      <c r="AQ24" s="60">
        <v>32926.31</v>
      </c>
      <c r="AR24" s="60">
        <v>38246.980000000003</v>
      </c>
      <c r="AS24" s="60">
        <v>46029.34</v>
      </c>
      <c r="AT24" s="60">
        <v>40131.660000000003</v>
      </c>
      <c r="AU24" s="60">
        <v>41960.11</v>
      </c>
      <c r="AV24" s="60">
        <v>8042.95</v>
      </c>
      <c r="AW24" s="59"/>
      <c r="AX24" s="51">
        <v>447365.28</v>
      </c>
    </row>
    <row r="25" spans="4:50" ht="16" hidden="1" customHeight="1" x14ac:dyDescent="0.2">
      <c r="D25" s="49" t="s">
        <v>163</v>
      </c>
      <c r="E25" s="59"/>
      <c r="F25" s="59"/>
      <c r="G25" s="59"/>
      <c r="H25" s="59"/>
      <c r="I25" s="59"/>
      <c r="J25" s="59"/>
      <c r="K25" s="59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59"/>
      <c r="AA25" s="59"/>
      <c r="AB25" s="59"/>
      <c r="AC25" s="59"/>
      <c r="AD25" s="59"/>
      <c r="AE25" s="59"/>
      <c r="AF25" s="60">
        <v>2000</v>
      </c>
      <c r="AG25" s="59"/>
      <c r="AH25" s="59"/>
      <c r="AI25" s="59"/>
      <c r="AJ25" s="60">
        <v>500</v>
      </c>
      <c r="AK25" s="60">
        <v>8043.28</v>
      </c>
      <c r="AL25" s="60">
        <v>8200</v>
      </c>
      <c r="AM25" s="60">
        <v>26200</v>
      </c>
      <c r="AN25" s="60">
        <v>30645</v>
      </c>
      <c r="AO25" s="59"/>
      <c r="AP25" s="59"/>
      <c r="AQ25" s="59"/>
      <c r="AR25" s="59"/>
      <c r="AS25" s="59"/>
      <c r="AT25" s="59"/>
      <c r="AU25" s="59"/>
      <c r="AV25" s="59"/>
      <c r="AW25" s="59"/>
      <c r="AX25" s="51">
        <v>75588.28</v>
      </c>
    </row>
    <row r="26" spans="4:50" ht="16" hidden="1" customHeight="1" x14ac:dyDescent="0.2">
      <c r="D26" s="49" t="s">
        <v>19</v>
      </c>
      <c r="E26" s="60">
        <v>0</v>
      </c>
      <c r="F26" s="60">
        <v>0</v>
      </c>
      <c r="G26" s="60">
        <v>0</v>
      </c>
      <c r="H26" s="60">
        <v>0</v>
      </c>
      <c r="I26" s="60">
        <v>0</v>
      </c>
      <c r="J26" s="60">
        <v>0</v>
      </c>
      <c r="K26" s="60">
        <v>2573.63</v>
      </c>
      <c r="L26" s="60">
        <v>1130.33</v>
      </c>
      <c r="M26" s="60">
        <v>327.60000000000002</v>
      </c>
      <c r="N26" s="60">
        <v>2066.7199999999998</v>
      </c>
      <c r="O26" s="60">
        <v>1571.12</v>
      </c>
      <c r="P26" s="60">
        <v>2464.13</v>
      </c>
      <c r="Q26" s="60">
        <v>457.12</v>
      </c>
      <c r="R26" s="60">
        <v>3032.48</v>
      </c>
      <c r="S26" s="60">
        <v>2430.64</v>
      </c>
      <c r="T26" s="60">
        <v>5896.77</v>
      </c>
      <c r="U26" s="60">
        <v>3353.24</v>
      </c>
      <c r="V26" s="60">
        <v>4913.5</v>
      </c>
      <c r="W26" s="60">
        <v>5606.01</v>
      </c>
      <c r="X26" s="60">
        <v>3928.15</v>
      </c>
      <c r="Y26" s="60">
        <v>9327.14</v>
      </c>
      <c r="Z26" s="60">
        <v>14266.13</v>
      </c>
      <c r="AA26" s="60">
        <v>7366.9</v>
      </c>
      <c r="AB26" s="60">
        <v>20308.25</v>
      </c>
      <c r="AC26" s="60">
        <v>4981.6400000000003</v>
      </c>
      <c r="AD26" s="60">
        <v>13258.78</v>
      </c>
      <c r="AE26" s="60">
        <v>5062.8100000000004</v>
      </c>
      <c r="AF26" s="60">
        <v>11411.83</v>
      </c>
      <c r="AG26" s="60">
        <v>11466.37</v>
      </c>
      <c r="AH26" s="60">
        <v>12898.83</v>
      </c>
      <c r="AI26" s="60">
        <v>11587.27</v>
      </c>
      <c r="AJ26" s="60">
        <v>8775.1299999999992</v>
      </c>
      <c r="AK26" s="60">
        <v>15447.97</v>
      </c>
      <c r="AL26" s="60">
        <v>21657.31</v>
      </c>
      <c r="AM26" s="60">
        <v>43161.51</v>
      </c>
      <c r="AN26" s="60">
        <v>37691.85</v>
      </c>
      <c r="AO26" s="60">
        <v>10040.24</v>
      </c>
      <c r="AP26" s="60">
        <v>18649.810000000001</v>
      </c>
      <c r="AQ26" s="60">
        <v>32926.31</v>
      </c>
      <c r="AR26" s="60">
        <v>38246.980000000003</v>
      </c>
      <c r="AS26" s="60">
        <v>46029.34</v>
      </c>
      <c r="AT26" s="60">
        <v>40131.660000000003</v>
      </c>
      <c r="AU26" s="60">
        <v>41960.11</v>
      </c>
      <c r="AV26" s="60">
        <v>8042.95</v>
      </c>
      <c r="AW26" s="60">
        <v>0</v>
      </c>
      <c r="AX26" s="54">
        <v>524448.56000000006</v>
      </c>
    </row>
    <row r="27" spans="4:50" ht="16" customHeight="1" x14ac:dyDescent="0.2">
      <c r="D27" s="52" t="s">
        <v>16</v>
      </c>
      <c r="E27" s="58">
        <v>0</v>
      </c>
      <c r="F27" s="58">
        <v>0</v>
      </c>
      <c r="G27" s="58">
        <v>0</v>
      </c>
      <c r="H27" s="58">
        <v>0</v>
      </c>
      <c r="I27" s="58">
        <v>0</v>
      </c>
      <c r="J27" s="58">
        <v>0</v>
      </c>
      <c r="K27" s="58">
        <v>2573.63</v>
      </c>
      <c r="L27" s="58">
        <v>1130.33</v>
      </c>
      <c r="M27" s="58">
        <v>327.60000000000002</v>
      </c>
      <c r="N27" s="58">
        <v>2066.7199999999998</v>
      </c>
      <c r="O27" s="58">
        <v>1571.12</v>
      </c>
      <c r="P27" s="58">
        <v>2464.13</v>
      </c>
      <c r="Q27" s="58">
        <v>457.12</v>
      </c>
      <c r="R27" s="58">
        <v>3032.48</v>
      </c>
      <c r="S27" s="58">
        <v>2430.64</v>
      </c>
      <c r="T27" s="58">
        <v>5896.77</v>
      </c>
      <c r="U27" s="58">
        <v>3353.24</v>
      </c>
      <c r="V27" s="58">
        <v>4913.5</v>
      </c>
      <c r="W27" s="58">
        <v>5606.01</v>
      </c>
      <c r="X27" s="58">
        <v>3928.15</v>
      </c>
      <c r="Y27" s="58">
        <v>9327.14</v>
      </c>
      <c r="Z27" s="58">
        <v>14266.13</v>
      </c>
      <c r="AA27" s="58">
        <v>7366.9</v>
      </c>
      <c r="AB27" s="58">
        <v>20308.25</v>
      </c>
      <c r="AC27" s="58">
        <v>4981.6400000000003</v>
      </c>
      <c r="AD27" s="58">
        <v>13258.78</v>
      </c>
      <c r="AE27" s="58">
        <v>5062.8100000000004</v>
      </c>
      <c r="AF27" s="58">
        <v>11411.83</v>
      </c>
      <c r="AG27" s="58">
        <v>11466.37</v>
      </c>
      <c r="AH27" s="58">
        <v>12898.83</v>
      </c>
      <c r="AI27" s="58">
        <v>11587.27</v>
      </c>
      <c r="AJ27" s="58">
        <v>8775.1299999999992</v>
      </c>
      <c r="AK27" s="58">
        <v>15447.97</v>
      </c>
      <c r="AL27" s="58">
        <v>21657.31</v>
      </c>
      <c r="AM27" s="58">
        <v>43161.51</v>
      </c>
      <c r="AN27" s="58">
        <v>37691.85</v>
      </c>
      <c r="AO27" s="58">
        <v>10040.24</v>
      </c>
      <c r="AP27" s="58">
        <v>18649.810000000001</v>
      </c>
      <c r="AQ27" s="58">
        <v>32926.31</v>
      </c>
      <c r="AR27" s="58">
        <v>38246.980000000003</v>
      </c>
      <c r="AS27" s="58">
        <v>46029.34</v>
      </c>
      <c r="AT27" s="58">
        <v>40131.660000000003</v>
      </c>
      <c r="AU27" s="58">
        <v>41960.11</v>
      </c>
      <c r="AV27" s="58">
        <v>8042.95</v>
      </c>
      <c r="AW27" s="58">
        <v>0</v>
      </c>
      <c r="AX27" s="53">
        <v>524448.56000000006</v>
      </c>
    </row>
    <row r="28" spans="4:50" ht="16" customHeight="1" x14ac:dyDescent="0.2">
      <c r="D28" s="49" t="s">
        <v>21</v>
      </c>
      <c r="E28" s="60">
        <v>0</v>
      </c>
      <c r="F28" s="60">
        <v>0</v>
      </c>
      <c r="G28" s="60">
        <v>0</v>
      </c>
      <c r="H28" s="60">
        <v>0</v>
      </c>
      <c r="I28" s="60">
        <v>0</v>
      </c>
      <c r="J28" s="60">
        <v>0</v>
      </c>
      <c r="K28" s="60">
        <v>13326.48</v>
      </c>
      <c r="L28" s="60">
        <v>24169.67</v>
      </c>
      <c r="M28" s="60">
        <v>17692.400000000001</v>
      </c>
      <c r="N28" s="60">
        <v>5933.28</v>
      </c>
      <c r="O28" s="60">
        <v>32116.880000000001</v>
      </c>
      <c r="P28" s="60">
        <v>-16704.669999999998</v>
      </c>
      <c r="Q28" s="60">
        <v>13914.65</v>
      </c>
      <c r="R28" s="60">
        <v>35657.519999999997</v>
      </c>
      <c r="S28" s="60">
        <v>77718.61</v>
      </c>
      <c r="T28" s="60">
        <v>57097.7</v>
      </c>
      <c r="U28" s="60">
        <v>49717.73</v>
      </c>
      <c r="V28" s="60">
        <v>75570.25</v>
      </c>
      <c r="W28" s="60">
        <v>35051.18</v>
      </c>
      <c r="X28" s="60">
        <v>60412.73</v>
      </c>
      <c r="Y28" s="60">
        <v>77606.210000000006</v>
      </c>
      <c r="Z28" s="60">
        <v>34696.17</v>
      </c>
      <c r="AA28" s="60">
        <v>27541.1</v>
      </c>
      <c r="AB28" s="60">
        <v>-260386.38</v>
      </c>
      <c r="AC28" s="60">
        <v>52685.36</v>
      </c>
      <c r="AD28" s="60">
        <v>60945.22</v>
      </c>
      <c r="AE28" s="60">
        <v>62562.19</v>
      </c>
      <c r="AF28" s="60">
        <v>92378.17</v>
      </c>
      <c r="AG28" s="60">
        <v>70113.63</v>
      </c>
      <c r="AH28" s="60">
        <v>76561.17</v>
      </c>
      <c r="AI28" s="60">
        <v>58262.73</v>
      </c>
      <c r="AJ28" s="60">
        <v>79669.87</v>
      </c>
      <c r="AK28" s="60">
        <v>15202.03</v>
      </c>
      <c r="AL28" s="60">
        <v>84417.69</v>
      </c>
      <c r="AM28" s="60">
        <v>-28166.51</v>
      </c>
      <c r="AN28" s="60">
        <v>145057.32</v>
      </c>
      <c r="AO28" s="60">
        <v>53614.76</v>
      </c>
      <c r="AP28" s="60">
        <v>138900.19</v>
      </c>
      <c r="AQ28" s="60">
        <v>74065.69</v>
      </c>
      <c r="AR28" s="60">
        <v>47973.02</v>
      </c>
      <c r="AS28" s="60">
        <v>88835.66</v>
      </c>
      <c r="AT28" s="60">
        <v>157719.39000000001</v>
      </c>
      <c r="AU28" s="60">
        <v>34277.89</v>
      </c>
      <c r="AV28" s="60">
        <v>151552.57</v>
      </c>
      <c r="AW28" s="60">
        <v>22000</v>
      </c>
      <c r="AX28" s="54">
        <v>1899759.55</v>
      </c>
    </row>
    <row r="29" spans="4:50" ht="16" hidden="1" customHeight="1" x14ac:dyDescent="0.2">
      <c r="D29" s="49" t="s">
        <v>22</v>
      </c>
      <c r="E29" s="59"/>
      <c r="F29" s="59"/>
      <c r="G29" s="59"/>
      <c r="H29" s="59"/>
      <c r="I29" s="59"/>
      <c r="J29" s="59"/>
      <c r="K29" s="59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59"/>
      <c r="AA29" s="59"/>
      <c r="AB29" s="59"/>
      <c r="AC29" s="59"/>
      <c r="AD29" s="59"/>
      <c r="AE29" s="59"/>
      <c r="AF29" s="59"/>
      <c r="AG29" s="59"/>
      <c r="AH29" s="59"/>
      <c r="AI29" s="59"/>
      <c r="AJ29" s="59"/>
      <c r="AK29" s="59"/>
      <c r="AL29" s="59"/>
      <c r="AM29" s="59"/>
      <c r="AN29" s="59"/>
      <c r="AO29" s="59"/>
      <c r="AP29" s="59"/>
      <c r="AQ29" s="59"/>
      <c r="AR29" s="59"/>
      <c r="AS29" s="59"/>
      <c r="AT29" s="59"/>
      <c r="AU29" s="59"/>
      <c r="AV29" s="59"/>
      <c r="AW29" s="59"/>
      <c r="AX29" s="50"/>
    </row>
    <row r="30" spans="4:50" ht="16" hidden="1" customHeight="1" x14ac:dyDescent="0.2">
      <c r="D30" s="49" t="s">
        <v>23</v>
      </c>
      <c r="E30" s="59"/>
      <c r="F30" s="59"/>
      <c r="G30" s="59"/>
      <c r="H30" s="59"/>
      <c r="I30" s="59"/>
      <c r="J30" s="59"/>
      <c r="K30" s="59"/>
      <c r="L30" s="59"/>
      <c r="M30" s="60">
        <v>100</v>
      </c>
      <c r="N30" s="60">
        <v>80</v>
      </c>
      <c r="O30" s="60">
        <v>140</v>
      </c>
      <c r="P30" s="60">
        <v>65</v>
      </c>
      <c r="Q30" s="59"/>
      <c r="R30" s="59"/>
      <c r="S30" s="60">
        <v>391.68</v>
      </c>
      <c r="T30" s="60">
        <v>905.27</v>
      </c>
      <c r="U30" s="60">
        <v>950.04</v>
      </c>
      <c r="V30" s="60">
        <v>1349.96</v>
      </c>
      <c r="W30" s="60">
        <v>900</v>
      </c>
      <c r="X30" s="60">
        <v>920</v>
      </c>
      <c r="Y30" s="60">
        <v>4717.5</v>
      </c>
      <c r="Z30" s="60">
        <v>1257</v>
      </c>
      <c r="AA30" s="60">
        <v>3832.26</v>
      </c>
      <c r="AB30" s="60">
        <v>536</v>
      </c>
      <c r="AC30" s="59"/>
      <c r="AD30" s="59"/>
      <c r="AE30" s="59"/>
      <c r="AF30" s="59"/>
      <c r="AG30" s="59"/>
      <c r="AH30" s="59"/>
      <c r="AI30" s="59"/>
      <c r="AJ30" s="59"/>
      <c r="AK30" s="59"/>
      <c r="AL30" s="59"/>
      <c r="AM30" s="59"/>
      <c r="AN30" s="59"/>
      <c r="AO30" s="59"/>
      <c r="AP30" s="59"/>
      <c r="AQ30" s="59"/>
      <c r="AR30" s="59"/>
      <c r="AS30" s="59"/>
      <c r="AT30" s="59"/>
      <c r="AU30" s="59"/>
      <c r="AV30" s="59"/>
      <c r="AW30" s="59"/>
      <c r="AX30" s="51">
        <v>16144.71</v>
      </c>
    </row>
    <row r="31" spans="4:50" ht="16" hidden="1" customHeight="1" x14ac:dyDescent="0.2">
      <c r="D31" s="49" t="s">
        <v>24</v>
      </c>
      <c r="E31" s="59"/>
      <c r="F31" s="59"/>
      <c r="G31" s="59"/>
      <c r="H31" s="59"/>
      <c r="I31" s="59"/>
      <c r="J31" s="59"/>
      <c r="K31" s="59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59"/>
      <c r="AA31" s="59"/>
      <c r="AB31" s="59"/>
      <c r="AC31" s="60">
        <v>3797.5</v>
      </c>
      <c r="AD31" s="60">
        <v>4632</v>
      </c>
      <c r="AE31" s="59"/>
      <c r="AF31" s="60">
        <v>100</v>
      </c>
      <c r="AG31" s="59"/>
      <c r="AH31" s="60">
        <v>500</v>
      </c>
      <c r="AI31" s="60">
        <v>2000</v>
      </c>
      <c r="AJ31" s="59"/>
      <c r="AK31" s="59"/>
      <c r="AL31" s="60">
        <v>775</v>
      </c>
      <c r="AM31" s="60">
        <v>235.76</v>
      </c>
      <c r="AN31" s="59"/>
      <c r="AO31" s="60">
        <v>1237.67</v>
      </c>
      <c r="AP31" s="60">
        <v>291.35000000000002</v>
      </c>
      <c r="AQ31" s="60">
        <v>2110.0700000000002</v>
      </c>
      <c r="AR31" s="59"/>
      <c r="AS31" s="59"/>
      <c r="AT31" s="59"/>
      <c r="AU31" s="60">
        <v>444.29</v>
      </c>
      <c r="AV31" s="60">
        <v>441.42</v>
      </c>
      <c r="AW31" s="59"/>
      <c r="AX31" s="51">
        <v>16565.060000000001</v>
      </c>
    </row>
    <row r="32" spans="4:50" ht="16" hidden="1" customHeight="1" x14ac:dyDescent="0.2">
      <c r="D32" s="49" t="s">
        <v>74</v>
      </c>
      <c r="E32" s="59"/>
      <c r="F32" s="59"/>
      <c r="G32" s="59"/>
      <c r="H32" s="59"/>
      <c r="I32" s="59"/>
      <c r="J32" s="59"/>
      <c r="K32" s="59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59"/>
      <c r="AA32" s="59"/>
      <c r="AB32" s="59"/>
      <c r="AC32" s="60">
        <v>20</v>
      </c>
      <c r="AD32" s="60">
        <v>20</v>
      </c>
      <c r="AE32" s="60">
        <v>20</v>
      </c>
      <c r="AF32" s="60">
        <v>1591.8</v>
      </c>
      <c r="AG32" s="60">
        <v>40</v>
      </c>
      <c r="AH32" s="60">
        <v>250</v>
      </c>
      <c r="AI32" s="60">
        <v>323.60000000000002</v>
      </c>
      <c r="AJ32" s="60">
        <v>347</v>
      </c>
      <c r="AK32" s="60">
        <v>1050</v>
      </c>
      <c r="AL32" s="60">
        <v>1125</v>
      </c>
      <c r="AM32" s="60">
        <v>996.25</v>
      </c>
      <c r="AN32" s="60">
        <v>2109.9899999999998</v>
      </c>
      <c r="AO32" s="59"/>
      <c r="AP32" s="59"/>
      <c r="AQ32" s="59"/>
      <c r="AR32" s="60">
        <v>449</v>
      </c>
      <c r="AS32" s="60">
        <v>1724.76</v>
      </c>
      <c r="AT32" s="60">
        <v>2806.53</v>
      </c>
      <c r="AU32" s="60">
        <v>2437.48</v>
      </c>
      <c r="AV32" s="60">
        <v>1228.9000000000001</v>
      </c>
      <c r="AW32" s="59"/>
      <c r="AX32" s="51">
        <v>16540.310000000001</v>
      </c>
    </row>
    <row r="33" spans="4:50" ht="16" hidden="1" customHeight="1" x14ac:dyDescent="0.2">
      <c r="D33" s="49" t="s">
        <v>162</v>
      </c>
      <c r="E33" s="60">
        <v>0</v>
      </c>
      <c r="F33" s="60">
        <v>0</v>
      </c>
      <c r="G33" s="60">
        <v>0</v>
      </c>
      <c r="H33" s="60">
        <v>0</v>
      </c>
      <c r="I33" s="60">
        <v>0</v>
      </c>
      <c r="J33" s="60">
        <v>0</v>
      </c>
      <c r="K33" s="60">
        <v>0</v>
      </c>
      <c r="L33" s="60">
        <v>0</v>
      </c>
      <c r="M33" s="60">
        <v>100</v>
      </c>
      <c r="N33" s="60">
        <v>80</v>
      </c>
      <c r="O33" s="60">
        <v>140</v>
      </c>
      <c r="P33" s="60">
        <v>65</v>
      </c>
      <c r="Q33" s="60">
        <v>0</v>
      </c>
      <c r="R33" s="60">
        <v>0</v>
      </c>
      <c r="S33" s="60">
        <v>391.68</v>
      </c>
      <c r="T33" s="60">
        <v>905.27</v>
      </c>
      <c r="U33" s="60">
        <v>950.04</v>
      </c>
      <c r="V33" s="60">
        <v>1349.96</v>
      </c>
      <c r="W33" s="60">
        <v>900</v>
      </c>
      <c r="X33" s="60">
        <v>920</v>
      </c>
      <c r="Y33" s="60">
        <v>4717.5</v>
      </c>
      <c r="Z33" s="60">
        <v>1257</v>
      </c>
      <c r="AA33" s="60">
        <v>3832.26</v>
      </c>
      <c r="AB33" s="60">
        <v>536</v>
      </c>
      <c r="AC33" s="60">
        <v>3817.5</v>
      </c>
      <c r="AD33" s="60">
        <v>4652</v>
      </c>
      <c r="AE33" s="60">
        <v>20</v>
      </c>
      <c r="AF33" s="60">
        <v>1691.8</v>
      </c>
      <c r="AG33" s="60">
        <v>40</v>
      </c>
      <c r="AH33" s="60">
        <v>750</v>
      </c>
      <c r="AI33" s="60">
        <v>2323.6</v>
      </c>
      <c r="AJ33" s="60">
        <v>347</v>
      </c>
      <c r="AK33" s="60">
        <v>1050</v>
      </c>
      <c r="AL33" s="60">
        <v>1900</v>
      </c>
      <c r="AM33" s="60">
        <v>1232.01</v>
      </c>
      <c r="AN33" s="60">
        <v>2109.9899999999998</v>
      </c>
      <c r="AO33" s="60">
        <v>1237.67</v>
      </c>
      <c r="AP33" s="60">
        <v>291.35000000000002</v>
      </c>
      <c r="AQ33" s="60">
        <v>2110.0700000000002</v>
      </c>
      <c r="AR33" s="60">
        <v>449</v>
      </c>
      <c r="AS33" s="60">
        <v>1724.76</v>
      </c>
      <c r="AT33" s="60">
        <v>2806.53</v>
      </c>
      <c r="AU33" s="60">
        <v>2881.77</v>
      </c>
      <c r="AV33" s="60">
        <v>1670.32</v>
      </c>
      <c r="AW33" s="60">
        <v>0</v>
      </c>
      <c r="AX33" s="54">
        <v>49250.080000000002</v>
      </c>
    </row>
    <row r="34" spans="4:50" ht="16" hidden="1" customHeight="1" x14ac:dyDescent="0.2">
      <c r="D34" s="49" t="s">
        <v>25</v>
      </c>
      <c r="E34" s="59"/>
      <c r="F34" s="59"/>
      <c r="G34" s="59"/>
      <c r="H34" s="59"/>
      <c r="I34" s="59"/>
      <c r="J34" s="59"/>
      <c r="K34" s="59"/>
      <c r="L34" s="59"/>
      <c r="M34" s="59"/>
      <c r="N34" s="59"/>
      <c r="O34" s="59"/>
      <c r="P34" s="59"/>
      <c r="Q34" s="59"/>
      <c r="R34" s="59"/>
      <c r="S34" s="59"/>
      <c r="T34" s="59"/>
      <c r="U34" s="59"/>
      <c r="V34" s="59"/>
      <c r="W34" s="59"/>
      <c r="X34" s="59"/>
      <c r="Y34" s="59"/>
      <c r="Z34" s="59"/>
      <c r="AA34" s="59"/>
      <c r="AB34" s="59"/>
      <c r="AC34" s="59"/>
      <c r="AD34" s="59"/>
      <c r="AE34" s="59"/>
      <c r="AF34" s="59"/>
      <c r="AG34" s="59"/>
      <c r="AH34" s="59"/>
      <c r="AI34" s="59"/>
      <c r="AJ34" s="59"/>
      <c r="AK34" s="59"/>
      <c r="AL34" s="59"/>
      <c r="AM34" s="59"/>
      <c r="AN34" s="59"/>
      <c r="AO34" s="59"/>
      <c r="AP34" s="59"/>
      <c r="AQ34" s="59"/>
      <c r="AR34" s="59"/>
      <c r="AS34" s="59"/>
      <c r="AT34" s="59"/>
      <c r="AU34" s="59"/>
      <c r="AV34" s="59"/>
      <c r="AW34" s="59"/>
      <c r="AX34" s="51">
        <v>0</v>
      </c>
    </row>
    <row r="35" spans="4:50" ht="16" hidden="1" customHeight="1" x14ac:dyDescent="0.2">
      <c r="D35" s="49" t="s">
        <v>26</v>
      </c>
      <c r="E35" s="59"/>
      <c r="F35" s="59"/>
      <c r="G35" s="59"/>
      <c r="H35" s="59"/>
      <c r="I35" s="59"/>
      <c r="J35" s="59"/>
      <c r="K35" s="59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59"/>
      <c r="AA35" s="59"/>
      <c r="AB35" s="59"/>
      <c r="AC35" s="59"/>
      <c r="AD35" s="59"/>
      <c r="AE35" s="59"/>
      <c r="AF35" s="59"/>
      <c r="AG35" s="59"/>
      <c r="AH35" s="59"/>
      <c r="AI35" s="59"/>
      <c r="AJ35" s="59"/>
      <c r="AK35" s="59"/>
      <c r="AL35" s="59"/>
      <c r="AM35" s="59"/>
      <c r="AN35" s="59"/>
      <c r="AO35" s="59"/>
      <c r="AP35" s="59"/>
      <c r="AQ35" s="59"/>
      <c r="AR35" s="59"/>
      <c r="AS35" s="59"/>
      <c r="AT35" s="59"/>
      <c r="AU35" s="59"/>
      <c r="AV35" s="59"/>
      <c r="AW35" s="59"/>
      <c r="AX35" s="51">
        <v>0</v>
      </c>
    </row>
    <row r="36" spans="4:50" ht="16" hidden="1" customHeight="1" x14ac:dyDescent="0.2">
      <c r="D36" s="49" t="s">
        <v>27</v>
      </c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59"/>
      <c r="AA36" s="59"/>
      <c r="AB36" s="59"/>
      <c r="AC36" s="59"/>
      <c r="AD36" s="59"/>
      <c r="AE36" s="60">
        <v>3315</v>
      </c>
      <c r="AF36" s="60">
        <v>21462.2</v>
      </c>
      <c r="AG36" s="60">
        <v>40160.51</v>
      </c>
      <c r="AH36" s="60">
        <v>19497.150000000001</v>
      </c>
      <c r="AI36" s="60">
        <v>13167.66</v>
      </c>
      <c r="AJ36" s="60">
        <v>17792.22</v>
      </c>
      <c r="AK36" s="60">
        <v>19590.32</v>
      </c>
      <c r="AL36" s="60">
        <v>9340.5499999999993</v>
      </c>
      <c r="AM36" s="60">
        <v>8936</v>
      </c>
      <c r="AN36" s="60">
        <v>15785.26</v>
      </c>
      <c r="AO36" s="60">
        <v>16130.26</v>
      </c>
      <c r="AP36" s="60">
        <v>17721.34</v>
      </c>
      <c r="AQ36" s="60">
        <v>22315.62</v>
      </c>
      <c r="AR36" s="60">
        <v>26211.84</v>
      </c>
      <c r="AS36" s="60">
        <v>14544.1</v>
      </c>
      <c r="AT36" s="60">
        <v>9611.61</v>
      </c>
      <c r="AU36" s="60">
        <v>28667.57</v>
      </c>
      <c r="AV36" s="59"/>
      <c r="AW36" s="59"/>
      <c r="AX36" s="51">
        <v>304249.21000000002</v>
      </c>
    </row>
    <row r="37" spans="4:50" ht="16" hidden="1" customHeight="1" x14ac:dyDescent="0.2">
      <c r="D37" s="49" t="s">
        <v>161</v>
      </c>
      <c r="E37" s="59"/>
      <c r="F37" s="59"/>
      <c r="G37" s="59"/>
      <c r="H37" s="59"/>
      <c r="I37" s="59"/>
      <c r="J37" s="59"/>
      <c r="K37" s="59"/>
      <c r="L37" s="59"/>
      <c r="M37" s="59"/>
      <c r="N37" s="59"/>
      <c r="O37" s="59"/>
      <c r="P37" s="59"/>
      <c r="Q37" s="59"/>
      <c r="R37" s="59"/>
      <c r="S37" s="59"/>
      <c r="T37" s="60">
        <v>1706</v>
      </c>
      <c r="U37" s="60">
        <v>916</v>
      </c>
      <c r="V37" s="60">
        <v>2017</v>
      </c>
      <c r="W37" s="60">
        <v>3492</v>
      </c>
      <c r="X37" s="60">
        <v>5010</v>
      </c>
      <c r="Y37" s="60">
        <v>3506</v>
      </c>
      <c r="Z37" s="60">
        <v>2151</v>
      </c>
      <c r="AA37" s="60">
        <v>3125</v>
      </c>
      <c r="AB37" s="60">
        <v>7610</v>
      </c>
      <c r="AC37" s="60">
        <v>10512</v>
      </c>
      <c r="AD37" s="60">
        <v>8898</v>
      </c>
      <c r="AE37" s="60">
        <v>10487</v>
      </c>
      <c r="AF37" s="60">
        <v>12983.35</v>
      </c>
      <c r="AG37" s="60">
        <v>2350</v>
      </c>
      <c r="AH37" s="60">
        <v>5750</v>
      </c>
      <c r="AI37" s="60">
        <v>7943</v>
      </c>
      <c r="AJ37" s="60">
        <v>8640</v>
      </c>
      <c r="AK37" s="60">
        <v>9366</v>
      </c>
      <c r="AL37" s="60">
        <v>19250</v>
      </c>
      <c r="AM37" s="60">
        <v>2900</v>
      </c>
      <c r="AN37" s="60">
        <v>2000</v>
      </c>
      <c r="AO37" s="59"/>
      <c r="AP37" s="59"/>
      <c r="AQ37" s="59"/>
      <c r="AR37" s="59"/>
      <c r="AS37" s="59"/>
      <c r="AT37" s="59"/>
      <c r="AU37" s="59"/>
      <c r="AV37" s="59"/>
      <c r="AW37" s="59"/>
      <c r="AX37" s="51">
        <v>130612.35</v>
      </c>
    </row>
    <row r="38" spans="4:50" ht="16" hidden="1" customHeight="1" x14ac:dyDescent="0.2">
      <c r="D38" s="49" t="s">
        <v>160</v>
      </c>
      <c r="E38" s="59"/>
      <c r="F38" s="59"/>
      <c r="G38" s="59"/>
      <c r="H38" s="59"/>
      <c r="I38" s="59"/>
      <c r="J38" s="59"/>
      <c r="K38" s="59"/>
      <c r="L38" s="59"/>
      <c r="M38" s="59"/>
      <c r="N38" s="59"/>
      <c r="O38" s="59"/>
      <c r="P38" s="59"/>
      <c r="Q38" s="59"/>
      <c r="R38" s="59"/>
      <c r="S38" s="59"/>
      <c r="T38" s="59"/>
      <c r="U38" s="59"/>
      <c r="V38" s="59"/>
      <c r="W38" s="59"/>
      <c r="X38" s="59"/>
      <c r="Y38" s="59"/>
      <c r="Z38" s="59"/>
      <c r="AA38" s="59"/>
      <c r="AB38" s="59"/>
      <c r="AC38" s="59"/>
      <c r="AD38" s="59"/>
      <c r="AE38" s="59"/>
      <c r="AF38" s="60">
        <v>2287.65</v>
      </c>
      <c r="AG38" s="60">
        <v>2774.11</v>
      </c>
      <c r="AH38" s="60">
        <v>2915.69</v>
      </c>
      <c r="AI38" s="60">
        <v>1674.56</v>
      </c>
      <c r="AJ38" s="60">
        <v>2285.0100000000002</v>
      </c>
      <c r="AK38" s="60">
        <v>2541.0700000000002</v>
      </c>
      <c r="AL38" s="59"/>
      <c r="AM38" s="59"/>
      <c r="AN38" s="59"/>
      <c r="AO38" s="59"/>
      <c r="AP38" s="59"/>
      <c r="AQ38" s="59"/>
      <c r="AR38" s="59"/>
      <c r="AS38" s="59"/>
      <c r="AT38" s="59"/>
      <c r="AU38" s="59"/>
      <c r="AV38" s="59"/>
      <c r="AW38" s="59"/>
      <c r="AX38" s="51">
        <v>14478.09</v>
      </c>
    </row>
    <row r="39" spans="4:50" ht="16" hidden="1" customHeight="1" x14ac:dyDescent="0.2">
      <c r="D39" s="49" t="s">
        <v>159</v>
      </c>
      <c r="E39" s="59"/>
      <c r="F39" s="59"/>
      <c r="G39" s="59"/>
      <c r="H39" s="59"/>
      <c r="I39" s="59"/>
      <c r="J39" s="59"/>
      <c r="K39" s="59"/>
      <c r="L39" s="59"/>
      <c r="M39" s="59"/>
      <c r="N39" s="59"/>
      <c r="O39" s="59"/>
      <c r="P39" s="59"/>
      <c r="Q39" s="59"/>
      <c r="R39" s="59"/>
      <c r="S39" s="59"/>
      <c r="T39" s="59"/>
      <c r="U39" s="59"/>
      <c r="V39" s="59"/>
      <c r="W39" s="59"/>
      <c r="X39" s="59"/>
      <c r="Y39" s="59"/>
      <c r="Z39" s="59"/>
      <c r="AA39" s="59"/>
      <c r="AB39" s="59"/>
      <c r="AC39" s="59"/>
      <c r="AD39" s="59"/>
      <c r="AE39" s="59"/>
      <c r="AF39" s="60">
        <v>500</v>
      </c>
      <c r="AG39" s="59"/>
      <c r="AH39" s="59"/>
      <c r="AI39" s="59"/>
      <c r="AJ39" s="59"/>
      <c r="AK39" s="59"/>
      <c r="AL39" s="59"/>
      <c r="AM39" s="59"/>
      <c r="AN39" s="60">
        <v>500</v>
      </c>
      <c r="AO39" s="59"/>
      <c r="AP39" s="59"/>
      <c r="AQ39" s="59"/>
      <c r="AR39" s="59"/>
      <c r="AS39" s="59"/>
      <c r="AT39" s="59"/>
      <c r="AU39" s="59"/>
      <c r="AV39" s="59"/>
      <c r="AW39" s="59"/>
      <c r="AX39" s="51">
        <v>1000</v>
      </c>
    </row>
    <row r="40" spans="4:50" ht="16" hidden="1" customHeight="1" x14ac:dyDescent="0.2">
      <c r="D40" s="49" t="s">
        <v>158</v>
      </c>
      <c r="E40" s="59"/>
      <c r="F40" s="59"/>
      <c r="G40" s="59"/>
      <c r="H40" s="59"/>
      <c r="I40" s="59"/>
      <c r="J40" s="59"/>
      <c r="K40" s="59"/>
      <c r="L40" s="59"/>
      <c r="M40" s="59"/>
      <c r="N40" s="59"/>
      <c r="O40" s="60">
        <v>1228</v>
      </c>
      <c r="P40" s="59"/>
      <c r="Q40" s="60">
        <v>614</v>
      </c>
      <c r="R40" s="59"/>
      <c r="S40" s="59"/>
      <c r="T40" s="59"/>
      <c r="U40" s="59"/>
      <c r="V40" s="59"/>
      <c r="W40" s="59"/>
      <c r="X40" s="59"/>
      <c r="Y40" s="59"/>
      <c r="Z40" s="59"/>
      <c r="AA40" s="59"/>
      <c r="AB40" s="59"/>
      <c r="AC40" s="59"/>
      <c r="AD40" s="59"/>
      <c r="AE40" s="59"/>
      <c r="AF40" s="59"/>
      <c r="AG40" s="59"/>
      <c r="AH40" s="59"/>
      <c r="AI40" s="59"/>
      <c r="AJ40" s="59"/>
      <c r="AK40" s="59"/>
      <c r="AL40" s="59"/>
      <c r="AM40" s="59"/>
      <c r="AN40" s="59"/>
      <c r="AO40" s="59"/>
      <c r="AP40" s="59"/>
      <c r="AQ40" s="59"/>
      <c r="AR40" s="59"/>
      <c r="AS40" s="59"/>
      <c r="AT40" s="59"/>
      <c r="AU40" s="59"/>
      <c r="AV40" s="59"/>
      <c r="AW40" s="59"/>
      <c r="AX40" s="51">
        <v>1842</v>
      </c>
    </row>
    <row r="41" spans="4:50" ht="16" hidden="1" customHeight="1" x14ac:dyDescent="0.2">
      <c r="D41" s="49" t="s">
        <v>157</v>
      </c>
      <c r="E41" s="59"/>
      <c r="F41" s="59"/>
      <c r="G41" s="59"/>
      <c r="H41" s="59"/>
      <c r="I41" s="59"/>
      <c r="J41" s="59"/>
      <c r="K41" s="59"/>
      <c r="L41" s="59"/>
      <c r="M41" s="59"/>
      <c r="N41" s="59"/>
      <c r="O41" s="60">
        <v>8000</v>
      </c>
      <c r="P41" s="59"/>
      <c r="Q41" s="60">
        <v>7420.55</v>
      </c>
      <c r="R41" s="59"/>
      <c r="S41" s="59"/>
      <c r="T41" s="59"/>
      <c r="U41" s="59"/>
      <c r="V41" s="59"/>
      <c r="W41" s="59"/>
      <c r="X41" s="59"/>
      <c r="Y41" s="59"/>
      <c r="Z41" s="59"/>
      <c r="AA41" s="59"/>
      <c r="AB41" s="59"/>
      <c r="AC41" s="59"/>
      <c r="AD41" s="59"/>
      <c r="AE41" s="59"/>
      <c r="AF41" s="59"/>
      <c r="AG41" s="59"/>
      <c r="AH41" s="59"/>
      <c r="AI41" s="59"/>
      <c r="AJ41" s="59"/>
      <c r="AK41" s="59"/>
      <c r="AL41" s="59"/>
      <c r="AM41" s="59"/>
      <c r="AN41" s="59"/>
      <c r="AO41" s="59"/>
      <c r="AP41" s="59"/>
      <c r="AQ41" s="59"/>
      <c r="AR41" s="59"/>
      <c r="AS41" s="59"/>
      <c r="AT41" s="59"/>
      <c r="AU41" s="59"/>
      <c r="AV41" s="59"/>
      <c r="AW41" s="59"/>
      <c r="AX41" s="51">
        <v>15420.55</v>
      </c>
    </row>
    <row r="42" spans="4:50" ht="16" customHeight="1" x14ac:dyDescent="0.2">
      <c r="D42" s="52" t="s">
        <v>128</v>
      </c>
      <c r="E42" s="58">
        <v>0</v>
      </c>
      <c r="F42" s="58">
        <v>0</v>
      </c>
      <c r="G42" s="58">
        <v>0</v>
      </c>
      <c r="H42" s="58">
        <v>0</v>
      </c>
      <c r="I42" s="58">
        <v>0</v>
      </c>
      <c r="J42" s="58">
        <v>0</v>
      </c>
      <c r="K42" s="58">
        <v>0</v>
      </c>
      <c r="L42" s="58">
        <v>0</v>
      </c>
      <c r="M42" s="58">
        <v>0</v>
      </c>
      <c r="N42" s="58">
        <v>0</v>
      </c>
      <c r="O42" s="58">
        <v>9228</v>
      </c>
      <c r="P42" s="58">
        <v>0</v>
      </c>
      <c r="Q42" s="58">
        <v>8034.55</v>
      </c>
      <c r="R42" s="58">
        <v>0</v>
      </c>
      <c r="S42" s="58">
        <v>0</v>
      </c>
      <c r="T42" s="58">
        <v>1706</v>
      </c>
      <c r="U42" s="58">
        <v>916</v>
      </c>
      <c r="V42" s="58">
        <v>2017</v>
      </c>
      <c r="W42" s="58">
        <v>3492</v>
      </c>
      <c r="X42" s="58">
        <v>5010</v>
      </c>
      <c r="Y42" s="58">
        <v>3506</v>
      </c>
      <c r="Z42" s="58">
        <v>2151</v>
      </c>
      <c r="AA42" s="58">
        <v>3125</v>
      </c>
      <c r="AB42" s="58">
        <v>7610</v>
      </c>
      <c r="AC42" s="58">
        <v>10512</v>
      </c>
      <c r="AD42" s="58">
        <v>8898</v>
      </c>
      <c r="AE42" s="58">
        <v>13802</v>
      </c>
      <c r="AF42" s="58">
        <v>37233.199999999997</v>
      </c>
      <c r="AG42" s="58">
        <v>45284.62</v>
      </c>
      <c r="AH42" s="58">
        <v>28162.84</v>
      </c>
      <c r="AI42" s="58">
        <v>22785.22</v>
      </c>
      <c r="AJ42" s="58">
        <v>28717.23</v>
      </c>
      <c r="AK42" s="58">
        <v>31497.39</v>
      </c>
      <c r="AL42" s="58">
        <v>28590.55</v>
      </c>
      <c r="AM42" s="58">
        <v>11836</v>
      </c>
      <c r="AN42" s="58">
        <v>18285.259999999998</v>
      </c>
      <c r="AO42" s="58">
        <v>16130.26</v>
      </c>
      <c r="AP42" s="58">
        <v>17721.34</v>
      </c>
      <c r="AQ42" s="58">
        <v>22315.62</v>
      </c>
      <c r="AR42" s="58">
        <v>26211.84</v>
      </c>
      <c r="AS42" s="58">
        <v>14544.1</v>
      </c>
      <c r="AT42" s="58">
        <v>9611.61</v>
      </c>
      <c r="AU42" s="58">
        <v>28667.57</v>
      </c>
      <c r="AV42" s="58">
        <v>0</v>
      </c>
      <c r="AW42" s="58">
        <v>0</v>
      </c>
      <c r="AX42" s="53">
        <v>467602.2</v>
      </c>
    </row>
    <row r="43" spans="4:50" ht="16" hidden="1" customHeight="1" x14ac:dyDescent="0.2">
      <c r="D43" s="49" t="s">
        <v>29</v>
      </c>
      <c r="E43" s="59"/>
      <c r="F43" s="59"/>
      <c r="G43" s="59"/>
      <c r="H43" s="59"/>
      <c r="I43" s="59"/>
      <c r="J43" s="59"/>
      <c r="K43" s="59"/>
      <c r="L43" s="59"/>
      <c r="M43" s="59"/>
      <c r="N43" s="59"/>
      <c r="O43" s="59"/>
      <c r="P43" s="59"/>
      <c r="Q43" s="59"/>
      <c r="R43" s="59"/>
      <c r="S43" s="59"/>
      <c r="T43" s="59"/>
      <c r="U43" s="59"/>
      <c r="V43" s="59"/>
      <c r="W43" s="59"/>
      <c r="X43" s="59"/>
      <c r="Y43" s="59"/>
      <c r="Z43" s="59"/>
      <c r="AA43" s="59"/>
      <c r="AB43" s="59"/>
      <c r="AC43" s="59"/>
      <c r="AD43" s="59"/>
      <c r="AE43" s="59"/>
      <c r="AF43" s="59"/>
      <c r="AG43" s="59"/>
      <c r="AH43" s="59"/>
      <c r="AI43" s="59"/>
      <c r="AJ43" s="59"/>
      <c r="AK43" s="59"/>
      <c r="AL43" s="59"/>
      <c r="AM43" s="59"/>
      <c r="AN43" s="59"/>
      <c r="AO43" s="59"/>
      <c r="AP43" s="59"/>
      <c r="AQ43" s="59"/>
      <c r="AR43" s="59"/>
      <c r="AS43" s="59"/>
      <c r="AT43" s="59"/>
      <c r="AU43" s="59"/>
      <c r="AV43" s="59"/>
      <c r="AW43" s="59"/>
      <c r="AX43" s="51">
        <v>0</v>
      </c>
    </row>
    <row r="44" spans="4:50" ht="16" hidden="1" customHeight="1" x14ac:dyDescent="0.2">
      <c r="D44" s="49" t="s">
        <v>156</v>
      </c>
      <c r="E44" s="59"/>
      <c r="F44" s="59"/>
      <c r="G44" s="59"/>
      <c r="H44" s="59"/>
      <c r="I44" s="59"/>
      <c r="J44" s="59"/>
      <c r="K44" s="59"/>
      <c r="L44" s="59"/>
      <c r="M44" s="59"/>
      <c r="N44" s="59"/>
      <c r="O44" s="59"/>
      <c r="P44" s="59"/>
      <c r="Q44" s="59"/>
      <c r="R44" s="59"/>
      <c r="S44" s="59"/>
      <c r="T44" s="59"/>
      <c r="U44" s="59"/>
      <c r="V44" s="59"/>
      <c r="W44" s="59"/>
      <c r="X44" s="59"/>
      <c r="Y44" s="59"/>
      <c r="Z44" s="59"/>
      <c r="AA44" s="59"/>
      <c r="AB44" s="59"/>
      <c r="AC44" s="59"/>
      <c r="AD44" s="59"/>
      <c r="AE44" s="59"/>
      <c r="AF44" s="60">
        <v>24000</v>
      </c>
      <c r="AG44" s="59"/>
      <c r="AH44" s="59"/>
      <c r="AI44" s="59"/>
      <c r="AJ44" s="59"/>
      <c r="AK44" s="59"/>
      <c r="AL44" s="59"/>
      <c r="AM44" s="59"/>
      <c r="AN44" s="59"/>
      <c r="AO44" s="59"/>
      <c r="AP44" s="59"/>
      <c r="AQ44" s="59"/>
      <c r="AR44" s="59"/>
      <c r="AS44" s="59"/>
      <c r="AT44" s="59"/>
      <c r="AU44" s="59"/>
      <c r="AV44" s="59"/>
      <c r="AW44" s="59"/>
      <c r="AX44" s="51">
        <v>24000</v>
      </c>
    </row>
    <row r="45" spans="4:50" ht="16" hidden="1" customHeight="1" x14ac:dyDescent="0.2">
      <c r="D45" s="49" t="s">
        <v>77</v>
      </c>
      <c r="E45" s="59"/>
      <c r="F45" s="59"/>
      <c r="G45" s="59"/>
      <c r="H45" s="59"/>
      <c r="I45" s="59"/>
      <c r="J45" s="59"/>
      <c r="K45" s="59"/>
      <c r="L45" s="59"/>
      <c r="M45" s="59"/>
      <c r="N45" s="59"/>
      <c r="O45" s="59"/>
      <c r="P45" s="59"/>
      <c r="Q45" s="59"/>
      <c r="R45" s="59"/>
      <c r="S45" s="59"/>
      <c r="T45" s="59"/>
      <c r="U45" s="59"/>
      <c r="V45" s="59"/>
      <c r="W45" s="59"/>
      <c r="X45" s="59"/>
      <c r="Y45" s="59"/>
      <c r="Z45" s="59"/>
      <c r="AA45" s="59"/>
      <c r="AB45" s="59"/>
      <c r="AC45" s="59"/>
      <c r="AD45" s="59"/>
      <c r="AE45" s="59"/>
      <c r="AF45" s="59"/>
      <c r="AG45" s="59"/>
      <c r="AH45" s="60">
        <v>798.27</v>
      </c>
      <c r="AI45" s="59"/>
      <c r="AJ45" s="60">
        <v>246.4</v>
      </c>
      <c r="AK45" s="60">
        <v>141.02000000000001</v>
      </c>
      <c r="AL45" s="59"/>
      <c r="AM45" s="59"/>
      <c r="AN45" s="59"/>
      <c r="AO45" s="59"/>
      <c r="AP45" s="59"/>
      <c r="AQ45" s="59"/>
      <c r="AR45" s="59"/>
      <c r="AS45" s="60">
        <v>1520</v>
      </c>
      <c r="AT45" s="59"/>
      <c r="AU45" s="59"/>
      <c r="AV45" s="59"/>
      <c r="AW45" s="59"/>
      <c r="AX45" s="51">
        <v>2705.69</v>
      </c>
    </row>
    <row r="46" spans="4:50" ht="16" hidden="1" customHeight="1" x14ac:dyDescent="0.2">
      <c r="D46" s="49" t="s">
        <v>30</v>
      </c>
      <c r="E46" s="59"/>
      <c r="F46" s="59"/>
      <c r="G46" s="59"/>
      <c r="H46" s="59"/>
      <c r="I46" s="59"/>
      <c r="J46" s="59"/>
      <c r="K46" s="59"/>
      <c r="L46" s="59"/>
      <c r="M46" s="59"/>
      <c r="N46" s="59"/>
      <c r="O46" s="59"/>
      <c r="P46" s="59"/>
      <c r="Q46" s="59"/>
      <c r="R46" s="59"/>
      <c r="S46" s="59"/>
      <c r="T46" s="59"/>
      <c r="U46" s="59"/>
      <c r="V46" s="59"/>
      <c r="W46" s="59"/>
      <c r="X46" s="59"/>
      <c r="Y46" s="59"/>
      <c r="Z46" s="59"/>
      <c r="AA46" s="59"/>
      <c r="AB46" s="59"/>
      <c r="AC46" s="59"/>
      <c r="AD46" s="59"/>
      <c r="AE46" s="59"/>
      <c r="AF46" s="59"/>
      <c r="AG46" s="59"/>
      <c r="AH46" s="59"/>
      <c r="AI46" s="60">
        <v>599.88</v>
      </c>
      <c r="AJ46" s="60">
        <v>167.66</v>
      </c>
      <c r="AK46" s="60">
        <v>533.82000000000005</v>
      </c>
      <c r="AL46" s="59"/>
      <c r="AM46" s="60">
        <v>400.8</v>
      </c>
      <c r="AN46" s="59"/>
      <c r="AO46" s="60">
        <v>414.97</v>
      </c>
      <c r="AP46" s="59"/>
      <c r="AQ46" s="60">
        <v>766.3</v>
      </c>
      <c r="AR46" s="60">
        <v>1649.7</v>
      </c>
      <c r="AS46" s="60">
        <v>337.89</v>
      </c>
      <c r="AT46" s="60">
        <v>318.62</v>
      </c>
      <c r="AU46" s="60">
        <v>383.55</v>
      </c>
      <c r="AV46" s="59"/>
      <c r="AW46" s="59"/>
      <c r="AX46" s="51">
        <v>5573.19</v>
      </c>
    </row>
    <row r="47" spans="4:50" ht="16" hidden="1" customHeight="1" x14ac:dyDescent="0.2">
      <c r="D47" s="49" t="s">
        <v>31</v>
      </c>
      <c r="E47" s="59"/>
      <c r="F47" s="59"/>
      <c r="G47" s="59"/>
      <c r="H47" s="59"/>
      <c r="I47" s="59"/>
      <c r="J47" s="59"/>
      <c r="K47" s="59"/>
      <c r="L47" s="59"/>
      <c r="M47" s="59"/>
      <c r="N47" s="59"/>
      <c r="O47" s="59"/>
      <c r="P47" s="59"/>
      <c r="Q47" s="59"/>
      <c r="R47" s="59"/>
      <c r="S47" s="59"/>
      <c r="T47" s="59"/>
      <c r="U47" s="59"/>
      <c r="V47" s="59"/>
      <c r="W47" s="59"/>
      <c r="X47" s="59"/>
      <c r="Y47" s="60">
        <v>225.83</v>
      </c>
      <c r="Z47" s="60">
        <v>220</v>
      </c>
      <c r="AA47" s="60">
        <v>292.66000000000003</v>
      </c>
      <c r="AB47" s="60">
        <v>220</v>
      </c>
      <c r="AC47" s="60">
        <v>275.73</v>
      </c>
      <c r="AD47" s="60">
        <v>220</v>
      </c>
      <c r="AE47" s="60">
        <v>223.22</v>
      </c>
      <c r="AF47" s="60">
        <v>110</v>
      </c>
      <c r="AG47" s="60">
        <v>220</v>
      </c>
      <c r="AH47" s="60">
        <v>289.66000000000003</v>
      </c>
      <c r="AI47" s="60">
        <v>220</v>
      </c>
      <c r="AJ47" s="60">
        <v>220</v>
      </c>
      <c r="AK47" s="60">
        <v>220</v>
      </c>
      <c r="AL47" s="60">
        <v>220</v>
      </c>
      <c r="AM47" s="60">
        <v>220</v>
      </c>
      <c r="AN47" s="60">
        <v>220</v>
      </c>
      <c r="AO47" s="60">
        <v>220</v>
      </c>
      <c r="AP47" s="60">
        <v>220</v>
      </c>
      <c r="AQ47" s="60">
        <v>220</v>
      </c>
      <c r="AR47" s="60">
        <v>220</v>
      </c>
      <c r="AS47" s="60">
        <v>220</v>
      </c>
      <c r="AT47" s="60">
        <v>220</v>
      </c>
      <c r="AU47" s="60">
        <v>220</v>
      </c>
      <c r="AV47" s="59"/>
      <c r="AW47" s="59"/>
      <c r="AX47" s="51">
        <v>5157.1000000000004</v>
      </c>
    </row>
    <row r="48" spans="4:50" ht="16" hidden="1" customHeight="1" x14ac:dyDescent="0.2">
      <c r="D48" s="49" t="s">
        <v>155</v>
      </c>
      <c r="E48" s="59"/>
      <c r="F48" s="59"/>
      <c r="G48" s="59"/>
      <c r="H48" s="59"/>
      <c r="I48" s="59"/>
      <c r="J48" s="59"/>
      <c r="K48" s="59"/>
      <c r="L48" s="59"/>
      <c r="M48" s="59"/>
      <c r="N48" s="59"/>
      <c r="O48" s="59"/>
      <c r="P48" s="59"/>
      <c r="Q48" s="59"/>
      <c r="R48" s="59"/>
      <c r="S48" s="59"/>
      <c r="T48" s="59"/>
      <c r="U48" s="59"/>
      <c r="V48" s="59"/>
      <c r="W48" s="59"/>
      <c r="X48" s="59"/>
      <c r="Y48" s="59"/>
      <c r="Z48" s="59"/>
      <c r="AA48" s="59"/>
      <c r="AB48" s="59"/>
      <c r="AC48" s="59"/>
      <c r="AD48" s="59"/>
      <c r="AE48" s="59"/>
      <c r="AF48" s="59"/>
      <c r="AG48" s="59"/>
      <c r="AH48" s="59"/>
      <c r="AI48" s="60">
        <v>19822.099999999999</v>
      </c>
      <c r="AJ48" s="59"/>
      <c r="AK48" s="60">
        <v>352.77</v>
      </c>
      <c r="AL48" s="60">
        <v>300.29000000000002</v>
      </c>
      <c r="AM48" s="59"/>
      <c r="AN48" s="60">
        <v>6470.8</v>
      </c>
      <c r="AO48" s="59"/>
      <c r="AP48" s="59"/>
      <c r="AQ48" s="59"/>
      <c r="AR48" s="59"/>
      <c r="AS48" s="59"/>
      <c r="AT48" s="59"/>
      <c r="AU48" s="59"/>
      <c r="AV48" s="59"/>
      <c r="AW48" s="59"/>
      <c r="AX48" s="51">
        <v>26945.96</v>
      </c>
    </row>
    <row r="49" spans="4:50" ht="16" hidden="1" customHeight="1" x14ac:dyDescent="0.2">
      <c r="D49" s="49" t="s">
        <v>32</v>
      </c>
      <c r="E49" s="60">
        <v>0</v>
      </c>
      <c r="F49" s="60">
        <v>0</v>
      </c>
      <c r="G49" s="60">
        <v>0</v>
      </c>
      <c r="H49" s="60">
        <v>0</v>
      </c>
      <c r="I49" s="60">
        <v>0</v>
      </c>
      <c r="J49" s="60">
        <v>0</v>
      </c>
      <c r="K49" s="60">
        <v>0</v>
      </c>
      <c r="L49" s="60">
        <v>0</v>
      </c>
      <c r="M49" s="60">
        <v>0</v>
      </c>
      <c r="N49" s="60">
        <v>0</v>
      </c>
      <c r="O49" s="60">
        <v>0</v>
      </c>
      <c r="P49" s="60">
        <v>0</v>
      </c>
      <c r="Q49" s="60">
        <v>0</v>
      </c>
      <c r="R49" s="60">
        <v>0</v>
      </c>
      <c r="S49" s="60">
        <v>0</v>
      </c>
      <c r="T49" s="60">
        <v>0</v>
      </c>
      <c r="U49" s="60">
        <v>0</v>
      </c>
      <c r="V49" s="60">
        <v>0</v>
      </c>
      <c r="W49" s="60">
        <v>0</v>
      </c>
      <c r="X49" s="60">
        <v>0</v>
      </c>
      <c r="Y49" s="60">
        <v>225.83</v>
      </c>
      <c r="Z49" s="60">
        <v>220</v>
      </c>
      <c r="AA49" s="60">
        <v>292.66000000000003</v>
      </c>
      <c r="AB49" s="60">
        <v>220</v>
      </c>
      <c r="AC49" s="60">
        <v>275.73</v>
      </c>
      <c r="AD49" s="60">
        <v>220</v>
      </c>
      <c r="AE49" s="60">
        <v>223.22</v>
      </c>
      <c r="AF49" s="60">
        <v>24110</v>
      </c>
      <c r="AG49" s="60">
        <v>220</v>
      </c>
      <c r="AH49" s="60">
        <v>1087.93</v>
      </c>
      <c r="AI49" s="60">
        <v>20641.98</v>
      </c>
      <c r="AJ49" s="60">
        <v>634.05999999999995</v>
      </c>
      <c r="AK49" s="60">
        <v>1247.6099999999999</v>
      </c>
      <c r="AL49" s="60">
        <v>520.29</v>
      </c>
      <c r="AM49" s="60">
        <v>620.79999999999995</v>
      </c>
      <c r="AN49" s="60">
        <v>6690.8</v>
      </c>
      <c r="AO49" s="60">
        <v>634.97</v>
      </c>
      <c r="AP49" s="60">
        <v>220</v>
      </c>
      <c r="AQ49" s="60">
        <v>986.3</v>
      </c>
      <c r="AR49" s="60">
        <v>1869.7</v>
      </c>
      <c r="AS49" s="60">
        <v>2077.89</v>
      </c>
      <c r="AT49" s="60">
        <v>538.62</v>
      </c>
      <c r="AU49" s="60">
        <v>603.54999999999995</v>
      </c>
      <c r="AV49" s="60">
        <v>0</v>
      </c>
      <c r="AW49" s="60">
        <v>0</v>
      </c>
      <c r="AX49" s="54">
        <v>64381.94</v>
      </c>
    </row>
    <row r="50" spans="4:50" ht="16" hidden="1" customHeight="1" x14ac:dyDescent="0.2">
      <c r="D50" s="49" t="s">
        <v>33</v>
      </c>
      <c r="E50" s="60">
        <v>0</v>
      </c>
      <c r="F50" s="60">
        <v>0</v>
      </c>
      <c r="G50" s="60">
        <v>0</v>
      </c>
      <c r="H50" s="60">
        <v>0</v>
      </c>
      <c r="I50" s="60">
        <v>0</v>
      </c>
      <c r="J50" s="60">
        <v>0</v>
      </c>
      <c r="K50" s="60">
        <v>0</v>
      </c>
      <c r="L50" s="60">
        <v>0</v>
      </c>
      <c r="M50" s="60">
        <v>0</v>
      </c>
      <c r="N50" s="60">
        <v>0</v>
      </c>
      <c r="O50" s="60">
        <v>9228</v>
      </c>
      <c r="P50" s="60">
        <v>0</v>
      </c>
      <c r="Q50" s="60">
        <v>8034.55</v>
      </c>
      <c r="R50" s="60">
        <v>0</v>
      </c>
      <c r="S50" s="60">
        <v>0</v>
      </c>
      <c r="T50" s="60">
        <v>1706</v>
      </c>
      <c r="U50" s="60">
        <v>916</v>
      </c>
      <c r="V50" s="60">
        <v>2017</v>
      </c>
      <c r="W50" s="60">
        <v>3492</v>
      </c>
      <c r="X50" s="60">
        <v>5010</v>
      </c>
      <c r="Y50" s="60">
        <v>3731.83</v>
      </c>
      <c r="Z50" s="60">
        <v>2371</v>
      </c>
      <c r="AA50" s="60">
        <v>3417.66</v>
      </c>
      <c r="AB50" s="60">
        <v>7830</v>
      </c>
      <c r="AC50" s="60">
        <v>10787.73</v>
      </c>
      <c r="AD50" s="60">
        <v>9118</v>
      </c>
      <c r="AE50" s="60">
        <v>14025.22</v>
      </c>
      <c r="AF50" s="60">
        <v>61343.199999999997</v>
      </c>
      <c r="AG50" s="60">
        <v>45504.62</v>
      </c>
      <c r="AH50" s="60">
        <v>29250.77</v>
      </c>
      <c r="AI50" s="60">
        <v>43427.199999999997</v>
      </c>
      <c r="AJ50" s="60">
        <v>29351.29</v>
      </c>
      <c r="AK50" s="60">
        <v>32745</v>
      </c>
      <c r="AL50" s="60">
        <v>29110.84</v>
      </c>
      <c r="AM50" s="60">
        <v>12456.8</v>
      </c>
      <c r="AN50" s="60">
        <v>24976.06</v>
      </c>
      <c r="AO50" s="60">
        <v>16765.23</v>
      </c>
      <c r="AP50" s="60">
        <v>17941.34</v>
      </c>
      <c r="AQ50" s="60">
        <v>23301.919999999998</v>
      </c>
      <c r="AR50" s="60">
        <v>28081.54</v>
      </c>
      <c r="AS50" s="60">
        <v>16621.990000000002</v>
      </c>
      <c r="AT50" s="60">
        <v>10150.23</v>
      </c>
      <c r="AU50" s="60">
        <v>29271.119999999999</v>
      </c>
      <c r="AV50" s="60">
        <v>0</v>
      </c>
      <c r="AW50" s="60">
        <v>0</v>
      </c>
      <c r="AX50" s="54">
        <v>531984.14</v>
      </c>
    </row>
    <row r="51" spans="4:50" ht="16" hidden="1" customHeight="1" x14ac:dyDescent="0.2">
      <c r="D51" s="49" t="s">
        <v>34</v>
      </c>
      <c r="E51" s="59"/>
      <c r="F51" s="59"/>
      <c r="G51" s="59"/>
      <c r="H51" s="59"/>
      <c r="I51" s="59"/>
      <c r="J51" s="59"/>
      <c r="K51" s="59"/>
      <c r="L51" s="59"/>
      <c r="M51" s="59"/>
      <c r="N51" s="59"/>
      <c r="O51" s="59"/>
      <c r="P51" s="59"/>
      <c r="Q51" s="59"/>
      <c r="R51" s="59"/>
      <c r="S51" s="59"/>
      <c r="T51" s="59"/>
      <c r="U51" s="59"/>
      <c r="V51" s="59"/>
      <c r="W51" s="59"/>
      <c r="X51" s="59"/>
      <c r="Y51" s="59"/>
      <c r="Z51" s="59"/>
      <c r="AA51" s="59"/>
      <c r="AB51" s="59"/>
      <c r="AC51" s="59"/>
      <c r="AD51" s="59"/>
      <c r="AE51" s="59"/>
      <c r="AF51" s="59"/>
      <c r="AG51" s="59"/>
      <c r="AH51" s="59"/>
      <c r="AI51" s="59"/>
      <c r="AJ51" s="59"/>
      <c r="AK51" s="59"/>
      <c r="AL51" s="59"/>
      <c r="AM51" s="59"/>
      <c r="AN51" s="59"/>
      <c r="AO51" s="59"/>
      <c r="AP51" s="59"/>
      <c r="AQ51" s="59"/>
      <c r="AR51" s="59"/>
      <c r="AS51" s="59"/>
      <c r="AT51" s="59"/>
      <c r="AU51" s="59"/>
      <c r="AV51" s="59"/>
      <c r="AW51" s="59"/>
      <c r="AX51" s="51">
        <v>0</v>
      </c>
    </row>
    <row r="52" spans="4:50" ht="16" hidden="1" customHeight="1" x14ac:dyDescent="0.2">
      <c r="D52" s="49" t="s">
        <v>35</v>
      </c>
      <c r="E52" s="59"/>
      <c r="F52" s="59"/>
      <c r="G52" s="59"/>
      <c r="H52" s="59"/>
      <c r="I52" s="59"/>
      <c r="J52" s="59"/>
      <c r="K52" s="59"/>
      <c r="L52" s="59"/>
      <c r="M52" s="59"/>
      <c r="N52" s="59"/>
      <c r="O52" s="59"/>
      <c r="P52" s="59"/>
      <c r="Q52" s="59"/>
      <c r="R52" s="59"/>
      <c r="S52" s="59"/>
      <c r="T52" s="59"/>
      <c r="U52" s="59"/>
      <c r="V52" s="59"/>
      <c r="W52" s="59"/>
      <c r="X52" s="59"/>
      <c r="Y52" s="59"/>
      <c r="Z52" s="59"/>
      <c r="AA52" s="59"/>
      <c r="AB52" s="59"/>
      <c r="AC52" s="59"/>
      <c r="AD52" s="59"/>
      <c r="AE52" s="60">
        <v>90.61</v>
      </c>
      <c r="AF52" s="60">
        <v>12</v>
      </c>
      <c r="AG52" s="60">
        <v>1296.23</v>
      </c>
      <c r="AH52" s="60">
        <v>3790.6</v>
      </c>
      <c r="AI52" s="60">
        <v>515</v>
      </c>
      <c r="AJ52" s="60">
        <v>15</v>
      </c>
      <c r="AK52" s="60">
        <v>638.63</v>
      </c>
      <c r="AL52" s="60">
        <v>625.62</v>
      </c>
      <c r="AM52" s="59"/>
      <c r="AN52" s="59"/>
      <c r="AO52" s="60">
        <v>124.19</v>
      </c>
      <c r="AP52" s="59"/>
      <c r="AQ52" s="59"/>
      <c r="AR52" s="59"/>
      <c r="AS52" s="60">
        <v>439.95</v>
      </c>
      <c r="AT52" s="60">
        <v>1581.69</v>
      </c>
      <c r="AU52" s="60">
        <v>294.95</v>
      </c>
      <c r="AV52" s="59"/>
      <c r="AW52" s="59"/>
      <c r="AX52" s="51">
        <v>9424.4699999999993</v>
      </c>
    </row>
    <row r="53" spans="4:50" ht="16" hidden="1" customHeight="1" x14ac:dyDescent="0.2">
      <c r="D53" s="49" t="s">
        <v>36</v>
      </c>
      <c r="E53" s="59"/>
      <c r="F53" s="59"/>
      <c r="G53" s="59"/>
      <c r="H53" s="59"/>
      <c r="I53" s="59"/>
      <c r="J53" s="59"/>
      <c r="K53" s="59"/>
      <c r="L53" s="60">
        <v>53.13</v>
      </c>
      <c r="M53" s="60">
        <v>679.02</v>
      </c>
      <c r="N53" s="60">
        <v>598.41999999999996</v>
      </c>
      <c r="O53" s="60">
        <v>506.17</v>
      </c>
      <c r="P53" s="60">
        <v>201.35</v>
      </c>
      <c r="Q53" s="60">
        <v>289.43</v>
      </c>
      <c r="R53" s="60">
        <v>422.42</v>
      </c>
      <c r="S53" s="60">
        <v>306.8</v>
      </c>
      <c r="T53" s="60">
        <v>843.28</v>
      </c>
      <c r="U53" s="60">
        <v>314.58999999999997</v>
      </c>
      <c r="V53" s="60">
        <v>519.70000000000005</v>
      </c>
      <c r="W53" s="60">
        <v>647.66</v>
      </c>
      <c r="X53" s="60">
        <v>483.24</v>
      </c>
      <c r="Y53" s="60">
        <v>1679.31</v>
      </c>
      <c r="Z53" s="60">
        <v>954.37</v>
      </c>
      <c r="AA53" s="60">
        <v>398.51</v>
      </c>
      <c r="AB53" s="60">
        <v>1484.66</v>
      </c>
      <c r="AC53" s="60">
        <v>1141.07</v>
      </c>
      <c r="AD53" s="60">
        <v>1574.8</v>
      </c>
      <c r="AE53" s="60">
        <v>591.48</v>
      </c>
      <c r="AF53" s="60">
        <v>871.01</v>
      </c>
      <c r="AG53" s="60">
        <v>1797.9</v>
      </c>
      <c r="AH53" s="60">
        <v>1222.42</v>
      </c>
      <c r="AI53" s="60">
        <v>1657.16</v>
      </c>
      <c r="AJ53" s="60">
        <v>1272.3599999999999</v>
      </c>
      <c r="AK53" s="60">
        <v>1104.3900000000001</v>
      </c>
      <c r="AL53" s="60">
        <v>602.53</v>
      </c>
      <c r="AM53" s="60">
        <v>1040.6500000000001</v>
      </c>
      <c r="AN53" s="60">
        <v>564.48</v>
      </c>
      <c r="AO53" s="60">
        <v>2114.81</v>
      </c>
      <c r="AP53" s="60">
        <v>474.22</v>
      </c>
      <c r="AQ53" s="60">
        <v>498.02</v>
      </c>
      <c r="AR53" s="60">
        <v>1125.51</v>
      </c>
      <c r="AS53" s="60">
        <v>439.3</v>
      </c>
      <c r="AT53" s="60">
        <v>389.23</v>
      </c>
      <c r="AU53" s="60">
        <v>426.16</v>
      </c>
      <c r="AV53" s="60">
        <v>528.55999999999995</v>
      </c>
      <c r="AW53" s="59"/>
      <c r="AX53" s="51">
        <v>29818.12</v>
      </c>
    </row>
    <row r="54" spans="4:50" ht="16" hidden="1" customHeight="1" x14ac:dyDescent="0.2">
      <c r="D54" s="49" t="s">
        <v>331</v>
      </c>
      <c r="E54" s="60">
        <v>0</v>
      </c>
      <c r="F54" s="60">
        <v>0</v>
      </c>
      <c r="G54" s="60">
        <v>0</v>
      </c>
      <c r="H54" s="60">
        <v>0</v>
      </c>
      <c r="I54" s="60">
        <v>0</v>
      </c>
      <c r="J54" s="60">
        <v>0</v>
      </c>
      <c r="K54" s="60">
        <v>0</v>
      </c>
      <c r="L54" s="60">
        <v>53.13</v>
      </c>
      <c r="M54" s="60">
        <v>679.02</v>
      </c>
      <c r="N54" s="60">
        <v>598.41999999999996</v>
      </c>
      <c r="O54" s="60">
        <v>506.17</v>
      </c>
      <c r="P54" s="60">
        <v>201.35</v>
      </c>
      <c r="Q54" s="60">
        <v>289.43</v>
      </c>
      <c r="R54" s="60">
        <v>422.42</v>
      </c>
      <c r="S54" s="60">
        <v>306.8</v>
      </c>
      <c r="T54" s="60">
        <v>843.28</v>
      </c>
      <c r="U54" s="60">
        <v>314.58999999999997</v>
      </c>
      <c r="V54" s="60">
        <v>519.70000000000005</v>
      </c>
      <c r="W54" s="60">
        <v>647.66</v>
      </c>
      <c r="X54" s="60">
        <v>483.24</v>
      </c>
      <c r="Y54" s="60">
        <v>1679.31</v>
      </c>
      <c r="Z54" s="60">
        <v>954.37</v>
      </c>
      <c r="AA54" s="60">
        <v>398.51</v>
      </c>
      <c r="AB54" s="60">
        <v>1484.66</v>
      </c>
      <c r="AC54" s="60">
        <v>1141.07</v>
      </c>
      <c r="AD54" s="60">
        <v>1574.8</v>
      </c>
      <c r="AE54" s="60">
        <v>682.09</v>
      </c>
      <c r="AF54" s="60">
        <v>883.01</v>
      </c>
      <c r="AG54" s="60">
        <v>3094.13</v>
      </c>
      <c r="AH54" s="60">
        <v>5013.0200000000004</v>
      </c>
      <c r="AI54" s="60">
        <v>2172.16</v>
      </c>
      <c r="AJ54" s="60">
        <v>1287.3599999999999</v>
      </c>
      <c r="AK54" s="60">
        <v>1743.02</v>
      </c>
      <c r="AL54" s="60">
        <v>1228.1500000000001</v>
      </c>
      <c r="AM54" s="60">
        <v>1040.6500000000001</v>
      </c>
      <c r="AN54" s="60">
        <v>564.48</v>
      </c>
      <c r="AO54" s="60">
        <v>2239</v>
      </c>
      <c r="AP54" s="60">
        <v>474.22</v>
      </c>
      <c r="AQ54" s="60">
        <v>498.02</v>
      </c>
      <c r="AR54" s="60">
        <v>1125.51</v>
      </c>
      <c r="AS54" s="60">
        <v>879.25</v>
      </c>
      <c r="AT54" s="60">
        <v>1970.92</v>
      </c>
      <c r="AU54" s="60">
        <v>721.11</v>
      </c>
      <c r="AV54" s="60">
        <v>528.55999999999995</v>
      </c>
      <c r="AW54" s="60">
        <v>0</v>
      </c>
      <c r="AX54" s="54">
        <v>39242.589999999997</v>
      </c>
    </row>
    <row r="55" spans="4:50" ht="16" hidden="1" customHeight="1" x14ac:dyDescent="0.2">
      <c r="D55" s="49" t="s">
        <v>105</v>
      </c>
      <c r="E55" s="59"/>
      <c r="F55" s="59"/>
      <c r="G55" s="59"/>
      <c r="H55" s="59"/>
      <c r="I55" s="59"/>
      <c r="J55" s="59"/>
      <c r="K55" s="60">
        <v>1800</v>
      </c>
      <c r="L55" s="60">
        <v>2925</v>
      </c>
      <c r="M55" s="59"/>
      <c r="N55" s="60">
        <v>3054.95</v>
      </c>
      <c r="O55" s="60">
        <v>3046.55</v>
      </c>
      <c r="P55" s="60">
        <v>3139.84</v>
      </c>
      <c r="Q55" s="60">
        <v>2993.29</v>
      </c>
      <c r="R55" s="60">
        <v>3520.47</v>
      </c>
      <c r="S55" s="60">
        <v>2125</v>
      </c>
      <c r="T55" s="60">
        <v>3176.45</v>
      </c>
      <c r="U55" s="60">
        <v>6312.6</v>
      </c>
      <c r="V55" s="60">
        <v>2925</v>
      </c>
      <c r="W55" s="60">
        <v>2990.01</v>
      </c>
      <c r="X55" s="60">
        <v>2925</v>
      </c>
      <c r="Y55" s="60">
        <v>2925</v>
      </c>
      <c r="Z55" s="60">
        <v>2925</v>
      </c>
      <c r="AA55" s="60">
        <v>2925</v>
      </c>
      <c r="AB55" s="60">
        <v>2925</v>
      </c>
      <c r="AC55" s="60">
        <v>2925</v>
      </c>
      <c r="AD55" s="60">
        <v>2925</v>
      </c>
      <c r="AE55" s="60">
        <v>2925</v>
      </c>
      <c r="AF55" s="60">
        <v>2675</v>
      </c>
      <c r="AG55" s="60">
        <v>2975</v>
      </c>
      <c r="AH55" s="60">
        <v>2925</v>
      </c>
      <c r="AI55" s="60">
        <v>2925</v>
      </c>
      <c r="AJ55" s="60">
        <v>2925</v>
      </c>
      <c r="AK55" s="60">
        <v>3126.5</v>
      </c>
      <c r="AL55" s="60">
        <v>3125</v>
      </c>
      <c r="AM55" s="60">
        <v>3025</v>
      </c>
      <c r="AN55" s="60">
        <v>3025</v>
      </c>
      <c r="AO55" s="60">
        <v>3025</v>
      </c>
      <c r="AP55" s="60">
        <v>3025</v>
      </c>
      <c r="AQ55" s="60">
        <v>3025</v>
      </c>
      <c r="AR55" s="60">
        <v>3025</v>
      </c>
      <c r="AS55" s="60">
        <v>6050</v>
      </c>
      <c r="AT55" s="59"/>
      <c r="AU55" s="59"/>
      <c r="AV55" s="59"/>
      <c r="AW55" s="59"/>
      <c r="AX55" s="51">
        <v>106285.66</v>
      </c>
    </row>
    <row r="56" spans="4:50" ht="16" hidden="1" customHeight="1" x14ac:dyDescent="0.2">
      <c r="D56" s="49" t="s">
        <v>332</v>
      </c>
      <c r="E56" s="59"/>
      <c r="F56" s="59"/>
      <c r="G56" s="59"/>
      <c r="H56" s="59"/>
      <c r="I56" s="59"/>
      <c r="J56" s="59"/>
      <c r="K56" s="59"/>
      <c r="L56" s="59"/>
      <c r="M56" s="59"/>
      <c r="N56" s="59"/>
      <c r="O56" s="59"/>
      <c r="P56" s="60">
        <v>96.29</v>
      </c>
      <c r="Q56" s="60">
        <v>96.29</v>
      </c>
      <c r="R56" s="60">
        <v>96.55</v>
      </c>
      <c r="S56" s="60">
        <v>555.17999999999995</v>
      </c>
      <c r="T56" s="60">
        <v>247.91</v>
      </c>
      <c r="U56" s="60">
        <v>199.59</v>
      </c>
      <c r="V56" s="60">
        <v>293.58</v>
      </c>
      <c r="W56" s="60">
        <v>389.76</v>
      </c>
      <c r="X56" s="60">
        <v>239.64</v>
      </c>
      <c r="Y56" s="60">
        <v>279.48</v>
      </c>
      <c r="Z56" s="60">
        <v>221.44</v>
      </c>
      <c r="AA56" s="60">
        <v>278.25</v>
      </c>
      <c r="AB56" s="60">
        <v>370.14</v>
      </c>
      <c r="AC56" s="60">
        <v>572.86</v>
      </c>
      <c r="AD56" s="60">
        <v>669.38</v>
      </c>
      <c r="AE56" s="60">
        <v>588.6</v>
      </c>
      <c r="AF56" s="60">
        <v>524.41</v>
      </c>
      <c r="AG56" s="60">
        <v>405.28</v>
      </c>
      <c r="AH56" s="60">
        <v>329.43</v>
      </c>
      <c r="AI56" s="60">
        <v>255.29</v>
      </c>
      <c r="AJ56" s="60">
        <v>311.42</v>
      </c>
      <c r="AK56" s="60">
        <v>302.31</v>
      </c>
      <c r="AL56" s="60">
        <v>368.04</v>
      </c>
      <c r="AM56" s="60">
        <v>273.66000000000003</v>
      </c>
      <c r="AN56" s="60">
        <v>451.84</v>
      </c>
      <c r="AO56" s="60">
        <v>649.91999999999996</v>
      </c>
      <c r="AP56" s="60">
        <v>863.19</v>
      </c>
      <c r="AQ56" s="60">
        <v>774.55</v>
      </c>
      <c r="AR56" s="60">
        <v>1249.8399999999999</v>
      </c>
      <c r="AS56" s="60">
        <v>1093.23</v>
      </c>
      <c r="AT56" s="60">
        <v>157.72</v>
      </c>
      <c r="AU56" s="60">
        <v>245.47</v>
      </c>
      <c r="AV56" s="59"/>
      <c r="AW56" s="59"/>
      <c r="AX56" s="51">
        <v>13450.54</v>
      </c>
    </row>
    <row r="57" spans="4:50" ht="16" hidden="1" customHeight="1" x14ac:dyDescent="0.2">
      <c r="D57" s="49" t="s">
        <v>107</v>
      </c>
      <c r="E57" s="59"/>
      <c r="F57" s="59"/>
      <c r="G57" s="59"/>
      <c r="H57" s="59"/>
      <c r="I57" s="59"/>
      <c r="J57" s="59"/>
      <c r="K57" s="59"/>
      <c r="L57" s="59"/>
      <c r="M57" s="60">
        <v>597.32000000000005</v>
      </c>
      <c r="N57" s="59"/>
      <c r="O57" s="60">
        <v>1907.7</v>
      </c>
      <c r="P57" s="60">
        <v>-0.62</v>
      </c>
      <c r="Q57" s="60">
        <v>188</v>
      </c>
      <c r="R57" s="60">
        <v>107.15</v>
      </c>
      <c r="S57" s="60">
        <v>107.15</v>
      </c>
      <c r="T57" s="60">
        <v>107.15</v>
      </c>
      <c r="U57" s="60">
        <v>91.59</v>
      </c>
      <c r="V57" s="60">
        <v>26.79</v>
      </c>
      <c r="W57" s="60">
        <v>26.79</v>
      </c>
      <c r="X57" s="60">
        <v>26.79</v>
      </c>
      <c r="Y57" s="60">
        <v>26.79</v>
      </c>
      <c r="Z57" s="60">
        <v>196.79</v>
      </c>
      <c r="AA57" s="60">
        <v>685.5</v>
      </c>
      <c r="AB57" s="60">
        <v>571.22</v>
      </c>
      <c r="AC57" s="60">
        <v>225.59</v>
      </c>
      <c r="AD57" s="60">
        <v>405.23</v>
      </c>
      <c r="AE57" s="60">
        <v>757.14</v>
      </c>
      <c r="AF57" s="60">
        <v>227.01</v>
      </c>
      <c r="AG57" s="60">
        <v>773.55</v>
      </c>
      <c r="AH57" s="60">
        <v>506.49</v>
      </c>
      <c r="AI57" s="60">
        <v>511.86</v>
      </c>
      <c r="AJ57" s="60">
        <v>503.28</v>
      </c>
      <c r="AK57" s="60">
        <v>503.28</v>
      </c>
      <c r="AL57" s="60">
        <v>236.22</v>
      </c>
      <c r="AM57" s="60">
        <v>882.01</v>
      </c>
      <c r="AN57" s="60">
        <v>5762.5</v>
      </c>
      <c r="AO57" s="60">
        <v>784.85</v>
      </c>
      <c r="AP57" s="60">
        <v>362.89</v>
      </c>
      <c r="AQ57" s="60">
        <v>862.69</v>
      </c>
      <c r="AR57" s="60">
        <v>946.32</v>
      </c>
      <c r="AS57" s="60">
        <v>671.5</v>
      </c>
      <c r="AT57" s="60">
        <v>1038.97</v>
      </c>
      <c r="AU57" s="60">
        <v>816.39</v>
      </c>
      <c r="AV57" s="60">
        <v>54.69</v>
      </c>
      <c r="AW57" s="59"/>
      <c r="AX57" s="51">
        <v>21498.57</v>
      </c>
    </row>
    <row r="58" spans="4:50" ht="16" hidden="1" customHeight="1" x14ac:dyDescent="0.2">
      <c r="D58" s="49" t="s">
        <v>333</v>
      </c>
      <c r="E58" s="59"/>
      <c r="F58" s="59"/>
      <c r="G58" s="59"/>
      <c r="H58" s="59"/>
      <c r="I58" s="59"/>
      <c r="J58" s="59"/>
      <c r="K58" s="59"/>
      <c r="L58" s="59"/>
      <c r="M58" s="59"/>
      <c r="N58" s="59"/>
      <c r="O58" s="59"/>
      <c r="P58" s="59"/>
      <c r="Q58" s="59"/>
      <c r="R58" s="59"/>
      <c r="S58" s="59"/>
      <c r="T58" s="59"/>
      <c r="U58" s="59"/>
      <c r="V58" s="59"/>
      <c r="W58" s="59"/>
      <c r="X58" s="59"/>
      <c r="Y58" s="59"/>
      <c r="Z58" s="59"/>
      <c r="AA58" s="60">
        <v>37.81</v>
      </c>
      <c r="AB58" s="60">
        <v>31.97</v>
      </c>
      <c r="AC58" s="60">
        <v>329.09</v>
      </c>
      <c r="AD58" s="60">
        <v>589.33000000000004</v>
      </c>
      <c r="AE58" s="60">
        <v>922.07</v>
      </c>
      <c r="AF58" s="60">
        <v>705.03</v>
      </c>
      <c r="AG58" s="60">
        <v>814.31</v>
      </c>
      <c r="AH58" s="60">
        <v>720.47</v>
      </c>
      <c r="AI58" s="60">
        <v>608.65</v>
      </c>
      <c r="AJ58" s="60">
        <v>544.97</v>
      </c>
      <c r="AK58" s="60">
        <v>223.05</v>
      </c>
      <c r="AL58" s="60">
        <v>546.54999999999995</v>
      </c>
      <c r="AM58" s="60">
        <v>809.74</v>
      </c>
      <c r="AN58" s="60">
        <v>919.17</v>
      </c>
      <c r="AO58" s="60">
        <v>627.16999999999996</v>
      </c>
      <c r="AP58" s="60">
        <v>1026.79</v>
      </c>
      <c r="AQ58" s="60">
        <v>1172.46</v>
      </c>
      <c r="AR58" s="60">
        <v>1715.3</v>
      </c>
      <c r="AS58" s="60">
        <v>3246.94</v>
      </c>
      <c r="AT58" s="59"/>
      <c r="AU58" s="59"/>
      <c r="AV58" s="59"/>
      <c r="AW58" s="59"/>
      <c r="AX58" s="51">
        <v>15590.87</v>
      </c>
    </row>
    <row r="59" spans="4:50" ht="16" hidden="1" customHeight="1" x14ac:dyDescent="0.2">
      <c r="D59" s="49" t="s">
        <v>334</v>
      </c>
      <c r="E59" s="59"/>
      <c r="F59" s="59"/>
      <c r="G59" s="59"/>
      <c r="H59" s="59"/>
      <c r="I59" s="59"/>
      <c r="J59" s="59"/>
      <c r="K59" s="59"/>
      <c r="L59" s="59"/>
      <c r="M59" s="59"/>
      <c r="N59" s="59"/>
      <c r="O59" s="59"/>
      <c r="P59" s="59"/>
      <c r="Q59" s="59"/>
      <c r="R59" s="59"/>
      <c r="S59" s="59"/>
      <c r="T59" s="59"/>
      <c r="U59" s="59"/>
      <c r="V59" s="59"/>
      <c r="W59" s="59"/>
      <c r="X59" s="59"/>
      <c r="Y59" s="59"/>
      <c r="Z59" s="59"/>
      <c r="AA59" s="59"/>
      <c r="AB59" s="59"/>
      <c r="AC59" s="59"/>
      <c r="AD59" s="59"/>
      <c r="AE59" s="59"/>
      <c r="AF59" s="59"/>
      <c r="AG59" s="59"/>
      <c r="AH59" s="59"/>
      <c r="AI59" s="60">
        <v>392.56</v>
      </c>
      <c r="AJ59" s="59"/>
      <c r="AK59" s="59"/>
      <c r="AL59" s="59"/>
      <c r="AM59" s="60">
        <v>99</v>
      </c>
      <c r="AN59" s="59"/>
      <c r="AO59" s="59"/>
      <c r="AP59" s="59"/>
      <c r="AQ59" s="59"/>
      <c r="AR59" s="60">
        <v>374.3</v>
      </c>
      <c r="AS59" s="59"/>
      <c r="AT59" s="59"/>
      <c r="AU59" s="59"/>
      <c r="AV59" s="59"/>
      <c r="AW59" s="59"/>
      <c r="AX59" s="51">
        <v>865.86</v>
      </c>
    </row>
    <row r="60" spans="4:50" ht="16" hidden="1" customHeight="1" x14ac:dyDescent="0.2">
      <c r="D60" s="49" t="s">
        <v>335</v>
      </c>
      <c r="E60" s="59"/>
      <c r="F60" s="59"/>
      <c r="G60" s="59"/>
      <c r="H60" s="59"/>
      <c r="I60" s="59"/>
      <c r="J60" s="59"/>
      <c r="K60" s="59"/>
      <c r="L60" s="59"/>
      <c r="M60" s="59"/>
      <c r="N60" s="59"/>
      <c r="O60" s="59"/>
      <c r="P60" s="59"/>
      <c r="Q60" s="59"/>
      <c r="R60" s="59"/>
      <c r="S60" s="59"/>
      <c r="T60" s="59"/>
      <c r="U60" s="59"/>
      <c r="V60" s="59"/>
      <c r="W60" s="59"/>
      <c r="X60" s="59"/>
      <c r="Y60" s="59"/>
      <c r="Z60" s="59"/>
      <c r="AA60" s="59"/>
      <c r="AB60" s="60">
        <v>1297.92</v>
      </c>
      <c r="AC60" s="59"/>
      <c r="AD60" s="59"/>
      <c r="AE60" s="59"/>
      <c r="AF60" s="59"/>
      <c r="AG60" s="59"/>
      <c r="AH60" s="59"/>
      <c r="AI60" s="59"/>
      <c r="AJ60" s="60">
        <v>500</v>
      </c>
      <c r="AK60" s="59"/>
      <c r="AL60" s="59"/>
      <c r="AM60" s="59"/>
      <c r="AN60" s="59"/>
      <c r="AO60" s="59"/>
      <c r="AP60" s="59"/>
      <c r="AQ60" s="59"/>
      <c r="AR60" s="59"/>
      <c r="AS60" s="59"/>
      <c r="AT60" s="59"/>
      <c r="AU60" s="59"/>
      <c r="AV60" s="59"/>
      <c r="AW60" s="59"/>
      <c r="AX60" s="51">
        <v>1797.92</v>
      </c>
    </row>
    <row r="61" spans="4:50" ht="16" hidden="1" customHeight="1" x14ac:dyDescent="0.2">
      <c r="D61" s="49" t="s">
        <v>336</v>
      </c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59"/>
      <c r="Q61" s="59"/>
      <c r="R61" s="59"/>
      <c r="S61" s="59"/>
      <c r="T61" s="59"/>
      <c r="U61" s="59"/>
      <c r="V61" s="59"/>
      <c r="W61" s="59"/>
      <c r="X61" s="59"/>
      <c r="Y61" s="59"/>
      <c r="Z61" s="59"/>
      <c r="AA61" s="59"/>
      <c r="AB61" s="59"/>
      <c r="AC61" s="59"/>
      <c r="AD61" s="59"/>
      <c r="AE61" s="59"/>
      <c r="AF61" s="59"/>
      <c r="AG61" s="59"/>
      <c r="AH61" s="59"/>
      <c r="AI61" s="59"/>
      <c r="AJ61" s="59"/>
      <c r="AK61" s="59"/>
      <c r="AL61" s="59"/>
      <c r="AM61" s="59"/>
      <c r="AN61" s="59"/>
      <c r="AO61" s="59"/>
      <c r="AP61" s="59"/>
      <c r="AQ61" s="59"/>
      <c r="AR61" s="59"/>
      <c r="AS61" s="59"/>
      <c r="AT61" s="59"/>
      <c r="AU61" s="59"/>
      <c r="AV61" s="59"/>
      <c r="AW61" s="59"/>
      <c r="AX61" s="51">
        <v>0</v>
      </c>
    </row>
    <row r="62" spans="4:50" ht="16" hidden="1" customHeight="1" x14ac:dyDescent="0.2">
      <c r="D62" s="49" t="s">
        <v>109</v>
      </c>
      <c r="E62" s="59"/>
      <c r="F62" s="59"/>
      <c r="G62" s="59"/>
      <c r="H62" s="59"/>
      <c r="I62" s="59"/>
      <c r="J62" s="59"/>
      <c r="K62" s="59"/>
      <c r="L62" s="59"/>
      <c r="M62" s="59"/>
      <c r="N62" s="59"/>
      <c r="O62" s="59"/>
      <c r="P62" s="59"/>
      <c r="Q62" s="59"/>
      <c r="R62" s="59"/>
      <c r="S62" s="59"/>
      <c r="T62" s="59"/>
      <c r="U62" s="59"/>
      <c r="V62" s="59"/>
      <c r="W62" s="59"/>
      <c r="X62" s="59"/>
      <c r="Y62" s="59"/>
      <c r="Z62" s="59"/>
      <c r="AA62" s="59"/>
      <c r="AB62" s="59"/>
      <c r="AC62" s="60">
        <v>563.91999999999996</v>
      </c>
      <c r="AD62" s="59"/>
      <c r="AE62" s="59"/>
      <c r="AF62" s="59"/>
      <c r="AG62" s="60">
        <v>1041.01</v>
      </c>
      <c r="AH62" s="59"/>
      <c r="AI62" s="59"/>
      <c r="AJ62" s="59"/>
      <c r="AK62" s="59"/>
      <c r="AL62" s="59"/>
      <c r="AM62" s="59"/>
      <c r="AN62" s="59"/>
      <c r="AO62" s="60">
        <v>2384.27</v>
      </c>
      <c r="AP62" s="59"/>
      <c r="AQ62" s="59"/>
      <c r="AR62" s="59"/>
      <c r="AS62" s="59"/>
      <c r="AT62" s="59"/>
      <c r="AU62" s="59"/>
      <c r="AV62" s="59"/>
      <c r="AW62" s="59"/>
      <c r="AX62" s="51">
        <v>3989.2</v>
      </c>
    </row>
    <row r="63" spans="4:50" ht="16" hidden="1" customHeight="1" x14ac:dyDescent="0.2">
      <c r="D63" s="49" t="s">
        <v>110</v>
      </c>
      <c r="E63" s="59"/>
      <c r="F63" s="59"/>
      <c r="G63" s="59"/>
      <c r="H63" s="59"/>
      <c r="I63" s="59"/>
      <c r="J63" s="59"/>
      <c r="K63" s="59"/>
      <c r="L63" s="59"/>
      <c r="M63" s="59"/>
      <c r="N63" s="59"/>
      <c r="O63" s="59"/>
      <c r="P63" s="59"/>
      <c r="Q63" s="59"/>
      <c r="R63" s="59"/>
      <c r="S63" s="59"/>
      <c r="T63" s="59"/>
      <c r="U63" s="59"/>
      <c r="V63" s="59"/>
      <c r="W63" s="59"/>
      <c r="X63" s="59"/>
      <c r="Y63" s="59"/>
      <c r="Z63" s="59"/>
      <c r="AA63" s="59"/>
      <c r="AB63" s="59"/>
      <c r="AC63" s="59"/>
      <c r="AD63" s="59"/>
      <c r="AE63" s="59"/>
      <c r="AF63" s="59"/>
      <c r="AG63" s="59"/>
      <c r="AH63" s="59"/>
      <c r="AI63" s="60">
        <v>91.63</v>
      </c>
      <c r="AJ63" s="59"/>
      <c r="AK63" s="60">
        <v>32.74</v>
      </c>
      <c r="AL63" s="59"/>
      <c r="AM63" s="59"/>
      <c r="AN63" s="59"/>
      <c r="AO63" s="60">
        <v>1722.49</v>
      </c>
      <c r="AP63" s="59"/>
      <c r="AQ63" s="59"/>
      <c r="AR63" s="59"/>
      <c r="AS63" s="59"/>
      <c r="AT63" s="59"/>
      <c r="AU63" s="59"/>
      <c r="AV63" s="59"/>
      <c r="AW63" s="59"/>
      <c r="AX63" s="51">
        <v>1846.86</v>
      </c>
    </row>
    <row r="64" spans="4:50" ht="16" hidden="1" customHeight="1" x14ac:dyDescent="0.2">
      <c r="D64" s="49" t="s">
        <v>46</v>
      </c>
      <c r="E64" s="59"/>
      <c r="F64" s="59"/>
      <c r="G64" s="59"/>
      <c r="H64" s="59"/>
      <c r="I64" s="59"/>
      <c r="J64" s="59"/>
      <c r="K64" s="59"/>
      <c r="L64" s="60">
        <v>15</v>
      </c>
      <c r="M64" s="59"/>
      <c r="N64" s="59"/>
      <c r="O64" s="59"/>
      <c r="P64" s="59"/>
      <c r="Q64" s="59"/>
      <c r="R64" s="59"/>
      <c r="S64" s="59"/>
      <c r="T64" s="60">
        <v>1027</v>
      </c>
      <c r="U64" s="60">
        <v>25.73</v>
      </c>
      <c r="V64" s="59"/>
      <c r="W64" s="59"/>
      <c r="X64" s="59"/>
      <c r="Y64" s="59"/>
      <c r="Z64" s="59"/>
      <c r="AA64" s="59"/>
      <c r="AB64" s="59"/>
      <c r="AC64" s="60">
        <v>29.78</v>
      </c>
      <c r="AD64" s="59"/>
      <c r="AE64" s="59"/>
      <c r="AF64" s="59"/>
      <c r="AG64" s="59"/>
      <c r="AH64" s="59"/>
      <c r="AI64" s="60">
        <v>107.23</v>
      </c>
      <c r="AJ64" s="59"/>
      <c r="AK64" s="59"/>
      <c r="AL64" s="59"/>
      <c r="AM64" s="59"/>
      <c r="AN64" s="60">
        <v>10</v>
      </c>
      <c r="AO64" s="60">
        <v>103</v>
      </c>
      <c r="AP64" s="59"/>
      <c r="AQ64" s="59"/>
      <c r="AR64" s="59"/>
      <c r="AS64" s="59"/>
      <c r="AT64" s="59"/>
      <c r="AU64" s="59"/>
      <c r="AV64" s="59"/>
      <c r="AW64" s="59"/>
      <c r="AX64" s="51">
        <v>1317.74</v>
      </c>
    </row>
    <row r="65" spans="4:50" s="1" customFormat="1" ht="16" hidden="1" customHeight="1" x14ac:dyDescent="0.2">
      <c r="D65" s="52" t="s">
        <v>112</v>
      </c>
      <c r="E65" s="58">
        <v>0</v>
      </c>
      <c r="F65" s="58">
        <v>0</v>
      </c>
      <c r="G65" s="58">
        <v>0</v>
      </c>
      <c r="H65" s="58">
        <v>0</v>
      </c>
      <c r="I65" s="58">
        <v>0</v>
      </c>
      <c r="J65" s="58">
        <v>0</v>
      </c>
      <c r="K65" s="58">
        <v>0</v>
      </c>
      <c r="L65" s="58">
        <v>15</v>
      </c>
      <c r="M65" s="58">
        <v>0</v>
      </c>
      <c r="N65" s="58">
        <v>0</v>
      </c>
      <c r="O65" s="58">
        <v>0</v>
      </c>
      <c r="P65" s="58">
        <v>0</v>
      </c>
      <c r="Q65" s="58">
        <v>0</v>
      </c>
      <c r="R65" s="58">
        <v>0</v>
      </c>
      <c r="S65" s="58">
        <v>0</v>
      </c>
      <c r="T65" s="58">
        <v>1027</v>
      </c>
      <c r="U65" s="58">
        <v>25.73</v>
      </c>
      <c r="V65" s="58">
        <v>0</v>
      </c>
      <c r="W65" s="58">
        <v>0</v>
      </c>
      <c r="X65" s="58">
        <v>0</v>
      </c>
      <c r="Y65" s="58">
        <v>0</v>
      </c>
      <c r="Z65" s="58">
        <v>0</v>
      </c>
      <c r="AA65" s="58">
        <v>0</v>
      </c>
      <c r="AB65" s="58">
        <v>0</v>
      </c>
      <c r="AC65" s="58">
        <v>593.70000000000005</v>
      </c>
      <c r="AD65" s="58">
        <v>0</v>
      </c>
      <c r="AE65" s="58">
        <v>0</v>
      </c>
      <c r="AF65" s="58">
        <v>0</v>
      </c>
      <c r="AG65" s="58">
        <v>1041.01</v>
      </c>
      <c r="AH65" s="58">
        <v>0</v>
      </c>
      <c r="AI65" s="58">
        <v>198.86</v>
      </c>
      <c r="AJ65" s="58">
        <v>0</v>
      </c>
      <c r="AK65" s="58">
        <v>32.74</v>
      </c>
      <c r="AL65" s="58">
        <v>0</v>
      </c>
      <c r="AM65" s="58">
        <v>0</v>
      </c>
      <c r="AN65" s="58">
        <v>10</v>
      </c>
      <c r="AO65" s="58">
        <v>4209.76</v>
      </c>
      <c r="AP65" s="58">
        <v>0</v>
      </c>
      <c r="AQ65" s="58">
        <v>0</v>
      </c>
      <c r="AR65" s="58">
        <v>0</v>
      </c>
      <c r="AS65" s="58">
        <v>0</v>
      </c>
      <c r="AT65" s="58">
        <v>0</v>
      </c>
      <c r="AU65" s="58">
        <v>0</v>
      </c>
      <c r="AV65" s="58">
        <v>0</v>
      </c>
      <c r="AW65" s="58">
        <v>0</v>
      </c>
      <c r="AX65" s="53">
        <v>7153.8</v>
      </c>
    </row>
    <row r="66" spans="4:50" ht="16" hidden="1" customHeight="1" x14ac:dyDescent="0.2">
      <c r="D66" s="49" t="s">
        <v>48</v>
      </c>
      <c r="E66" s="59"/>
      <c r="F66" s="59"/>
      <c r="G66" s="59"/>
      <c r="H66" s="59"/>
      <c r="I66" s="59"/>
      <c r="J66" s="59"/>
      <c r="K66" s="59"/>
      <c r="L66" s="59"/>
      <c r="M66" s="59"/>
      <c r="N66" s="59"/>
      <c r="O66" s="59"/>
      <c r="P66" s="59"/>
      <c r="Q66" s="59"/>
      <c r="R66" s="59"/>
      <c r="S66" s="59"/>
      <c r="T66" s="59"/>
      <c r="U66" s="59"/>
      <c r="V66" s="59"/>
      <c r="W66" s="59"/>
      <c r="X66" s="59"/>
      <c r="Y66" s="59"/>
      <c r="Z66" s="59"/>
      <c r="AA66" s="59"/>
      <c r="AB66" s="59"/>
      <c r="AC66" s="59"/>
      <c r="AD66" s="59"/>
      <c r="AE66" s="59"/>
      <c r="AF66" s="59"/>
      <c r="AG66" s="59"/>
      <c r="AH66" s="59"/>
      <c r="AI66" s="59"/>
      <c r="AJ66" s="59"/>
      <c r="AK66" s="59"/>
      <c r="AL66" s="59"/>
      <c r="AM66" s="59"/>
      <c r="AN66" s="59"/>
      <c r="AO66" s="59"/>
      <c r="AP66" s="59"/>
      <c r="AQ66" s="59"/>
      <c r="AR66" s="59"/>
      <c r="AS66" s="59"/>
      <c r="AT66" s="59"/>
      <c r="AU66" s="59"/>
      <c r="AV66" s="59"/>
      <c r="AW66" s="59"/>
      <c r="AX66" s="51">
        <v>0</v>
      </c>
    </row>
    <row r="67" spans="4:50" ht="16" hidden="1" customHeight="1" x14ac:dyDescent="0.2">
      <c r="D67" s="49" t="s">
        <v>338</v>
      </c>
      <c r="E67" s="59"/>
      <c r="F67" s="59"/>
      <c r="G67" s="59"/>
      <c r="H67" s="59"/>
      <c r="I67" s="59"/>
      <c r="J67" s="59"/>
      <c r="K67" s="59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59"/>
      <c r="AA67" s="59"/>
      <c r="AB67" s="59"/>
      <c r="AC67" s="59"/>
      <c r="AD67" s="59"/>
      <c r="AE67" s="59"/>
      <c r="AF67" s="59"/>
      <c r="AG67" s="59"/>
      <c r="AH67" s="59"/>
      <c r="AI67" s="59"/>
      <c r="AJ67" s="59"/>
      <c r="AK67" s="59"/>
      <c r="AL67" s="59"/>
      <c r="AM67" s="59"/>
      <c r="AN67" s="59"/>
      <c r="AO67" s="60">
        <v>656.82</v>
      </c>
      <c r="AP67" s="59"/>
      <c r="AQ67" s="59"/>
      <c r="AR67" s="59"/>
      <c r="AS67" s="59"/>
      <c r="AT67" s="59"/>
      <c r="AU67" s="59"/>
      <c r="AV67" s="59"/>
      <c r="AW67" s="59"/>
      <c r="AX67" s="51">
        <v>656.82</v>
      </c>
    </row>
    <row r="68" spans="4:50" ht="16" hidden="1" customHeight="1" x14ac:dyDescent="0.2">
      <c r="D68" s="49" t="s">
        <v>114</v>
      </c>
      <c r="E68" s="59"/>
      <c r="F68" s="59"/>
      <c r="G68" s="59"/>
      <c r="H68" s="59"/>
      <c r="I68" s="59"/>
      <c r="J68" s="59"/>
      <c r="K68" s="59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>
        <v>16.559999999999999</v>
      </c>
      <c r="AA68" s="59"/>
      <c r="AB68" s="59"/>
      <c r="AC68" s="60">
        <v>1196.69</v>
      </c>
      <c r="AD68" s="60">
        <v>1684.22</v>
      </c>
      <c r="AE68" s="60">
        <v>1625.58</v>
      </c>
      <c r="AF68" s="60">
        <v>1496.39</v>
      </c>
      <c r="AG68" s="60">
        <v>1825.74</v>
      </c>
      <c r="AH68" s="60">
        <v>3739.19</v>
      </c>
      <c r="AI68" s="60">
        <v>1841.95</v>
      </c>
      <c r="AJ68" s="60">
        <v>1681.23</v>
      </c>
      <c r="AK68" s="60">
        <v>2025.19</v>
      </c>
      <c r="AL68" s="60">
        <v>1349.31</v>
      </c>
      <c r="AM68" s="60">
        <v>1923.36</v>
      </c>
      <c r="AN68" s="60">
        <v>1653.92</v>
      </c>
      <c r="AO68" s="60">
        <v>1708.47</v>
      </c>
      <c r="AP68" s="60">
        <v>1906.88</v>
      </c>
      <c r="AQ68" s="60">
        <v>1734.59</v>
      </c>
      <c r="AR68" s="60">
        <v>1263.74</v>
      </c>
      <c r="AS68" s="60">
        <v>2070.02</v>
      </c>
      <c r="AT68" s="60">
        <v>1920.24</v>
      </c>
      <c r="AU68" s="60">
        <v>1186.6099999999999</v>
      </c>
      <c r="AV68" s="60">
        <v>595.75</v>
      </c>
      <c r="AW68" s="59"/>
      <c r="AX68" s="51">
        <v>34445.629999999997</v>
      </c>
    </row>
    <row r="69" spans="4:50" ht="16" hidden="1" customHeight="1" x14ac:dyDescent="0.2">
      <c r="D69" s="49" t="s">
        <v>135</v>
      </c>
      <c r="E69" s="59"/>
      <c r="F69" s="59"/>
      <c r="G69" s="59"/>
      <c r="H69" s="59"/>
      <c r="I69" s="59"/>
      <c r="J69" s="59"/>
      <c r="K69" s="59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59"/>
      <c r="AA69" s="59"/>
      <c r="AB69" s="59"/>
      <c r="AC69" s="59"/>
      <c r="AD69" s="59"/>
      <c r="AE69" s="59"/>
      <c r="AF69" s="59"/>
      <c r="AG69" s="59"/>
      <c r="AH69" s="59"/>
      <c r="AI69" s="60">
        <v>3123</v>
      </c>
      <c r="AJ69" s="59"/>
      <c r="AK69" s="59"/>
      <c r="AL69" s="59"/>
      <c r="AM69" s="59"/>
      <c r="AN69" s="59"/>
      <c r="AO69" s="59"/>
      <c r="AP69" s="59"/>
      <c r="AQ69" s="59"/>
      <c r="AR69" s="59"/>
      <c r="AS69" s="60">
        <v>813</v>
      </c>
      <c r="AT69" s="59"/>
      <c r="AU69" s="59"/>
      <c r="AV69" s="59"/>
      <c r="AW69" s="59"/>
      <c r="AX69" s="51">
        <v>3936</v>
      </c>
    </row>
    <row r="70" spans="4:50" ht="16" hidden="1" customHeight="1" x14ac:dyDescent="0.2">
      <c r="D70" s="49" t="s">
        <v>51</v>
      </c>
      <c r="E70" s="59"/>
      <c r="F70" s="59"/>
      <c r="G70" s="59"/>
      <c r="H70" s="59"/>
      <c r="I70" s="59"/>
      <c r="J70" s="59"/>
      <c r="K70" s="59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59"/>
      <c r="AA70" s="59"/>
      <c r="AB70" s="59"/>
      <c r="AC70" s="59"/>
      <c r="AD70" s="59"/>
      <c r="AE70" s="59"/>
      <c r="AF70" s="60">
        <v>260.73</v>
      </c>
      <c r="AG70" s="60">
        <v>1398.4</v>
      </c>
      <c r="AH70" s="60">
        <v>126.52</v>
      </c>
      <c r="AI70" s="60">
        <v>73.48</v>
      </c>
      <c r="AJ70" s="60">
        <v>1587.99</v>
      </c>
      <c r="AK70" s="60">
        <v>798.03</v>
      </c>
      <c r="AL70" s="60">
        <v>388.97</v>
      </c>
      <c r="AM70" s="60">
        <v>1282.1199999999999</v>
      </c>
      <c r="AN70" s="60">
        <v>953.82</v>
      </c>
      <c r="AO70" s="60">
        <v>197.29</v>
      </c>
      <c r="AP70" s="60">
        <v>23.75</v>
      </c>
      <c r="AQ70" s="60">
        <v>213.61</v>
      </c>
      <c r="AR70" s="60">
        <v>774.56</v>
      </c>
      <c r="AS70" s="60">
        <v>314.82</v>
      </c>
      <c r="AT70" s="60">
        <v>13.93</v>
      </c>
      <c r="AU70" s="60">
        <v>244.42</v>
      </c>
      <c r="AV70" s="59"/>
      <c r="AW70" s="59"/>
      <c r="AX70" s="51">
        <v>8652.44</v>
      </c>
    </row>
    <row r="71" spans="4:50" ht="16" hidden="1" customHeight="1" x14ac:dyDescent="0.2">
      <c r="D71" s="49" t="s">
        <v>153</v>
      </c>
      <c r="E71" s="59"/>
      <c r="F71" s="59"/>
      <c r="G71" s="59"/>
      <c r="H71" s="59"/>
      <c r="I71" s="59"/>
      <c r="J71" s="59"/>
      <c r="K71" s="59"/>
      <c r="L71" s="60">
        <v>6.17</v>
      </c>
      <c r="M71" s="60">
        <v>524.59</v>
      </c>
      <c r="N71" s="60">
        <v>526.04</v>
      </c>
      <c r="O71" s="60">
        <v>401.59</v>
      </c>
      <c r="P71" s="60">
        <v>637.63</v>
      </c>
      <c r="Q71" s="60">
        <v>538.83000000000004</v>
      </c>
      <c r="R71" s="60">
        <v>1084.6199999999999</v>
      </c>
      <c r="S71" s="60">
        <v>739.96</v>
      </c>
      <c r="T71" s="60">
        <v>1471.32</v>
      </c>
      <c r="U71" s="60">
        <v>664.23</v>
      </c>
      <c r="V71" s="60">
        <v>1318.3</v>
      </c>
      <c r="W71" s="60">
        <v>1043.58</v>
      </c>
      <c r="X71" s="60">
        <v>1450.9</v>
      </c>
      <c r="Y71" s="60">
        <v>1246.3699999999999</v>
      </c>
      <c r="Z71" s="60">
        <v>990.09</v>
      </c>
      <c r="AA71" s="60">
        <v>754.11</v>
      </c>
      <c r="AB71" s="60">
        <v>1731.33</v>
      </c>
      <c r="AC71" s="59"/>
      <c r="AD71" s="59"/>
      <c r="AE71" s="59"/>
      <c r="AF71" s="59"/>
      <c r="AG71" s="59"/>
      <c r="AH71" s="59"/>
      <c r="AI71" s="59"/>
      <c r="AJ71" s="59"/>
      <c r="AK71" s="59"/>
      <c r="AL71" s="59"/>
      <c r="AM71" s="59"/>
      <c r="AN71" s="59"/>
      <c r="AO71" s="59"/>
      <c r="AP71" s="59"/>
      <c r="AQ71" s="59"/>
      <c r="AR71" s="59"/>
      <c r="AS71" s="59"/>
      <c r="AT71" s="59"/>
      <c r="AU71" s="59"/>
      <c r="AV71" s="59"/>
      <c r="AW71" s="59"/>
      <c r="AX71" s="51">
        <v>15129.66</v>
      </c>
    </row>
    <row r="72" spans="4:50" ht="16" hidden="1" customHeight="1" x14ac:dyDescent="0.2">
      <c r="D72" s="49" t="s">
        <v>52</v>
      </c>
      <c r="E72" s="60">
        <v>0</v>
      </c>
      <c r="F72" s="60">
        <v>0</v>
      </c>
      <c r="G72" s="60">
        <v>0</v>
      </c>
      <c r="H72" s="60">
        <v>0</v>
      </c>
      <c r="I72" s="60">
        <v>0</v>
      </c>
      <c r="J72" s="60">
        <v>0</v>
      </c>
      <c r="K72" s="60">
        <v>0</v>
      </c>
      <c r="L72" s="60">
        <v>6.17</v>
      </c>
      <c r="M72" s="60">
        <v>524.59</v>
      </c>
      <c r="N72" s="60">
        <v>526.04</v>
      </c>
      <c r="O72" s="60">
        <v>401.59</v>
      </c>
      <c r="P72" s="60">
        <v>637.63</v>
      </c>
      <c r="Q72" s="60">
        <v>538.83000000000004</v>
      </c>
      <c r="R72" s="60">
        <v>1084.6199999999999</v>
      </c>
      <c r="S72" s="60">
        <v>739.96</v>
      </c>
      <c r="T72" s="60">
        <v>1471.32</v>
      </c>
      <c r="U72" s="60">
        <v>664.23</v>
      </c>
      <c r="V72" s="60">
        <v>1318.3</v>
      </c>
      <c r="W72" s="60">
        <v>1043.58</v>
      </c>
      <c r="X72" s="60">
        <v>1450.9</v>
      </c>
      <c r="Y72" s="60">
        <v>1246.3699999999999</v>
      </c>
      <c r="Z72" s="60">
        <v>1006.65</v>
      </c>
      <c r="AA72" s="60">
        <v>754.11</v>
      </c>
      <c r="AB72" s="60">
        <v>1731.33</v>
      </c>
      <c r="AC72" s="60">
        <v>1196.69</v>
      </c>
      <c r="AD72" s="60">
        <v>1684.22</v>
      </c>
      <c r="AE72" s="60">
        <v>1625.58</v>
      </c>
      <c r="AF72" s="60">
        <v>1757.12</v>
      </c>
      <c r="AG72" s="60">
        <v>3224.14</v>
      </c>
      <c r="AH72" s="60">
        <v>3865.71</v>
      </c>
      <c r="AI72" s="60">
        <v>5038.43</v>
      </c>
      <c r="AJ72" s="60">
        <v>3269.22</v>
      </c>
      <c r="AK72" s="60">
        <v>2823.22</v>
      </c>
      <c r="AL72" s="60">
        <v>1738.28</v>
      </c>
      <c r="AM72" s="60">
        <v>3205.48</v>
      </c>
      <c r="AN72" s="60">
        <v>2607.7399999999998</v>
      </c>
      <c r="AO72" s="60">
        <v>2562.58</v>
      </c>
      <c r="AP72" s="60">
        <v>1930.63</v>
      </c>
      <c r="AQ72" s="60">
        <v>1948.2</v>
      </c>
      <c r="AR72" s="60">
        <v>2038.3</v>
      </c>
      <c r="AS72" s="60">
        <v>3197.84</v>
      </c>
      <c r="AT72" s="60">
        <v>1934.17</v>
      </c>
      <c r="AU72" s="60">
        <v>1431.03</v>
      </c>
      <c r="AV72" s="60">
        <v>595.75</v>
      </c>
      <c r="AW72" s="60">
        <v>0</v>
      </c>
      <c r="AX72" s="54">
        <v>62820.55</v>
      </c>
    </row>
    <row r="73" spans="4:50" ht="16" hidden="1" customHeight="1" x14ac:dyDescent="0.2">
      <c r="D73" s="49" t="s">
        <v>152</v>
      </c>
      <c r="E73" s="59"/>
      <c r="F73" s="59"/>
      <c r="G73" s="59"/>
      <c r="H73" s="59"/>
      <c r="I73" s="59"/>
      <c r="J73" s="59"/>
      <c r="K73" s="59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59"/>
      <c r="AA73" s="59"/>
      <c r="AB73" s="59"/>
      <c r="AC73" s="59"/>
      <c r="AD73" s="59"/>
      <c r="AE73" s="59"/>
      <c r="AF73" s="59"/>
      <c r="AG73" s="59"/>
      <c r="AH73" s="59"/>
      <c r="AI73" s="59"/>
      <c r="AJ73" s="59"/>
      <c r="AK73" s="60">
        <v>8.9499999999999993</v>
      </c>
      <c r="AL73" s="59"/>
      <c r="AM73" s="59"/>
      <c r="AN73" s="59"/>
      <c r="AO73" s="59"/>
      <c r="AP73" s="59"/>
      <c r="AQ73" s="59"/>
      <c r="AR73" s="59"/>
      <c r="AS73" s="59"/>
      <c r="AT73" s="59"/>
      <c r="AU73" s="59"/>
      <c r="AV73" s="59"/>
      <c r="AW73" s="59"/>
      <c r="AX73" s="51">
        <v>8.9499999999999993</v>
      </c>
    </row>
    <row r="74" spans="4:50" ht="16" hidden="1" customHeight="1" x14ac:dyDescent="0.2">
      <c r="D74" s="49" t="s">
        <v>69</v>
      </c>
      <c r="E74" s="59"/>
      <c r="F74" s="59"/>
      <c r="G74" s="59"/>
      <c r="H74" s="59"/>
      <c r="I74" s="59"/>
      <c r="J74" s="59"/>
      <c r="K74" s="59"/>
      <c r="L74" s="60">
        <v>20.13</v>
      </c>
      <c r="M74" s="59"/>
      <c r="N74" s="59"/>
      <c r="O74" s="59"/>
      <c r="P74" s="59"/>
      <c r="Q74" s="60">
        <v>5.1100000000000003</v>
      </c>
      <c r="R74" s="59"/>
      <c r="S74" s="60">
        <v>0</v>
      </c>
      <c r="T74" s="59"/>
      <c r="U74" s="59"/>
      <c r="V74" s="59"/>
      <c r="W74" s="59"/>
      <c r="X74" s="59"/>
      <c r="Y74" s="59"/>
      <c r="Z74" s="60">
        <v>25</v>
      </c>
      <c r="AA74" s="59"/>
      <c r="AB74" s="59"/>
      <c r="AC74" s="60">
        <v>4.91</v>
      </c>
      <c r="AD74" s="60">
        <v>20.8</v>
      </c>
      <c r="AE74" s="60">
        <v>20.13</v>
      </c>
      <c r="AF74" s="60">
        <v>345</v>
      </c>
      <c r="AG74" s="60">
        <v>25</v>
      </c>
      <c r="AH74" s="60">
        <v>25</v>
      </c>
      <c r="AI74" s="59"/>
      <c r="AJ74" s="59"/>
      <c r="AK74" s="59"/>
      <c r="AL74" s="60">
        <v>129.75</v>
      </c>
      <c r="AM74" s="60">
        <v>123.43</v>
      </c>
      <c r="AN74" s="60">
        <v>10</v>
      </c>
      <c r="AO74" s="59"/>
      <c r="AP74" s="60">
        <v>39</v>
      </c>
      <c r="AQ74" s="59"/>
      <c r="AR74" s="60">
        <v>345</v>
      </c>
      <c r="AS74" s="59"/>
      <c r="AT74" s="60">
        <v>-0.72</v>
      </c>
      <c r="AU74" s="60">
        <v>-0.28000000000000003</v>
      </c>
      <c r="AV74" s="60">
        <v>117</v>
      </c>
      <c r="AW74" s="59"/>
      <c r="AX74" s="51">
        <v>1254.26</v>
      </c>
    </row>
    <row r="75" spans="4:50" ht="16" hidden="1" customHeight="1" x14ac:dyDescent="0.2">
      <c r="D75" s="49" t="s">
        <v>151</v>
      </c>
      <c r="E75" s="59"/>
      <c r="F75" s="59"/>
      <c r="G75" s="59"/>
      <c r="H75" s="59"/>
      <c r="I75" s="59"/>
      <c r="J75" s="59"/>
      <c r="K75" s="59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59"/>
      <c r="AA75" s="59"/>
      <c r="AB75" s="59"/>
      <c r="AC75" s="59"/>
      <c r="AD75" s="59"/>
      <c r="AE75" s="59"/>
      <c r="AF75" s="59"/>
      <c r="AG75" s="60">
        <v>500</v>
      </c>
      <c r="AH75" s="60">
        <v>1100</v>
      </c>
      <c r="AI75" s="59"/>
      <c r="AJ75" s="59"/>
      <c r="AK75" s="59"/>
      <c r="AL75" s="59"/>
      <c r="AM75" s="59"/>
      <c r="AN75" s="59"/>
      <c r="AO75" s="59"/>
      <c r="AP75" s="59"/>
      <c r="AQ75" s="59"/>
      <c r="AR75" s="59"/>
      <c r="AS75" s="59"/>
      <c r="AT75" s="59"/>
      <c r="AU75" s="59"/>
      <c r="AV75" s="59"/>
      <c r="AW75" s="59"/>
      <c r="AX75" s="51">
        <v>1600</v>
      </c>
    </row>
    <row r="76" spans="4:50" ht="16" hidden="1" customHeight="1" x14ac:dyDescent="0.2">
      <c r="D76" s="49" t="s">
        <v>53</v>
      </c>
      <c r="E76" s="60">
        <v>0</v>
      </c>
      <c r="F76" s="60">
        <v>0</v>
      </c>
      <c r="G76" s="60">
        <v>0</v>
      </c>
      <c r="H76" s="60">
        <v>0</v>
      </c>
      <c r="I76" s="60">
        <v>0</v>
      </c>
      <c r="J76" s="60">
        <v>0</v>
      </c>
      <c r="K76" s="60">
        <v>1800</v>
      </c>
      <c r="L76" s="60">
        <v>2966.3</v>
      </c>
      <c r="M76" s="60">
        <v>1121.9100000000001</v>
      </c>
      <c r="N76" s="60">
        <v>3580.99</v>
      </c>
      <c r="O76" s="60">
        <v>5355.84</v>
      </c>
      <c r="P76" s="60">
        <v>3873.14</v>
      </c>
      <c r="Q76" s="60">
        <v>3821.52</v>
      </c>
      <c r="R76" s="60">
        <v>4808.79</v>
      </c>
      <c r="S76" s="60">
        <v>3527.29</v>
      </c>
      <c r="T76" s="60">
        <v>6029.83</v>
      </c>
      <c r="U76" s="60">
        <v>7293.74</v>
      </c>
      <c r="V76" s="60">
        <v>4563.67</v>
      </c>
      <c r="W76" s="60">
        <v>4450.1400000000003</v>
      </c>
      <c r="X76" s="60">
        <v>4642.33</v>
      </c>
      <c r="Y76" s="60">
        <v>4477.6400000000003</v>
      </c>
      <c r="Z76" s="60">
        <v>4374.88</v>
      </c>
      <c r="AA76" s="60">
        <v>4680.67</v>
      </c>
      <c r="AB76" s="60">
        <v>6927.58</v>
      </c>
      <c r="AC76" s="60">
        <v>5847.84</v>
      </c>
      <c r="AD76" s="60">
        <v>6293.96</v>
      </c>
      <c r="AE76" s="60">
        <v>6838.52</v>
      </c>
      <c r="AF76" s="60">
        <v>6233.57</v>
      </c>
      <c r="AG76" s="60">
        <v>9758.2900000000009</v>
      </c>
      <c r="AH76" s="60">
        <v>9472.1</v>
      </c>
      <c r="AI76" s="60">
        <v>9930.65</v>
      </c>
      <c r="AJ76" s="60">
        <v>8053.89</v>
      </c>
      <c r="AK76" s="60">
        <v>7020.05</v>
      </c>
      <c r="AL76" s="60">
        <v>6143.84</v>
      </c>
      <c r="AM76" s="60">
        <v>8418.32</v>
      </c>
      <c r="AN76" s="60">
        <v>12786.25</v>
      </c>
      <c r="AO76" s="60">
        <v>11859.28</v>
      </c>
      <c r="AP76" s="60">
        <v>7247.5</v>
      </c>
      <c r="AQ76" s="60">
        <v>7782.9</v>
      </c>
      <c r="AR76" s="60">
        <v>9694.06</v>
      </c>
      <c r="AS76" s="60">
        <v>14259.51</v>
      </c>
      <c r="AT76" s="60">
        <v>3130.14</v>
      </c>
      <c r="AU76" s="60">
        <v>2492.61</v>
      </c>
      <c r="AV76" s="60">
        <v>767.44</v>
      </c>
      <c r="AW76" s="60">
        <v>0</v>
      </c>
      <c r="AX76" s="54">
        <v>232326.98</v>
      </c>
    </row>
    <row r="77" spans="4:50" ht="16" hidden="1" customHeight="1" x14ac:dyDescent="0.2">
      <c r="D77" s="49" t="s">
        <v>150</v>
      </c>
      <c r="E77" s="59"/>
      <c r="F77" s="59"/>
      <c r="G77" s="59"/>
      <c r="H77" s="59"/>
      <c r="I77" s="59"/>
      <c r="J77" s="59"/>
      <c r="K77" s="59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59"/>
      <c r="AA77" s="59"/>
      <c r="AB77" s="59"/>
      <c r="AC77" s="59"/>
      <c r="AD77" s="59"/>
      <c r="AE77" s="59"/>
      <c r="AF77" s="60">
        <v>25</v>
      </c>
      <c r="AG77" s="59"/>
      <c r="AH77" s="59"/>
      <c r="AI77" s="59"/>
      <c r="AJ77" s="59"/>
      <c r="AK77" s="59"/>
      <c r="AL77" s="59"/>
      <c r="AM77" s="59"/>
      <c r="AN77" s="59"/>
      <c r="AO77" s="59"/>
      <c r="AP77" s="59"/>
      <c r="AQ77" s="59"/>
      <c r="AR77" s="59"/>
      <c r="AS77" s="59"/>
      <c r="AT77" s="59"/>
      <c r="AU77" s="59"/>
      <c r="AV77" s="59"/>
      <c r="AW77" s="59"/>
      <c r="AX77" s="51">
        <v>25</v>
      </c>
    </row>
    <row r="78" spans="4:50" ht="16" hidden="1" customHeight="1" x14ac:dyDescent="0.2">
      <c r="D78" s="49" t="s">
        <v>54</v>
      </c>
      <c r="E78" s="59"/>
      <c r="F78" s="59"/>
      <c r="G78" s="59"/>
      <c r="H78" s="59"/>
      <c r="I78" s="59"/>
      <c r="J78" s="59"/>
      <c r="K78" s="59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59"/>
      <c r="AA78" s="59"/>
      <c r="AB78" s="59"/>
      <c r="AC78" s="59"/>
      <c r="AD78" s="59"/>
      <c r="AE78" s="59"/>
      <c r="AF78" s="59"/>
      <c r="AG78" s="59"/>
      <c r="AH78" s="59"/>
      <c r="AI78" s="59"/>
      <c r="AJ78" s="59"/>
      <c r="AK78" s="59"/>
      <c r="AL78" s="59"/>
      <c r="AM78" s="59"/>
      <c r="AN78" s="59"/>
      <c r="AO78" s="59"/>
      <c r="AP78" s="59"/>
      <c r="AQ78" s="59"/>
      <c r="AR78" s="59"/>
      <c r="AS78" s="59"/>
      <c r="AT78" s="59"/>
      <c r="AU78" s="59"/>
      <c r="AV78" s="59"/>
      <c r="AW78" s="59"/>
      <c r="AX78" s="51">
        <v>0</v>
      </c>
    </row>
    <row r="79" spans="4:50" ht="16" hidden="1" customHeight="1" x14ac:dyDescent="0.2">
      <c r="D79" s="49" t="s">
        <v>55</v>
      </c>
      <c r="E79" s="59"/>
      <c r="F79" s="59"/>
      <c r="G79" s="59"/>
      <c r="H79" s="59"/>
      <c r="I79" s="59"/>
      <c r="J79" s="59"/>
      <c r="K79" s="59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59"/>
      <c r="AA79" s="59"/>
      <c r="AB79" s="59"/>
      <c r="AC79" s="59"/>
      <c r="AD79" s="59"/>
      <c r="AE79" s="60">
        <v>200</v>
      </c>
      <c r="AF79" s="59"/>
      <c r="AG79" s="59"/>
      <c r="AH79" s="60">
        <v>900</v>
      </c>
      <c r="AI79" s="59"/>
      <c r="AJ79" s="60">
        <v>2575</v>
      </c>
      <c r="AK79" s="60">
        <v>300</v>
      </c>
      <c r="AL79" s="60">
        <v>550</v>
      </c>
      <c r="AM79" s="60">
        <v>300</v>
      </c>
      <c r="AN79" s="59"/>
      <c r="AO79" s="60">
        <v>600</v>
      </c>
      <c r="AP79" s="59"/>
      <c r="AQ79" s="60">
        <v>625</v>
      </c>
      <c r="AR79" s="60">
        <v>300</v>
      </c>
      <c r="AS79" s="59"/>
      <c r="AT79" s="60">
        <v>600</v>
      </c>
      <c r="AU79" s="60">
        <v>309</v>
      </c>
      <c r="AV79" s="60">
        <v>309</v>
      </c>
      <c r="AW79" s="59"/>
      <c r="AX79" s="51">
        <v>7568</v>
      </c>
    </row>
    <row r="80" spans="4:50" ht="16" hidden="1" customHeight="1" x14ac:dyDescent="0.2">
      <c r="D80" s="49" t="s">
        <v>56</v>
      </c>
      <c r="E80" s="60">
        <v>0</v>
      </c>
      <c r="F80" s="60">
        <v>0</v>
      </c>
      <c r="G80" s="60">
        <v>0</v>
      </c>
      <c r="H80" s="60">
        <v>0</v>
      </c>
      <c r="I80" s="60">
        <v>0</v>
      </c>
      <c r="J80" s="60">
        <v>0</v>
      </c>
      <c r="K80" s="60">
        <v>0</v>
      </c>
      <c r="L80" s="60">
        <v>0</v>
      </c>
      <c r="M80" s="60">
        <v>0</v>
      </c>
      <c r="N80" s="60">
        <v>0</v>
      </c>
      <c r="O80" s="60">
        <v>0</v>
      </c>
      <c r="P80" s="60">
        <v>0</v>
      </c>
      <c r="Q80" s="60">
        <v>0</v>
      </c>
      <c r="R80" s="60">
        <v>0</v>
      </c>
      <c r="S80" s="60">
        <v>0</v>
      </c>
      <c r="T80" s="60">
        <v>0</v>
      </c>
      <c r="U80" s="60">
        <v>0</v>
      </c>
      <c r="V80" s="60">
        <v>0</v>
      </c>
      <c r="W80" s="60">
        <v>0</v>
      </c>
      <c r="X80" s="60">
        <v>0</v>
      </c>
      <c r="Y80" s="60">
        <v>0</v>
      </c>
      <c r="Z80" s="60">
        <v>0</v>
      </c>
      <c r="AA80" s="60">
        <v>0</v>
      </c>
      <c r="AB80" s="60">
        <v>0</v>
      </c>
      <c r="AC80" s="60">
        <v>0</v>
      </c>
      <c r="AD80" s="60">
        <v>0</v>
      </c>
      <c r="AE80" s="60">
        <v>200</v>
      </c>
      <c r="AF80" s="60">
        <v>0</v>
      </c>
      <c r="AG80" s="60">
        <v>0</v>
      </c>
      <c r="AH80" s="60">
        <v>900</v>
      </c>
      <c r="AI80" s="60">
        <v>0</v>
      </c>
      <c r="AJ80" s="60">
        <v>2575</v>
      </c>
      <c r="AK80" s="60">
        <v>300</v>
      </c>
      <c r="AL80" s="60">
        <v>550</v>
      </c>
      <c r="AM80" s="60">
        <v>300</v>
      </c>
      <c r="AN80" s="60">
        <v>0</v>
      </c>
      <c r="AO80" s="60">
        <v>600</v>
      </c>
      <c r="AP80" s="60">
        <v>0</v>
      </c>
      <c r="AQ80" s="60">
        <v>625</v>
      </c>
      <c r="AR80" s="60">
        <v>300</v>
      </c>
      <c r="AS80" s="60">
        <v>0</v>
      </c>
      <c r="AT80" s="60">
        <v>600</v>
      </c>
      <c r="AU80" s="60">
        <v>309</v>
      </c>
      <c r="AV80" s="60">
        <v>309</v>
      </c>
      <c r="AW80" s="60">
        <v>0</v>
      </c>
      <c r="AX80" s="54">
        <v>7568</v>
      </c>
    </row>
    <row r="81" spans="4:50" ht="16" hidden="1" customHeight="1" x14ac:dyDescent="0.2">
      <c r="D81" s="49" t="s">
        <v>57</v>
      </c>
      <c r="E81" s="59"/>
      <c r="F81" s="59"/>
      <c r="G81" s="59"/>
      <c r="H81" s="59"/>
      <c r="I81" s="59"/>
      <c r="J81" s="59"/>
      <c r="K81" s="59"/>
      <c r="L81" s="59"/>
      <c r="M81" s="59"/>
      <c r="N81" s="59"/>
      <c r="O81" s="59"/>
      <c r="P81" s="59"/>
      <c r="Q81" s="59"/>
      <c r="R81" s="59"/>
      <c r="S81" s="59"/>
      <c r="T81" s="59"/>
      <c r="U81" s="59"/>
      <c r="V81" s="59"/>
      <c r="W81" s="59"/>
      <c r="X81" s="59"/>
      <c r="Y81" s="59"/>
      <c r="Z81" s="59"/>
      <c r="AA81" s="59"/>
      <c r="AB81" s="59"/>
      <c r="AC81" s="59"/>
      <c r="AD81" s="59"/>
      <c r="AE81" s="59"/>
      <c r="AF81" s="59"/>
      <c r="AG81" s="59"/>
      <c r="AH81" s="59"/>
      <c r="AI81" s="59"/>
      <c r="AJ81" s="59"/>
      <c r="AK81" s="59"/>
      <c r="AL81" s="59"/>
      <c r="AM81" s="59"/>
      <c r="AN81" s="59"/>
      <c r="AO81" s="59"/>
      <c r="AP81" s="59"/>
      <c r="AQ81" s="59"/>
      <c r="AR81" s="59"/>
      <c r="AS81" s="59"/>
      <c r="AT81" s="59"/>
      <c r="AU81" s="59"/>
      <c r="AV81" s="59"/>
      <c r="AW81" s="59"/>
      <c r="AX81" s="51">
        <v>0</v>
      </c>
    </row>
    <row r="82" spans="4:50" ht="16" hidden="1" customHeight="1" x14ac:dyDescent="0.2">
      <c r="D82" s="49" t="s">
        <v>58</v>
      </c>
      <c r="E82" s="59"/>
      <c r="F82" s="59"/>
      <c r="G82" s="59"/>
      <c r="H82" s="59"/>
      <c r="I82" s="59"/>
      <c r="J82" s="59"/>
      <c r="K82" s="59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59"/>
      <c r="AA82" s="59"/>
      <c r="AB82" s="59"/>
      <c r="AC82" s="59"/>
      <c r="AD82" s="59"/>
      <c r="AE82" s="59"/>
      <c r="AF82" s="59"/>
      <c r="AG82" s="59"/>
      <c r="AH82" s="60">
        <v>871</v>
      </c>
      <c r="AI82" s="59"/>
      <c r="AJ82" s="59"/>
      <c r="AK82" s="59"/>
      <c r="AL82" s="60">
        <v>7460</v>
      </c>
      <c r="AM82" s="60">
        <v>4619.8999999999996</v>
      </c>
      <c r="AN82" s="59"/>
      <c r="AO82" s="60">
        <v>70</v>
      </c>
      <c r="AP82" s="59"/>
      <c r="AQ82" s="59"/>
      <c r="AR82" s="59"/>
      <c r="AS82" s="59"/>
      <c r="AT82" s="60">
        <v>49</v>
      </c>
      <c r="AU82" s="60">
        <v>14754.5</v>
      </c>
      <c r="AV82" s="59"/>
      <c r="AW82" s="59"/>
      <c r="AX82" s="51">
        <v>27824.400000000001</v>
      </c>
    </row>
    <row r="83" spans="4:50" ht="16" hidden="1" customHeight="1" x14ac:dyDescent="0.2">
      <c r="D83" s="49" t="s">
        <v>59</v>
      </c>
      <c r="E83" s="59"/>
      <c r="F83" s="59"/>
      <c r="G83" s="59"/>
      <c r="H83" s="59"/>
      <c r="I83" s="59"/>
      <c r="J83" s="59"/>
      <c r="K83" s="59"/>
      <c r="L83" s="59"/>
      <c r="M83" s="59"/>
      <c r="N83" s="60">
        <v>484</v>
      </c>
      <c r="O83" s="59"/>
      <c r="P83" s="59"/>
      <c r="Q83" s="59"/>
      <c r="R83" s="59"/>
      <c r="S83" s="59"/>
      <c r="T83" s="59"/>
      <c r="U83" s="59"/>
      <c r="V83" s="59"/>
      <c r="W83" s="59"/>
      <c r="X83" s="60">
        <v>3145</v>
      </c>
      <c r="Y83" s="59"/>
      <c r="Z83" s="59"/>
      <c r="AA83" s="59"/>
      <c r="AB83" s="59"/>
      <c r="AC83" s="59"/>
      <c r="AD83" s="59"/>
      <c r="AE83" s="59"/>
      <c r="AF83" s="59"/>
      <c r="AG83" s="59"/>
      <c r="AH83" s="60">
        <v>417.6</v>
      </c>
      <c r="AI83" s="60">
        <v>220.13</v>
      </c>
      <c r="AJ83" s="60">
        <v>220.13</v>
      </c>
      <c r="AK83" s="60">
        <v>220.13</v>
      </c>
      <c r="AL83" s="60">
        <v>220.13</v>
      </c>
      <c r="AM83" s="60">
        <v>220.13</v>
      </c>
      <c r="AN83" s="60">
        <v>197.37</v>
      </c>
      <c r="AO83" s="60">
        <v>208.75</v>
      </c>
      <c r="AP83" s="60">
        <v>208.75</v>
      </c>
      <c r="AQ83" s="60">
        <v>208.75</v>
      </c>
      <c r="AR83" s="60">
        <v>208.75</v>
      </c>
      <c r="AS83" s="60">
        <v>208.78</v>
      </c>
      <c r="AT83" s="60">
        <v>214.59</v>
      </c>
      <c r="AU83" s="60">
        <v>214.68</v>
      </c>
      <c r="AV83" s="59"/>
      <c r="AW83" s="59"/>
      <c r="AX83" s="51">
        <v>6817.67</v>
      </c>
    </row>
    <row r="84" spans="4:50" ht="16" hidden="1" customHeight="1" x14ac:dyDescent="0.2">
      <c r="D84" s="49" t="s">
        <v>88</v>
      </c>
      <c r="E84" s="59"/>
      <c r="F84" s="59"/>
      <c r="G84" s="59"/>
      <c r="H84" s="59"/>
      <c r="I84" s="59"/>
      <c r="J84" s="59"/>
      <c r="K84" s="59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59"/>
      <c r="AA84" s="59"/>
      <c r="AB84" s="59"/>
      <c r="AC84" s="59"/>
      <c r="AD84" s="59"/>
      <c r="AE84" s="59"/>
      <c r="AF84" s="59"/>
      <c r="AG84" s="59"/>
      <c r="AH84" s="59"/>
      <c r="AI84" s="59"/>
      <c r="AJ84" s="59"/>
      <c r="AK84" s="59"/>
      <c r="AL84" s="59"/>
      <c r="AM84" s="59"/>
      <c r="AN84" s="59"/>
      <c r="AO84" s="59"/>
      <c r="AP84" s="59"/>
      <c r="AQ84" s="59"/>
      <c r="AR84" s="59"/>
      <c r="AS84" s="59"/>
      <c r="AT84" s="59"/>
      <c r="AU84" s="59"/>
      <c r="AV84" s="60">
        <v>41.61</v>
      </c>
      <c r="AW84" s="59"/>
      <c r="AX84" s="51">
        <v>41.61</v>
      </c>
    </row>
    <row r="85" spans="4:50" ht="16" hidden="1" customHeight="1" x14ac:dyDescent="0.2">
      <c r="D85" s="49" t="s">
        <v>60</v>
      </c>
      <c r="E85" s="60">
        <v>0</v>
      </c>
      <c r="F85" s="60">
        <v>0</v>
      </c>
      <c r="G85" s="60">
        <v>0</v>
      </c>
      <c r="H85" s="60">
        <v>0</v>
      </c>
      <c r="I85" s="60">
        <v>0</v>
      </c>
      <c r="J85" s="60">
        <v>0</v>
      </c>
      <c r="K85" s="60">
        <v>0</v>
      </c>
      <c r="L85" s="60">
        <v>0</v>
      </c>
      <c r="M85" s="60">
        <v>0</v>
      </c>
      <c r="N85" s="60">
        <v>484</v>
      </c>
      <c r="O85" s="60">
        <v>0</v>
      </c>
      <c r="P85" s="60">
        <v>0</v>
      </c>
      <c r="Q85" s="60">
        <v>0</v>
      </c>
      <c r="R85" s="60">
        <v>0</v>
      </c>
      <c r="S85" s="60">
        <v>0</v>
      </c>
      <c r="T85" s="60">
        <v>0</v>
      </c>
      <c r="U85" s="60">
        <v>0</v>
      </c>
      <c r="V85" s="60">
        <v>0</v>
      </c>
      <c r="W85" s="60">
        <v>0</v>
      </c>
      <c r="X85" s="60">
        <v>3145</v>
      </c>
      <c r="Y85" s="60">
        <v>0</v>
      </c>
      <c r="Z85" s="60">
        <v>0</v>
      </c>
      <c r="AA85" s="60">
        <v>0</v>
      </c>
      <c r="AB85" s="60">
        <v>0</v>
      </c>
      <c r="AC85" s="60">
        <v>0</v>
      </c>
      <c r="AD85" s="60">
        <v>0</v>
      </c>
      <c r="AE85" s="60">
        <v>0</v>
      </c>
      <c r="AF85" s="60">
        <v>0</v>
      </c>
      <c r="AG85" s="60">
        <v>0</v>
      </c>
      <c r="AH85" s="60">
        <v>1288.5999999999999</v>
      </c>
      <c r="AI85" s="60">
        <v>220.13</v>
      </c>
      <c r="AJ85" s="60">
        <v>220.13</v>
      </c>
      <c r="AK85" s="60">
        <v>220.13</v>
      </c>
      <c r="AL85" s="60">
        <v>7680.13</v>
      </c>
      <c r="AM85" s="60">
        <v>4840.03</v>
      </c>
      <c r="AN85" s="60">
        <v>197.37</v>
      </c>
      <c r="AO85" s="60">
        <v>278.75</v>
      </c>
      <c r="AP85" s="60">
        <v>208.75</v>
      </c>
      <c r="AQ85" s="60">
        <v>208.75</v>
      </c>
      <c r="AR85" s="60">
        <v>208.75</v>
      </c>
      <c r="AS85" s="60">
        <v>208.78</v>
      </c>
      <c r="AT85" s="60">
        <v>263.58999999999997</v>
      </c>
      <c r="AU85" s="60">
        <v>14969.18</v>
      </c>
      <c r="AV85" s="60">
        <v>41.61</v>
      </c>
      <c r="AW85" s="60">
        <v>0</v>
      </c>
      <c r="AX85" s="54">
        <v>34683.68</v>
      </c>
    </row>
    <row r="86" spans="4:50" ht="16" hidden="1" customHeight="1" x14ac:dyDescent="0.2">
      <c r="D86" s="49" t="s">
        <v>149</v>
      </c>
      <c r="E86" s="59"/>
      <c r="F86" s="59"/>
      <c r="G86" s="59"/>
      <c r="H86" s="59"/>
      <c r="I86" s="59"/>
      <c r="J86" s="59"/>
      <c r="K86" s="59"/>
      <c r="L86" s="59"/>
      <c r="M86" s="59"/>
      <c r="N86" s="59"/>
      <c r="O86" s="60">
        <v>0</v>
      </c>
      <c r="P86" s="59"/>
      <c r="Q86" s="59"/>
      <c r="R86" s="59"/>
      <c r="S86" s="59"/>
      <c r="T86" s="59"/>
      <c r="U86" s="59"/>
      <c r="V86" s="59"/>
      <c r="W86" s="59"/>
      <c r="X86" s="59"/>
      <c r="Y86" s="59"/>
      <c r="Z86" s="59"/>
      <c r="AA86" s="59"/>
      <c r="AB86" s="59"/>
      <c r="AC86" s="59"/>
      <c r="AD86" s="59"/>
      <c r="AE86" s="59"/>
      <c r="AF86" s="59"/>
      <c r="AG86" s="59"/>
      <c r="AH86" s="59"/>
      <c r="AI86" s="59"/>
      <c r="AJ86" s="59"/>
      <c r="AK86" s="59"/>
      <c r="AL86" s="59"/>
      <c r="AM86" s="59"/>
      <c r="AN86" s="59"/>
      <c r="AO86" s="59"/>
      <c r="AP86" s="59"/>
      <c r="AQ86" s="59"/>
      <c r="AR86" s="59"/>
      <c r="AS86" s="59"/>
      <c r="AT86" s="59"/>
      <c r="AU86" s="59"/>
      <c r="AV86" s="59"/>
      <c r="AW86" s="59"/>
      <c r="AX86" s="51">
        <v>0</v>
      </c>
    </row>
    <row r="87" spans="4:50" ht="16" hidden="1" customHeight="1" x14ac:dyDescent="0.2">
      <c r="D87" s="49" t="s">
        <v>61</v>
      </c>
      <c r="E87" s="59"/>
      <c r="F87" s="59"/>
      <c r="G87" s="59"/>
      <c r="H87" s="59"/>
      <c r="I87" s="59"/>
      <c r="J87" s="59"/>
      <c r="K87" s="59"/>
      <c r="L87" s="59"/>
      <c r="M87" s="59"/>
      <c r="N87" s="59"/>
      <c r="O87" s="59"/>
      <c r="P87" s="59"/>
      <c r="Q87" s="59"/>
      <c r="R87" s="59"/>
      <c r="S87" s="59"/>
      <c r="T87" s="59"/>
      <c r="U87" s="59"/>
      <c r="V87" s="59"/>
      <c r="W87" s="59"/>
      <c r="X87" s="59"/>
      <c r="Y87" s="59"/>
      <c r="Z87" s="59"/>
      <c r="AA87" s="59"/>
      <c r="AB87" s="59"/>
      <c r="AC87" s="59"/>
      <c r="AD87" s="59"/>
      <c r="AE87" s="59"/>
      <c r="AF87" s="59"/>
      <c r="AG87" s="59"/>
      <c r="AH87" s="59"/>
      <c r="AI87" s="59"/>
      <c r="AJ87" s="59"/>
      <c r="AK87" s="59"/>
      <c r="AL87" s="59"/>
      <c r="AM87" s="59"/>
      <c r="AN87" s="59"/>
      <c r="AO87" s="60">
        <v>1849.48</v>
      </c>
      <c r="AP87" s="60">
        <v>15894.45</v>
      </c>
      <c r="AQ87" s="60">
        <v>732.42</v>
      </c>
      <c r="AR87" s="60">
        <v>341.88</v>
      </c>
      <c r="AS87" s="60">
        <v>20063.16</v>
      </c>
      <c r="AT87" s="60">
        <v>46582.21</v>
      </c>
      <c r="AU87" s="60">
        <v>324.13</v>
      </c>
      <c r="AV87" s="60">
        <v>-0.01</v>
      </c>
      <c r="AW87" s="59"/>
      <c r="AX87" s="51">
        <v>85787.72</v>
      </c>
    </row>
    <row r="88" spans="4:50" ht="16" hidden="1" customHeight="1" x14ac:dyDescent="0.2">
      <c r="D88" s="49" t="s">
        <v>62</v>
      </c>
      <c r="E88" s="59"/>
      <c r="F88" s="59"/>
      <c r="G88" s="59"/>
      <c r="H88" s="59"/>
      <c r="I88" s="59"/>
      <c r="J88" s="59"/>
      <c r="K88" s="59"/>
      <c r="L88" s="59"/>
      <c r="M88" s="59"/>
      <c r="N88" s="59"/>
      <c r="O88" s="59"/>
      <c r="P88" s="59"/>
      <c r="Q88" s="59"/>
      <c r="R88" s="59"/>
      <c r="S88" s="59"/>
      <c r="T88" s="59"/>
      <c r="U88" s="59"/>
      <c r="V88" s="59"/>
      <c r="W88" s="59"/>
      <c r="X88" s="59"/>
      <c r="Y88" s="59"/>
      <c r="Z88" s="59"/>
      <c r="AA88" s="59"/>
      <c r="AB88" s="59"/>
      <c r="AC88" s="59"/>
      <c r="AD88" s="59"/>
      <c r="AE88" s="59"/>
      <c r="AF88" s="59"/>
      <c r="AG88" s="59"/>
      <c r="AH88" s="59"/>
      <c r="AI88" s="59"/>
      <c r="AJ88" s="59"/>
      <c r="AK88" s="59"/>
      <c r="AL88" s="59"/>
      <c r="AM88" s="59"/>
      <c r="AN88" s="59"/>
      <c r="AO88" s="60">
        <v>16700.21</v>
      </c>
      <c r="AP88" s="60">
        <v>34645</v>
      </c>
      <c r="AQ88" s="60">
        <v>33104.080000000002</v>
      </c>
      <c r="AR88" s="60">
        <v>16550</v>
      </c>
      <c r="AS88" s="60">
        <v>11042</v>
      </c>
      <c r="AT88" s="60">
        <v>55167.47</v>
      </c>
      <c r="AU88" s="60">
        <v>15775</v>
      </c>
      <c r="AV88" s="60">
        <v>38934.51</v>
      </c>
      <c r="AW88" s="59"/>
      <c r="AX88" s="51">
        <v>221918.27</v>
      </c>
    </row>
    <row r="89" spans="4:50" ht="16" hidden="1" customHeight="1" x14ac:dyDescent="0.2">
      <c r="D89" s="49" t="s">
        <v>63</v>
      </c>
      <c r="E89" s="59"/>
      <c r="F89" s="59"/>
      <c r="G89" s="59"/>
      <c r="H89" s="59"/>
      <c r="I89" s="59"/>
      <c r="J89" s="59"/>
      <c r="K89" s="59"/>
      <c r="L89" s="59"/>
      <c r="M89" s="59"/>
      <c r="N89" s="59"/>
      <c r="O89" s="59"/>
      <c r="P89" s="59"/>
      <c r="Q89" s="59"/>
      <c r="R89" s="59"/>
      <c r="S89" s="59"/>
      <c r="T89" s="59"/>
      <c r="U89" s="59"/>
      <c r="V89" s="59"/>
      <c r="W89" s="59"/>
      <c r="X89" s="59"/>
      <c r="Y89" s="59"/>
      <c r="Z89" s="59"/>
      <c r="AA89" s="59"/>
      <c r="AB89" s="59"/>
      <c r="AC89" s="59"/>
      <c r="AD89" s="59"/>
      <c r="AE89" s="59"/>
      <c r="AF89" s="59"/>
      <c r="AG89" s="59"/>
      <c r="AH89" s="59"/>
      <c r="AI89" s="59"/>
      <c r="AJ89" s="59"/>
      <c r="AK89" s="59"/>
      <c r="AL89" s="59"/>
      <c r="AM89" s="59"/>
      <c r="AN89" s="59"/>
      <c r="AO89" s="60">
        <v>2735</v>
      </c>
      <c r="AP89" s="60">
        <v>3966</v>
      </c>
      <c r="AQ89" s="60">
        <v>410</v>
      </c>
      <c r="AR89" s="60">
        <v>900</v>
      </c>
      <c r="AS89" s="59"/>
      <c r="AT89" s="60">
        <v>4150</v>
      </c>
      <c r="AU89" s="60">
        <v>3407</v>
      </c>
      <c r="AV89" s="59"/>
      <c r="AW89" s="59"/>
      <c r="AX89" s="51">
        <v>15568</v>
      </c>
    </row>
    <row r="90" spans="4:50" ht="16" hidden="1" customHeight="1" x14ac:dyDescent="0.2">
      <c r="D90" s="49" t="s">
        <v>64</v>
      </c>
      <c r="E90" s="60">
        <v>0</v>
      </c>
      <c r="F90" s="60">
        <v>0</v>
      </c>
      <c r="G90" s="60">
        <v>0</v>
      </c>
      <c r="H90" s="60">
        <v>0</v>
      </c>
      <c r="I90" s="60">
        <v>0</v>
      </c>
      <c r="J90" s="60">
        <v>0</v>
      </c>
      <c r="K90" s="60">
        <v>0</v>
      </c>
      <c r="L90" s="60">
        <v>0</v>
      </c>
      <c r="M90" s="60">
        <v>0</v>
      </c>
      <c r="N90" s="60">
        <v>0</v>
      </c>
      <c r="O90" s="60">
        <v>0</v>
      </c>
      <c r="P90" s="60">
        <v>0</v>
      </c>
      <c r="Q90" s="60">
        <v>0</v>
      </c>
      <c r="R90" s="60">
        <v>0</v>
      </c>
      <c r="S90" s="60">
        <v>0</v>
      </c>
      <c r="T90" s="60">
        <v>0</v>
      </c>
      <c r="U90" s="60">
        <v>0</v>
      </c>
      <c r="V90" s="60">
        <v>0</v>
      </c>
      <c r="W90" s="60">
        <v>0</v>
      </c>
      <c r="X90" s="60">
        <v>0</v>
      </c>
      <c r="Y90" s="60">
        <v>0</v>
      </c>
      <c r="Z90" s="60">
        <v>0</v>
      </c>
      <c r="AA90" s="60">
        <v>0</v>
      </c>
      <c r="AB90" s="60">
        <v>0</v>
      </c>
      <c r="AC90" s="60">
        <v>0</v>
      </c>
      <c r="AD90" s="60">
        <v>0</v>
      </c>
      <c r="AE90" s="60">
        <v>0</v>
      </c>
      <c r="AF90" s="60">
        <v>0</v>
      </c>
      <c r="AG90" s="60">
        <v>0</v>
      </c>
      <c r="AH90" s="60">
        <v>0</v>
      </c>
      <c r="AI90" s="60">
        <v>0</v>
      </c>
      <c r="AJ90" s="60">
        <v>0</v>
      </c>
      <c r="AK90" s="60">
        <v>0</v>
      </c>
      <c r="AL90" s="60">
        <v>0</v>
      </c>
      <c r="AM90" s="60">
        <v>0</v>
      </c>
      <c r="AN90" s="60">
        <v>0</v>
      </c>
      <c r="AO90" s="60">
        <v>21284.69</v>
      </c>
      <c r="AP90" s="60">
        <v>54505.45</v>
      </c>
      <c r="AQ90" s="60">
        <v>34246.5</v>
      </c>
      <c r="AR90" s="60">
        <v>17791.88</v>
      </c>
      <c r="AS90" s="60">
        <v>31105.16</v>
      </c>
      <c r="AT90" s="60">
        <v>105899.68</v>
      </c>
      <c r="AU90" s="60">
        <v>19506.13</v>
      </c>
      <c r="AV90" s="60">
        <v>38934.5</v>
      </c>
      <c r="AW90" s="60">
        <v>0</v>
      </c>
      <c r="AX90" s="54">
        <v>323273.99</v>
      </c>
    </row>
    <row r="91" spans="4:50" s="1" customFormat="1" ht="16" customHeight="1" x14ac:dyDescent="0.2">
      <c r="D91" s="52" t="s">
        <v>65</v>
      </c>
      <c r="E91" s="58">
        <v>0</v>
      </c>
      <c r="F91" s="58">
        <v>0</v>
      </c>
      <c r="G91" s="58">
        <v>0</v>
      </c>
      <c r="H91" s="58">
        <v>0</v>
      </c>
      <c r="I91" s="58">
        <v>0</v>
      </c>
      <c r="J91" s="58">
        <v>0</v>
      </c>
      <c r="K91" s="58">
        <v>1800</v>
      </c>
      <c r="L91" s="58">
        <v>3019.43</v>
      </c>
      <c r="M91" s="58">
        <v>1900.93</v>
      </c>
      <c r="N91" s="58">
        <v>4743.41</v>
      </c>
      <c r="O91" s="58">
        <v>15230.01</v>
      </c>
      <c r="P91" s="58">
        <v>4139.49</v>
      </c>
      <c r="Q91" s="58">
        <v>12145.5</v>
      </c>
      <c r="R91" s="58">
        <v>5231.21</v>
      </c>
      <c r="S91" s="58">
        <v>4225.7700000000004</v>
      </c>
      <c r="T91" s="58">
        <v>9484.3799999999992</v>
      </c>
      <c r="U91" s="58">
        <v>9474.3700000000008</v>
      </c>
      <c r="V91" s="58">
        <v>8450.33</v>
      </c>
      <c r="W91" s="58">
        <v>9489.7999999999993</v>
      </c>
      <c r="X91" s="58">
        <v>14200.57</v>
      </c>
      <c r="Y91" s="58">
        <v>14606.28</v>
      </c>
      <c r="Z91" s="58">
        <v>8957.25</v>
      </c>
      <c r="AA91" s="58">
        <v>12329.1</v>
      </c>
      <c r="AB91" s="58">
        <v>16778.240000000002</v>
      </c>
      <c r="AC91" s="58">
        <v>21594.14</v>
      </c>
      <c r="AD91" s="58">
        <v>21638.76</v>
      </c>
      <c r="AE91" s="58">
        <v>21765.83</v>
      </c>
      <c r="AF91" s="58">
        <v>70176.58</v>
      </c>
      <c r="AG91" s="58">
        <v>58397.04</v>
      </c>
      <c r="AH91" s="58">
        <v>46674.49</v>
      </c>
      <c r="AI91" s="58">
        <v>58073.74</v>
      </c>
      <c r="AJ91" s="58">
        <v>41834.67</v>
      </c>
      <c r="AK91" s="58">
        <v>43078.2</v>
      </c>
      <c r="AL91" s="58">
        <v>46612.959999999999</v>
      </c>
      <c r="AM91" s="58">
        <v>28287.81</v>
      </c>
      <c r="AN91" s="58">
        <v>40634.15</v>
      </c>
      <c r="AO91" s="58">
        <v>54264.62</v>
      </c>
      <c r="AP91" s="58">
        <v>80668.61</v>
      </c>
      <c r="AQ91" s="58">
        <v>68773.16</v>
      </c>
      <c r="AR91" s="58">
        <v>57650.74</v>
      </c>
      <c r="AS91" s="58">
        <v>64799.45</v>
      </c>
      <c r="AT91" s="58">
        <v>124821.09</v>
      </c>
      <c r="AU91" s="58">
        <v>70150.92</v>
      </c>
      <c r="AV91" s="58">
        <v>42251.43</v>
      </c>
      <c r="AW91" s="58">
        <v>0</v>
      </c>
      <c r="AX91" s="53">
        <v>1218354.46</v>
      </c>
    </row>
    <row r="92" spans="4:50" ht="16" customHeight="1" x14ac:dyDescent="0.2">
      <c r="D92" s="49" t="s">
        <v>66</v>
      </c>
      <c r="E92" s="60">
        <v>0</v>
      </c>
      <c r="F92" s="60">
        <v>0</v>
      </c>
      <c r="G92" s="60">
        <v>0</v>
      </c>
      <c r="H92" s="60">
        <v>0</v>
      </c>
      <c r="I92" s="60">
        <v>0</v>
      </c>
      <c r="J92" s="60">
        <v>0</v>
      </c>
      <c r="K92" s="60">
        <v>11526.48</v>
      </c>
      <c r="L92" s="60">
        <v>21150.240000000002</v>
      </c>
      <c r="M92" s="60">
        <v>15791.47</v>
      </c>
      <c r="N92" s="60">
        <v>1189.8699999999999</v>
      </c>
      <c r="O92" s="60">
        <v>16886.87</v>
      </c>
      <c r="P92" s="60">
        <v>-20844.16</v>
      </c>
      <c r="Q92" s="60">
        <v>1769.15</v>
      </c>
      <c r="R92" s="60">
        <v>30426.31</v>
      </c>
      <c r="S92" s="60">
        <v>73492.84</v>
      </c>
      <c r="T92" s="60">
        <v>47613.32</v>
      </c>
      <c r="U92" s="60">
        <v>40243.360000000001</v>
      </c>
      <c r="V92" s="60">
        <v>67119.92</v>
      </c>
      <c r="W92" s="60">
        <v>25561.38</v>
      </c>
      <c r="X92" s="60">
        <v>46212.160000000003</v>
      </c>
      <c r="Y92" s="60">
        <v>62999.93</v>
      </c>
      <c r="Z92" s="60">
        <v>25738.92</v>
      </c>
      <c r="AA92" s="60">
        <v>15212</v>
      </c>
      <c r="AB92" s="60">
        <v>-277164.62</v>
      </c>
      <c r="AC92" s="60">
        <v>31091.22</v>
      </c>
      <c r="AD92" s="60">
        <v>39306.46</v>
      </c>
      <c r="AE92" s="60">
        <v>40796.36</v>
      </c>
      <c r="AF92" s="60">
        <v>22201.59</v>
      </c>
      <c r="AG92" s="60">
        <v>11716.59</v>
      </c>
      <c r="AH92" s="60">
        <v>29886.68</v>
      </c>
      <c r="AI92" s="60">
        <v>188.99</v>
      </c>
      <c r="AJ92" s="60">
        <v>37835.199999999997</v>
      </c>
      <c r="AK92" s="60">
        <v>-27876.17</v>
      </c>
      <c r="AL92" s="60">
        <v>37804.730000000003</v>
      </c>
      <c r="AM92" s="60">
        <v>-56454.32</v>
      </c>
      <c r="AN92" s="60">
        <v>104423.17</v>
      </c>
      <c r="AO92" s="60">
        <v>-649.86</v>
      </c>
      <c r="AP92" s="60">
        <v>58231.58</v>
      </c>
      <c r="AQ92" s="60">
        <v>5292.53</v>
      </c>
      <c r="AR92" s="60">
        <v>-9677.7199999999993</v>
      </c>
      <c r="AS92" s="60">
        <v>24036.21</v>
      </c>
      <c r="AT92" s="60">
        <v>32898.300000000003</v>
      </c>
      <c r="AU92" s="60">
        <v>-35873.03</v>
      </c>
      <c r="AV92" s="60">
        <v>109301.14</v>
      </c>
      <c r="AW92" s="60">
        <v>22000</v>
      </c>
      <c r="AX92" s="54">
        <v>681405.09</v>
      </c>
    </row>
    <row r="93" spans="4:50" ht="16" hidden="1" customHeight="1" x14ac:dyDescent="0.2">
      <c r="D93" s="49" t="s">
        <v>148</v>
      </c>
      <c r="E93" s="59"/>
      <c r="F93" s="59"/>
      <c r="G93" s="59"/>
      <c r="H93" s="59"/>
      <c r="I93" s="59"/>
      <c r="J93" s="59"/>
      <c r="K93" s="59"/>
      <c r="L93" s="59"/>
      <c r="M93" s="59"/>
      <c r="N93" s="59"/>
      <c r="O93" s="59"/>
      <c r="P93" s="59"/>
      <c r="Q93" s="59"/>
      <c r="R93" s="59"/>
      <c r="S93" s="59"/>
      <c r="T93" s="59"/>
      <c r="U93" s="59"/>
      <c r="V93" s="59"/>
      <c r="W93" s="59"/>
      <c r="X93" s="59"/>
      <c r="Y93" s="59"/>
      <c r="Z93" s="59"/>
      <c r="AA93" s="59"/>
      <c r="AB93" s="59"/>
      <c r="AC93" s="59"/>
      <c r="AD93" s="59"/>
      <c r="AE93" s="59"/>
      <c r="AF93" s="59"/>
      <c r="AG93" s="59"/>
      <c r="AH93" s="59"/>
      <c r="AI93" s="59"/>
      <c r="AJ93" s="59"/>
      <c r="AK93" s="59"/>
      <c r="AL93" s="59"/>
      <c r="AM93" s="59"/>
      <c r="AN93" s="59"/>
      <c r="AO93" s="59"/>
      <c r="AP93" s="59"/>
      <c r="AQ93" s="59"/>
      <c r="AR93" s="59"/>
      <c r="AS93" s="59"/>
      <c r="AT93" s="59"/>
      <c r="AU93" s="59"/>
      <c r="AV93" s="59"/>
      <c r="AW93" s="59"/>
      <c r="AX93" s="50"/>
    </row>
    <row r="94" spans="4:50" ht="16" hidden="1" customHeight="1" x14ac:dyDescent="0.2">
      <c r="D94" s="49" t="s">
        <v>147</v>
      </c>
      <c r="E94" s="59"/>
      <c r="F94" s="59"/>
      <c r="G94" s="59"/>
      <c r="H94" s="59"/>
      <c r="I94" s="59"/>
      <c r="J94" s="59"/>
      <c r="K94" s="59"/>
      <c r="L94" s="59"/>
      <c r="M94" s="59"/>
      <c r="N94" s="59"/>
      <c r="O94" s="59"/>
      <c r="P94" s="59"/>
      <c r="Q94" s="59"/>
      <c r="R94" s="59"/>
      <c r="S94" s="59"/>
      <c r="T94" s="59"/>
      <c r="U94" s="59"/>
      <c r="V94" s="59"/>
      <c r="W94" s="59"/>
      <c r="X94" s="59"/>
      <c r="Y94" s="59"/>
      <c r="Z94" s="59"/>
      <c r="AA94" s="59"/>
      <c r="AB94" s="59"/>
      <c r="AC94" s="59"/>
      <c r="AD94" s="59"/>
      <c r="AE94" s="59"/>
      <c r="AF94" s="59"/>
      <c r="AG94" s="59"/>
      <c r="AH94" s="59"/>
      <c r="AI94" s="59"/>
      <c r="AJ94" s="59"/>
      <c r="AK94" s="59"/>
      <c r="AL94" s="59"/>
      <c r="AM94" s="59"/>
      <c r="AN94" s="59"/>
      <c r="AO94" s="59"/>
      <c r="AP94" s="59"/>
      <c r="AQ94" s="59"/>
      <c r="AR94" s="59"/>
      <c r="AS94" s="59"/>
      <c r="AT94" s="59"/>
      <c r="AU94" s="59"/>
      <c r="AV94" s="59"/>
      <c r="AW94" s="59"/>
      <c r="AX94" s="51">
        <v>0</v>
      </c>
    </row>
    <row r="95" spans="4:50" ht="16" hidden="1" customHeight="1" x14ac:dyDescent="0.2">
      <c r="D95" s="49" t="s">
        <v>337</v>
      </c>
      <c r="E95" s="59"/>
      <c r="F95" s="59"/>
      <c r="G95" s="59"/>
      <c r="H95" s="59"/>
      <c r="I95" s="59"/>
      <c r="J95" s="59"/>
      <c r="K95" s="59"/>
      <c r="L95" s="59"/>
      <c r="M95" s="59"/>
      <c r="N95" s="59"/>
      <c r="O95" s="59"/>
      <c r="P95" s="59"/>
      <c r="Q95" s="59"/>
      <c r="R95" s="59"/>
      <c r="S95" s="59"/>
      <c r="T95" s="59"/>
      <c r="U95" s="59"/>
      <c r="V95" s="59"/>
      <c r="W95" s="59"/>
      <c r="X95" s="59"/>
      <c r="Y95" s="60">
        <v>1.97</v>
      </c>
      <c r="Z95" s="60">
        <v>3.22</v>
      </c>
      <c r="AA95" s="60">
        <v>2.4700000000000002</v>
      </c>
      <c r="AB95" s="60">
        <v>2.41</v>
      </c>
      <c r="AC95" s="60">
        <v>2.34</v>
      </c>
      <c r="AD95" s="60">
        <v>2.48</v>
      </c>
      <c r="AE95" s="60">
        <v>3.99</v>
      </c>
      <c r="AF95" s="60">
        <v>5.81</v>
      </c>
      <c r="AG95" s="60">
        <v>6.96</v>
      </c>
      <c r="AH95" s="60">
        <v>4.3600000000000003</v>
      </c>
      <c r="AI95" s="60">
        <v>4.75</v>
      </c>
      <c r="AJ95" s="60">
        <v>1.95</v>
      </c>
      <c r="AK95" s="59"/>
      <c r="AL95" s="59"/>
      <c r="AM95" s="59"/>
      <c r="AN95" s="59"/>
      <c r="AO95" s="59"/>
      <c r="AP95" s="59"/>
      <c r="AQ95" s="59"/>
      <c r="AR95" s="59"/>
      <c r="AS95" s="59"/>
      <c r="AT95" s="59"/>
      <c r="AU95" s="59"/>
      <c r="AV95" s="59"/>
      <c r="AW95" s="59"/>
      <c r="AX95" s="51">
        <v>42.71</v>
      </c>
    </row>
    <row r="96" spans="4:50" ht="16" hidden="1" customHeight="1" x14ac:dyDescent="0.2">
      <c r="D96" s="49" t="s">
        <v>145</v>
      </c>
      <c r="E96" s="60">
        <v>0</v>
      </c>
      <c r="F96" s="60">
        <v>0</v>
      </c>
      <c r="G96" s="60">
        <v>0</v>
      </c>
      <c r="H96" s="60">
        <v>0</v>
      </c>
      <c r="I96" s="60">
        <v>0</v>
      </c>
      <c r="J96" s="60">
        <v>0</v>
      </c>
      <c r="K96" s="60">
        <v>0</v>
      </c>
      <c r="L96" s="60">
        <v>0</v>
      </c>
      <c r="M96" s="60">
        <v>0</v>
      </c>
      <c r="N96" s="60">
        <v>0</v>
      </c>
      <c r="O96" s="60">
        <v>0</v>
      </c>
      <c r="P96" s="60">
        <v>0</v>
      </c>
      <c r="Q96" s="60">
        <v>0</v>
      </c>
      <c r="R96" s="60">
        <v>0</v>
      </c>
      <c r="S96" s="60">
        <v>0</v>
      </c>
      <c r="T96" s="60">
        <v>0</v>
      </c>
      <c r="U96" s="60">
        <v>0</v>
      </c>
      <c r="V96" s="60">
        <v>0</v>
      </c>
      <c r="W96" s="60">
        <v>0</v>
      </c>
      <c r="X96" s="60">
        <v>0</v>
      </c>
      <c r="Y96" s="60">
        <v>1.97</v>
      </c>
      <c r="Z96" s="60">
        <v>3.22</v>
      </c>
      <c r="AA96" s="60">
        <v>2.4700000000000002</v>
      </c>
      <c r="AB96" s="60">
        <v>2.41</v>
      </c>
      <c r="AC96" s="60">
        <v>2.34</v>
      </c>
      <c r="AD96" s="60">
        <v>2.48</v>
      </c>
      <c r="AE96" s="60">
        <v>3.99</v>
      </c>
      <c r="AF96" s="60">
        <v>5.81</v>
      </c>
      <c r="AG96" s="60">
        <v>6.96</v>
      </c>
      <c r="AH96" s="60">
        <v>4.3600000000000003</v>
      </c>
      <c r="AI96" s="60">
        <v>4.75</v>
      </c>
      <c r="AJ96" s="60">
        <v>1.95</v>
      </c>
      <c r="AK96" s="60">
        <v>0</v>
      </c>
      <c r="AL96" s="60">
        <v>0</v>
      </c>
      <c r="AM96" s="60">
        <v>0</v>
      </c>
      <c r="AN96" s="60">
        <v>0</v>
      </c>
      <c r="AO96" s="60">
        <v>0</v>
      </c>
      <c r="AP96" s="60">
        <v>0</v>
      </c>
      <c r="AQ96" s="60">
        <v>0</v>
      </c>
      <c r="AR96" s="60">
        <v>0</v>
      </c>
      <c r="AS96" s="60">
        <v>0</v>
      </c>
      <c r="AT96" s="60">
        <v>0</v>
      </c>
      <c r="AU96" s="60">
        <v>0</v>
      </c>
      <c r="AV96" s="60">
        <v>0</v>
      </c>
      <c r="AW96" s="60">
        <v>0</v>
      </c>
      <c r="AX96" s="54">
        <v>42.71</v>
      </c>
    </row>
    <row r="97" spans="4:50" ht="16" hidden="1" customHeight="1" x14ac:dyDescent="0.2">
      <c r="D97" s="49" t="s">
        <v>144</v>
      </c>
      <c r="E97" s="60">
        <v>0</v>
      </c>
      <c r="F97" s="60">
        <v>0</v>
      </c>
      <c r="G97" s="60">
        <v>0</v>
      </c>
      <c r="H97" s="60">
        <v>0</v>
      </c>
      <c r="I97" s="60">
        <v>0</v>
      </c>
      <c r="J97" s="60">
        <v>0</v>
      </c>
      <c r="K97" s="60">
        <v>0</v>
      </c>
      <c r="L97" s="60">
        <v>0</v>
      </c>
      <c r="M97" s="60">
        <v>0</v>
      </c>
      <c r="N97" s="60">
        <v>0</v>
      </c>
      <c r="O97" s="60">
        <v>0</v>
      </c>
      <c r="P97" s="60">
        <v>0</v>
      </c>
      <c r="Q97" s="60">
        <v>0</v>
      </c>
      <c r="R97" s="60">
        <v>0</v>
      </c>
      <c r="S97" s="60">
        <v>0</v>
      </c>
      <c r="T97" s="60">
        <v>0</v>
      </c>
      <c r="U97" s="60">
        <v>0</v>
      </c>
      <c r="V97" s="60">
        <v>0</v>
      </c>
      <c r="W97" s="60">
        <v>0</v>
      </c>
      <c r="X97" s="60">
        <v>0</v>
      </c>
      <c r="Y97" s="60">
        <v>1.97</v>
      </c>
      <c r="Z97" s="60">
        <v>3.22</v>
      </c>
      <c r="AA97" s="60">
        <v>2.4700000000000002</v>
      </c>
      <c r="AB97" s="60">
        <v>2.41</v>
      </c>
      <c r="AC97" s="60">
        <v>2.34</v>
      </c>
      <c r="AD97" s="60">
        <v>2.48</v>
      </c>
      <c r="AE97" s="60">
        <v>3.99</v>
      </c>
      <c r="AF97" s="60">
        <v>5.81</v>
      </c>
      <c r="AG97" s="60">
        <v>6.96</v>
      </c>
      <c r="AH97" s="60">
        <v>4.3600000000000003</v>
      </c>
      <c r="AI97" s="60">
        <v>4.75</v>
      </c>
      <c r="AJ97" s="60">
        <v>1.95</v>
      </c>
      <c r="AK97" s="60">
        <v>0</v>
      </c>
      <c r="AL97" s="60">
        <v>0</v>
      </c>
      <c r="AM97" s="60">
        <v>0</v>
      </c>
      <c r="AN97" s="60">
        <v>0</v>
      </c>
      <c r="AO97" s="60">
        <v>0</v>
      </c>
      <c r="AP97" s="60">
        <v>0</v>
      </c>
      <c r="AQ97" s="60">
        <v>0</v>
      </c>
      <c r="AR97" s="60">
        <v>0</v>
      </c>
      <c r="AS97" s="60">
        <v>0</v>
      </c>
      <c r="AT97" s="60">
        <v>0</v>
      </c>
      <c r="AU97" s="60">
        <v>0</v>
      </c>
      <c r="AV97" s="60">
        <v>0</v>
      </c>
      <c r="AW97" s="60">
        <v>0</v>
      </c>
      <c r="AX97" s="54">
        <v>42.71</v>
      </c>
    </row>
    <row r="98" spans="4:50" ht="16" hidden="1" customHeight="1" x14ac:dyDescent="0.2">
      <c r="D98" s="49" t="s">
        <v>80</v>
      </c>
      <c r="E98" s="59"/>
      <c r="F98" s="59"/>
      <c r="G98" s="59"/>
      <c r="H98" s="59"/>
      <c r="I98" s="59"/>
      <c r="J98" s="59"/>
      <c r="K98" s="59"/>
      <c r="L98" s="59"/>
      <c r="M98" s="59"/>
      <c r="N98" s="59"/>
      <c r="O98" s="59"/>
      <c r="P98" s="59"/>
      <c r="Q98" s="59"/>
      <c r="R98" s="59"/>
      <c r="S98" s="59"/>
      <c r="T98" s="59"/>
      <c r="U98" s="59"/>
      <c r="V98" s="59"/>
      <c r="W98" s="59"/>
      <c r="X98" s="59"/>
      <c r="Y98" s="59"/>
      <c r="Z98" s="59"/>
      <c r="AA98" s="59"/>
      <c r="AB98" s="59"/>
      <c r="AC98" s="59"/>
      <c r="AD98" s="59"/>
      <c r="AE98" s="59"/>
      <c r="AF98" s="59"/>
      <c r="AG98" s="59"/>
      <c r="AH98" s="59"/>
      <c r="AI98" s="59"/>
      <c r="AJ98" s="59"/>
      <c r="AK98" s="59"/>
      <c r="AL98" s="59"/>
      <c r="AM98" s="59"/>
      <c r="AN98" s="59"/>
      <c r="AO98" s="59"/>
      <c r="AP98" s="59"/>
      <c r="AQ98" s="59"/>
      <c r="AR98" s="59"/>
      <c r="AS98" s="59"/>
      <c r="AT98" s="59"/>
      <c r="AU98" s="59"/>
      <c r="AV98" s="59"/>
      <c r="AW98" s="59"/>
      <c r="AX98" s="50"/>
    </row>
    <row r="99" spans="4:50" ht="16" hidden="1" customHeight="1" x14ac:dyDescent="0.2">
      <c r="D99" s="49" t="s">
        <v>81</v>
      </c>
      <c r="E99" s="59"/>
      <c r="F99" s="59"/>
      <c r="G99" s="59"/>
      <c r="H99" s="59"/>
      <c r="I99" s="59"/>
      <c r="J99" s="59"/>
      <c r="K99" s="59"/>
      <c r="L99" s="59"/>
      <c r="M99" s="59"/>
      <c r="N99" s="59"/>
      <c r="O99" s="59"/>
      <c r="P99" s="59"/>
      <c r="Q99" s="59"/>
      <c r="R99" s="59"/>
      <c r="S99" s="59"/>
      <c r="T99" s="59"/>
      <c r="U99" s="59"/>
      <c r="V99" s="59"/>
      <c r="W99" s="59"/>
      <c r="X99" s="59"/>
      <c r="Y99" s="59"/>
      <c r="Z99" s="59"/>
      <c r="AA99" s="59"/>
      <c r="AB99" s="59"/>
      <c r="AC99" s="59"/>
      <c r="AD99" s="59"/>
      <c r="AE99" s="59"/>
      <c r="AF99" s="59"/>
      <c r="AG99" s="59"/>
      <c r="AH99" s="59"/>
      <c r="AI99" s="59"/>
      <c r="AJ99" s="59"/>
      <c r="AK99" s="59"/>
      <c r="AL99" s="59"/>
      <c r="AM99" s="59"/>
      <c r="AN99" s="59"/>
      <c r="AO99" s="59"/>
      <c r="AP99" s="59"/>
      <c r="AQ99" s="59"/>
      <c r="AR99" s="59"/>
      <c r="AS99" s="59"/>
      <c r="AT99" s="59"/>
      <c r="AU99" s="59"/>
      <c r="AV99" s="59"/>
      <c r="AW99" s="59"/>
      <c r="AX99" s="51">
        <v>0</v>
      </c>
    </row>
    <row r="100" spans="4:50" ht="16" hidden="1" customHeight="1" x14ac:dyDescent="0.2">
      <c r="D100" s="49" t="s">
        <v>82</v>
      </c>
      <c r="E100" s="59"/>
      <c r="F100" s="59"/>
      <c r="G100" s="59"/>
      <c r="H100" s="59"/>
      <c r="I100" s="59"/>
      <c r="J100" s="59"/>
      <c r="K100" s="59"/>
      <c r="L100" s="59"/>
      <c r="M100" s="59"/>
      <c r="N100" s="59"/>
      <c r="O100" s="59"/>
      <c r="P100" s="59"/>
      <c r="Q100" s="59"/>
      <c r="R100" s="59"/>
      <c r="S100" s="59"/>
      <c r="T100" s="59"/>
      <c r="U100" s="59"/>
      <c r="V100" s="59"/>
      <c r="W100" s="59"/>
      <c r="X100" s="59"/>
      <c r="Y100" s="59"/>
      <c r="Z100" s="59"/>
      <c r="AA100" s="59"/>
      <c r="AB100" s="59"/>
      <c r="AC100" s="59"/>
      <c r="AD100" s="59"/>
      <c r="AE100" s="59"/>
      <c r="AF100" s="59"/>
      <c r="AG100" s="59"/>
      <c r="AH100" s="59"/>
      <c r="AI100" s="59"/>
      <c r="AJ100" s="59"/>
      <c r="AK100" s="59"/>
      <c r="AL100" s="59"/>
      <c r="AM100" s="59"/>
      <c r="AN100" s="59"/>
      <c r="AO100" s="59"/>
      <c r="AP100" s="59"/>
      <c r="AQ100" s="59"/>
      <c r="AR100" s="59"/>
      <c r="AS100" s="59"/>
      <c r="AT100" s="60">
        <v>37.92</v>
      </c>
      <c r="AU100" s="60">
        <v>36.54</v>
      </c>
      <c r="AV100" s="59"/>
      <c r="AW100" s="59"/>
      <c r="AX100" s="51">
        <v>74.459999999999994</v>
      </c>
    </row>
    <row r="101" spans="4:50" ht="16" hidden="1" customHeight="1" x14ac:dyDescent="0.2">
      <c r="D101" s="49" t="s">
        <v>83</v>
      </c>
      <c r="E101" s="60">
        <v>0</v>
      </c>
      <c r="F101" s="60">
        <v>0</v>
      </c>
      <c r="G101" s="60">
        <v>0</v>
      </c>
      <c r="H101" s="60">
        <v>0</v>
      </c>
      <c r="I101" s="60">
        <v>0</v>
      </c>
      <c r="J101" s="60">
        <v>0</v>
      </c>
      <c r="K101" s="60">
        <v>0</v>
      </c>
      <c r="L101" s="60">
        <v>0</v>
      </c>
      <c r="M101" s="60">
        <v>0</v>
      </c>
      <c r="N101" s="60">
        <v>0</v>
      </c>
      <c r="O101" s="60">
        <v>0</v>
      </c>
      <c r="P101" s="60">
        <v>0</v>
      </c>
      <c r="Q101" s="60">
        <v>0</v>
      </c>
      <c r="R101" s="60">
        <v>0</v>
      </c>
      <c r="S101" s="60">
        <v>0</v>
      </c>
      <c r="T101" s="60">
        <v>0</v>
      </c>
      <c r="U101" s="60">
        <v>0</v>
      </c>
      <c r="V101" s="60">
        <v>0</v>
      </c>
      <c r="W101" s="60">
        <v>0</v>
      </c>
      <c r="X101" s="60">
        <v>0</v>
      </c>
      <c r="Y101" s="60">
        <v>0</v>
      </c>
      <c r="Z101" s="60">
        <v>0</v>
      </c>
      <c r="AA101" s="60">
        <v>0</v>
      </c>
      <c r="AB101" s="60">
        <v>0</v>
      </c>
      <c r="AC101" s="60">
        <v>0</v>
      </c>
      <c r="AD101" s="60">
        <v>0</v>
      </c>
      <c r="AE101" s="60">
        <v>0</v>
      </c>
      <c r="AF101" s="60">
        <v>0</v>
      </c>
      <c r="AG101" s="60">
        <v>0</v>
      </c>
      <c r="AH101" s="60">
        <v>0</v>
      </c>
      <c r="AI101" s="60">
        <v>0</v>
      </c>
      <c r="AJ101" s="60">
        <v>0</v>
      </c>
      <c r="AK101" s="60">
        <v>0</v>
      </c>
      <c r="AL101" s="60">
        <v>0</v>
      </c>
      <c r="AM101" s="60">
        <v>0</v>
      </c>
      <c r="AN101" s="60">
        <v>0</v>
      </c>
      <c r="AO101" s="60">
        <v>0</v>
      </c>
      <c r="AP101" s="60">
        <v>0</v>
      </c>
      <c r="AQ101" s="60">
        <v>0</v>
      </c>
      <c r="AR101" s="60">
        <v>0</v>
      </c>
      <c r="AS101" s="60">
        <v>0</v>
      </c>
      <c r="AT101" s="60">
        <v>37.92</v>
      </c>
      <c r="AU101" s="60">
        <v>36.54</v>
      </c>
      <c r="AV101" s="60">
        <v>0</v>
      </c>
      <c r="AW101" s="60">
        <v>0</v>
      </c>
      <c r="AX101" s="54">
        <v>74.459999999999994</v>
      </c>
    </row>
    <row r="102" spans="4:50" ht="16" hidden="1" customHeight="1" x14ac:dyDescent="0.2">
      <c r="D102" s="49" t="s">
        <v>143</v>
      </c>
      <c r="E102" s="59"/>
      <c r="F102" s="59"/>
      <c r="G102" s="59"/>
      <c r="H102" s="59"/>
      <c r="I102" s="59"/>
      <c r="J102" s="59"/>
      <c r="K102" s="59"/>
      <c r="L102" s="59"/>
      <c r="M102" s="59"/>
      <c r="N102" s="59"/>
      <c r="O102" s="59"/>
      <c r="P102" s="59"/>
      <c r="Q102" s="59"/>
      <c r="R102" s="59"/>
      <c r="S102" s="59"/>
      <c r="T102" s="59"/>
      <c r="U102" s="59"/>
      <c r="V102" s="59"/>
      <c r="W102" s="59"/>
      <c r="X102" s="59"/>
      <c r="Y102" s="60">
        <v>4.34</v>
      </c>
      <c r="Z102" s="59"/>
      <c r="AA102" s="59"/>
      <c r="AB102" s="59"/>
      <c r="AC102" s="59"/>
      <c r="AD102" s="59"/>
      <c r="AE102" s="59"/>
      <c r="AF102" s="59"/>
      <c r="AG102" s="59"/>
      <c r="AH102" s="59"/>
      <c r="AI102" s="59"/>
      <c r="AJ102" s="59"/>
      <c r="AK102" s="59"/>
      <c r="AL102" s="59"/>
      <c r="AM102" s="59"/>
      <c r="AN102" s="59"/>
      <c r="AO102" s="59"/>
      <c r="AP102" s="59"/>
      <c r="AQ102" s="59"/>
      <c r="AR102" s="59"/>
      <c r="AS102" s="59"/>
      <c r="AT102" s="59"/>
      <c r="AU102" s="59"/>
      <c r="AV102" s="59"/>
      <c r="AW102" s="59"/>
      <c r="AX102" s="51">
        <v>4.34</v>
      </c>
    </row>
    <row r="103" spans="4:50" ht="16" hidden="1" customHeight="1" x14ac:dyDescent="0.2">
      <c r="D103" s="49" t="s">
        <v>84</v>
      </c>
      <c r="E103" s="60">
        <v>0</v>
      </c>
      <c r="F103" s="60">
        <v>0</v>
      </c>
      <c r="G103" s="60">
        <v>0</v>
      </c>
      <c r="H103" s="60">
        <v>0</v>
      </c>
      <c r="I103" s="60">
        <v>0</v>
      </c>
      <c r="J103" s="60">
        <v>0</v>
      </c>
      <c r="K103" s="60">
        <v>0</v>
      </c>
      <c r="L103" s="60">
        <v>0</v>
      </c>
      <c r="M103" s="60">
        <v>0</v>
      </c>
      <c r="N103" s="60">
        <v>0</v>
      </c>
      <c r="O103" s="60">
        <v>0</v>
      </c>
      <c r="P103" s="60">
        <v>0</v>
      </c>
      <c r="Q103" s="60">
        <v>0</v>
      </c>
      <c r="R103" s="60">
        <v>0</v>
      </c>
      <c r="S103" s="60">
        <v>0</v>
      </c>
      <c r="T103" s="60">
        <v>0</v>
      </c>
      <c r="U103" s="60">
        <v>0</v>
      </c>
      <c r="V103" s="60">
        <v>0</v>
      </c>
      <c r="W103" s="60">
        <v>0</v>
      </c>
      <c r="X103" s="60">
        <v>0</v>
      </c>
      <c r="Y103" s="60">
        <v>4.34</v>
      </c>
      <c r="Z103" s="60">
        <v>0</v>
      </c>
      <c r="AA103" s="60">
        <v>0</v>
      </c>
      <c r="AB103" s="60">
        <v>0</v>
      </c>
      <c r="AC103" s="60">
        <v>0</v>
      </c>
      <c r="AD103" s="60">
        <v>0</v>
      </c>
      <c r="AE103" s="60">
        <v>0</v>
      </c>
      <c r="AF103" s="60">
        <v>0</v>
      </c>
      <c r="AG103" s="60">
        <v>0</v>
      </c>
      <c r="AH103" s="60">
        <v>0</v>
      </c>
      <c r="AI103" s="60">
        <v>0</v>
      </c>
      <c r="AJ103" s="60">
        <v>0</v>
      </c>
      <c r="AK103" s="60">
        <v>0</v>
      </c>
      <c r="AL103" s="60">
        <v>0</v>
      </c>
      <c r="AM103" s="60">
        <v>0</v>
      </c>
      <c r="AN103" s="60">
        <v>0</v>
      </c>
      <c r="AO103" s="60">
        <v>0</v>
      </c>
      <c r="AP103" s="60">
        <v>0</v>
      </c>
      <c r="AQ103" s="60">
        <v>0</v>
      </c>
      <c r="AR103" s="60">
        <v>0</v>
      </c>
      <c r="AS103" s="60">
        <v>0</v>
      </c>
      <c r="AT103" s="60">
        <v>37.92</v>
      </c>
      <c r="AU103" s="60">
        <v>36.54</v>
      </c>
      <c r="AV103" s="60">
        <v>0</v>
      </c>
      <c r="AW103" s="60">
        <v>0</v>
      </c>
      <c r="AX103" s="54">
        <v>78.8</v>
      </c>
    </row>
    <row r="104" spans="4:50" ht="16" hidden="1" customHeight="1" x14ac:dyDescent="0.2">
      <c r="D104" s="49" t="s">
        <v>85</v>
      </c>
      <c r="E104" s="60">
        <v>0</v>
      </c>
      <c r="F104" s="60">
        <v>0</v>
      </c>
      <c r="G104" s="60">
        <v>0</v>
      </c>
      <c r="H104" s="60">
        <v>0</v>
      </c>
      <c r="I104" s="60">
        <v>0</v>
      </c>
      <c r="J104" s="60">
        <v>0</v>
      </c>
      <c r="K104" s="60">
        <v>0</v>
      </c>
      <c r="L104" s="60">
        <v>0</v>
      </c>
      <c r="M104" s="60">
        <v>0</v>
      </c>
      <c r="N104" s="60">
        <v>0</v>
      </c>
      <c r="O104" s="60">
        <v>0</v>
      </c>
      <c r="P104" s="60">
        <v>0</v>
      </c>
      <c r="Q104" s="60">
        <v>0</v>
      </c>
      <c r="R104" s="60">
        <v>0</v>
      </c>
      <c r="S104" s="60">
        <v>0</v>
      </c>
      <c r="T104" s="60">
        <v>0</v>
      </c>
      <c r="U104" s="60">
        <v>0</v>
      </c>
      <c r="V104" s="60">
        <v>0</v>
      </c>
      <c r="W104" s="60">
        <v>0</v>
      </c>
      <c r="X104" s="60">
        <v>0</v>
      </c>
      <c r="Y104" s="60">
        <v>-2.37</v>
      </c>
      <c r="Z104" s="60">
        <v>3.22</v>
      </c>
      <c r="AA104" s="60">
        <v>2.4700000000000002</v>
      </c>
      <c r="AB104" s="60">
        <v>2.41</v>
      </c>
      <c r="AC104" s="60">
        <v>2.34</v>
      </c>
      <c r="AD104" s="60">
        <v>2.48</v>
      </c>
      <c r="AE104" s="60">
        <v>3.99</v>
      </c>
      <c r="AF104" s="60">
        <v>5.81</v>
      </c>
      <c r="AG104" s="60">
        <v>6.96</v>
      </c>
      <c r="AH104" s="60">
        <v>4.3600000000000003</v>
      </c>
      <c r="AI104" s="60">
        <v>4.75</v>
      </c>
      <c r="AJ104" s="60">
        <v>1.95</v>
      </c>
      <c r="AK104" s="60">
        <v>0</v>
      </c>
      <c r="AL104" s="60">
        <v>0</v>
      </c>
      <c r="AM104" s="60">
        <v>0</v>
      </c>
      <c r="AN104" s="60">
        <v>0</v>
      </c>
      <c r="AO104" s="60">
        <v>0</v>
      </c>
      <c r="AP104" s="60">
        <v>0</v>
      </c>
      <c r="AQ104" s="60">
        <v>0</v>
      </c>
      <c r="AR104" s="60">
        <v>0</v>
      </c>
      <c r="AS104" s="60">
        <v>0</v>
      </c>
      <c r="AT104" s="60">
        <v>-37.92</v>
      </c>
      <c r="AU104" s="60">
        <v>-36.54</v>
      </c>
      <c r="AV104" s="60">
        <v>0</v>
      </c>
      <c r="AW104" s="60">
        <v>0</v>
      </c>
      <c r="AX104" s="54">
        <v>-36.090000000000003</v>
      </c>
    </row>
    <row r="105" spans="4:50" ht="16" customHeight="1" x14ac:dyDescent="0.2">
      <c r="D105" s="52" t="s">
        <v>67</v>
      </c>
      <c r="E105" s="58">
        <v>0</v>
      </c>
      <c r="F105" s="58">
        <v>0</v>
      </c>
      <c r="G105" s="58">
        <v>0</v>
      </c>
      <c r="H105" s="58">
        <v>0</v>
      </c>
      <c r="I105" s="58">
        <v>0</v>
      </c>
      <c r="J105" s="58">
        <v>0</v>
      </c>
      <c r="K105" s="58">
        <v>11526.48</v>
      </c>
      <c r="L105" s="58">
        <v>21150.240000000002</v>
      </c>
      <c r="M105" s="58">
        <v>15791.47</v>
      </c>
      <c r="N105" s="58">
        <v>1189.8699999999999</v>
      </c>
      <c r="O105" s="58">
        <v>16886.87</v>
      </c>
      <c r="P105" s="58">
        <v>-20844.16</v>
      </c>
      <c r="Q105" s="58">
        <v>1769.15</v>
      </c>
      <c r="R105" s="58">
        <v>30426.31</v>
      </c>
      <c r="S105" s="58">
        <v>73492.84</v>
      </c>
      <c r="T105" s="58">
        <v>47613.32</v>
      </c>
      <c r="U105" s="58">
        <v>40243.360000000001</v>
      </c>
      <c r="V105" s="58">
        <v>67119.92</v>
      </c>
      <c r="W105" s="58">
        <v>25561.38</v>
      </c>
      <c r="X105" s="58">
        <v>46212.160000000003</v>
      </c>
      <c r="Y105" s="58">
        <v>62997.56</v>
      </c>
      <c r="Z105" s="58">
        <v>25742.14</v>
      </c>
      <c r="AA105" s="58">
        <v>15214.47</v>
      </c>
      <c r="AB105" s="58">
        <v>-277162.21000000002</v>
      </c>
      <c r="AC105" s="58">
        <v>31093.56</v>
      </c>
      <c r="AD105" s="58">
        <v>39308.94</v>
      </c>
      <c r="AE105" s="58">
        <v>40800.35</v>
      </c>
      <c r="AF105" s="58">
        <v>22207.4</v>
      </c>
      <c r="AG105" s="58">
        <v>11723.55</v>
      </c>
      <c r="AH105" s="58">
        <v>29891.040000000001</v>
      </c>
      <c r="AI105" s="58">
        <v>193.74</v>
      </c>
      <c r="AJ105" s="58">
        <v>37837.15</v>
      </c>
      <c r="AK105" s="58">
        <v>-27876.17</v>
      </c>
      <c r="AL105" s="58">
        <v>37804.730000000003</v>
      </c>
      <c r="AM105" s="58">
        <v>-56454.32</v>
      </c>
      <c r="AN105" s="58">
        <v>104423.17</v>
      </c>
      <c r="AO105" s="58">
        <v>-649.86</v>
      </c>
      <c r="AP105" s="58">
        <v>58231.58</v>
      </c>
      <c r="AQ105" s="58">
        <v>5292.53</v>
      </c>
      <c r="AR105" s="58">
        <v>-9677.7199999999993</v>
      </c>
      <c r="AS105" s="58">
        <v>24036.21</v>
      </c>
      <c r="AT105" s="58">
        <v>32860.379999999997</v>
      </c>
      <c r="AU105" s="58">
        <v>-35909.57</v>
      </c>
      <c r="AV105" s="58">
        <v>109301.14</v>
      </c>
      <c r="AW105" s="58">
        <v>22000</v>
      </c>
      <c r="AX105" s="53">
        <v>681369</v>
      </c>
    </row>
    <row r="106" spans="4:50" x14ac:dyDescent="0.2"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  <c r="AU106" s="13"/>
      <c r="AV106" s="13"/>
      <c r="AW106" s="13"/>
    </row>
    <row r="111" spans="4:50" x14ac:dyDescent="0.2">
      <c r="E111" s="61"/>
      <c r="F111" s="61"/>
      <c r="G111" s="61"/>
    </row>
    <row r="112" spans="4:50" x14ac:dyDescent="0.2">
      <c r="E112" s="58"/>
      <c r="F112" s="14"/>
      <c r="G112" s="14"/>
    </row>
    <row r="113" spans="4:49" x14ac:dyDescent="0.2">
      <c r="E113" s="58"/>
      <c r="F113" s="14"/>
      <c r="G113" s="14"/>
    </row>
    <row r="114" spans="4:49" x14ac:dyDescent="0.2">
      <c r="E114" s="58"/>
      <c r="F114" s="14"/>
      <c r="G114" s="14"/>
    </row>
    <row r="116" spans="4:49" x14ac:dyDescent="0.2"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</row>
    <row r="117" spans="4:49" x14ac:dyDescent="0.2"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</row>
    <row r="118" spans="4:49" x14ac:dyDescent="0.2"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</row>
    <row r="119" spans="4:49" x14ac:dyDescent="0.2"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</row>
    <row r="120" spans="4:49" x14ac:dyDescent="0.2"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</row>
    <row r="122" spans="4:49" x14ac:dyDescent="0.2">
      <c r="E122" s="55">
        <v>43831</v>
      </c>
      <c r="F122" s="55">
        <v>43862</v>
      </c>
      <c r="G122" s="55">
        <v>43891</v>
      </c>
      <c r="H122" s="55">
        <v>43922</v>
      </c>
      <c r="I122" s="55">
        <v>43952</v>
      </c>
      <c r="J122" s="55">
        <v>43983</v>
      </c>
      <c r="K122" s="55">
        <v>44013</v>
      </c>
      <c r="L122" s="55">
        <v>44044</v>
      </c>
      <c r="M122" s="55">
        <v>44075</v>
      </c>
      <c r="N122" s="55">
        <v>44105</v>
      </c>
      <c r="O122" s="55">
        <v>44136</v>
      </c>
      <c r="P122" s="55">
        <v>44166</v>
      </c>
      <c r="Q122" s="55">
        <v>44197</v>
      </c>
      <c r="R122" s="55">
        <v>44228</v>
      </c>
      <c r="S122" s="55">
        <v>44256</v>
      </c>
      <c r="T122" s="55">
        <v>44287</v>
      </c>
      <c r="U122" s="55">
        <v>44317</v>
      </c>
      <c r="V122" s="55">
        <v>44348</v>
      </c>
      <c r="W122" s="55">
        <v>44378</v>
      </c>
      <c r="X122" s="55">
        <v>44409</v>
      </c>
      <c r="Y122" s="55">
        <v>44440</v>
      </c>
      <c r="Z122" s="55">
        <v>44470</v>
      </c>
      <c r="AA122" s="55">
        <v>44501</v>
      </c>
      <c r="AB122" s="55">
        <v>44531</v>
      </c>
      <c r="AC122" s="55">
        <v>44562</v>
      </c>
      <c r="AD122" s="55">
        <v>44593</v>
      </c>
      <c r="AE122" s="55">
        <v>44621</v>
      </c>
      <c r="AF122" s="55">
        <v>44652</v>
      </c>
      <c r="AG122" s="55">
        <v>44682</v>
      </c>
      <c r="AH122" s="55">
        <v>44713</v>
      </c>
      <c r="AI122" s="55">
        <v>44743</v>
      </c>
      <c r="AJ122" s="55">
        <v>44774</v>
      </c>
      <c r="AK122" s="55">
        <v>44805</v>
      </c>
      <c r="AL122" s="55">
        <v>44835</v>
      </c>
      <c r="AM122" s="55">
        <v>44866</v>
      </c>
      <c r="AN122" s="55">
        <v>44896</v>
      </c>
      <c r="AO122" s="55">
        <v>44927</v>
      </c>
      <c r="AP122" s="55">
        <v>44958</v>
      </c>
      <c r="AQ122" s="55">
        <v>44986</v>
      </c>
      <c r="AR122" s="55">
        <v>45017</v>
      </c>
      <c r="AS122" s="55">
        <v>45047</v>
      </c>
      <c r="AT122" s="55">
        <v>45078</v>
      </c>
      <c r="AU122" s="55">
        <v>45108</v>
      </c>
      <c r="AV122" s="55">
        <v>45139</v>
      </c>
      <c r="AW122" s="55">
        <v>45170</v>
      </c>
    </row>
    <row r="123" spans="4:49" x14ac:dyDescent="0.2">
      <c r="D123" s="25" t="s">
        <v>90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15900.11</v>
      </c>
      <c r="L123">
        <v>23200</v>
      </c>
      <c r="M123">
        <v>12450</v>
      </c>
      <c r="N123">
        <v>2300</v>
      </c>
      <c r="O123">
        <v>28433</v>
      </c>
      <c r="P123">
        <v>3148.57</v>
      </c>
      <c r="Q123">
        <v>21.77</v>
      </c>
      <c r="R123">
        <v>26635</v>
      </c>
      <c r="S123">
        <v>42500</v>
      </c>
      <c r="T123">
        <v>27525</v>
      </c>
      <c r="U123">
        <v>30650</v>
      </c>
      <c r="V123">
        <v>35950</v>
      </c>
      <c r="W123">
        <v>19700</v>
      </c>
      <c r="X123">
        <v>39251.279999999999</v>
      </c>
      <c r="Y123">
        <v>47300</v>
      </c>
      <c r="Z123">
        <v>18850</v>
      </c>
      <c r="AA123">
        <v>18050.5</v>
      </c>
      <c r="AB123">
        <v>62832</v>
      </c>
      <c r="AC123">
        <v>58517</v>
      </c>
      <c r="AD123">
        <v>76504</v>
      </c>
      <c r="AE123">
        <v>67875</v>
      </c>
      <c r="AF123">
        <v>103750</v>
      </c>
      <c r="AG123">
        <v>81580</v>
      </c>
      <c r="AH123">
        <v>89560</v>
      </c>
      <c r="AI123">
        <v>69850</v>
      </c>
      <c r="AJ123">
        <v>87945</v>
      </c>
      <c r="AK123">
        <v>30650</v>
      </c>
      <c r="AL123">
        <v>106425</v>
      </c>
      <c r="AM123">
        <v>24895</v>
      </c>
      <c r="AN123">
        <v>180749.17</v>
      </c>
      <c r="AO123">
        <v>59380</v>
      </c>
      <c r="AP123">
        <v>92300</v>
      </c>
      <c r="AQ123">
        <v>66750</v>
      </c>
      <c r="AR123">
        <v>78720</v>
      </c>
      <c r="AS123">
        <v>118340</v>
      </c>
      <c r="AT123">
        <v>102365.05</v>
      </c>
      <c r="AU123">
        <v>66713</v>
      </c>
      <c r="AV123">
        <v>160095.51999999999</v>
      </c>
      <c r="AW123">
        <v>22000</v>
      </c>
    </row>
    <row r="124" spans="4:49" x14ac:dyDescent="0.2">
      <c r="D124" s="25" t="s">
        <v>340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2573.63</v>
      </c>
      <c r="L124">
        <v>1130.33</v>
      </c>
      <c r="M124">
        <v>327.60000000000002</v>
      </c>
      <c r="N124">
        <v>2066.7199999999998</v>
      </c>
      <c r="O124">
        <v>1571.12</v>
      </c>
      <c r="P124">
        <v>2464.13</v>
      </c>
      <c r="Q124">
        <v>457.12</v>
      </c>
      <c r="R124">
        <v>3032.48</v>
      </c>
      <c r="S124">
        <v>2430.64</v>
      </c>
      <c r="T124">
        <v>5896.77</v>
      </c>
      <c r="U124">
        <v>3353.24</v>
      </c>
      <c r="V124">
        <v>4913.5</v>
      </c>
      <c r="W124">
        <v>5606.01</v>
      </c>
      <c r="X124">
        <v>3928.15</v>
      </c>
      <c r="Y124">
        <v>9327.14</v>
      </c>
      <c r="Z124">
        <v>14266.13</v>
      </c>
      <c r="AA124">
        <v>7366.9</v>
      </c>
      <c r="AB124">
        <v>20308.25</v>
      </c>
      <c r="AC124">
        <v>4981.6400000000003</v>
      </c>
      <c r="AD124">
        <v>13258.78</v>
      </c>
      <c r="AE124">
        <v>5062.8100000000004</v>
      </c>
      <c r="AF124">
        <v>11411.83</v>
      </c>
      <c r="AG124">
        <v>11466.37</v>
      </c>
      <c r="AH124">
        <v>12898.83</v>
      </c>
      <c r="AI124">
        <v>11587.27</v>
      </c>
      <c r="AJ124">
        <v>8775.1299999999992</v>
      </c>
      <c r="AK124">
        <v>15447.97</v>
      </c>
      <c r="AL124">
        <v>21657.31</v>
      </c>
      <c r="AM124">
        <v>43161.51</v>
      </c>
      <c r="AN124">
        <v>37691.85</v>
      </c>
      <c r="AO124">
        <v>10040.24</v>
      </c>
      <c r="AP124">
        <v>18649.810000000001</v>
      </c>
      <c r="AQ124">
        <v>32926.31</v>
      </c>
      <c r="AR124">
        <v>38246.980000000003</v>
      </c>
      <c r="AS124">
        <v>46029.34</v>
      </c>
      <c r="AT124">
        <v>40131.660000000003</v>
      </c>
      <c r="AU124">
        <v>41960.11</v>
      </c>
      <c r="AV124">
        <v>8042.95</v>
      </c>
      <c r="AW124">
        <v>0</v>
      </c>
    </row>
    <row r="125" spans="4:49" x14ac:dyDescent="0.2">
      <c r="D125" s="25" t="s">
        <v>21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13326.48</v>
      </c>
      <c r="L125">
        <v>24169.67</v>
      </c>
      <c r="M125">
        <v>17692.400000000001</v>
      </c>
      <c r="N125">
        <v>5933.28</v>
      </c>
      <c r="O125">
        <v>32116.880000000001</v>
      </c>
      <c r="P125">
        <v>-16704.669999999998</v>
      </c>
      <c r="Q125">
        <v>13914.65</v>
      </c>
      <c r="R125">
        <v>35657.519999999997</v>
      </c>
      <c r="S125">
        <v>77718.61</v>
      </c>
      <c r="T125">
        <v>57097.7</v>
      </c>
      <c r="U125">
        <v>49717.73</v>
      </c>
      <c r="V125">
        <v>75570.25</v>
      </c>
      <c r="W125">
        <v>35051.18</v>
      </c>
      <c r="X125">
        <v>60412.73</v>
      </c>
      <c r="Y125">
        <v>77606.210000000006</v>
      </c>
      <c r="Z125">
        <v>34696.17</v>
      </c>
      <c r="AA125">
        <v>27541.1</v>
      </c>
      <c r="AB125">
        <v>-260386.38</v>
      </c>
      <c r="AC125">
        <v>52685.36</v>
      </c>
      <c r="AD125">
        <v>60945.22</v>
      </c>
      <c r="AE125">
        <v>62562.19</v>
      </c>
      <c r="AF125">
        <v>92378.17</v>
      </c>
      <c r="AG125">
        <v>70113.63</v>
      </c>
      <c r="AH125">
        <v>76561.17</v>
      </c>
      <c r="AI125">
        <v>58262.73</v>
      </c>
      <c r="AJ125">
        <v>79669.87</v>
      </c>
      <c r="AK125">
        <v>15202.03</v>
      </c>
      <c r="AL125">
        <v>84417.69</v>
      </c>
      <c r="AM125">
        <v>-28166.51</v>
      </c>
      <c r="AN125">
        <v>145057.32</v>
      </c>
      <c r="AO125">
        <v>53614.76</v>
      </c>
      <c r="AP125">
        <v>138900.19</v>
      </c>
      <c r="AQ125">
        <v>74065.69</v>
      </c>
      <c r="AR125">
        <v>47973.02</v>
      </c>
      <c r="AS125">
        <v>88835.66</v>
      </c>
      <c r="AT125">
        <v>157719.39000000001</v>
      </c>
      <c r="AU125">
        <v>34277.89</v>
      </c>
      <c r="AV125">
        <v>151552.57</v>
      </c>
      <c r="AW125">
        <v>22000</v>
      </c>
    </row>
    <row r="126" spans="4:49" x14ac:dyDescent="0.2">
      <c r="D126" s="25" t="s">
        <v>65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1800</v>
      </c>
      <c r="L126">
        <v>3019.43</v>
      </c>
      <c r="M126">
        <v>1900.93</v>
      </c>
      <c r="N126">
        <v>4743.41</v>
      </c>
      <c r="O126">
        <v>15230.01</v>
      </c>
      <c r="P126">
        <v>4139.49</v>
      </c>
      <c r="Q126">
        <v>12145.5</v>
      </c>
      <c r="R126">
        <v>5231.21</v>
      </c>
      <c r="S126">
        <v>4225.7700000000004</v>
      </c>
      <c r="T126">
        <v>9484.3799999999992</v>
      </c>
      <c r="U126">
        <v>9474.3700000000008</v>
      </c>
      <c r="V126">
        <v>8450.33</v>
      </c>
      <c r="W126">
        <v>9489.7999999999993</v>
      </c>
      <c r="X126">
        <v>14200.57</v>
      </c>
      <c r="Y126">
        <v>14606.28</v>
      </c>
      <c r="Z126">
        <v>8957.25</v>
      </c>
      <c r="AA126">
        <v>12329.1</v>
      </c>
      <c r="AB126">
        <v>16778.240000000002</v>
      </c>
      <c r="AC126">
        <v>21594.14</v>
      </c>
      <c r="AD126">
        <v>21638.76</v>
      </c>
      <c r="AE126">
        <v>21765.83</v>
      </c>
      <c r="AF126">
        <v>70176.58</v>
      </c>
      <c r="AG126">
        <v>58397.04</v>
      </c>
      <c r="AH126">
        <v>46674.49</v>
      </c>
      <c r="AI126">
        <v>58073.74</v>
      </c>
      <c r="AJ126">
        <v>41834.67</v>
      </c>
      <c r="AK126">
        <v>43078.2</v>
      </c>
      <c r="AL126">
        <v>46612.959999999999</v>
      </c>
      <c r="AM126">
        <v>28287.81</v>
      </c>
      <c r="AN126">
        <v>40634.15</v>
      </c>
      <c r="AO126">
        <v>54264.62</v>
      </c>
      <c r="AP126">
        <v>80668.61</v>
      </c>
      <c r="AQ126">
        <v>68773.16</v>
      </c>
      <c r="AR126">
        <v>57650.74</v>
      </c>
      <c r="AS126">
        <v>64799.45</v>
      </c>
      <c r="AT126">
        <v>124821.09</v>
      </c>
      <c r="AU126">
        <v>70150.92</v>
      </c>
      <c r="AV126">
        <v>42251.43</v>
      </c>
      <c r="AW126">
        <v>0</v>
      </c>
    </row>
    <row r="127" spans="4:49" x14ac:dyDescent="0.2">
      <c r="D127" s="25" t="s">
        <v>67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11526.48</v>
      </c>
      <c r="L127">
        <v>21150.240000000002</v>
      </c>
      <c r="M127">
        <v>15791.47</v>
      </c>
      <c r="N127">
        <v>1189.8699999999999</v>
      </c>
      <c r="O127">
        <v>16886.87</v>
      </c>
      <c r="P127">
        <v>-20844.16</v>
      </c>
      <c r="Q127">
        <v>1769.15</v>
      </c>
      <c r="R127">
        <v>30426.31</v>
      </c>
      <c r="S127">
        <v>73492.84</v>
      </c>
      <c r="T127">
        <v>47613.32</v>
      </c>
      <c r="U127">
        <v>40243.360000000001</v>
      </c>
      <c r="V127">
        <v>67119.92</v>
      </c>
      <c r="W127">
        <v>25561.38</v>
      </c>
      <c r="X127">
        <v>46212.160000000003</v>
      </c>
      <c r="Y127">
        <v>62999.93</v>
      </c>
      <c r="Z127">
        <v>25738.92</v>
      </c>
      <c r="AA127">
        <v>15212</v>
      </c>
      <c r="AB127">
        <v>-277164.62</v>
      </c>
      <c r="AC127">
        <v>31091.22</v>
      </c>
      <c r="AD127">
        <v>39306.46</v>
      </c>
      <c r="AE127">
        <v>40796.36</v>
      </c>
      <c r="AF127">
        <v>22201.59</v>
      </c>
      <c r="AG127">
        <v>11716.59</v>
      </c>
      <c r="AH127">
        <v>29886.68</v>
      </c>
      <c r="AI127">
        <v>188.99</v>
      </c>
      <c r="AJ127">
        <v>37835.199999999997</v>
      </c>
      <c r="AK127">
        <v>-27876.17</v>
      </c>
      <c r="AL127">
        <v>37804.730000000003</v>
      </c>
      <c r="AM127">
        <v>-56454.32</v>
      </c>
      <c r="AN127">
        <v>104423.17</v>
      </c>
      <c r="AO127">
        <v>-649.86</v>
      </c>
      <c r="AP127">
        <v>58231.58</v>
      </c>
      <c r="AQ127">
        <v>5292.53</v>
      </c>
      <c r="AR127">
        <v>-9677.7199999999993</v>
      </c>
      <c r="AS127">
        <v>24036.21</v>
      </c>
      <c r="AT127">
        <v>32898.300000000003</v>
      </c>
      <c r="AU127">
        <v>-35873.03</v>
      </c>
      <c r="AV127">
        <v>109301.14</v>
      </c>
      <c r="AW127">
        <v>22000</v>
      </c>
    </row>
    <row r="136" spans="4:9" x14ac:dyDescent="0.2">
      <c r="D136" s="25" t="s">
        <v>342</v>
      </c>
      <c r="E136" s="25" t="s">
        <v>339</v>
      </c>
      <c r="F136" s="25" t="s">
        <v>340</v>
      </c>
      <c r="G136" s="25" t="s">
        <v>343</v>
      </c>
      <c r="H136" s="25" t="s">
        <v>344</v>
      </c>
      <c r="I136" s="25" t="s">
        <v>341</v>
      </c>
    </row>
    <row r="137" spans="4:9" x14ac:dyDescent="0.2">
      <c r="D137" s="55">
        <v>43831</v>
      </c>
      <c r="E137">
        <v>0</v>
      </c>
      <c r="F137">
        <v>0</v>
      </c>
      <c r="G137">
        <v>0</v>
      </c>
      <c r="H137">
        <v>0</v>
      </c>
      <c r="I137">
        <v>0</v>
      </c>
    </row>
    <row r="138" spans="4:9" x14ac:dyDescent="0.2">
      <c r="D138" s="55">
        <v>43862</v>
      </c>
      <c r="E138">
        <v>0</v>
      </c>
      <c r="F138">
        <v>0</v>
      </c>
      <c r="G138">
        <v>0</v>
      </c>
      <c r="H138">
        <v>0</v>
      </c>
      <c r="I138">
        <v>0</v>
      </c>
    </row>
    <row r="139" spans="4:9" x14ac:dyDescent="0.2">
      <c r="D139" s="55">
        <v>43891</v>
      </c>
      <c r="E139">
        <v>0</v>
      </c>
      <c r="F139">
        <v>0</v>
      </c>
      <c r="G139">
        <v>0</v>
      </c>
      <c r="H139">
        <v>0</v>
      </c>
      <c r="I139">
        <v>0</v>
      </c>
    </row>
    <row r="140" spans="4:9" x14ac:dyDescent="0.2">
      <c r="D140" s="55">
        <v>43922</v>
      </c>
      <c r="E140">
        <v>0</v>
      </c>
      <c r="F140">
        <v>0</v>
      </c>
      <c r="G140">
        <v>0</v>
      </c>
      <c r="H140">
        <v>0</v>
      </c>
      <c r="I140">
        <v>0</v>
      </c>
    </row>
    <row r="141" spans="4:9" x14ac:dyDescent="0.2">
      <c r="D141" s="55">
        <v>43952</v>
      </c>
      <c r="E141">
        <v>0</v>
      </c>
      <c r="F141">
        <v>0</v>
      </c>
      <c r="G141">
        <v>0</v>
      </c>
      <c r="H141">
        <v>0</v>
      </c>
      <c r="I141">
        <v>0</v>
      </c>
    </row>
    <row r="142" spans="4:9" x14ac:dyDescent="0.2">
      <c r="D142" s="55">
        <v>43983</v>
      </c>
      <c r="E142">
        <v>0</v>
      </c>
      <c r="F142">
        <v>0</v>
      </c>
      <c r="G142">
        <v>0</v>
      </c>
      <c r="H142">
        <v>0</v>
      </c>
      <c r="I142">
        <v>0</v>
      </c>
    </row>
    <row r="143" spans="4:9" x14ac:dyDescent="0.2">
      <c r="D143" s="55">
        <v>44013</v>
      </c>
      <c r="E143">
        <v>15900.11</v>
      </c>
      <c r="F143">
        <v>2573.63</v>
      </c>
      <c r="G143">
        <v>13326.48</v>
      </c>
      <c r="H143">
        <v>1800</v>
      </c>
      <c r="I143">
        <v>11526.48</v>
      </c>
    </row>
    <row r="144" spans="4:9" x14ac:dyDescent="0.2">
      <c r="D144" s="55">
        <v>44044</v>
      </c>
      <c r="E144">
        <v>23200</v>
      </c>
      <c r="F144">
        <v>1130.33</v>
      </c>
      <c r="G144">
        <v>24169.67</v>
      </c>
      <c r="H144">
        <v>3019.43</v>
      </c>
      <c r="I144">
        <v>21150.240000000002</v>
      </c>
    </row>
    <row r="145" spans="4:9" x14ac:dyDescent="0.2">
      <c r="D145" s="55">
        <v>44075</v>
      </c>
      <c r="E145">
        <v>12450</v>
      </c>
      <c r="F145">
        <v>327.60000000000002</v>
      </c>
      <c r="G145">
        <v>17692.400000000001</v>
      </c>
      <c r="H145">
        <v>1900.93</v>
      </c>
      <c r="I145">
        <v>15791.47</v>
      </c>
    </row>
    <row r="146" spans="4:9" x14ac:dyDescent="0.2">
      <c r="D146" s="55">
        <v>44105</v>
      </c>
      <c r="E146">
        <v>2300</v>
      </c>
      <c r="F146">
        <v>2066.7199999999998</v>
      </c>
      <c r="G146">
        <v>5933.28</v>
      </c>
      <c r="H146">
        <v>4743.41</v>
      </c>
      <c r="I146">
        <v>1189.8699999999999</v>
      </c>
    </row>
    <row r="147" spans="4:9" x14ac:dyDescent="0.2">
      <c r="D147" s="55">
        <v>44136</v>
      </c>
      <c r="E147">
        <v>28433</v>
      </c>
      <c r="F147">
        <v>1571.12</v>
      </c>
      <c r="G147">
        <v>32116.880000000001</v>
      </c>
      <c r="H147">
        <v>15230.01</v>
      </c>
      <c r="I147">
        <v>16886.87</v>
      </c>
    </row>
    <row r="148" spans="4:9" x14ac:dyDescent="0.2">
      <c r="D148" s="55">
        <v>44166</v>
      </c>
      <c r="E148">
        <v>3148.57</v>
      </c>
      <c r="F148">
        <v>2464.13</v>
      </c>
      <c r="G148">
        <v>-16704.669999999998</v>
      </c>
      <c r="H148">
        <v>4139.49</v>
      </c>
      <c r="I148">
        <v>-20844.16</v>
      </c>
    </row>
    <row r="149" spans="4:9" x14ac:dyDescent="0.2">
      <c r="D149" s="55">
        <v>44197</v>
      </c>
      <c r="E149">
        <v>21.77</v>
      </c>
      <c r="F149">
        <v>457.12</v>
      </c>
      <c r="G149">
        <v>13914.65</v>
      </c>
      <c r="H149">
        <v>12145.5</v>
      </c>
      <c r="I149">
        <v>1769.15</v>
      </c>
    </row>
    <row r="150" spans="4:9" x14ac:dyDescent="0.2">
      <c r="D150" s="55">
        <v>44228</v>
      </c>
      <c r="E150">
        <v>26635</v>
      </c>
      <c r="F150">
        <v>3032.48</v>
      </c>
      <c r="G150">
        <v>35657.519999999997</v>
      </c>
      <c r="H150">
        <v>5231.21</v>
      </c>
      <c r="I150">
        <v>30426.31</v>
      </c>
    </row>
    <row r="151" spans="4:9" x14ac:dyDescent="0.2">
      <c r="D151" s="55">
        <v>44256</v>
      </c>
      <c r="E151">
        <v>42500</v>
      </c>
      <c r="F151">
        <v>2430.64</v>
      </c>
      <c r="G151">
        <v>77718.61</v>
      </c>
      <c r="H151">
        <v>4225.7700000000004</v>
      </c>
      <c r="I151">
        <v>73492.84</v>
      </c>
    </row>
    <row r="152" spans="4:9" x14ac:dyDescent="0.2">
      <c r="D152" s="55">
        <v>44287</v>
      </c>
      <c r="E152">
        <v>27525</v>
      </c>
      <c r="F152">
        <v>5896.77</v>
      </c>
      <c r="G152">
        <v>57097.7</v>
      </c>
      <c r="H152">
        <v>9484.3799999999992</v>
      </c>
      <c r="I152">
        <v>47613.32</v>
      </c>
    </row>
    <row r="153" spans="4:9" x14ac:dyDescent="0.2">
      <c r="D153" s="55">
        <v>44317</v>
      </c>
      <c r="E153">
        <v>30650</v>
      </c>
      <c r="F153">
        <v>3353.24</v>
      </c>
      <c r="G153">
        <v>49717.73</v>
      </c>
      <c r="H153">
        <v>9474.3700000000008</v>
      </c>
      <c r="I153">
        <v>40243.360000000001</v>
      </c>
    </row>
    <row r="154" spans="4:9" x14ac:dyDescent="0.2">
      <c r="D154" s="55">
        <v>44348</v>
      </c>
      <c r="E154">
        <v>35950</v>
      </c>
      <c r="F154">
        <v>4913.5</v>
      </c>
      <c r="G154">
        <v>75570.25</v>
      </c>
      <c r="H154">
        <v>8450.33</v>
      </c>
      <c r="I154">
        <v>67119.92</v>
      </c>
    </row>
    <row r="155" spans="4:9" x14ac:dyDescent="0.2">
      <c r="D155" s="55">
        <v>44378</v>
      </c>
      <c r="E155">
        <v>19700</v>
      </c>
      <c r="F155">
        <v>5606.01</v>
      </c>
      <c r="G155">
        <v>35051.18</v>
      </c>
      <c r="H155">
        <v>9489.7999999999993</v>
      </c>
      <c r="I155">
        <v>25561.38</v>
      </c>
    </row>
    <row r="156" spans="4:9" x14ac:dyDescent="0.2">
      <c r="D156" s="55">
        <v>44409</v>
      </c>
      <c r="E156">
        <v>39251.279999999999</v>
      </c>
      <c r="F156">
        <v>3928.15</v>
      </c>
      <c r="G156">
        <v>60412.73</v>
      </c>
      <c r="H156">
        <v>14200.57</v>
      </c>
      <c r="I156">
        <v>46212.160000000003</v>
      </c>
    </row>
    <row r="157" spans="4:9" x14ac:dyDescent="0.2">
      <c r="D157" s="55">
        <v>44440</v>
      </c>
      <c r="E157">
        <v>47300</v>
      </c>
      <c r="F157">
        <v>9327.14</v>
      </c>
      <c r="G157">
        <v>77606.210000000006</v>
      </c>
      <c r="H157">
        <v>14606.28</v>
      </c>
      <c r="I157">
        <v>62999.93</v>
      </c>
    </row>
    <row r="158" spans="4:9" x14ac:dyDescent="0.2">
      <c r="D158" s="55">
        <v>44470</v>
      </c>
      <c r="E158">
        <v>18850</v>
      </c>
      <c r="F158">
        <v>14266.13</v>
      </c>
      <c r="G158">
        <v>34696.17</v>
      </c>
      <c r="H158">
        <v>8957.25</v>
      </c>
      <c r="I158">
        <v>25738.92</v>
      </c>
    </row>
    <row r="159" spans="4:9" x14ac:dyDescent="0.2">
      <c r="D159" s="55">
        <v>44501</v>
      </c>
      <c r="E159">
        <v>18050.5</v>
      </c>
      <c r="F159">
        <v>7366.9</v>
      </c>
      <c r="G159">
        <v>27541.1</v>
      </c>
      <c r="H159">
        <v>12329.1</v>
      </c>
      <c r="I159">
        <v>15212</v>
      </c>
    </row>
    <row r="160" spans="4:9" x14ac:dyDescent="0.2">
      <c r="D160" s="55">
        <v>44531</v>
      </c>
      <c r="E160">
        <v>62832</v>
      </c>
      <c r="F160">
        <v>20308.25</v>
      </c>
      <c r="G160">
        <v>-260386.38</v>
      </c>
      <c r="H160">
        <v>16778.240000000002</v>
      </c>
      <c r="I160">
        <v>-277164.62</v>
      </c>
    </row>
    <row r="161" spans="4:9" x14ac:dyDescent="0.2">
      <c r="D161" s="55">
        <v>44562</v>
      </c>
      <c r="E161">
        <v>58517</v>
      </c>
      <c r="F161">
        <v>4981.6400000000003</v>
      </c>
      <c r="G161">
        <v>52685.36</v>
      </c>
      <c r="H161">
        <v>21594.14</v>
      </c>
      <c r="I161">
        <v>31091.22</v>
      </c>
    </row>
    <row r="162" spans="4:9" x14ac:dyDescent="0.2">
      <c r="D162" s="55">
        <v>44593</v>
      </c>
      <c r="E162">
        <v>76504</v>
      </c>
      <c r="F162">
        <v>13258.78</v>
      </c>
      <c r="G162">
        <v>60945.22</v>
      </c>
      <c r="H162">
        <v>21638.76</v>
      </c>
      <c r="I162">
        <v>39306.46</v>
      </c>
    </row>
    <row r="163" spans="4:9" x14ac:dyDescent="0.2">
      <c r="D163" s="55">
        <v>44621</v>
      </c>
      <c r="E163">
        <v>67875</v>
      </c>
      <c r="F163">
        <v>5062.8100000000004</v>
      </c>
      <c r="G163">
        <v>62562.19</v>
      </c>
      <c r="H163">
        <v>21765.83</v>
      </c>
      <c r="I163">
        <v>40796.36</v>
      </c>
    </row>
    <row r="164" spans="4:9" x14ac:dyDescent="0.2">
      <c r="D164" s="55">
        <v>44652</v>
      </c>
      <c r="E164">
        <v>103750</v>
      </c>
      <c r="F164">
        <v>11411.83</v>
      </c>
      <c r="G164">
        <v>92378.17</v>
      </c>
      <c r="H164">
        <v>70176.58</v>
      </c>
      <c r="I164">
        <v>22201.59</v>
      </c>
    </row>
    <row r="165" spans="4:9" x14ac:dyDescent="0.2">
      <c r="D165" s="55">
        <v>44682</v>
      </c>
      <c r="E165">
        <v>81580</v>
      </c>
      <c r="F165">
        <v>11466.37</v>
      </c>
      <c r="G165">
        <v>70113.63</v>
      </c>
      <c r="H165">
        <v>58397.04</v>
      </c>
      <c r="I165">
        <v>11716.59</v>
      </c>
    </row>
    <row r="166" spans="4:9" x14ac:dyDescent="0.2">
      <c r="D166" s="55">
        <v>44713</v>
      </c>
      <c r="E166">
        <v>89560</v>
      </c>
      <c r="F166">
        <v>12898.83</v>
      </c>
      <c r="G166">
        <v>76561.17</v>
      </c>
      <c r="H166">
        <v>46674.49</v>
      </c>
      <c r="I166">
        <v>29886.68</v>
      </c>
    </row>
    <row r="167" spans="4:9" x14ac:dyDescent="0.2">
      <c r="D167" s="55">
        <v>44743</v>
      </c>
      <c r="E167">
        <v>69850</v>
      </c>
      <c r="F167">
        <v>11587.27</v>
      </c>
      <c r="G167">
        <v>58262.73</v>
      </c>
      <c r="H167">
        <v>58073.74</v>
      </c>
      <c r="I167">
        <v>188.99</v>
      </c>
    </row>
    <row r="168" spans="4:9" x14ac:dyDescent="0.2">
      <c r="D168" s="55">
        <v>44774</v>
      </c>
      <c r="E168">
        <v>87945</v>
      </c>
      <c r="F168">
        <v>8775.1299999999992</v>
      </c>
      <c r="G168">
        <v>79669.87</v>
      </c>
      <c r="H168">
        <v>41834.67</v>
      </c>
      <c r="I168">
        <v>37835.199999999997</v>
      </c>
    </row>
    <row r="169" spans="4:9" x14ac:dyDescent="0.2">
      <c r="D169" s="55">
        <v>44805</v>
      </c>
      <c r="E169">
        <v>30650</v>
      </c>
      <c r="F169">
        <v>15447.97</v>
      </c>
      <c r="G169">
        <v>15202.03</v>
      </c>
      <c r="H169">
        <v>43078.2</v>
      </c>
      <c r="I169">
        <v>-27876.17</v>
      </c>
    </row>
    <row r="170" spans="4:9" x14ac:dyDescent="0.2">
      <c r="D170" s="55">
        <v>44835</v>
      </c>
      <c r="E170">
        <v>106425</v>
      </c>
      <c r="F170">
        <v>21657.31</v>
      </c>
      <c r="G170">
        <v>84417.69</v>
      </c>
      <c r="H170">
        <v>46612.959999999999</v>
      </c>
      <c r="I170">
        <v>37804.730000000003</v>
      </c>
    </row>
    <row r="171" spans="4:9" x14ac:dyDescent="0.2">
      <c r="D171" s="55">
        <v>44866</v>
      </c>
      <c r="E171">
        <v>24895</v>
      </c>
      <c r="F171">
        <v>43161.51</v>
      </c>
      <c r="G171">
        <v>-28166.51</v>
      </c>
      <c r="H171">
        <v>28287.81</v>
      </c>
      <c r="I171">
        <v>-56454.32</v>
      </c>
    </row>
    <row r="172" spans="4:9" x14ac:dyDescent="0.2">
      <c r="D172" s="55">
        <v>44896</v>
      </c>
      <c r="E172">
        <v>180749.17</v>
      </c>
      <c r="F172">
        <v>37691.85</v>
      </c>
      <c r="G172">
        <v>145057.32</v>
      </c>
      <c r="H172">
        <v>40634.15</v>
      </c>
      <c r="I172">
        <v>104423.17</v>
      </c>
    </row>
    <row r="173" spans="4:9" x14ac:dyDescent="0.2">
      <c r="D173" s="55">
        <v>44927</v>
      </c>
      <c r="E173">
        <v>59380</v>
      </c>
      <c r="F173">
        <v>10040.24</v>
      </c>
      <c r="G173">
        <v>53614.76</v>
      </c>
      <c r="H173">
        <v>54264.62</v>
      </c>
      <c r="I173">
        <v>-649.86</v>
      </c>
    </row>
    <row r="174" spans="4:9" x14ac:dyDescent="0.2">
      <c r="D174" s="55">
        <v>44958</v>
      </c>
      <c r="E174">
        <v>92300</v>
      </c>
      <c r="F174">
        <v>18649.810000000001</v>
      </c>
      <c r="G174">
        <v>138900.19</v>
      </c>
      <c r="H174">
        <v>80668.61</v>
      </c>
      <c r="I174">
        <v>58231.58</v>
      </c>
    </row>
    <row r="175" spans="4:9" x14ac:dyDescent="0.2">
      <c r="D175" s="55">
        <v>44986</v>
      </c>
      <c r="E175">
        <v>66750</v>
      </c>
      <c r="F175">
        <v>32926.31</v>
      </c>
      <c r="G175">
        <v>74065.69</v>
      </c>
      <c r="H175">
        <v>68773.16</v>
      </c>
      <c r="I175">
        <v>5292.53</v>
      </c>
    </row>
    <row r="176" spans="4:9" x14ac:dyDescent="0.2">
      <c r="D176" s="55">
        <v>45017</v>
      </c>
      <c r="E176">
        <v>78720</v>
      </c>
      <c r="F176">
        <v>38246.980000000003</v>
      </c>
      <c r="G176">
        <v>47973.02</v>
      </c>
      <c r="H176">
        <v>57650.74</v>
      </c>
      <c r="I176">
        <v>-9677.7199999999993</v>
      </c>
    </row>
    <row r="177" spans="4:9" x14ac:dyDescent="0.2">
      <c r="D177" s="55">
        <v>45047</v>
      </c>
      <c r="E177">
        <v>118340</v>
      </c>
      <c r="F177">
        <v>46029.34</v>
      </c>
      <c r="G177">
        <v>88835.66</v>
      </c>
      <c r="H177">
        <v>64799.45</v>
      </c>
      <c r="I177">
        <v>24036.21</v>
      </c>
    </row>
    <row r="178" spans="4:9" x14ac:dyDescent="0.2">
      <c r="D178" s="55">
        <v>45078</v>
      </c>
      <c r="E178">
        <v>102365.05</v>
      </c>
      <c r="F178">
        <v>40131.660000000003</v>
      </c>
      <c r="G178">
        <v>157719.39000000001</v>
      </c>
      <c r="H178">
        <v>124821.09</v>
      </c>
      <c r="I178">
        <v>32898.300000000003</v>
      </c>
    </row>
    <row r="179" spans="4:9" x14ac:dyDescent="0.2">
      <c r="D179" s="55">
        <v>45108</v>
      </c>
      <c r="E179">
        <v>66713</v>
      </c>
      <c r="F179">
        <v>41960.11</v>
      </c>
      <c r="G179">
        <v>34277.89</v>
      </c>
      <c r="H179">
        <v>70150.92</v>
      </c>
      <c r="I179">
        <v>-35873.03</v>
      </c>
    </row>
    <row r="180" spans="4:9" x14ac:dyDescent="0.2">
      <c r="D180" s="55">
        <v>45139</v>
      </c>
      <c r="E180">
        <v>160095.51999999999</v>
      </c>
      <c r="F180">
        <v>8042.95</v>
      </c>
      <c r="G180">
        <v>151552.57</v>
      </c>
      <c r="H180">
        <v>42251.43</v>
      </c>
      <c r="I180">
        <v>109301.14</v>
      </c>
    </row>
    <row r="181" spans="4:9" x14ac:dyDescent="0.2">
      <c r="D181" s="55">
        <v>45170</v>
      </c>
      <c r="E181">
        <v>22000</v>
      </c>
      <c r="F181">
        <v>0</v>
      </c>
      <c r="G181">
        <v>22000</v>
      </c>
      <c r="H181">
        <v>0</v>
      </c>
      <c r="I181">
        <v>22000</v>
      </c>
    </row>
  </sheetData>
  <pageMargins left="0.7" right="0.7" top="0.75" bottom="0.75" header="0.3" footer="0.3"/>
  <pageSetup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31B0A-7DBA-1B45-BAB3-52F14CABE47B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3E1A31-1E5B-8149-9659-D174B32EF485}">
  <dimension ref="A3:C20"/>
  <sheetViews>
    <sheetView workbookViewId="0">
      <selection sqref="A1:AX1"/>
    </sheetView>
  </sheetViews>
  <sheetFormatPr baseColWidth="10" defaultRowHeight="16" x14ac:dyDescent="0.2"/>
  <sheetData>
    <row r="3" spans="1:3" x14ac:dyDescent="0.2">
      <c r="A3" s="15"/>
      <c r="B3" s="16"/>
      <c r="C3" s="17"/>
    </row>
    <row r="4" spans="1:3" x14ac:dyDescent="0.2">
      <c r="A4" s="18"/>
      <c r="B4" s="19"/>
      <c r="C4" s="20"/>
    </row>
    <row r="5" spans="1:3" x14ac:dyDescent="0.2">
      <c r="A5" s="18"/>
      <c r="B5" s="19"/>
      <c r="C5" s="20"/>
    </row>
    <row r="6" spans="1:3" x14ac:dyDescent="0.2">
      <c r="A6" s="18"/>
      <c r="B6" s="19"/>
      <c r="C6" s="20"/>
    </row>
    <row r="7" spans="1:3" x14ac:dyDescent="0.2">
      <c r="A7" s="18"/>
      <c r="B7" s="19"/>
      <c r="C7" s="20"/>
    </row>
    <row r="8" spans="1:3" x14ac:dyDescent="0.2">
      <c r="A8" s="18"/>
      <c r="B8" s="19"/>
      <c r="C8" s="20"/>
    </row>
    <row r="9" spans="1:3" x14ac:dyDescent="0.2">
      <c r="A9" s="18"/>
      <c r="B9" s="19"/>
      <c r="C9" s="20"/>
    </row>
    <row r="10" spans="1:3" x14ac:dyDescent="0.2">
      <c r="A10" s="18"/>
      <c r="B10" s="19"/>
      <c r="C10" s="20"/>
    </row>
    <row r="11" spans="1:3" x14ac:dyDescent="0.2">
      <c r="A11" s="18"/>
      <c r="B11" s="19"/>
      <c r="C11" s="20"/>
    </row>
    <row r="12" spans="1:3" x14ac:dyDescent="0.2">
      <c r="A12" s="18"/>
      <c r="B12" s="19"/>
      <c r="C12" s="20"/>
    </row>
    <row r="13" spans="1:3" x14ac:dyDescent="0.2">
      <c r="A13" s="18"/>
      <c r="B13" s="19"/>
      <c r="C13" s="20"/>
    </row>
    <row r="14" spans="1:3" x14ac:dyDescent="0.2">
      <c r="A14" s="18"/>
      <c r="B14" s="19"/>
      <c r="C14" s="20"/>
    </row>
    <row r="15" spans="1:3" x14ac:dyDescent="0.2">
      <c r="A15" s="18"/>
      <c r="B15" s="19"/>
      <c r="C15" s="20"/>
    </row>
    <row r="16" spans="1:3" x14ac:dyDescent="0.2">
      <c r="A16" s="18"/>
      <c r="B16" s="19"/>
      <c r="C16" s="20"/>
    </row>
    <row r="17" spans="1:3" x14ac:dyDescent="0.2">
      <c r="A17" s="18"/>
      <c r="B17" s="19"/>
      <c r="C17" s="20"/>
    </row>
    <row r="18" spans="1:3" x14ac:dyDescent="0.2">
      <c r="A18" s="18"/>
      <c r="B18" s="19"/>
      <c r="C18" s="20"/>
    </row>
    <row r="19" spans="1:3" x14ac:dyDescent="0.2">
      <c r="A19" s="18"/>
      <c r="B19" s="19"/>
      <c r="C19" s="20"/>
    </row>
    <row r="20" spans="1:3" x14ac:dyDescent="0.2">
      <c r="A20" s="21"/>
      <c r="B20" s="22"/>
      <c r="C20" s="2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D56A5-8CB7-AA4A-A470-0B081D893AF2}">
  <dimension ref="A3:A54"/>
  <sheetViews>
    <sheetView workbookViewId="0">
      <selection sqref="A1:AX1"/>
    </sheetView>
  </sheetViews>
  <sheetFormatPr baseColWidth="10" defaultRowHeight="16" x14ac:dyDescent="0.2"/>
  <cols>
    <col min="1" max="1" width="43.6640625" bestFit="1" customWidth="1"/>
    <col min="2" max="2" width="15.5" bestFit="1" customWidth="1"/>
    <col min="3" max="4" width="7.1640625" bestFit="1" customWidth="1"/>
    <col min="5" max="6" width="4.1640625" bestFit="1" customWidth="1"/>
    <col min="7" max="7" width="7.1640625" bestFit="1" customWidth="1"/>
    <col min="8" max="8" width="4.1640625" bestFit="1" customWidth="1"/>
    <col min="9" max="9" width="7.1640625" bestFit="1" customWidth="1"/>
    <col min="10" max="10" width="6.1640625" bestFit="1" customWidth="1"/>
    <col min="11" max="12" width="7.1640625" bestFit="1" customWidth="1"/>
    <col min="13" max="13" width="6.1640625" bestFit="1" customWidth="1"/>
    <col min="14" max="15" width="8.1640625" bestFit="1" customWidth="1"/>
    <col min="16" max="16" width="7.1640625" bestFit="1" customWidth="1"/>
    <col min="17" max="17" width="8.1640625" bestFit="1" customWidth="1"/>
    <col min="18" max="18" width="5.1640625" bestFit="1" customWidth="1"/>
    <col min="19" max="19" width="8.1640625" bestFit="1" customWidth="1"/>
    <col min="20" max="23" width="9.1640625" bestFit="1" customWidth="1"/>
    <col min="24" max="24" width="8.1640625" bestFit="1" customWidth="1"/>
    <col min="25" max="25" width="6.1640625" bestFit="1" customWidth="1"/>
    <col min="26" max="26" width="9.1640625" bestFit="1" customWidth="1"/>
    <col min="27" max="27" width="7.1640625" bestFit="1" customWidth="1"/>
    <col min="28" max="28" width="7" bestFit="1" customWidth="1"/>
    <col min="29" max="29" width="10.83203125" bestFit="1" customWidth="1"/>
    <col min="30" max="31" width="11.33203125" bestFit="1" customWidth="1"/>
    <col min="32" max="32" width="13.33203125" bestFit="1" customWidth="1"/>
    <col min="33" max="33" width="11.33203125" bestFit="1" customWidth="1"/>
    <col min="34" max="34" width="13.33203125" bestFit="1" customWidth="1"/>
    <col min="35" max="35" width="11.33203125" bestFit="1" customWidth="1"/>
    <col min="36" max="36" width="13.33203125" bestFit="1" customWidth="1"/>
    <col min="37" max="37" width="9.1640625" bestFit="1" customWidth="1"/>
    <col min="38" max="38" width="10.83203125" bestFit="1" customWidth="1"/>
    <col min="39" max="39" width="11.33203125" bestFit="1" customWidth="1"/>
    <col min="40" max="40" width="13.33203125" bestFit="1" customWidth="1"/>
    <col min="41" max="41" width="11.33203125" bestFit="1" customWidth="1"/>
    <col min="42" max="42" width="13.33203125" bestFit="1" customWidth="1"/>
    <col min="43" max="43" width="11.33203125" bestFit="1" customWidth="1"/>
    <col min="44" max="44" width="13.33203125" bestFit="1" customWidth="1"/>
    <col min="45" max="45" width="8.33203125" bestFit="1" customWidth="1"/>
    <col min="46" max="46" width="10.83203125" bestFit="1" customWidth="1"/>
    <col min="47" max="47" width="12.33203125" bestFit="1" customWidth="1"/>
    <col min="48" max="48" width="14.33203125" bestFit="1" customWidth="1"/>
    <col min="49" max="49" width="9.33203125" bestFit="1" customWidth="1"/>
    <col min="50" max="50" width="11.83203125" bestFit="1" customWidth="1"/>
    <col min="51" max="51" width="9.1640625" bestFit="1" customWidth="1"/>
    <col min="52" max="52" width="4.1640625" bestFit="1" customWidth="1"/>
    <col min="53" max="53" width="7.1640625" bestFit="1" customWidth="1"/>
    <col min="54" max="54" width="6.1640625" bestFit="1" customWidth="1"/>
    <col min="55" max="56" width="9.1640625" bestFit="1" customWidth="1"/>
    <col min="57" max="57" width="7" bestFit="1" customWidth="1"/>
    <col min="58" max="58" width="11.6640625" bestFit="1" customWidth="1"/>
    <col min="59" max="59" width="10.83203125" bestFit="1" customWidth="1"/>
    <col min="60" max="60" width="11.33203125" bestFit="1" customWidth="1"/>
    <col min="61" max="61" width="12.33203125" bestFit="1" customWidth="1"/>
    <col min="62" max="62" width="9.33203125" bestFit="1" customWidth="1"/>
    <col min="63" max="63" width="11.33203125" bestFit="1" customWidth="1"/>
    <col min="64" max="64" width="9.83203125" bestFit="1" customWidth="1"/>
    <col min="65" max="65" width="10.33203125" bestFit="1" customWidth="1"/>
    <col min="66" max="66" width="11.6640625" bestFit="1" customWidth="1"/>
    <col min="67" max="67" width="12.33203125" bestFit="1" customWidth="1"/>
    <col min="68" max="68" width="10.33203125" bestFit="1" customWidth="1"/>
    <col min="69" max="70" width="12.33203125" bestFit="1" customWidth="1"/>
    <col min="71" max="71" width="7.33203125" bestFit="1" customWidth="1"/>
    <col min="72" max="73" width="9.83203125" bestFit="1" customWidth="1"/>
    <col min="74" max="74" width="7.33203125" bestFit="1" customWidth="1"/>
    <col min="75" max="76" width="9.83203125" bestFit="1" customWidth="1"/>
    <col min="77" max="77" width="10.33203125" bestFit="1" customWidth="1"/>
    <col min="78" max="78" width="11.6640625" bestFit="1" customWidth="1"/>
    <col min="79" max="79" width="12.33203125" bestFit="1" customWidth="1"/>
    <col min="80" max="80" width="9.1640625" bestFit="1" customWidth="1"/>
    <col min="81" max="81" width="11.6640625" bestFit="1" customWidth="1"/>
    <col min="82" max="82" width="9.83203125" bestFit="1" customWidth="1"/>
    <col min="83" max="83" width="11.33203125" bestFit="1" customWidth="1"/>
    <col min="84" max="85" width="13.33203125" bestFit="1" customWidth="1"/>
    <col min="86" max="87" width="11.33203125" bestFit="1" customWidth="1"/>
    <col min="88" max="88" width="13.33203125" bestFit="1" customWidth="1"/>
    <col min="89" max="89" width="10.33203125" bestFit="1" customWidth="1"/>
    <col min="90" max="90" width="11.6640625" bestFit="1" customWidth="1"/>
    <col min="91" max="91" width="12.33203125" bestFit="1" customWidth="1"/>
    <col min="92" max="92" width="11.33203125" bestFit="1" customWidth="1"/>
    <col min="93" max="94" width="13.33203125" bestFit="1" customWidth="1"/>
    <col min="95" max="95" width="11.33203125" bestFit="1" customWidth="1"/>
    <col min="97" max="97" width="13.33203125" bestFit="1" customWidth="1"/>
    <col min="98" max="98" width="11.33203125" bestFit="1" customWidth="1"/>
    <col min="99" max="100" width="13.33203125" bestFit="1" customWidth="1"/>
    <col min="101" max="101" width="11.33203125" bestFit="1" customWidth="1"/>
    <col min="102" max="103" width="13.33203125" bestFit="1" customWidth="1"/>
    <col min="104" max="104" width="12.33203125" bestFit="1" customWidth="1"/>
    <col min="105" max="105" width="14.33203125" bestFit="1" customWidth="1"/>
    <col min="106" max="106" width="13.33203125" bestFit="1" customWidth="1"/>
    <col min="107" max="107" width="11.33203125" bestFit="1" customWidth="1"/>
    <col min="108" max="109" width="13.33203125" bestFit="1" customWidth="1"/>
    <col min="110" max="110" width="8.33203125" bestFit="1" customWidth="1"/>
    <col min="113" max="113" width="9.33203125" bestFit="1" customWidth="1"/>
    <col min="114" max="114" width="11.83203125" bestFit="1" customWidth="1"/>
    <col min="116" max="116" width="9.1640625" bestFit="1" customWidth="1"/>
    <col min="117" max="117" width="7.83203125" bestFit="1" customWidth="1"/>
    <col min="118" max="118" width="9.1640625" bestFit="1" customWidth="1"/>
    <col min="119" max="119" width="4.1640625" bestFit="1" customWidth="1"/>
    <col min="120" max="120" width="9.1640625" bestFit="1" customWidth="1"/>
    <col min="121" max="121" width="7" bestFit="1" customWidth="1"/>
    <col min="122" max="123" width="11.6640625" bestFit="1" customWidth="1"/>
  </cols>
  <sheetData>
    <row r="3" spans="1:1" x14ac:dyDescent="0.2">
      <c r="A3" s="24" t="s">
        <v>138</v>
      </c>
    </row>
    <row r="4" spans="1:1" x14ac:dyDescent="0.2">
      <c r="A4" s="25" t="s">
        <v>117</v>
      </c>
    </row>
    <row r="5" spans="1:1" x14ac:dyDescent="0.2">
      <c r="A5" s="25" t="s">
        <v>96</v>
      </c>
    </row>
    <row r="6" spans="1:1" x14ac:dyDescent="0.2">
      <c r="A6" s="25" t="s">
        <v>109</v>
      </c>
    </row>
    <row r="7" spans="1:1" x14ac:dyDescent="0.2">
      <c r="A7" s="25" t="s">
        <v>126</v>
      </c>
    </row>
    <row r="8" spans="1:1" x14ac:dyDescent="0.2">
      <c r="A8" s="25" t="s">
        <v>122</v>
      </c>
    </row>
    <row r="9" spans="1:1" x14ac:dyDescent="0.2">
      <c r="A9" s="25" t="s">
        <v>104</v>
      </c>
    </row>
    <row r="10" spans="1:1" x14ac:dyDescent="0.2">
      <c r="A10" s="25" t="s">
        <v>100</v>
      </c>
    </row>
    <row r="11" spans="1:1" x14ac:dyDescent="0.2">
      <c r="A11" s="25" t="s">
        <v>134</v>
      </c>
    </row>
    <row r="12" spans="1:1" x14ac:dyDescent="0.2">
      <c r="A12" s="25" t="s">
        <v>133</v>
      </c>
    </row>
    <row r="13" spans="1:1" x14ac:dyDescent="0.2">
      <c r="A13" s="25" t="s">
        <v>127</v>
      </c>
    </row>
    <row r="14" spans="1:1" x14ac:dyDescent="0.2">
      <c r="A14" s="25" t="s">
        <v>103</v>
      </c>
    </row>
    <row r="15" spans="1:1" x14ac:dyDescent="0.2">
      <c r="A15" s="25" t="s">
        <v>114</v>
      </c>
    </row>
    <row r="16" spans="1:1" x14ac:dyDescent="0.2">
      <c r="A16" s="25" t="s">
        <v>21</v>
      </c>
    </row>
    <row r="17" spans="1:1" x14ac:dyDescent="0.2">
      <c r="A17" s="25" t="s">
        <v>101</v>
      </c>
    </row>
    <row r="18" spans="1:1" x14ac:dyDescent="0.2">
      <c r="A18" s="25" t="s">
        <v>110</v>
      </c>
    </row>
    <row r="19" spans="1:1" x14ac:dyDescent="0.2">
      <c r="A19" s="25" t="s">
        <v>119</v>
      </c>
    </row>
    <row r="20" spans="1:1" x14ac:dyDescent="0.2">
      <c r="A20" s="25" t="s">
        <v>137</v>
      </c>
    </row>
    <row r="21" spans="1:1" x14ac:dyDescent="0.2">
      <c r="A21" s="25" t="s">
        <v>67</v>
      </c>
    </row>
    <row r="22" spans="1:1" x14ac:dyDescent="0.2">
      <c r="A22" s="25" t="s">
        <v>66</v>
      </c>
    </row>
    <row r="23" spans="1:1" x14ac:dyDescent="0.2">
      <c r="A23" s="25" t="s">
        <v>85</v>
      </c>
    </row>
    <row r="24" spans="1:1" x14ac:dyDescent="0.2">
      <c r="A24" s="25" t="s">
        <v>130</v>
      </c>
    </row>
    <row r="25" spans="1:1" x14ac:dyDescent="0.2">
      <c r="A25" s="25" t="s">
        <v>111</v>
      </c>
    </row>
    <row r="26" spans="1:1" x14ac:dyDescent="0.2">
      <c r="A26" s="25" t="s">
        <v>108</v>
      </c>
    </row>
    <row r="27" spans="1:1" x14ac:dyDescent="0.2">
      <c r="A27" s="25" t="s">
        <v>105</v>
      </c>
    </row>
    <row r="28" spans="1:1" x14ac:dyDescent="0.2">
      <c r="A28" s="25" t="s">
        <v>115</v>
      </c>
    </row>
    <row r="29" spans="1:1" x14ac:dyDescent="0.2">
      <c r="A29" s="25" t="s">
        <v>99</v>
      </c>
    </row>
    <row r="30" spans="1:1" x14ac:dyDescent="0.2">
      <c r="A30" s="25" t="s">
        <v>90</v>
      </c>
    </row>
    <row r="31" spans="1:1" x14ac:dyDescent="0.2">
      <c r="A31" s="25" t="s">
        <v>107</v>
      </c>
    </row>
    <row r="32" spans="1:1" x14ac:dyDescent="0.2">
      <c r="A32" s="25" t="s">
        <v>124</v>
      </c>
    </row>
    <row r="33" spans="1:1" x14ac:dyDescent="0.2">
      <c r="A33" s="25" t="s">
        <v>118</v>
      </c>
    </row>
    <row r="34" spans="1:1" x14ac:dyDescent="0.2">
      <c r="A34" s="25" t="s">
        <v>121</v>
      </c>
    </row>
    <row r="35" spans="1:1" x14ac:dyDescent="0.2">
      <c r="A35" s="25" t="s">
        <v>20</v>
      </c>
    </row>
    <row r="36" spans="1:1" x14ac:dyDescent="0.2">
      <c r="A36" s="25" t="s">
        <v>102</v>
      </c>
    </row>
    <row r="37" spans="1:1" x14ac:dyDescent="0.2">
      <c r="A37" s="25" t="s">
        <v>65</v>
      </c>
    </row>
    <row r="38" spans="1:1" x14ac:dyDescent="0.2">
      <c r="A38" s="25" t="s">
        <v>129</v>
      </c>
    </row>
    <row r="39" spans="1:1" x14ac:dyDescent="0.2">
      <c r="A39" s="25" t="s">
        <v>15</v>
      </c>
    </row>
    <row r="40" spans="1:1" x14ac:dyDescent="0.2">
      <c r="A40" s="25" t="s">
        <v>132</v>
      </c>
    </row>
    <row r="41" spans="1:1" x14ac:dyDescent="0.2">
      <c r="A41" s="25" t="s">
        <v>125</v>
      </c>
    </row>
    <row r="42" spans="1:1" x14ac:dyDescent="0.2">
      <c r="A42" s="25" t="s">
        <v>131</v>
      </c>
    </row>
    <row r="43" spans="1:1" x14ac:dyDescent="0.2">
      <c r="A43" s="25" t="s">
        <v>128</v>
      </c>
    </row>
    <row r="44" spans="1:1" x14ac:dyDescent="0.2">
      <c r="A44" s="25" t="s">
        <v>112</v>
      </c>
    </row>
    <row r="45" spans="1:1" x14ac:dyDescent="0.2">
      <c r="A45" s="25" t="s">
        <v>123</v>
      </c>
    </row>
    <row r="46" spans="1:1" x14ac:dyDescent="0.2">
      <c r="A46" s="25" t="s">
        <v>116</v>
      </c>
    </row>
    <row r="47" spans="1:1" x14ac:dyDescent="0.2">
      <c r="A47" s="25" t="s">
        <v>120</v>
      </c>
    </row>
    <row r="48" spans="1:1" x14ac:dyDescent="0.2">
      <c r="A48" s="25" t="s">
        <v>136</v>
      </c>
    </row>
    <row r="49" spans="1:1" x14ac:dyDescent="0.2">
      <c r="A49" s="25" t="s">
        <v>106</v>
      </c>
    </row>
    <row r="50" spans="1:1" x14ac:dyDescent="0.2">
      <c r="A50" s="25" t="s">
        <v>135</v>
      </c>
    </row>
    <row r="51" spans="1:1" x14ac:dyDescent="0.2">
      <c r="A51" s="25" t="s">
        <v>113</v>
      </c>
    </row>
    <row r="52" spans="1:1" x14ac:dyDescent="0.2">
      <c r="A52" s="25" t="s">
        <v>98</v>
      </c>
    </row>
    <row r="53" spans="1:1" x14ac:dyDescent="0.2">
      <c r="A53" s="25" t="s">
        <v>139</v>
      </c>
    </row>
    <row r="54" spans="1:1" x14ac:dyDescent="0.2">
      <c r="A54" s="25" t="s">
        <v>140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C2795-02EA-CC4C-9FBF-5D0EC1AC49F7}">
  <dimension ref="C1:U62"/>
  <sheetViews>
    <sheetView topLeftCell="C1" zoomScale="80" zoomScaleNormal="80" workbookViewId="0">
      <selection sqref="A1:AX1"/>
    </sheetView>
  </sheetViews>
  <sheetFormatPr baseColWidth="10" defaultRowHeight="16" x14ac:dyDescent="0.2"/>
  <cols>
    <col min="1" max="2" width="31.1640625" customWidth="1"/>
    <col min="3" max="3" width="44.33203125" bestFit="1" customWidth="1"/>
    <col min="4" max="12" width="18.33203125" style="26" customWidth="1"/>
  </cols>
  <sheetData>
    <row r="1" spans="3:21" x14ac:dyDescent="0.2">
      <c r="C1" t="s">
        <v>142</v>
      </c>
      <c r="D1" s="26" t="str">
        <f>"Jan 23"</f>
        <v>Jan 23</v>
      </c>
      <c r="E1" s="26" t="str">
        <f>"Feb 23"</f>
        <v>Feb 23</v>
      </c>
      <c r="F1" s="26" t="str">
        <f>"Mar 23"</f>
        <v>Mar 23</v>
      </c>
      <c r="G1" s="26" t="str">
        <f>"Apr 23"</f>
        <v>Apr 23</v>
      </c>
      <c r="H1" s="26" t="str">
        <f>"May 23"</f>
        <v>May 23</v>
      </c>
      <c r="I1" s="26" t="str">
        <f>"Jun 23"</f>
        <v>Jun 23</v>
      </c>
      <c r="J1" s="26" t="str">
        <f>"Jul 23"</f>
        <v>Jul 23</v>
      </c>
      <c r="K1" s="26" t="str">
        <f>"Aug 23"</f>
        <v>Aug 23</v>
      </c>
      <c r="L1" s="26" t="str">
        <f>"Sep 23"</f>
        <v>Sep 23</v>
      </c>
      <c r="M1" s="13"/>
      <c r="N1" s="13"/>
      <c r="O1" s="13"/>
      <c r="P1" s="13"/>
      <c r="Q1" s="13"/>
      <c r="R1" s="13"/>
      <c r="S1" s="13"/>
      <c r="T1" s="13"/>
      <c r="U1" s="13"/>
    </row>
    <row r="2" spans="3:21" x14ac:dyDescent="0.2">
      <c r="C2" t="s">
        <v>90</v>
      </c>
      <c r="D2" s="28">
        <v>59380</v>
      </c>
      <c r="E2" s="28">
        <v>92300</v>
      </c>
      <c r="F2" s="28">
        <v>66750</v>
      </c>
      <c r="G2" s="28">
        <v>79120</v>
      </c>
      <c r="H2" s="28">
        <v>118340</v>
      </c>
      <c r="I2" s="28">
        <v>102365.05</v>
      </c>
      <c r="J2" s="28">
        <v>66938</v>
      </c>
      <c r="K2" s="28">
        <v>160095.51999999999</v>
      </c>
      <c r="L2" s="28">
        <v>22000</v>
      </c>
      <c r="M2" s="13"/>
      <c r="N2" s="13"/>
      <c r="O2" s="13"/>
      <c r="P2" s="13"/>
      <c r="Q2" s="13"/>
      <c r="R2" s="13"/>
      <c r="S2" s="13"/>
      <c r="T2" s="13"/>
      <c r="U2" s="13"/>
    </row>
    <row r="3" spans="3:21" x14ac:dyDescent="0.2">
      <c r="C3" t="s">
        <v>127</v>
      </c>
      <c r="D3" s="28"/>
      <c r="E3" s="28"/>
      <c r="F3" s="28">
        <v>-1000</v>
      </c>
      <c r="G3" s="28"/>
      <c r="H3" s="28">
        <v>-2100</v>
      </c>
      <c r="I3" s="28"/>
      <c r="J3" s="28"/>
      <c r="K3" s="28">
        <v>-500</v>
      </c>
      <c r="L3" s="28"/>
      <c r="M3" s="13"/>
      <c r="N3" s="13"/>
      <c r="O3" s="13"/>
      <c r="P3" s="13"/>
      <c r="Q3" s="13"/>
      <c r="R3" s="13"/>
      <c r="S3" s="13"/>
      <c r="T3" s="13"/>
      <c r="U3" s="13"/>
    </row>
    <row r="4" spans="3:21" x14ac:dyDescent="0.2">
      <c r="C4" t="s">
        <v>136</v>
      </c>
      <c r="D4" s="28"/>
      <c r="E4" s="28"/>
      <c r="F4" s="28"/>
      <c r="G4" s="28"/>
      <c r="H4" s="28"/>
      <c r="I4" s="28">
        <v>95486</v>
      </c>
      <c r="J4" s="28">
        <v>9500</v>
      </c>
      <c r="K4" s="28"/>
      <c r="L4" s="28"/>
      <c r="M4" s="13"/>
      <c r="N4" s="13"/>
      <c r="O4" s="13"/>
      <c r="P4" s="13"/>
      <c r="Q4" s="13"/>
      <c r="R4" s="13"/>
      <c r="S4" s="13"/>
      <c r="T4" s="13"/>
      <c r="U4" s="13"/>
    </row>
    <row r="5" spans="3:21" x14ac:dyDescent="0.2">
      <c r="C5" t="s">
        <v>98</v>
      </c>
      <c r="D5" s="28">
        <v>4275</v>
      </c>
      <c r="E5" s="28"/>
      <c r="F5" s="28"/>
      <c r="G5" s="28"/>
      <c r="H5" s="28"/>
      <c r="I5" s="28"/>
      <c r="J5" s="28"/>
      <c r="K5" s="28"/>
      <c r="L5" s="28"/>
      <c r="M5" s="13"/>
      <c r="N5" s="13"/>
      <c r="O5" s="13"/>
      <c r="P5" s="13"/>
      <c r="Q5" s="13"/>
      <c r="R5" s="13"/>
      <c r="S5" s="13"/>
      <c r="T5" s="13"/>
      <c r="U5" s="13"/>
    </row>
    <row r="6" spans="3:21" x14ac:dyDescent="0.2">
      <c r="C6" t="s">
        <v>15</v>
      </c>
      <c r="D6" s="28">
        <v>63655</v>
      </c>
      <c r="E6" s="28">
        <v>157550</v>
      </c>
      <c r="F6" s="28">
        <v>106992</v>
      </c>
      <c r="G6" s="28">
        <v>86220</v>
      </c>
      <c r="H6" s="28">
        <v>134865</v>
      </c>
      <c r="I6" s="28"/>
      <c r="J6" s="28">
        <v>76238</v>
      </c>
      <c r="K6" s="28"/>
      <c r="L6" s="28"/>
      <c r="M6" s="13"/>
      <c r="N6" s="13"/>
      <c r="O6" s="13"/>
      <c r="P6" s="13"/>
      <c r="Q6" s="13"/>
      <c r="R6" s="13"/>
      <c r="S6" s="13"/>
      <c r="T6" s="13"/>
      <c r="U6" s="13"/>
    </row>
    <row r="7" spans="3:21" x14ac:dyDescent="0.2">
      <c r="C7" t="s">
        <v>124</v>
      </c>
      <c r="D7" s="28">
        <v>10040.24</v>
      </c>
      <c r="E7" s="28">
        <v>18649.810000000001</v>
      </c>
      <c r="F7" s="28">
        <v>32926.31</v>
      </c>
      <c r="G7" s="28"/>
      <c r="H7" s="28"/>
      <c r="I7" s="28"/>
      <c r="J7" s="28">
        <v>41960.11</v>
      </c>
      <c r="K7" s="28"/>
      <c r="L7" s="28"/>
      <c r="M7" s="13"/>
      <c r="N7" s="13"/>
      <c r="O7" s="13"/>
      <c r="P7" s="13"/>
      <c r="Q7" s="13"/>
      <c r="R7" s="13"/>
      <c r="S7" s="13"/>
      <c r="T7" s="13"/>
      <c r="U7" s="13"/>
    </row>
    <row r="8" spans="3:21" x14ac:dyDescent="0.2">
      <c r="D8" s="28"/>
      <c r="E8" s="28"/>
      <c r="F8" s="28">
        <v>32926.31</v>
      </c>
      <c r="G8" s="28"/>
      <c r="H8" s="28"/>
      <c r="I8" s="28"/>
      <c r="J8" s="28"/>
      <c r="K8" s="28"/>
      <c r="L8" s="28"/>
      <c r="M8" s="13"/>
      <c r="N8" s="13"/>
      <c r="O8" s="13"/>
      <c r="P8" s="13"/>
      <c r="Q8" s="13"/>
      <c r="R8" s="13"/>
      <c r="S8" s="13"/>
      <c r="T8" s="13"/>
      <c r="U8" s="13"/>
    </row>
    <row r="9" spans="3:21" x14ac:dyDescent="0.2">
      <c r="C9" t="s">
        <v>20</v>
      </c>
      <c r="D9" s="28">
        <v>10040.24</v>
      </c>
      <c r="E9" s="28">
        <v>18649.810000000001</v>
      </c>
      <c r="F9" s="28">
        <v>32926.31</v>
      </c>
      <c r="G9" s="28">
        <v>38246.980000000003</v>
      </c>
      <c r="H9" s="28">
        <v>46029.34</v>
      </c>
      <c r="I9" s="28">
        <v>40131.660000000003</v>
      </c>
      <c r="J9" s="28">
        <v>41960.11</v>
      </c>
      <c r="K9" s="28">
        <v>8042.95</v>
      </c>
      <c r="L9" s="28"/>
      <c r="M9" s="13"/>
      <c r="N9" s="13"/>
      <c r="O9" s="13"/>
      <c r="P9" s="13"/>
      <c r="Q9" s="13"/>
      <c r="R9" s="13"/>
      <c r="S9" s="13"/>
      <c r="T9" s="13"/>
      <c r="U9" s="13"/>
    </row>
    <row r="10" spans="3:21" x14ac:dyDescent="0.2">
      <c r="C10" t="s">
        <v>21</v>
      </c>
      <c r="D10" s="28">
        <v>53614.76</v>
      </c>
      <c r="E10" s="28">
        <v>138900.19</v>
      </c>
      <c r="F10" s="28"/>
      <c r="G10" s="28"/>
      <c r="H10" s="28"/>
      <c r="I10" s="28">
        <v>157719.38999999998</v>
      </c>
      <c r="J10" s="28"/>
      <c r="K10" s="28">
        <v>151552.56999999998</v>
      </c>
      <c r="L10" s="28"/>
      <c r="M10" s="13"/>
      <c r="N10" s="13"/>
      <c r="O10" s="13"/>
      <c r="P10" s="13"/>
      <c r="Q10" s="13"/>
      <c r="R10" s="13"/>
      <c r="S10" s="13"/>
      <c r="T10" s="13"/>
      <c r="U10" s="13"/>
    </row>
    <row r="11" spans="3:21" x14ac:dyDescent="0.2">
      <c r="C11" t="s">
        <v>99</v>
      </c>
      <c r="D11" s="28">
        <v>14892.5</v>
      </c>
      <c r="E11" s="28"/>
      <c r="F11" s="28">
        <v>22315.62</v>
      </c>
      <c r="G11" s="28">
        <v>26211.84</v>
      </c>
      <c r="H11" s="28">
        <v>14544.1</v>
      </c>
      <c r="I11" s="28"/>
      <c r="J11" s="28">
        <v>28667.57</v>
      </c>
      <c r="K11" s="28"/>
      <c r="L11" s="28"/>
      <c r="M11" s="13"/>
      <c r="N11" s="13"/>
      <c r="O11" s="13"/>
      <c r="P11" s="13"/>
      <c r="Q11" s="13"/>
      <c r="R11" s="13"/>
      <c r="S11" s="13"/>
      <c r="T11" s="13"/>
      <c r="U11" s="13"/>
    </row>
    <row r="12" spans="3:21" x14ac:dyDescent="0.2">
      <c r="C12" t="s">
        <v>96</v>
      </c>
      <c r="D12" s="28">
        <v>1237.67</v>
      </c>
      <c r="E12" s="28">
        <v>291.35000000000002</v>
      </c>
      <c r="F12" s="28">
        <v>2110.0700000000002</v>
      </c>
      <c r="G12" s="28">
        <v>449</v>
      </c>
      <c r="H12" s="28">
        <v>1724.76</v>
      </c>
      <c r="I12" s="28">
        <v>2806.53</v>
      </c>
      <c r="J12" s="28"/>
      <c r="K12" s="28">
        <v>1228.9000000000001</v>
      </c>
      <c r="L12" s="28"/>
      <c r="M12" s="13"/>
      <c r="N12" s="13"/>
      <c r="O12" s="13"/>
      <c r="P12" s="13"/>
      <c r="Q12" s="13"/>
      <c r="R12" s="13"/>
      <c r="S12" s="13"/>
      <c r="T12" s="13"/>
      <c r="U12" s="13"/>
    </row>
    <row r="13" spans="3:21" x14ac:dyDescent="0.2">
      <c r="C13" t="s">
        <v>128</v>
      </c>
      <c r="D13" s="28">
        <v>16130.26</v>
      </c>
      <c r="E13" s="28">
        <v>17721.34</v>
      </c>
      <c r="F13" s="28">
        <v>22315.62</v>
      </c>
      <c r="G13" s="28"/>
      <c r="H13" s="28">
        <v>14544.1</v>
      </c>
      <c r="I13" s="28">
        <v>9611.61</v>
      </c>
      <c r="J13" s="28"/>
      <c r="K13" s="28">
        <v>528.55999999999995</v>
      </c>
      <c r="L13" s="28"/>
      <c r="M13" s="13"/>
      <c r="N13" s="13"/>
      <c r="O13" s="13"/>
      <c r="P13" s="13"/>
      <c r="Q13" s="13"/>
      <c r="R13" s="13"/>
      <c r="S13" s="13"/>
      <c r="T13" s="13"/>
      <c r="U13" s="13"/>
    </row>
    <row r="14" spans="3:21" x14ac:dyDescent="0.2">
      <c r="C14" t="s">
        <v>134</v>
      </c>
      <c r="D14" s="28"/>
      <c r="E14" s="28"/>
      <c r="F14" s="28"/>
      <c r="G14" s="28"/>
      <c r="H14" s="28">
        <v>1520</v>
      </c>
      <c r="I14" s="28"/>
      <c r="J14" s="28">
        <v>28667.57</v>
      </c>
      <c r="K14" s="28"/>
      <c r="L14" s="28"/>
      <c r="M14" s="13"/>
      <c r="N14" s="13"/>
      <c r="O14" s="13"/>
      <c r="P14" s="13"/>
      <c r="Q14" s="13"/>
      <c r="R14" s="13"/>
      <c r="S14" s="13"/>
      <c r="T14" s="13"/>
      <c r="U14" s="13"/>
    </row>
    <row r="15" spans="3:21" x14ac:dyDescent="0.2">
      <c r="C15" t="s">
        <v>100</v>
      </c>
      <c r="D15" s="28">
        <v>414.97</v>
      </c>
      <c r="E15" s="28"/>
      <c r="F15" s="28">
        <v>766.3</v>
      </c>
      <c r="G15" s="28">
        <v>1649.7</v>
      </c>
      <c r="H15" s="28">
        <v>337.89</v>
      </c>
      <c r="I15" s="28">
        <v>318.62</v>
      </c>
      <c r="J15" s="28">
        <v>383.55</v>
      </c>
      <c r="K15" s="28"/>
      <c r="L15" s="28"/>
      <c r="M15" s="13"/>
      <c r="N15" s="13"/>
      <c r="O15" s="13"/>
      <c r="P15" s="13"/>
      <c r="Q15" s="13"/>
      <c r="R15" s="13"/>
      <c r="S15" s="13"/>
      <c r="T15" s="13"/>
      <c r="U15" s="13"/>
    </row>
    <row r="16" spans="3:21" x14ac:dyDescent="0.2">
      <c r="C16" t="s">
        <v>101</v>
      </c>
      <c r="D16" s="28">
        <v>220</v>
      </c>
      <c r="E16" s="28">
        <v>220</v>
      </c>
      <c r="F16" s="28">
        <v>220</v>
      </c>
      <c r="G16" s="28">
        <v>220</v>
      </c>
      <c r="H16" s="28">
        <v>220</v>
      </c>
      <c r="I16" s="28">
        <v>220</v>
      </c>
      <c r="J16" s="28">
        <v>220</v>
      </c>
      <c r="K16" s="28"/>
      <c r="L16" s="28"/>
      <c r="M16" s="13"/>
      <c r="N16" s="13"/>
      <c r="O16" s="13"/>
      <c r="P16" s="13"/>
      <c r="Q16" s="13"/>
      <c r="R16" s="13"/>
      <c r="S16" s="13"/>
      <c r="T16" s="13"/>
      <c r="U16" s="13"/>
    </row>
    <row r="17" spans="3:21" x14ac:dyDescent="0.2">
      <c r="C17" t="s">
        <v>129</v>
      </c>
      <c r="D17" s="28">
        <v>634.97</v>
      </c>
      <c r="E17" s="28">
        <v>220</v>
      </c>
      <c r="F17" s="28">
        <v>986.3</v>
      </c>
      <c r="G17" s="28">
        <v>1869.7</v>
      </c>
      <c r="H17" s="28">
        <v>2077.89</v>
      </c>
      <c r="I17" s="28">
        <v>538.62</v>
      </c>
      <c r="J17" s="28">
        <v>603.54999999999995</v>
      </c>
      <c r="K17" s="28"/>
      <c r="L17" s="28"/>
      <c r="M17" s="13"/>
      <c r="N17" s="13"/>
      <c r="O17" s="13"/>
      <c r="P17" s="13"/>
      <c r="Q17" s="13"/>
      <c r="R17" s="13"/>
      <c r="S17" s="13"/>
      <c r="T17" s="13"/>
      <c r="U17" s="13"/>
    </row>
    <row r="18" spans="3:21" x14ac:dyDescent="0.2">
      <c r="C18" t="s">
        <v>102</v>
      </c>
      <c r="D18" s="28">
        <v>16765.23</v>
      </c>
      <c r="E18" s="28">
        <v>17941.34</v>
      </c>
      <c r="F18" s="28">
        <v>23301.919999999998</v>
      </c>
      <c r="G18" s="28">
        <v>28081.54</v>
      </c>
      <c r="H18" s="28">
        <v>16621.990000000002</v>
      </c>
      <c r="I18" s="28">
        <v>10150.230000000001</v>
      </c>
      <c r="J18" s="28">
        <v>29271.119999999999</v>
      </c>
      <c r="K18" s="28"/>
      <c r="L18" s="28"/>
      <c r="M18" s="13"/>
      <c r="N18" s="13"/>
      <c r="O18" s="13"/>
      <c r="P18" s="13"/>
      <c r="Q18" s="13"/>
      <c r="R18" s="13"/>
      <c r="S18" s="13"/>
      <c r="T18" s="13"/>
      <c r="U18" s="13"/>
    </row>
    <row r="19" spans="3:21" x14ac:dyDescent="0.2">
      <c r="C19" t="s">
        <v>103</v>
      </c>
      <c r="D19" s="28">
        <v>124.19</v>
      </c>
      <c r="E19" s="28"/>
      <c r="F19" s="28"/>
      <c r="G19" s="28"/>
      <c r="H19" s="28">
        <v>439.95</v>
      </c>
      <c r="I19" s="28">
        <v>1581.69</v>
      </c>
      <c r="J19" s="28">
        <v>294.95</v>
      </c>
      <c r="K19" s="28"/>
      <c r="L19" s="28"/>
      <c r="M19" s="13"/>
      <c r="N19" s="13"/>
      <c r="O19" s="13"/>
      <c r="P19" s="13"/>
      <c r="Q19" s="13"/>
      <c r="R19" s="13"/>
      <c r="S19" s="13"/>
      <c r="T19" s="13"/>
      <c r="U19" s="13"/>
    </row>
    <row r="20" spans="3:21" x14ac:dyDescent="0.2">
      <c r="C20" t="s">
        <v>104</v>
      </c>
      <c r="D20" s="28">
        <v>2114.81</v>
      </c>
      <c r="E20" s="28">
        <v>474.22</v>
      </c>
      <c r="F20" s="28">
        <v>498.02</v>
      </c>
      <c r="G20" s="28">
        <v>1125.51</v>
      </c>
      <c r="H20" s="28">
        <v>439.3</v>
      </c>
      <c r="I20" s="28">
        <v>389.23</v>
      </c>
      <c r="J20" s="28">
        <v>426.16</v>
      </c>
      <c r="K20" s="28"/>
      <c r="L20" s="28"/>
      <c r="M20" s="13"/>
      <c r="N20" s="13"/>
      <c r="O20" s="13"/>
      <c r="P20" s="13"/>
      <c r="Q20" s="13"/>
      <c r="R20" s="13"/>
      <c r="S20" s="13"/>
      <c r="T20" s="13"/>
      <c r="U20" s="13"/>
    </row>
    <row r="21" spans="3:21" x14ac:dyDescent="0.2">
      <c r="C21" t="s">
        <v>125</v>
      </c>
      <c r="D21" s="28">
        <v>2239</v>
      </c>
      <c r="E21" s="28">
        <v>474.22</v>
      </c>
      <c r="F21" s="28">
        <v>498.02</v>
      </c>
      <c r="G21" s="28">
        <v>1125.51</v>
      </c>
      <c r="H21" s="28">
        <v>879.25</v>
      </c>
      <c r="I21" s="28">
        <v>1970.92</v>
      </c>
      <c r="J21" s="28">
        <v>721.11</v>
      </c>
      <c r="K21" s="28"/>
      <c r="L21" s="28"/>
      <c r="M21" s="13"/>
      <c r="N21" s="13"/>
      <c r="O21" s="13"/>
      <c r="P21" s="13"/>
      <c r="Q21" s="13"/>
      <c r="R21" s="13"/>
      <c r="S21" s="13"/>
      <c r="T21" s="13"/>
      <c r="U21" s="13"/>
    </row>
    <row r="22" spans="3:21" x14ac:dyDescent="0.2">
      <c r="C22" t="s">
        <v>130</v>
      </c>
      <c r="D22" s="28"/>
      <c r="E22" s="28"/>
      <c r="F22" s="28"/>
      <c r="G22" s="28"/>
      <c r="H22" s="28"/>
      <c r="I22" s="28"/>
      <c r="J22" s="28"/>
      <c r="K22" s="28"/>
      <c r="L22" s="28"/>
      <c r="M22" s="13"/>
      <c r="N22" s="13"/>
      <c r="O22" s="13"/>
      <c r="P22" s="13"/>
      <c r="Q22" s="13"/>
      <c r="R22" s="13"/>
      <c r="S22" s="13"/>
      <c r="T22" s="13"/>
      <c r="U22" s="13"/>
    </row>
    <row r="23" spans="3:21" x14ac:dyDescent="0.2">
      <c r="C23" t="s">
        <v>105</v>
      </c>
      <c r="D23" s="28">
        <v>3025</v>
      </c>
      <c r="E23" s="28">
        <v>3025</v>
      </c>
      <c r="F23" s="28">
        <v>3025</v>
      </c>
      <c r="G23" s="28">
        <v>3025</v>
      </c>
      <c r="H23" s="28">
        <v>6050</v>
      </c>
      <c r="I23" s="28"/>
      <c r="J23" s="28"/>
      <c r="K23" s="28"/>
      <c r="L23" s="28"/>
      <c r="M23" s="13"/>
      <c r="N23" s="13"/>
      <c r="O23" s="13"/>
      <c r="P23" s="13"/>
      <c r="Q23" s="13"/>
      <c r="R23" s="13"/>
      <c r="S23" s="13"/>
      <c r="T23" s="13"/>
      <c r="U23" s="13"/>
    </row>
    <row r="24" spans="3:21" x14ac:dyDescent="0.2">
      <c r="C24" t="s">
        <v>106</v>
      </c>
      <c r="D24" s="28">
        <v>649.91999999999996</v>
      </c>
      <c r="E24" s="28">
        <v>863.19</v>
      </c>
      <c r="F24" s="28">
        <v>774.55</v>
      </c>
      <c r="G24" s="28">
        <v>1249.8399999999999</v>
      </c>
      <c r="H24" s="28">
        <v>1093.23</v>
      </c>
      <c r="I24" s="28">
        <v>157.72</v>
      </c>
      <c r="J24" s="28">
        <v>245.47</v>
      </c>
      <c r="K24" s="28"/>
      <c r="L24" s="28"/>
      <c r="M24" s="13"/>
      <c r="N24" s="13"/>
      <c r="O24" s="13"/>
      <c r="P24" s="13"/>
      <c r="Q24" s="13"/>
      <c r="R24" s="13"/>
      <c r="S24" s="13"/>
      <c r="T24" s="13"/>
      <c r="U24" s="13"/>
    </row>
    <row r="25" spans="3:21" x14ac:dyDescent="0.2">
      <c r="C25" t="s">
        <v>107</v>
      </c>
      <c r="D25" s="28">
        <v>784.85</v>
      </c>
      <c r="E25" s="28">
        <v>362.89</v>
      </c>
      <c r="F25" s="28">
        <v>862.69</v>
      </c>
      <c r="G25" s="28">
        <v>946.32</v>
      </c>
      <c r="H25" s="28">
        <v>671.5</v>
      </c>
      <c r="I25" s="28">
        <v>1038.97</v>
      </c>
      <c r="J25" s="28">
        <v>816.39</v>
      </c>
      <c r="K25" s="28">
        <v>54.69</v>
      </c>
      <c r="L25" s="28"/>
      <c r="M25" s="13"/>
      <c r="N25" s="13"/>
      <c r="O25" s="13"/>
      <c r="P25" s="13"/>
      <c r="Q25" s="13"/>
      <c r="R25" s="13"/>
      <c r="S25" s="13"/>
      <c r="T25" s="13"/>
      <c r="U25" s="13"/>
    </row>
    <row r="26" spans="3:21" x14ac:dyDescent="0.2">
      <c r="C26" t="s">
        <v>108</v>
      </c>
      <c r="D26" s="28">
        <v>627.16999999999996</v>
      </c>
      <c r="E26" s="28">
        <v>1026.79</v>
      </c>
      <c r="F26" s="28">
        <v>1172.46</v>
      </c>
      <c r="G26" s="28">
        <v>1715.3</v>
      </c>
      <c r="H26" s="28">
        <v>3246.94</v>
      </c>
      <c r="I26" s="28"/>
      <c r="J26" s="28"/>
      <c r="K26" s="28"/>
      <c r="L26" s="28"/>
      <c r="M26" s="13"/>
      <c r="N26" s="13"/>
      <c r="O26" s="13"/>
      <c r="P26" s="13"/>
      <c r="Q26" s="13"/>
      <c r="R26" s="13"/>
      <c r="S26" s="13"/>
      <c r="T26" s="13"/>
      <c r="U26" s="13"/>
    </row>
    <row r="27" spans="3:21" x14ac:dyDescent="0.2">
      <c r="C27" t="s">
        <v>133</v>
      </c>
      <c r="D27" s="28"/>
      <c r="E27" s="28"/>
      <c r="F27" s="28"/>
      <c r="G27" s="28">
        <v>374.3</v>
      </c>
      <c r="H27" s="28"/>
      <c r="I27" s="28"/>
      <c r="J27" s="28"/>
      <c r="K27" s="28"/>
      <c r="L27" s="28"/>
      <c r="M27" s="13"/>
      <c r="N27" s="13"/>
      <c r="O27" s="13"/>
      <c r="P27" s="13"/>
      <c r="Q27" s="13"/>
      <c r="R27" s="13"/>
      <c r="S27" s="13"/>
      <c r="T27" s="13"/>
      <c r="U27" s="13"/>
    </row>
    <row r="28" spans="3:21" x14ac:dyDescent="0.2">
      <c r="C28" t="s">
        <v>109</v>
      </c>
      <c r="D28" s="28">
        <v>2384.27</v>
      </c>
      <c r="E28" s="28"/>
      <c r="F28" s="28"/>
      <c r="G28" s="28"/>
      <c r="H28" s="28"/>
      <c r="I28" s="28"/>
      <c r="J28" s="28"/>
      <c r="K28" s="28"/>
      <c r="L28" s="28"/>
      <c r="M28" s="13"/>
      <c r="N28" s="13"/>
      <c r="O28" s="13"/>
      <c r="P28" s="13"/>
      <c r="Q28" s="13"/>
      <c r="R28" s="13"/>
      <c r="S28" s="13"/>
      <c r="T28" s="13"/>
      <c r="U28" s="13"/>
    </row>
    <row r="29" spans="3:21" x14ac:dyDescent="0.2">
      <c r="C29" t="s">
        <v>110</v>
      </c>
      <c r="D29" s="28">
        <v>1722.49</v>
      </c>
      <c r="E29" s="28"/>
      <c r="F29" s="28"/>
      <c r="G29" s="28"/>
      <c r="H29" s="28"/>
      <c r="I29" s="28"/>
      <c r="J29" s="28">
        <v>1186.6099999999999</v>
      </c>
      <c r="K29" s="28"/>
      <c r="L29" s="28"/>
      <c r="M29" s="13"/>
      <c r="N29" s="13"/>
      <c r="O29" s="13"/>
      <c r="P29" s="13"/>
      <c r="Q29" s="13"/>
      <c r="R29" s="13"/>
      <c r="S29" s="13"/>
      <c r="T29" s="13"/>
      <c r="U29" s="13"/>
    </row>
    <row r="30" spans="3:21" x14ac:dyDescent="0.2">
      <c r="C30" t="s">
        <v>111</v>
      </c>
      <c r="D30" s="28">
        <v>103</v>
      </c>
      <c r="E30" s="28"/>
      <c r="F30" s="28"/>
      <c r="G30" s="28"/>
      <c r="H30" s="28"/>
      <c r="I30" s="28"/>
      <c r="J30" s="28">
        <v>244.42</v>
      </c>
      <c r="K30" s="28"/>
      <c r="L30" s="28"/>
      <c r="M30" s="13"/>
      <c r="N30" s="13"/>
      <c r="O30" s="13"/>
      <c r="P30" s="13"/>
      <c r="Q30" s="13"/>
      <c r="R30" s="13"/>
      <c r="S30" s="13"/>
      <c r="T30" s="13"/>
      <c r="U30" s="13"/>
    </row>
    <row r="31" spans="3:21" x14ac:dyDescent="0.2">
      <c r="C31" t="s">
        <v>112</v>
      </c>
      <c r="D31" s="28">
        <v>4209.76</v>
      </c>
      <c r="E31" s="28"/>
      <c r="F31" s="28"/>
      <c r="G31" s="28"/>
      <c r="H31" s="28"/>
      <c r="I31" s="28">
        <v>1920.24</v>
      </c>
      <c r="J31" s="28">
        <v>1431.03</v>
      </c>
      <c r="K31" s="28"/>
      <c r="L31" s="28"/>
      <c r="M31" s="13"/>
      <c r="N31" s="13"/>
      <c r="O31" s="13"/>
      <c r="P31" s="13"/>
      <c r="Q31" s="13"/>
      <c r="R31" s="13"/>
      <c r="S31" s="13"/>
      <c r="T31" s="13"/>
      <c r="U31" s="13"/>
    </row>
    <row r="32" spans="3:21" x14ac:dyDescent="0.2">
      <c r="D32" s="28"/>
      <c r="E32" s="28"/>
      <c r="F32" s="28"/>
      <c r="G32" s="28"/>
      <c r="H32" s="28"/>
      <c r="I32" s="28">
        <v>13.93</v>
      </c>
      <c r="J32" s="28">
        <v>-0.28000000000000003</v>
      </c>
      <c r="K32" s="28"/>
      <c r="L32" s="28"/>
      <c r="M32" s="13"/>
      <c r="N32" s="13"/>
      <c r="O32" s="13"/>
      <c r="P32" s="13"/>
      <c r="Q32" s="13"/>
      <c r="R32" s="13"/>
      <c r="S32" s="13"/>
      <c r="T32" s="13"/>
      <c r="U32" s="13"/>
    </row>
    <row r="33" spans="3:21" x14ac:dyDescent="0.2">
      <c r="C33" t="s">
        <v>113</v>
      </c>
      <c r="D33" s="28">
        <v>656.82</v>
      </c>
      <c r="E33" s="28"/>
      <c r="F33" s="28"/>
      <c r="G33" s="28"/>
      <c r="H33" s="28"/>
      <c r="I33" s="28">
        <v>1934.17</v>
      </c>
      <c r="J33" s="28">
        <v>2492.6099999999997</v>
      </c>
      <c r="K33" s="28"/>
      <c r="L33" s="28"/>
      <c r="M33" s="13"/>
      <c r="N33" s="13"/>
      <c r="O33" s="13"/>
      <c r="P33" s="13"/>
      <c r="Q33" s="13"/>
      <c r="R33" s="13"/>
      <c r="S33" s="13"/>
      <c r="T33" s="13"/>
      <c r="U33" s="13"/>
    </row>
    <row r="34" spans="3:21" x14ac:dyDescent="0.2">
      <c r="C34" t="s">
        <v>114</v>
      </c>
      <c r="D34" s="28">
        <v>1708.47</v>
      </c>
      <c r="E34" s="28">
        <v>1906.88</v>
      </c>
      <c r="F34" s="28">
        <v>1734.59</v>
      </c>
      <c r="G34" s="28">
        <v>1263.74</v>
      </c>
      <c r="H34" s="28">
        <v>2070.02</v>
      </c>
      <c r="I34" s="28">
        <v>-0.72</v>
      </c>
      <c r="J34" s="28"/>
      <c r="K34" s="28">
        <v>595.75</v>
      </c>
      <c r="L34" s="28"/>
      <c r="M34" s="13"/>
      <c r="N34" s="13"/>
      <c r="O34" s="13"/>
      <c r="P34" s="13"/>
      <c r="Q34" s="13"/>
      <c r="R34" s="13"/>
      <c r="S34" s="13"/>
      <c r="T34" s="13"/>
      <c r="U34" s="13"/>
    </row>
    <row r="35" spans="3:21" x14ac:dyDescent="0.2">
      <c r="C35" t="s">
        <v>135</v>
      </c>
      <c r="D35" s="28"/>
      <c r="E35" s="28"/>
      <c r="F35" s="28"/>
      <c r="G35" s="28"/>
      <c r="H35" s="28">
        <v>813</v>
      </c>
      <c r="I35" s="28">
        <v>3130.1400000000003</v>
      </c>
      <c r="J35" s="28"/>
      <c r="K35" s="28">
        <v>595.75</v>
      </c>
      <c r="L35" s="28"/>
      <c r="M35" s="13"/>
      <c r="N35" s="13"/>
      <c r="O35" s="13"/>
      <c r="P35" s="13"/>
      <c r="Q35" s="13"/>
      <c r="R35" s="13"/>
      <c r="S35" s="13"/>
      <c r="T35" s="13"/>
      <c r="U35" s="13"/>
    </row>
    <row r="36" spans="3:21" x14ac:dyDescent="0.2">
      <c r="C36" t="s">
        <v>115</v>
      </c>
      <c r="D36" s="28">
        <v>197.29</v>
      </c>
      <c r="E36" s="28">
        <v>23.75</v>
      </c>
      <c r="F36" s="28">
        <v>213.61</v>
      </c>
      <c r="G36" s="28">
        <v>774.56</v>
      </c>
      <c r="H36" s="28">
        <v>314.82</v>
      </c>
      <c r="I36" s="28"/>
      <c r="J36" s="28"/>
      <c r="K36" s="28"/>
      <c r="L36" s="28"/>
      <c r="M36" s="13"/>
      <c r="N36" s="13"/>
      <c r="O36" s="13"/>
      <c r="P36" s="13"/>
      <c r="Q36" s="13"/>
      <c r="R36" s="13"/>
      <c r="S36" s="13"/>
      <c r="T36" s="13"/>
      <c r="U36" s="13"/>
    </row>
    <row r="37" spans="3:21" x14ac:dyDescent="0.2">
      <c r="C37" t="s">
        <v>116</v>
      </c>
      <c r="D37" s="28">
        <v>2562.58</v>
      </c>
      <c r="E37" s="28">
        <v>1930.63</v>
      </c>
      <c r="F37" s="28">
        <v>1948.1999999999998</v>
      </c>
      <c r="G37" s="28">
        <v>2038.3</v>
      </c>
      <c r="H37" s="28">
        <v>3197.84</v>
      </c>
      <c r="I37" s="28">
        <v>600</v>
      </c>
      <c r="J37" s="28"/>
      <c r="K37" s="28"/>
      <c r="L37" s="28"/>
      <c r="M37" s="13"/>
      <c r="N37" s="13"/>
      <c r="O37" s="13"/>
      <c r="P37" s="13"/>
      <c r="Q37" s="13"/>
      <c r="R37" s="13"/>
      <c r="S37" s="13"/>
      <c r="T37" s="13"/>
      <c r="U37" s="13"/>
    </row>
    <row r="38" spans="3:21" x14ac:dyDescent="0.2">
      <c r="C38" t="s">
        <v>126</v>
      </c>
      <c r="D38" s="28"/>
      <c r="E38" s="28">
        <v>39</v>
      </c>
      <c r="F38" s="28"/>
      <c r="G38" s="28">
        <v>345</v>
      </c>
      <c r="H38" s="28"/>
      <c r="I38" s="28">
        <v>49</v>
      </c>
      <c r="J38" s="28"/>
      <c r="K38" s="28">
        <v>117</v>
      </c>
      <c r="L38" s="28"/>
      <c r="M38" s="13"/>
      <c r="N38" s="13"/>
      <c r="O38" s="13"/>
      <c r="P38" s="13"/>
      <c r="Q38" s="13"/>
      <c r="R38" s="13"/>
      <c r="S38" s="13"/>
      <c r="T38" s="13"/>
      <c r="U38" s="13"/>
    </row>
    <row r="39" spans="3:21" x14ac:dyDescent="0.2">
      <c r="C39" t="s">
        <v>131</v>
      </c>
      <c r="D39" s="28">
        <v>11859.28</v>
      </c>
      <c r="E39" s="28">
        <v>7247.5</v>
      </c>
      <c r="F39" s="28"/>
      <c r="G39" s="28">
        <v>9694.06</v>
      </c>
      <c r="H39" s="28">
        <v>14259.51</v>
      </c>
      <c r="I39" s="28">
        <v>214.59</v>
      </c>
      <c r="J39" s="28"/>
      <c r="K39" s="28">
        <v>767.44</v>
      </c>
      <c r="L39" s="28"/>
      <c r="M39" s="13"/>
      <c r="N39" s="13"/>
      <c r="O39" s="13"/>
      <c r="P39" s="13"/>
      <c r="Q39" s="13"/>
      <c r="R39" s="13"/>
      <c r="S39" s="13"/>
      <c r="T39" s="13"/>
      <c r="U39" s="13"/>
    </row>
    <row r="40" spans="3:21" x14ac:dyDescent="0.2">
      <c r="D40" s="28"/>
      <c r="E40" s="28"/>
      <c r="F40" s="28"/>
      <c r="G40" s="28"/>
      <c r="H40" s="28"/>
      <c r="I40" s="28">
        <v>263.59000000000003</v>
      </c>
      <c r="J40" s="28"/>
      <c r="K40" s="28"/>
      <c r="L40" s="28"/>
      <c r="M40" s="13"/>
      <c r="N40" s="13"/>
      <c r="O40" s="13"/>
      <c r="P40" s="13"/>
      <c r="Q40" s="13"/>
      <c r="R40" s="13"/>
      <c r="S40" s="13"/>
      <c r="T40" s="13"/>
      <c r="U40" s="13"/>
    </row>
    <row r="41" spans="3:21" x14ac:dyDescent="0.2">
      <c r="D41" s="28"/>
      <c r="E41" s="28"/>
      <c r="F41" s="28"/>
      <c r="G41" s="28"/>
      <c r="H41" s="28"/>
      <c r="I41" s="28">
        <v>46582.21</v>
      </c>
      <c r="J41" s="28"/>
      <c r="K41" s="28"/>
      <c r="L41" s="28"/>
      <c r="M41" s="13"/>
      <c r="N41" s="13"/>
      <c r="O41" s="13"/>
      <c r="P41" s="13"/>
      <c r="Q41" s="13"/>
      <c r="R41" s="13"/>
      <c r="S41" s="13"/>
      <c r="T41" s="13"/>
      <c r="U41" s="13"/>
    </row>
    <row r="42" spans="3:21" x14ac:dyDescent="0.2">
      <c r="C42" t="s">
        <v>117</v>
      </c>
      <c r="D42" s="28">
        <v>600</v>
      </c>
      <c r="E42" s="28"/>
      <c r="F42" s="28">
        <v>625</v>
      </c>
      <c r="G42" s="28">
        <v>300</v>
      </c>
      <c r="H42" s="28"/>
      <c r="I42" s="28"/>
      <c r="J42" s="28">
        <v>309</v>
      </c>
      <c r="K42" s="28">
        <v>309</v>
      </c>
      <c r="L42" s="28"/>
      <c r="M42" s="13"/>
      <c r="N42" s="13"/>
      <c r="O42" s="13"/>
      <c r="P42" s="13"/>
      <c r="Q42" s="13"/>
      <c r="R42" s="13"/>
      <c r="S42" s="13"/>
      <c r="T42" s="13"/>
      <c r="U42" s="13"/>
    </row>
    <row r="43" spans="3:21" x14ac:dyDescent="0.2">
      <c r="C43" t="s">
        <v>132</v>
      </c>
      <c r="D43" s="28"/>
      <c r="E43" s="28"/>
      <c r="F43" s="28">
        <v>625</v>
      </c>
      <c r="G43" s="28">
        <v>300</v>
      </c>
      <c r="H43" s="28"/>
      <c r="I43" s="28"/>
      <c r="J43" s="28">
        <v>309</v>
      </c>
      <c r="K43" s="28">
        <v>309</v>
      </c>
      <c r="L43" s="28"/>
      <c r="M43" s="13"/>
      <c r="N43" s="13"/>
      <c r="O43" s="13"/>
      <c r="P43" s="13"/>
      <c r="Q43" s="13"/>
      <c r="R43" s="13"/>
      <c r="S43" s="13"/>
      <c r="T43" s="13"/>
      <c r="U43" s="13"/>
    </row>
    <row r="44" spans="3:21" x14ac:dyDescent="0.2">
      <c r="C44" t="s">
        <v>118</v>
      </c>
      <c r="D44" s="28">
        <v>70</v>
      </c>
      <c r="E44" s="28"/>
      <c r="F44" s="28"/>
      <c r="G44" s="28"/>
      <c r="H44" s="28"/>
      <c r="I44" s="28"/>
      <c r="J44" s="28">
        <v>14754.5</v>
      </c>
      <c r="K44" s="28"/>
      <c r="L44" s="28"/>
      <c r="M44" s="13"/>
      <c r="N44" s="13"/>
      <c r="O44" s="13"/>
      <c r="P44" s="13"/>
      <c r="Q44" s="13"/>
      <c r="R44" s="13"/>
      <c r="S44" s="13"/>
      <c r="T44" s="13"/>
      <c r="U44" s="13"/>
    </row>
    <row r="45" spans="3:21" x14ac:dyDescent="0.2">
      <c r="C45" t="s">
        <v>119</v>
      </c>
      <c r="D45" s="28">
        <v>208.75</v>
      </c>
      <c r="E45" s="28">
        <v>208.75</v>
      </c>
      <c r="F45" s="28">
        <v>208.75</v>
      </c>
      <c r="G45" s="28">
        <v>208.75</v>
      </c>
      <c r="H45" s="28">
        <v>208.78</v>
      </c>
      <c r="I45" s="28"/>
      <c r="J45" s="28">
        <v>214.68</v>
      </c>
      <c r="K45" s="28"/>
      <c r="L45" s="28"/>
      <c r="M45" s="13"/>
      <c r="N45" s="13"/>
      <c r="O45" s="13"/>
      <c r="P45" s="13"/>
      <c r="Q45" s="13"/>
      <c r="R45" s="13"/>
      <c r="S45" s="13"/>
      <c r="T45" s="13"/>
      <c r="U45" s="13"/>
    </row>
    <row r="46" spans="3:21" x14ac:dyDescent="0.2">
      <c r="C46" t="s">
        <v>121</v>
      </c>
      <c r="D46" s="28">
        <v>278.75</v>
      </c>
      <c r="E46" s="28">
        <v>208.75</v>
      </c>
      <c r="F46" s="28">
        <v>208.75</v>
      </c>
      <c r="G46" s="28">
        <v>208.75</v>
      </c>
      <c r="H46" s="28">
        <v>208.78</v>
      </c>
      <c r="I46" s="28"/>
      <c r="J46" s="28">
        <v>14969.18</v>
      </c>
      <c r="K46" s="28">
        <v>41.61</v>
      </c>
      <c r="L46" s="28"/>
      <c r="M46" s="13"/>
      <c r="N46" s="13"/>
      <c r="O46" s="13"/>
      <c r="P46" s="13"/>
      <c r="Q46" s="13"/>
      <c r="R46" s="13"/>
      <c r="S46" s="13"/>
      <c r="T46" s="13"/>
      <c r="U46" s="13"/>
    </row>
    <row r="47" spans="3:21" x14ac:dyDescent="0.2">
      <c r="C47" t="s">
        <v>120</v>
      </c>
      <c r="D47" s="28">
        <v>1849.48</v>
      </c>
      <c r="E47" s="28"/>
      <c r="F47" s="28">
        <v>732.42</v>
      </c>
      <c r="G47" s="28">
        <v>341.88</v>
      </c>
      <c r="H47" s="28">
        <v>20063.16</v>
      </c>
      <c r="I47" s="28"/>
      <c r="J47" s="28">
        <v>324.13</v>
      </c>
      <c r="K47" s="28"/>
      <c r="L47" s="28"/>
      <c r="M47" s="13"/>
      <c r="N47" s="13"/>
      <c r="O47" s="13"/>
      <c r="P47" s="13"/>
      <c r="Q47" s="13"/>
      <c r="R47" s="13"/>
      <c r="S47" s="13"/>
      <c r="T47" s="13"/>
      <c r="U47" s="13"/>
    </row>
    <row r="48" spans="3:21" x14ac:dyDescent="0.2">
      <c r="C48" t="s">
        <v>122</v>
      </c>
      <c r="D48" s="28">
        <v>16700.21</v>
      </c>
      <c r="E48" s="28">
        <v>34645</v>
      </c>
      <c r="F48" s="28">
        <v>33104.080000000002</v>
      </c>
      <c r="G48" s="28">
        <v>16550</v>
      </c>
      <c r="H48" s="28">
        <v>11042</v>
      </c>
      <c r="I48" s="29">
        <v>55167.47</v>
      </c>
      <c r="J48" s="28">
        <v>15775</v>
      </c>
      <c r="K48" s="28">
        <v>38934.51</v>
      </c>
      <c r="L48" s="28"/>
      <c r="M48" s="13"/>
      <c r="N48" s="13"/>
      <c r="O48" s="13"/>
      <c r="P48" s="13"/>
      <c r="Q48" s="13"/>
      <c r="R48" s="13"/>
      <c r="S48" s="13"/>
      <c r="T48" s="13"/>
      <c r="U48" s="13"/>
    </row>
    <row r="49" spans="3:21" x14ac:dyDescent="0.2">
      <c r="C49" t="s">
        <v>98</v>
      </c>
      <c r="D49" s="28">
        <v>2735</v>
      </c>
      <c r="E49" s="28">
        <v>3966</v>
      </c>
      <c r="F49" s="28">
        <v>410</v>
      </c>
      <c r="G49" s="28">
        <v>900</v>
      </c>
      <c r="H49" s="28"/>
      <c r="I49" s="29">
        <v>4150</v>
      </c>
      <c r="J49" s="28">
        <v>3407</v>
      </c>
      <c r="K49" s="28"/>
      <c r="L49" s="28"/>
      <c r="M49" s="13"/>
      <c r="N49" s="13"/>
      <c r="O49" s="13"/>
      <c r="P49" s="13"/>
      <c r="Q49" s="13"/>
      <c r="R49" s="13"/>
      <c r="S49" s="13"/>
      <c r="T49" s="13"/>
      <c r="U49" s="13"/>
    </row>
    <row r="50" spans="3:21" x14ac:dyDescent="0.2">
      <c r="C50" t="s">
        <v>137</v>
      </c>
      <c r="D50" s="28"/>
      <c r="E50" s="28"/>
      <c r="F50" s="28"/>
      <c r="G50" s="28"/>
      <c r="H50" s="28"/>
      <c r="I50" s="29">
        <v>37.92</v>
      </c>
      <c r="J50" s="28"/>
      <c r="K50" s="28"/>
      <c r="L50" s="28"/>
      <c r="M50" s="13"/>
      <c r="N50" s="13"/>
      <c r="O50" s="13"/>
      <c r="P50" s="13"/>
      <c r="Q50" s="13"/>
      <c r="R50" s="13"/>
      <c r="S50" s="13"/>
      <c r="T50" s="13"/>
      <c r="U50" s="13"/>
    </row>
    <row r="51" spans="3:21" x14ac:dyDescent="0.2">
      <c r="C51" t="s">
        <v>123</v>
      </c>
      <c r="D51" s="28">
        <v>21284.69</v>
      </c>
      <c r="E51" s="28">
        <v>54505.45</v>
      </c>
      <c r="F51" s="28">
        <v>34246.5</v>
      </c>
      <c r="G51" s="28">
        <v>17791.88</v>
      </c>
      <c r="H51" s="28">
        <v>31105.16</v>
      </c>
      <c r="I51" s="28"/>
      <c r="J51" s="28">
        <v>19506.129999999997</v>
      </c>
      <c r="K51" s="28">
        <v>38934.5</v>
      </c>
      <c r="L51" s="28"/>
      <c r="M51" s="13"/>
      <c r="N51" s="13"/>
      <c r="O51" s="13"/>
      <c r="P51" s="13"/>
      <c r="Q51" s="13"/>
      <c r="R51" s="13"/>
      <c r="S51" s="13"/>
      <c r="T51" s="13"/>
      <c r="U51" s="13"/>
    </row>
    <row r="52" spans="3:21" x14ac:dyDescent="0.2">
      <c r="C52" s="13"/>
      <c r="D52" s="28"/>
      <c r="E52" s="28"/>
      <c r="F52" s="28"/>
      <c r="G52" s="28"/>
      <c r="H52" s="28"/>
      <c r="I52" s="29">
        <v>105899.68</v>
      </c>
      <c r="J52" s="28"/>
      <c r="K52" s="28"/>
      <c r="L52" s="28"/>
      <c r="M52" s="13"/>
      <c r="N52" s="13"/>
      <c r="O52" s="13"/>
      <c r="P52" s="13"/>
      <c r="Q52" s="13"/>
      <c r="R52" s="13"/>
      <c r="S52" s="13"/>
      <c r="T52" s="13"/>
      <c r="U52" s="13"/>
    </row>
    <row r="53" spans="3:21" x14ac:dyDescent="0.2">
      <c r="C53" t="s">
        <v>65</v>
      </c>
      <c r="D53" s="28">
        <v>54264.619999999995</v>
      </c>
      <c r="E53" s="28">
        <v>80668.61</v>
      </c>
      <c r="F53" s="28">
        <v>68773.16</v>
      </c>
      <c r="G53" s="28">
        <v>57650.740000000005</v>
      </c>
      <c r="H53" s="28">
        <v>64799.45</v>
      </c>
      <c r="I53" s="28">
        <v>124821.09</v>
      </c>
      <c r="J53" s="28">
        <v>70150.92</v>
      </c>
      <c r="K53" s="28">
        <v>42251.43</v>
      </c>
      <c r="L53" s="28"/>
      <c r="M53" s="13"/>
      <c r="N53" s="13"/>
      <c r="O53" s="13"/>
      <c r="P53" s="13"/>
      <c r="Q53" s="13"/>
      <c r="R53" s="13"/>
      <c r="S53" s="13"/>
      <c r="T53" s="13"/>
      <c r="U53" s="13"/>
    </row>
    <row r="54" spans="3:21" x14ac:dyDescent="0.2">
      <c r="C54" t="s">
        <v>66</v>
      </c>
      <c r="D54" s="28">
        <v>-649.85999999999331</v>
      </c>
      <c r="E54" s="28">
        <v>58231.58</v>
      </c>
      <c r="F54" s="28">
        <v>5292.5299999999988</v>
      </c>
      <c r="G54" s="28">
        <v>-9677.7200000000084</v>
      </c>
      <c r="H54" s="28">
        <v>24036.210000000006</v>
      </c>
      <c r="I54" s="28">
        <v>32898.299999999988</v>
      </c>
      <c r="J54" s="28">
        <v>-35873.03</v>
      </c>
      <c r="K54" s="28">
        <v>109301.13999999998</v>
      </c>
      <c r="L54" s="28"/>
      <c r="M54" s="13"/>
      <c r="N54" s="13"/>
      <c r="O54" s="13"/>
      <c r="P54" s="13"/>
      <c r="Q54" s="13"/>
      <c r="R54" s="13"/>
      <c r="S54" s="13"/>
      <c r="T54" s="13"/>
      <c r="U54" s="13"/>
    </row>
    <row r="55" spans="3:21" x14ac:dyDescent="0.2">
      <c r="C55" t="s">
        <v>85</v>
      </c>
      <c r="D55" s="28"/>
      <c r="E55" s="28"/>
      <c r="F55" s="28"/>
      <c r="G55" s="28"/>
      <c r="H55" s="28"/>
      <c r="I55" s="28"/>
      <c r="J55" s="28">
        <v>-36.54</v>
      </c>
      <c r="K55" s="28"/>
      <c r="L55" s="28">
        <v>22000</v>
      </c>
    </row>
    <row r="56" spans="3:21" x14ac:dyDescent="0.2">
      <c r="C56" t="s">
        <v>67</v>
      </c>
      <c r="D56" s="28">
        <v>-649.85999999999331</v>
      </c>
      <c r="E56" s="28">
        <v>58231.58</v>
      </c>
      <c r="F56" s="28">
        <v>5292.5299999999988</v>
      </c>
      <c r="G56" s="28">
        <v>-9677.7200000000084</v>
      </c>
      <c r="H56" s="28">
        <v>24036.210000000006</v>
      </c>
      <c r="I56" s="28">
        <v>32860.37999999999</v>
      </c>
      <c r="J56" s="28">
        <v>-35909.57</v>
      </c>
      <c r="K56" s="28">
        <v>109301.13999999998</v>
      </c>
      <c r="L56" s="28">
        <v>22000</v>
      </c>
    </row>
    <row r="61" spans="3:21" x14ac:dyDescent="0.2">
      <c r="H61" s="27"/>
    </row>
    <row r="62" spans="3:21" x14ac:dyDescent="0.2">
      <c r="H62" s="2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71AAE-DDBB-2747-8B31-B211AC88E64B}">
  <dimension ref="C11:BF20"/>
  <sheetViews>
    <sheetView topLeftCell="C1" workbookViewId="0">
      <selection sqref="A1:AX1"/>
    </sheetView>
  </sheetViews>
  <sheetFormatPr baseColWidth="10" defaultRowHeight="16" x14ac:dyDescent="0.2"/>
  <cols>
    <col min="3" max="3" width="12.83203125" bestFit="1" customWidth="1"/>
    <col min="4" max="58" width="13.1640625" customWidth="1"/>
  </cols>
  <sheetData>
    <row r="11" spans="3:58" x14ac:dyDescent="0.2">
      <c r="C11" t="s">
        <v>141</v>
      </c>
      <c r="D11" t="s">
        <v>90</v>
      </c>
      <c r="E11" t="s">
        <v>127</v>
      </c>
      <c r="F11" t="s">
        <v>136</v>
      </c>
      <c r="G11" t="s">
        <v>98</v>
      </c>
      <c r="H11" t="s">
        <v>15</v>
      </c>
      <c r="I11" t="s">
        <v>124</v>
      </c>
      <c r="K11" t="s">
        <v>20</v>
      </c>
      <c r="L11" t="s">
        <v>21</v>
      </c>
      <c r="M11" t="s">
        <v>99</v>
      </c>
      <c r="N11" t="s">
        <v>96</v>
      </c>
      <c r="O11" t="s">
        <v>128</v>
      </c>
      <c r="P11" t="s">
        <v>134</v>
      </c>
      <c r="Q11" t="s">
        <v>100</v>
      </c>
      <c r="R11" t="s">
        <v>101</v>
      </c>
      <c r="S11" t="s">
        <v>129</v>
      </c>
      <c r="T11" t="s">
        <v>102</v>
      </c>
      <c r="U11" t="s">
        <v>103</v>
      </c>
      <c r="V11" t="s">
        <v>104</v>
      </c>
      <c r="W11" t="s">
        <v>125</v>
      </c>
      <c r="X11" t="s">
        <v>130</v>
      </c>
      <c r="Y11" t="s">
        <v>105</v>
      </c>
      <c r="Z11" t="s">
        <v>106</v>
      </c>
      <c r="AA11" t="s">
        <v>107</v>
      </c>
      <c r="AB11" t="s">
        <v>108</v>
      </c>
      <c r="AC11" t="s">
        <v>133</v>
      </c>
      <c r="AD11" t="s">
        <v>109</v>
      </c>
      <c r="AE11" t="s">
        <v>110</v>
      </c>
      <c r="AF11" t="s">
        <v>111</v>
      </c>
      <c r="AG11" t="s">
        <v>112</v>
      </c>
      <c r="AI11" t="s">
        <v>113</v>
      </c>
      <c r="AJ11" t="s">
        <v>114</v>
      </c>
      <c r="AK11" t="s">
        <v>135</v>
      </c>
      <c r="AL11" t="s">
        <v>115</v>
      </c>
      <c r="AM11" t="s">
        <v>116</v>
      </c>
      <c r="AN11" t="s">
        <v>126</v>
      </c>
      <c r="AO11" t="s">
        <v>131</v>
      </c>
      <c r="AR11" t="s">
        <v>117</v>
      </c>
      <c r="AS11" t="s">
        <v>132</v>
      </c>
      <c r="AT11" t="s">
        <v>118</v>
      </c>
      <c r="AU11" t="s">
        <v>119</v>
      </c>
      <c r="AV11" t="s">
        <v>121</v>
      </c>
      <c r="AW11" t="s">
        <v>120</v>
      </c>
      <c r="AX11" t="s">
        <v>122</v>
      </c>
      <c r="AY11" t="s">
        <v>98</v>
      </c>
      <c r="AZ11" t="s">
        <v>137</v>
      </c>
      <c r="BA11" t="s">
        <v>123</v>
      </c>
      <c r="BB11" s="13"/>
      <c r="BC11" t="s">
        <v>65</v>
      </c>
      <c r="BD11" t="s">
        <v>66</v>
      </c>
      <c r="BE11" t="s">
        <v>85</v>
      </c>
      <c r="BF11" t="s">
        <v>67</v>
      </c>
    </row>
    <row r="12" spans="3:58" x14ac:dyDescent="0.2">
      <c r="C12" s="30">
        <v>44927</v>
      </c>
      <c r="D12" s="28">
        <v>59380</v>
      </c>
      <c r="E12" s="28"/>
      <c r="F12" s="28"/>
      <c r="G12" s="28">
        <v>4275</v>
      </c>
      <c r="H12" s="28">
        <v>63655</v>
      </c>
      <c r="I12" s="28">
        <v>10040.24</v>
      </c>
      <c r="J12" s="28"/>
      <c r="K12" s="28">
        <v>10040.24</v>
      </c>
      <c r="L12" s="28">
        <v>53614.76</v>
      </c>
      <c r="M12" s="28">
        <v>14892.5</v>
      </c>
      <c r="N12" s="28">
        <v>1237.67</v>
      </c>
      <c r="O12" s="28">
        <v>16130.26</v>
      </c>
      <c r="P12" s="28"/>
      <c r="Q12" s="28">
        <v>414.97</v>
      </c>
      <c r="R12" s="28">
        <v>220</v>
      </c>
      <c r="S12" s="28">
        <v>634.97</v>
      </c>
      <c r="T12" s="28">
        <v>16765.23</v>
      </c>
      <c r="U12" s="28">
        <v>124.19</v>
      </c>
      <c r="V12" s="28">
        <v>2114.81</v>
      </c>
      <c r="W12" s="28">
        <v>2239</v>
      </c>
      <c r="X12" s="28"/>
      <c r="Y12" s="28">
        <v>3025</v>
      </c>
      <c r="Z12" s="28">
        <v>649.91999999999996</v>
      </c>
      <c r="AA12" s="28">
        <v>784.85</v>
      </c>
      <c r="AB12" s="28">
        <v>627.16999999999996</v>
      </c>
      <c r="AC12" s="28"/>
      <c r="AD12" s="28">
        <v>2384.27</v>
      </c>
      <c r="AE12" s="28">
        <v>1722.49</v>
      </c>
      <c r="AF12" s="28">
        <v>103</v>
      </c>
      <c r="AG12" s="28">
        <v>4209.76</v>
      </c>
      <c r="AH12" s="28"/>
      <c r="AI12" s="28">
        <v>656.82</v>
      </c>
      <c r="AJ12" s="28">
        <v>1708.47</v>
      </c>
      <c r="AK12" s="28"/>
      <c r="AL12" s="28">
        <v>197.29</v>
      </c>
      <c r="AM12" s="28">
        <v>2562.58</v>
      </c>
      <c r="AN12" s="28"/>
      <c r="AO12" s="28">
        <v>11859.28</v>
      </c>
      <c r="AP12" s="28"/>
      <c r="AQ12" s="28"/>
      <c r="AR12" s="28">
        <v>600</v>
      </c>
      <c r="AS12" s="28"/>
      <c r="AT12" s="28">
        <v>70</v>
      </c>
      <c r="AU12" s="28">
        <v>208.75</v>
      </c>
      <c r="AV12" s="28">
        <v>278.75</v>
      </c>
      <c r="AW12" s="28">
        <v>1849.48</v>
      </c>
      <c r="AX12" s="28">
        <v>16700.21</v>
      </c>
      <c r="AY12" s="28">
        <v>2735</v>
      </c>
      <c r="AZ12" s="28"/>
      <c r="BA12" s="28">
        <v>21284.69</v>
      </c>
      <c r="BB12" s="28"/>
      <c r="BC12" s="28">
        <v>54264.619999999995</v>
      </c>
      <c r="BD12" s="28">
        <v>-649.85999999999331</v>
      </c>
      <c r="BE12" s="28"/>
      <c r="BF12" s="28">
        <v>-649.85999999999331</v>
      </c>
    </row>
    <row r="13" spans="3:58" x14ac:dyDescent="0.2">
      <c r="C13" s="30">
        <v>44958</v>
      </c>
      <c r="D13" s="28">
        <v>92300</v>
      </c>
      <c r="E13" s="28"/>
      <c r="F13" s="28"/>
      <c r="G13" s="28"/>
      <c r="H13" s="28">
        <v>157550</v>
      </c>
      <c r="I13" s="28">
        <v>18649.810000000001</v>
      </c>
      <c r="J13" s="28"/>
      <c r="K13" s="28">
        <v>18649.810000000001</v>
      </c>
      <c r="L13" s="28">
        <v>138900.19</v>
      </c>
      <c r="M13" s="28"/>
      <c r="N13" s="28">
        <v>291.35000000000002</v>
      </c>
      <c r="O13" s="28">
        <v>17721.34</v>
      </c>
      <c r="P13" s="28"/>
      <c r="Q13" s="28"/>
      <c r="R13" s="28">
        <v>220</v>
      </c>
      <c r="S13" s="28">
        <v>220</v>
      </c>
      <c r="T13" s="28">
        <v>17941.34</v>
      </c>
      <c r="U13" s="28"/>
      <c r="V13" s="28">
        <v>474.22</v>
      </c>
      <c r="W13" s="28">
        <v>474.22</v>
      </c>
      <c r="X13" s="28"/>
      <c r="Y13" s="28">
        <v>3025</v>
      </c>
      <c r="Z13" s="28">
        <v>863.19</v>
      </c>
      <c r="AA13" s="28">
        <v>362.89</v>
      </c>
      <c r="AB13" s="28">
        <v>1026.79</v>
      </c>
      <c r="AC13" s="28"/>
      <c r="AD13" s="28"/>
      <c r="AE13" s="28"/>
      <c r="AF13" s="28"/>
      <c r="AG13" s="28"/>
      <c r="AH13" s="28"/>
      <c r="AI13" s="28"/>
      <c r="AJ13" s="28">
        <v>1906.88</v>
      </c>
      <c r="AK13" s="28"/>
      <c r="AL13" s="28">
        <v>23.75</v>
      </c>
      <c r="AM13" s="28">
        <v>1930.63</v>
      </c>
      <c r="AN13" s="28">
        <v>39</v>
      </c>
      <c r="AO13" s="28">
        <v>7247.5</v>
      </c>
      <c r="AP13" s="28"/>
      <c r="AQ13" s="28"/>
      <c r="AR13" s="28"/>
      <c r="AS13" s="28"/>
      <c r="AT13" s="28"/>
      <c r="AU13" s="28">
        <v>208.75</v>
      </c>
      <c r="AV13" s="28">
        <v>208.75</v>
      </c>
      <c r="AW13" s="28"/>
      <c r="AX13" s="28">
        <v>34645</v>
      </c>
      <c r="AY13" s="28">
        <v>3966</v>
      </c>
      <c r="AZ13" s="28"/>
      <c r="BA13" s="28">
        <v>54505.45</v>
      </c>
      <c r="BB13" s="28"/>
      <c r="BC13" s="28">
        <v>80668.61</v>
      </c>
      <c r="BD13" s="28">
        <v>58231.58</v>
      </c>
      <c r="BE13" s="28"/>
      <c r="BF13" s="28">
        <v>58231.58</v>
      </c>
    </row>
    <row r="14" spans="3:58" x14ac:dyDescent="0.2">
      <c r="C14" s="30">
        <v>44986</v>
      </c>
      <c r="D14" s="28">
        <v>66750</v>
      </c>
      <c r="E14" s="28">
        <v>-1000</v>
      </c>
      <c r="F14" s="28"/>
      <c r="G14" s="28"/>
      <c r="H14" s="28">
        <v>106992</v>
      </c>
      <c r="I14" s="28">
        <v>32926.31</v>
      </c>
      <c r="J14" s="28">
        <v>32926.31</v>
      </c>
      <c r="K14" s="28">
        <v>32926.31</v>
      </c>
      <c r="L14" s="28"/>
      <c r="M14" s="28">
        <v>22315.62</v>
      </c>
      <c r="N14" s="28">
        <v>2110.0700000000002</v>
      </c>
      <c r="O14" s="28">
        <v>22315.62</v>
      </c>
      <c r="P14" s="28"/>
      <c r="Q14" s="28">
        <v>766.3</v>
      </c>
      <c r="R14" s="28">
        <v>220</v>
      </c>
      <c r="S14" s="28">
        <v>986.3</v>
      </c>
      <c r="T14" s="28">
        <v>23301.919999999998</v>
      </c>
      <c r="U14" s="28"/>
      <c r="V14" s="28">
        <v>498.02</v>
      </c>
      <c r="W14" s="28">
        <v>498.02</v>
      </c>
      <c r="X14" s="28"/>
      <c r="Y14" s="28">
        <v>3025</v>
      </c>
      <c r="Z14" s="28">
        <v>774.55</v>
      </c>
      <c r="AA14" s="28">
        <v>862.69</v>
      </c>
      <c r="AB14" s="28">
        <v>1172.46</v>
      </c>
      <c r="AC14" s="28"/>
      <c r="AD14" s="28"/>
      <c r="AE14" s="28"/>
      <c r="AF14" s="28"/>
      <c r="AG14" s="28"/>
      <c r="AH14" s="28"/>
      <c r="AI14" s="28"/>
      <c r="AJ14" s="28">
        <v>1734.59</v>
      </c>
      <c r="AK14" s="28"/>
      <c r="AL14" s="28">
        <v>213.61</v>
      </c>
      <c r="AM14" s="28">
        <v>1948.1999999999998</v>
      </c>
      <c r="AN14" s="28"/>
      <c r="AO14" s="28"/>
      <c r="AP14" s="28"/>
      <c r="AQ14" s="28"/>
      <c r="AR14" s="28">
        <v>625</v>
      </c>
      <c r="AS14" s="28">
        <v>625</v>
      </c>
      <c r="AT14" s="28"/>
      <c r="AU14" s="28">
        <v>208.75</v>
      </c>
      <c r="AV14" s="28">
        <v>208.75</v>
      </c>
      <c r="AW14" s="28">
        <v>732.42</v>
      </c>
      <c r="AX14" s="28">
        <v>33104.080000000002</v>
      </c>
      <c r="AY14" s="28">
        <v>410</v>
      </c>
      <c r="AZ14" s="28"/>
      <c r="BA14" s="28">
        <v>34246.5</v>
      </c>
      <c r="BB14" s="28"/>
      <c r="BC14" s="28">
        <v>68773.16</v>
      </c>
      <c r="BD14" s="28">
        <v>5292.5299999999988</v>
      </c>
      <c r="BE14" s="28"/>
      <c r="BF14" s="28">
        <v>5292.5299999999988</v>
      </c>
    </row>
    <row r="15" spans="3:58" x14ac:dyDescent="0.2">
      <c r="C15" s="30">
        <v>45017</v>
      </c>
      <c r="D15" s="28">
        <v>79120</v>
      </c>
      <c r="E15" s="28"/>
      <c r="F15" s="28"/>
      <c r="G15" s="28"/>
      <c r="H15" s="28">
        <v>86220</v>
      </c>
      <c r="I15" s="28"/>
      <c r="J15" s="28"/>
      <c r="K15" s="28">
        <v>38246.980000000003</v>
      </c>
      <c r="L15" s="28"/>
      <c r="M15" s="28">
        <v>26211.84</v>
      </c>
      <c r="N15" s="28">
        <v>449</v>
      </c>
      <c r="O15" s="28"/>
      <c r="P15" s="28"/>
      <c r="Q15" s="28">
        <v>1649.7</v>
      </c>
      <c r="R15" s="28">
        <v>220</v>
      </c>
      <c r="S15" s="28">
        <v>1869.7</v>
      </c>
      <c r="T15" s="28">
        <v>28081.54</v>
      </c>
      <c r="U15" s="28"/>
      <c r="V15" s="28">
        <v>1125.51</v>
      </c>
      <c r="W15" s="28">
        <v>1125.51</v>
      </c>
      <c r="X15" s="28"/>
      <c r="Y15" s="28">
        <v>3025</v>
      </c>
      <c r="Z15" s="28">
        <v>1249.8399999999999</v>
      </c>
      <c r="AA15" s="28">
        <v>946.32</v>
      </c>
      <c r="AB15" s="28">
        <v>1715.3</v>
      </c>
      <c r="AC15" s="28">
        <v>374.3</v>
      </c>
      <c r="AD15" s="28"/>
      <c r="AE15" s="28"/>
      <c r="AF15" s="28"/>
      <c r="AG15" s="28"/>
      <c r="AH15" s="28"/>
      <c r="AI15" s="28"/>
      <c r="AJ15" s="28">
        <v>1263.74</v>
      </c>
      <c r="AK15" s="28"/>
      <c r="AL15" s="28">
        <v>774.56</v>
      </c>
      <c r="AM15" s="28">
        <v>2038.3</v>
      </c>
      <c r="AN15" s="28">
        <v>345</v>
      </c>
      <c r="AO15" s="28">
        <v>9694.06</v>
      </c>
      <c r="AP15" s="28"/>
      <c r="AQ15" s="28"/>
      <c r="AR15" s="28">
        <v>300</v>
      </c>
      <c r="AS15" s="28">
        <v>300</v>
      </c>
      <c r="AT15" s="28"/>
      <c r="AU15" s="28">
        <v>208.75</v>
      </c>
      <c r="AV15" s="28">
        <v>208.75</v>
      </c>
      <c r="AW15" s="28">
        <v>341.88</v>
      </c>
      <c r="AX15" s="28">
        <v>16550</v>
      </c>
      <c r="AY15" s="28">
        <v>900</v>
      </c>
      <c r="AZ15" s="28"/>
      <c r="BA15" s="28">
        <v>17791.88</v>
      </c>
      <c r="BB15" s="28"/>
      <c r="BC15" s="28">
        <v>57650.740000000005</v>
      </c>
      <c r="BD15" s="28">
        <v>-9677.7200000000084</v>
      </c>
      <c r="BE15" s="28"/>
      <c r="BF15" s="28">
        <v>-9677.7200000000084</v>
      </c>
    </row>
    <row r="16" spans="3:58" x14ac:dyDescent="0.2">
      <c r="C16" s="30">
        <v>45047</v>
      </c>
      <c r="D16" s="28">
        <v>118340</v>
      </c>
      <c r="E16" s="28">
        <v>-2100</v>
      </c>
      <c r="F16" s="28"/>
      <c r="G16" s="28"/>
      <c r="H16" s="28">
        <v>134865</v>
      </c>
      <c r="I16" s="28"/>
      <c r="J16" s="28"/>
      <c r="K16" s="28">
        <v>46029.34</v>
      </c>
      <c r="L16" s="28"/>
      <c r="M16" s="28">
        <v>14544.1</v>
      </c>
      <c r="N16" s="28">
        <v>1724.76</v>
      </c>
      <c r="O16" s="28">
        <v>14544.1</v>
      </c>
      <c r="P16" s="28">
        <v>1520</v>
      </c>
      <c r="Q16" s="28">
        <v>337.89</v>
      </c>
      <c r="R16" s="28">
        <v>220</v>
      </c>
      <c r="S16" s="28">
        <v>2077.89</v>
      </c>
      <c r="T16" s="28">
        <v>16621.990000000002</v>
      </c>
      <c r="U16" s="28">
        <v>439.95</v>
      </c>
      <c r="V16" s="28">
        <v>439.3</v>
      </c>
      <c r="W16" s="28">
        <v>879.25</v>
      </c>
      <c r="X16" s="28"/>
      <c r="Y16" s="28">
        <v>6050</v>
      </c>
      <c r="Z16" s="28">
        <v>1093.23</v>
      </c>
      <c r="AA16" s="28">
        <v>671.5</v>
      </c>
      <c r="AB16" s="28">
        <v>3246.94</v>
      </c>
      <c r="AC16" s="28"/>
      <c r="AD16" s="28"/>
      <c r="AE16" s="28"/>
      <c r="AF16" s="28"/>
      <c r="AG16" s="28"/>
      <c r="AH16" s="28"/>
      <c r="AI16" s="28"/>
      <c r="AJ16" s="28">
        <v>2070.02</v>
      </c>
      <c r="AK16" s="28">
        <v>813</v>
      </c>
      <c r="AL16" s="28">
        <v>314.82</v>
      </c>
      <c r="AM16" s="28">
        <v>3197.84</v>
      </c>
      <c r="AN16" s="28"/>
      <c r="AO16" s="28">
        <v>14259.51</v>
      </c>
      <c r="AP16" s="28"/>
      <c r="AQ16" s="28"/>
      <c r="AR16" s="28"/>
      <c r="AS16" s="28"/>
      <c r="AT16" s="28"/>
      <c r="AU16" s="28">
        <v>208.78</v>
      </c>
      <c r="AV16" s="28">
        <v>208.78</v>
      </c>
      <c r="AW16" s="28">
        <v>20063.16</v>
      </c>
      <c r="AX16" s="28">
        <v>11042</v>
      </c>
      <c r="AY16" s="28"/>
      <c r="AZ16" s="28"/>
      <c r="BA16" s="28">
        <v>31105.16</v>
      </c>
      <c r="BB16" s="28"/>
      <c r="BC16" s="28">
        <v>64799.45</v>
      </c>
      <c r="BD16" s="28">
        <v>24036.210000000006</v>
      </c>
      <c r="BE16" s="28"/>
      <c r="BF16" s="28">
        <v>24036.210000000006</v>
      </c>
    </row>
    <row r="17" spans="3:58" x14ac:dyDescent="0.2">
      <c r="C17" s="30">
        <v>45078</v>
      </c>
      <c r="D17" s="28">
        <v>102365.05</v>
      </c>
      <c r="E17" s="28"/>
      <c r="F17" s="28">
        <v>95486</v>
      </c>
      <c r="G17" s="28"/>
      <c r="H17" s="28"/>
      <c r="I17" s="28"/>
      <c r="J17" s="28"/>
      <c r="K17" s="28">
        <v>40131.660000000003</v>
      </c>
      <c r="L17" s="28">
        <v>157719.38999999998</v>
      </c>
      <c r="M17" s="28"/>
      <c r="N17" s="28">
        <v>2806.53</v>
      </c>
      <c r="O17" s="28">
        <v>9611.61</v>
      </c>
      <c r="P17" s="28"/>
      <c r="Q17" s="28">
        <v>318.62</v>
      </c>
      <c r="R17" s="28">
        <v>220</v>
      </c>
      <c r="S17" s="28">
        <v>538.62</v>
      </c>
      <c r="T17" s="28">
        <v>10150.230000000001</v>
      </c>
      <c r="U17" s="28">
        <v>1581.69</v>
      </c>
      <c r="V17" s="28">
        <v>389.23</v>
      </c>
      <c r="W17" s="28">
        <v>1970.92</v>
      </c>
      <c r="X17" s="28"/>
      <c r="Y17" s="28"/>
      <c r="Z17" s="28">
        <v>157.72</v>
      </c>
      <c r="AA17" s="28">
        <v>1038.97</v>
      </c>
      <c r="AB17" s="28"/>
      <c r="AC17" s="28"/>
      <c r="AD17" s="28"/>
      <c r="AE17" s="28"/>
      <c r="AF17" s="28"/>
      <c r="AG17" s="28">
        <v>1920.24</v>
      </c>
      <c r="AH17" s="28">
        <v>13.93</v>
      </c>
      <c r="AI17" s="28">
        <v>1934.17</v>
      </c>
      <c r="AJ17" s="28">
        <v>-0.72</v>
      </c>
      <c r="AK17" s="28">
        <v>3130.1400000000003</v>
      </c>
      <c r="AL17" s="28"/>
      <c r="AM17" s="28">
        <v>600</v>
      </c>
      <c r="AN17" s="28">
        <v>49</v>
      </c>
      <c r="AO17" s="28">
        <v>214.59</v>
      </c>
      <c r="AP17" s="28">
        <v>263.59000000000003</v>
      </c>
      <c r="AQ17" s="28">
        <v>46582.21</v>
      </c>
      <c r="AR17" s="28"/>
      <c r="AS17" s="28"/>
      <c r="AT17" s="28"/>
      <c r="AU17" s="28"/>
      <c r="AV17" s="28"/>
      <c r="AW17" s="28"/>
      <c r="AX17" s="29">
        <v>55167.47</v>
      </c>
      <c r="AY17" s="29">
        <v>4150</v>
      </c>
      <c r="AZ17" s="29">
        <v>37.92</v>
      </c>
      <c r="BA17" s="28"/>
      <c r="BB17" s="29">
        <v>105899.68</v>
      </c>
      <c r="BC17" s="28">
        <v>124821.09</v>
      </c>
      <c r="BD17" s="28">
        <v>32898.299999999988</v>
      </c>
      <c r="BE17" s="28"/>
      <c r="BF17" s="28">
        <v>32860.37999999999</v>
      </c>
    </row>
    <row r="18" spans="3:58" x14ac:dyDescent="0.2">
      <c r="C18" s="30">
        <v>45108</v>
      </c>
      <c r="D18" s="28">
        <v>66938</v>
      </c>
      <c r="E18" s="28"/>
      <c r="F18" s="28">
        <v>9500</v>
      </c>
      <c r="G18" s="28"/>
      <c r="H18" s="28">
        <v>76238</v>
      </c>
      <c r="I18" s="28">
        <v>41960.11</v>
      </c>
      <c r="J18" s="28"/>
      <c r="K18" s="28">
        <v>41960.11</v>
      </c>
      <c r="L18" s="28"/>
      <c r="M18" s="28">
        <v>28667.57</v>
      </c>
      <c r="N18" s="28"/>
      <c r="O18" s="28"/>
      <c r="P18" s="28">
        <v>28667.57</v>
      </c>
      <c r="Q18" s="28">
        <v>383.55</v>
      </c>
      <c r="R18" s="28">
        <v>220</v>
      </c>
      <c r="S18" s="28">
        <v>603.54999999999995</v>
      </c>
      <c r="T18" s="28">
        <v>29271.119999999999</v>
      </c>
      <c r="U18" s="28">
        <v>294.95</v>
      </c>
      <c r="V18" s="28">
        <v>426.16</v>
      </c>
      <c r="W18" s="28">
        <v>721.11</v>
      </c>
      <c r="X18" s="28"/>
      <c r="Y18" s="28"/>
      <c r="Z18" s="28">
        <v>245.47</v>
      </c>
      <c r="AA18" s="28">
        <v>816.39</v>
      </c>
      <c r="AB18" s="28"/>
      <c r="AC18" s="28"/>
      <c r="AD18" s="28"/>
      <c r="AE18" s="28">
        <v>1186.6099999999999</v>
      </c>
      <c r="AF18" s="28">
        <v>244.42</v>
      </c>
      <c r="AG18" s="28">
        <v>1431.03</v>
      </c>
      <c r="AH18" s="28">
        <v>-0.28000000000000003</v>
      </c>
      <c r="AI18" s="28">
        <v>2492.6099999999997</v>
      </c>
      <c r="AJ18" s="28"/>
      <c r="AK18" s="28"/>
      <c r="AL18" s="28"/>
      <c r="AM18" s="28"/>
      <c r="AN18" s="28"/>
      <c r="AO18" s="28"/>
      <c r="AP18" s="28"/>
      <c r="AQ18" s="28"/>
      <c r="AR18" s="28">
        <v>309</v>
      </c>
      <c r="AS18" s="28">
        <v>309</v>
      </c>
      <c r="AT18" s="28">
        <v>14754.5</v>
      </c>
      <c r="AU18" s="28">
        <v>214.68</v>
      </c>
      <c r="AV18" s="28">
        <v>14969.18</v>
      </c>
      <c r="AW18" s="28">
        <v>324.13</v>
      </c>
      <c r="AX18" s="28">
        <v>15775</v>
      </c>
      <c r="AY18" s="28">
        <v>3407</v>
      </c>
      <c r="AZ18" s="28"/>
      <c r="BA18" s="28">
        <v>19506.129999999997</v>
      </c>
      <c r="BB18" s="28"/>
      <c r="BC18" s="28">
        <v>70150.92</v>
      </c>
      <c r="BD18" s="28">
        <v>-35873.03</v>
      </c>
      <c r="BE18" s="28">
        <v>-36.54</v>
      </c>
      <c r="BF18" s="28">
        <v>-35909.57</v>
      </c>
    </row>
    <row r="19" spans="3:58" x14ac:dyDescent="0.2">
      <c r="C19" s="30">
        <v>45139</v>
      </c>
      <c r="D19" s="28">
        <v>160095.51999999999</v>
      </c>
      <c r="E19" s="28">
        <v>-500</v>
      </c>
      <c r="F19" s="28"/>
      <c r="G19" s="28"/>
      <c r="H19" s="28"/>
      <c r="I19" s="28"/>
      <c r="J19" s="28"/>
      <c r="K19" s="28">
        <v>8042.95</v>
      </c>
      <c r="L19" s="28">
        <v>151552.56999999998</v>
      </c>
      <c r="M19" s="28"/>
      <c r="N19" s="28">
        <v>1228.9000000000001</v>
      </c>
      <c r="O19" s="28">
        <v>528.55999999999995</v>
      </c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>
        <v>54.69</v>
      </c>
      <c r="AB19" s="28"/>
      <c r="AC19" s="28"/>
      <c r="AD19" s="28"/>
      <c r="AE19" s="28"/>
      <c r="AF19" s="28"/>
      <c r="AG19" s="28"/>
      <c r="AH19" s="28"/>
      <c r="AI19" s="28"/>
      <c r="AJ19" s="28">
        <v>595.75</v>
      </c>
      <c r="AK19" s="28">
        <v>595.75</v>
      </c>
      <c r="AL19" s="28"/>
      <c r="AM19" s="28"/>
      <c r="AN19" s="28">
        <v>117</v>
      </c>
      <c r="AO19" s="28">
        <v>767.44</v>
      </c>
      <c r="AP19" s="28"/>
      <c r="AQ19" s="28"/>
      <c r="AR19" s="28">
        <v>309</v>
      </c>
      <c r="AS19" s="28">
        <v>309</v>
      </c>
      <c r="AT19" s="28"/>
      <c r="AU19" s="28"/>
      <c r="AV19" s="28">
        <v>41.61</v>
      </c>
      <c r="AW19" s="28"/>
      <c r="AX19" s="28">
        <v>38934.51</v>
      </c>
      <c r="AY19" s="28"/>
      <c r="AZ19" s="28"/>
      <c r="BA19" s="28">
        <v>38934.5</v>
      </c>
      <c r="BB19" s="28"/>
      <c r="BC19" s="28">
        <v>42251.43</v>
      </c>
      <c r="BD19" s="28">
        <v>109301.13999999998</v>
      </c>
      <c r="BE19" s="28"/>
      <c r="BF19" s="28">
        <v>109301.13999999998</v>
      </c>
    </row>
    <row r="20" spans="3:58" x14ac:dyDescent="0.2">
      <c r="C20" s="30">
        <v>45170</v>
      </c>
      <c r="D20" s="28">
        <v>22000</v>
      </c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  <c r="BA20" s="28"/>
      <c r="BB20" s="28"/>
      <c r="BC20" s="28"/>
      <c r="BD20" s="28"/>
      <c r="BE20" s="28">
        <v>22000</v>
      </c>
      <c r="BF20" s="28">
        <v>22000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A2E6E-4E60-D74B-BD31-E2CB8FEF7AD3}">
  <dimension ref="A2:C8"/>
  <sheetViews>
    <sheetView workbookViewId="0">
      <selection sqref="A1:AX1"/>
    </sheetView>
  </sheetViews>
  <sheetFormatPr baseColWidth="10" defaultRowHeight="16" x14ac:dyDescent="0.2"/>
  <cols>
    <col min="1" max="1" width="38.33203125" customWidth="1"/>
    <col min="2" max="2" width="24.5" customWidth="1"/>
    <col min="3" max="3" width="11.5" bestFit="1" customWidth="1"/>
  </cols>
  <sheetData>
    <row r="2" spans="1:3" x14ac:dyDescent="0.2">
      <c r="C2" s="10">
        <v>44927</v>
      </c>
    </row>
    <row r="3" spans="1:3" x14ac:dyDescent="0.2">
      <c r="A3" t="s">
        <v>15</v>
      </c>
      <c r="B3" t="s">
        <v>90</v>
      </c>
      <c r="C3" s="12">
        <f>INDEX(PnL_data!B5:B65, MATCH($A3,PnL_data!$A$5:$A$65, 0), MATCH($C$2,PnL_data!$B$2:$R$2, 0))</f>
        <v>63655</v>
      </c>
    </row>
    <row r="4" spans="1:3" x14ac:dyDescent="0.2">
      <c r="A4" t="s">
        <v>20</v>
      </c>
      <c r="B4" t="s">
        <v>91</v>
      </c>
      <c r="C4" s="12">
        <f>INDEX(PnL_data!B6:B66, MATCH($A4,PnL_data!$A$5:$A$65, 0), MATCH($C$2,PnL_data!$B$2:$R$2, 0))</f>
        <v>53614.76</v>
      </c>
    </row>
    <row r="5" spans="1:3" x14ac:dyDescent="0.2">
      <c r="A5" t="s">
        <v>21</v>
      </c>
      <c r="B5" t="s">
        <v>21</v>
      </c>
      <c r="C5" s="12">
        <f>INDEX(PnL_data!B7:B67, MATCH($A5,PnL_data!$A$5:$A$65, 0), MATCH($C$2,PnL_data!$B$2:$R$2, 0))</f>
        <v>0</v>
      </c>
    </row>
    <row r="6" spans="1:3" x14ac:dyDescent="0.2">
      <c r="A6" t="s">
        <v>92</v>
      </c>
      <c r="C6" s="12" t="e">
        <f>INDEX(PnL_data!B8:B68, MATCH($A6,PnL_data!$A$5:$A$65, 0), MATCH($C$2,PnL_data!$B$2:$R$2, 0))</f>
        <v>#N/A</v>
      </c>
    </row>
    <row r="7" spans="1:3" x14ac:dyDescent="0.2">
      <c r="A7" t="s">
        <v>96</v>
      </c>
      <c r="B7" t="s">
        <v>93</v>
      </c>
      <c r="C7" s="12">
        <f>INDEX(PnL_data!B9:B69, MATCH($A7,PnL_data!$A$5:$A$65, 0), MATCH($C$2,PnL_data!$B$2:$R$2, 0))</f>
        <v>16130.26</v>
      </c>
    </row>
    <row r="8" spans="1:3" x14ac:dyDescent="0.2">
      <c r="A8" t="s">
        <v>94</v>
      </c>
      <c r="C8" s="1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0FE06-0DA8-F340-868C-FCFA6AA679FE}">
  <dimension ref="A2:C6"/>
  <sheetViews>
    <sheetView workbookViewId="0">
      <selection sqref="A1:AX1"/>
    </sheetView>
  </sheetViews>
  <sheetFormatPr baseColWidth="10" defaultRowHeight="16" x14ac:dyDescent="0.2"/>
  <sheetData>
    <row r="2" spans="1:3" x14ac:dyDescent="0.2">
      <c r="A2" s="1" t="s">
        <v>1</v>
      </c>
    </row>
    <row r="4" spans="1:3" x14ac:dyDescent="0.2">
      <c r="A4" t="s">
        <v>4</v>
      </c>
      <c r="B4" t="s">
        <v>0</v>
      </c>
    </row>
    <row r="5" spans="1:3" x14ac:dyDescent="0.2">
      <c r="A5" t="s">
        <v>5</v>
      </c>
      <c r="B5" t="s">
        <v>2</v>
      </c>
      <c r="C5" t="s">
        <v>3</v>
      </c>
    </row>
    <row r="6" spans="1:3" x14ac:dyDescent="0.2">
      <c r="B6">
        <v>18.940000000000001</v>
      </c>
      <c r="C6">
        <v>34.9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74D81-023D-C647-AD74-2F000DC93067}">
  <dimension ref="A1:AX108"/>
  <sheetViews>
    <sheetView tabSelected="1" topLeftCell="AD1" zoomScale="98" workbookViewId="0">
      <selection activeCell="AT10" sqref="AT10"/>
    </sheetView>
  </sheetViews>
  <sheetFormatPr baseColWidth="10" defaultColWidth="8.83203125" defaultRowHeight="15" x14ac:dyDescent="0.2"/>
  <cols>
    <col min="1" max="1" width="42" style="31" customWidth="1"/>
    <col min="2" max="51" width="15.6640625" style="31" customWidth="1"/>
    <col min="52" max="16384" width="8.83203125" style="31"/>
  </cols>
  <sheetData>
    <row r="1" spans="1:50" ht="17" customHeight="1" x14ac:dyDescent="0.2">
      <c r="A1" s="66" t="s">
        <v>169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  <c r="AH1" s="65"/>
      <c r="AI1" s="65"/>
      <c r="AJ1" s="65"/>
      <c r="AK1" s="65"/>
      <c r="AL1" s="65"/>
      <c r="AM1" s="65"/>
      <c r="AN1" s="65"/>
      <c r="AO1" s="65"/>
      <c r="AP1" s="65"/>
      <c r="AQ1" s="65"/>
      <c r="AR1" s="65"/>
      <c r="AS1" s="65"/>
      <c r="AT1" s="65"/>
      <c r="AU1" s="65"/>
      <c r="AV1" s="65"/>
      <c r="AW1" s="65"/>
      <c r="AX1" s="65"/>
    </row>
    <row r="2" spans="1:50" ht="17" customHeight="1" x14ac:dyDescent="0.2">
      <c r="A2" s="66" t="s">
        <v>168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  <c r="AA2" s="65"/>
      <c r="AB2" s="65"/>
      <c r="AC2" s="65"/>
      <c r="AD2" s="65"/>
      <c r="AE2" s="65"/>
      <c r="AF2" s="65"/>
      <c r="AG2" s="65"/>
      <c r="AH2" s="65"/>
      <c r="AI2" s="65"/>
      <c r="AJ2" s="65"/>
      <c r="AK2" s="65"/>
      <c r="AL2" s="65"/>
      <c r="AM2" s="65"/>
      <c r="AN2" s="65"/>
      <c r="AO2" s="65"/>
      <c r="AP2" s="65"/>
      <c r="AQ2" s="65"/>
      <c r="AR2" s="65"/>
      <c r="AS2" s="65"/>
      <c r="AT2" s="65"/>
      <c r="AU2" s="65"/>
      <c r="AV2" s="65"/>
      <c r="AW2" s="65"/>
      <c r="AX2" s="65"/>
    </row>
    <row r="3" spans="1:50" ht="17" customHeight="1" x14ac:dyDescent="0.2">
      <c r="A3" s="67" t="s">
        <v>167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65"/>
      <c r="AB3" s="65"/>
      <c r="AC3" s="65"/>
      <c r="AD3" s="65"/>
      <c r="AE3" s="65"/>
      <c r="AF3" s="65"/>
      <c r="AG3" s="65"/>
      <c r="AH3" s="65"/>
      <c r="AI3" s="65"/>
      <c r="AJ3" s="65"/>
      <c r="AK3" s="65"/>
      <c r="AL3" s="65"/>
      <c r="AM3" s="65"/>
      <c r="AN3" s="65"/>
      <c r="AO3" s="65"/>
      <c r="AP3" s="65"/>
      <c r="AQ3" s="65"/>
      <c r="AR3" s="65"/>
      <c r="AS3" s="65"/>
      <c r="AT3" s="65"/>
      <c r="AU3" s="65"/>
      <c r="AV3" s="65"/>
      <c r="AW3" s="65"/>
      <c r="AX3" s="65"/>
    </row>
    <row r="4" spans="1:50" ht="17" customHeight="1" x14ac:dyDescent="0.2"/>
    <row r="5" spans="1:50" ht="17" customHeight="1" x14ac:dyDescent="0.2">
      <c r="A5" s="38"/>
      <c r="B5" s="44" t="s">
        <v>217</v>
      </c>
      <c r="C5" s="44" t="s">
        <v>216</v>
      </c>
      <c r="D5" s="44" t="s">
        <v>215</v>
      </c>
      <c r="E5" s="44" t="s">
        <v>214</v>
      </c>
      <c r="F5" s="44" t="s">
        <v>213</v>
      </c>
      <c r="G5" s="44" t="s">
        <v>212</v>
      </c>
      <c r="H5" s="44" t="s">
        <v>211</v>
      </c>
      <c r="I5" s="44" t="s">
        <v>210</v>
      </c>
      <c r="J5" s="44" t="s">
        <v>209</v>
      </c>
      <c r="K5" s="44" t="s">
        <v>208</v>
      </c>
      <c r="L5" s="44" t="s">
        <v>207</v>
      </c>
      <c r="M5" s="44" t="s">
        <v>206</v>
      </c>
      <c r="N5" s="44" t="s">
        <v>205</v>
      </c>
      <c r="O5" s="44" t="s">
        <v>204</v>
      </c>
      <c r="P5" s="44" t="s">
        <v>203</v>
      </c>
      <c r="Q5" s="44" t="s">
        <v>202</v>
      </c>
      <c r="R5" s="44" t="s">
        <v>201</v>
      </c>
      <c r="S5" s="44" t="s">
        <v>200</v>
      </c>
      <c r="T5" s="44" t="s">
        <v>199</v>
      </c>
      <c r="U5" s="44" t="s">
        <v>198</v>
      </c>
      <c r="V5" s="44" t="s">
        <v>197</v>
      </c>
      <c r="W5" s="44" t="s">
        <v>196</v>
      </c>
      <c r="X5" s="44" t="s">
        <v>195</v>
      </c>
      <c r="Y5" s="44" t="s">
        <v>194</v>
      </c>
      <c r="Z5" s="44" t="s">
        <v>193</v>
      </c>
      <c r="AA5" s="44" t="s">
        <v>192</v>
      </c>
      <c r="AB5" s="44" t="s">
        <v>191</v>
      </c>
      <c r="AC5" s="44" t="s">
        <v>190</v>
      </c>
      <c r="AD5" s="44" t="s">
        <v>189</v>
      </c>
      <c r="AE5" s="44" t="s">
        <v>188</v>
      </c>
      <c r="AF5" s="44" t="s">
        <v>187</v>
      </c>
      <c r="AG5" s="44" t="s">
        <v>186</v>
      </c>
      <c r="AH5" s="44" t="s">
        <v>185</v>
      </c>
      <c r="AI5" s="44" t="s">
        <v>184</v>
      </c>
      <c r="AJ5" s="44" t="s">
        <v>183</v>
      </c>
      <c r="AK5" s="44" t="s">
        <v>182</v>
      </c>
      <c r="AL5" s="44" t="s">
        <v>181</v>
      </c>
      <c r="AM5" s="44" t="s">
        <v>180</v>
      </c>
      <c r="AN5" s="44" t="s">
        <v>179</v>
      </c>
      <c r="AO5" s="44" t="s">
        <v>178</v>
      </c>
      <c r="AP5" s="44" t="s">
        <v>76</v>
      </c>
      <c r="AQ5" s="44" t="s">
        <v>177</v>
      </c>
      <c r="AR5" s="44" t="s">
        <v>176</v>
      </c>
      <c r="AS5" s="44" t="s">
        <v>175</v>
      </c>
      <c r="AT5" s="44" t="s">
        <v>174</v>
      </c>
      <c r="AU5" s="44" t="s">
        <v>173</v>
      </c>
      <c r="AV5" s="44" t="s">
        <v>172</v>
      </c>
      <c r="AW5" s="44" t="s">
        <v>171</v>
      </c>
      <c r="AX5" s="45" t="s">
        <v>7</v>
      </c>
    </row>
    <row r="6" spans="1:50" ht="17" customHeight="1" x14ac:dyDescent="0.2">
      <c r="A6" s="40" t="s">
        <v>8</v>
      </c>
      <c r="B6" s="41"/>
      <c r="C6" s="41"/>
      <c r="D6" s="41"/>
      <c r="E6" s="41"/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  <c r="AA6" s="41"/>
      <c r="AB6" s="41"/>
      <c r="AC6" s="41"/>
      <c r="AD6" s="41"/>
      <c r="AE6" s="41"/>
      <c r="AF6" s="41"/>
      <c r="AG6" s="41"/>
      <c r="AH6" s="41"/>
      <c r="AI6" s="41"/>
      <c r="AJ6" s="41"/>
      <c r="AK6" s="41"/>
      <c r="AL6" s="41"/>
      <c r="AM6" s="41"/>
      <c r="AN6" s="41"/>
      <c r="AO6" s="41"/>
      <c r="AP6" s="41"/>
      <c r="AQ6" s="41"/>
      <c r="AR6" s="41"/>
      <c r="AS6" s="41"/>
      <c r="AT6" s="41"/>
      <c r="AU6" s="41"/>
      <c r="AV6" s="41"/>
      <c r="AW6" s="41"/>
      <c r="AX6" s="41"/>
    </row>
    <row r="7" spans="1:50" ht="17" customHeight="1" x14ac:dyDescent="0.2">
      <c r="A7" s="40" t="s">
        <v>9</v>
      </c>
      <c r="B7" s="41"/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  <c r="AA7" s="41"/>
      <c r="AB7" s="41"/>
      <c r="AC7" s="41"/>
      <c r="AD7" s="41"/>
      <c r="AE7" s="41"/>
      <c r="AF7" s="41"/>
      <c r="AG7" s="41"/>
      <c r="AH7" s="41"/>
      <c r="AI7" s="41"/>
      <c r="AJ7" s="41"/>
      <c r="AK7" s="41"/>
      <c r="AL7" s="41"/>
      <c r="AM7" s="41"/>
      <c r="AN7" s="41"/>
      <c r="AO7" s="41"/>
      <c r="AP7" s="41"/>
      <c r="AQ7" s="41"/>
      <c r="AR7" s="41"/>
      <c r="AS7" s="41"/>
      <c r="AT7" s="41"/>
      <c r="AU7" s="41"/>
      <c r="AV7" s="41"/>
      <c r="AW7" s="41"/>
      <c r="AX7" s="42">
        <f t="shared" ref="AX7:AX19" si="0">(((((((((((((((((((((((((((((((((((((((((((((((B7)+(C7))+(D7))+(E7))+(F7))+(G7))+(H7))+(I7))+(J7))+(K7))+(L7))+(M7))+(N7))+(O7))+(P7))+(Q7))+(R7))+(S7))+(T7))+(U7))+(V7))+(W7))+(X7))+(Y7))+(Z7))+(AA7))+(AB7))+(AC7))+(AD7))+(AE7))+(AF7))+(AG7))+(AH7))+(AI7))+(AJ7))+(AK7))+(AL7))+(AM7))+(AN7))+(AO7))+(AP7))+(AQ7))+(AR7))+(AS7))+(AT7))+(AU7))+(AV7))+(AW7)</f>
        <v>0</v>
      </c>
    </row>
    <row r="8" spans="1:50" ht="17" customHeight="1" x14ac:dyDescent="0.2">
      <c r="A8" s="40" t="s">
        <v>10</v>
      </c>
      <c r="B8" s="41"/>
      <c r="C8" s="41"/>
      <c r="D8" s="41"/>
      <c r="E8" s="41"/>
      <c r="F8" s="41"/>
      <c r="G8" s="41"/>
      <c r="H8" s="42">
        <f>15900.11</f>
        <v>15900.11</v>
      </c>
      <c r="I8" s="42">
        <f>23200</f>
        <v>23200</v>
      </c>
      <c r="J8" s="42">
        <f>12450</f>
        <v>12450</v>
      </c>
      <c r="K8" s="42">
        <f>2300</f>
        <v>2300</v>
      </c>
      <c r="L8" s="42">
        <f>28433</f>
        <v>28433</v>
      </c>
      <c r="M8" s="42">
        <f>3148.57</f>
        <v>3148.57</v>
      </c>
      <c r="N8" s="42">
        <f>21.77</f>
        <v>21.77</v>
      </c>
      <c r="O8" s="42">
        <f>26635</f>
        <v>26635</v>
      </c>
      <c r="P8" s="42">
        <f>42500</f>
        <v>42500</v>
      </c>
      <c r="Q8" s="42">
        <f>27525</f>
        <v>27525</v>
      </c>
      <c r="R8" s="42">
        <f>30650</f>
        <v>30650</v>
      </c>
      <c r="S8" s="42">
        <f>35950</f>
        <v>35950</v>
      </c>
      <c r="T8" s="42">
        <f>19700</f>
        <v>19700</v>
      </c>
      <c r="U8" s="42">
        <f>39251.28</f>
        <v>39251.279999999999</v>
      </c>
      <c r="V8" s="42">
        <f>47300</f>
        <v>47300</v>
      </c>
      <c r="W8" s="42">
        <f>18850</f>
        <v>18850</v>
      </c>
      <c r="X8" s="42">
        <f>18050</f>
        <v>18050</v>
      </c>
      <c r="Y8" s="42">
        <f>62832</f>
        <v>62832</v>
      </c>
      <c r="Z8" s="42">
        <f>58517</f>
        <v>58517</v>
      </c>
      <c r="AA8" s="42">
        <f>76504</f>
        <v>76504</v>
      </c>
      <c r="AB8" s="42">
        <f>67875</f>
        <v>67875</v>
      </c>
      <c r="AC8" s="42">
        <f>103750</f>
        <v>103750</v>
      </c>
      <c r="AD8" s="42">
        <f>81580</f>
        <v>81580</v>
      </c>
      <c r="AE8" s="42">
        <f>89560</f>
        <v>89560</v>
      </c>
      <c r="AF8" s="42">
        <f>69850</f>
        <v>69850</v>
      </c>
      <c r="AG8" s="42">
        <f>87945</f>
        <v>87945</v>
      </c>
      <c r="AH8" s="42">
        <f>30650</f>
        <v>30650</v>
      </c>
      <c r="AI8" s="42">
        <f>106425</f>
        <v>106425</v>
      </c>
      <c r="AJ8" s="42">
        <f>24895</f>
        <v>24895</v>
      </c>
      <c r="AK8" s="42">
        <f>180749.17</f>
        <v>180749.17</v>
      </c>
      <c r="AL8" s="42">
        <f>59380</f>
        <v>59380</v>
      </c>
      <c r="AM8" s="42">
        <f>92300</f>
        <v>92300</v>
      </c>
      <c r="AN8" s="42">
        <f>66750</f>
        <v>66750</v>
      </c>
      <c r="AO8" s="42">
        <f>78720</f>
        <v>78720</v>
      </c>
      <c r="AP8" s="42">
        <f>118340</f>
        <v>118340</v>
      </c>
      <c r="AQ8" s="42">
        <f>102365.05</f>
        <v>102365.05</v>
      </c>
      <c r="AR8" s="42">
        <f>66713</f>
        <v>66713</v>
      </c>
      <c r="AS8" s="42">
        <f>160095.52</f>
        <v>160095.51999999999</v>
      </c>
      <c r="AT8" s="42">
        <f>22000</f>
        <v>22000</v>
      </c>
      <c r="AU8" s="41"/>
      <c r="AV8" s="41"/>
      <c r="AW8" s="41"/>
      <c r="AX8" s="42">
        <f t="shared" si="0"/>
        <v>2199660.4699999997</v>
      </c>
    </row>
    <row r="9" spans="1:50" ht="17" customHeight="1" x14ac:dyDescent="0.2">
      <c r="A9" s="40" t="s">
        <v>166</v>
      </c>
      <c r="B9" s="41"/>
      <c r="C9" s="41"/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2">
        <f>0.5</f>
        <v>0.5</v>
      </c>
      <c r="Y9" s="41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1"/>
      <c r="AM9" s="41"/>
      <c r="AN9" s="41"/>
      <c r="AO9" s="41"/>
      <c r="AP9" s="41"/>
      <c r="AQ9" s="41"/>
      <c r="AR9" s="41"/>
      <c r="AS9" s="41"/>
      <c r="AT9" s="41"/>
      <c r="AU9" s="41"/>
      <c r="AV9" s="41"/>
      <c r="AW9" s="41"/>
      <c r="AX9" s="42">
        <f t="shared" si="0"/>
        <v>0.5</v>
      </c>
    </row>
    <row r="10" spans="1:50" s="47" customFormat="1" ht="17" customHeight="1" x14ac:dyDescent="0.2">
      <c r="A10" s="43" t="s">
        <v>90</v>
      </c>
      <c r="B10" s="46">
        <f t="shared" ref="B10:AW10" si="1">(B8)+(B9)</f>
        <v>0</v>
      </c>
      <c r="C10" s="46">
        <f t="shared" si="1"/>
        <v>0</v>
      </c>
      <c r="D10" s="46">
        <f t="shared" si="1"/>
        <v>0</v>
      </c>
      <c r="E10" s="46">
        <f t="shared" si="1"/>
        <v>0</v>
      </c>
      <c r="F10" s="46">
        <f t="shared" si="1"/>
        <v>0</v>
      </c>
      <c r="G10" s="46">
        <f t="shared" si="1"/>
        <v>0</v>
      </c>
      <c r="H10" s="46">
        <f t="shared" si="1"/>
        <v>15900.11</v>
      </c>
      <c r="I10" s="46">
        <f t="shared" si="1"/>
        <v>23200</v>
      </c>
      <c r="J10" s="46">
        <f t="shared" si="1"/>
        <v>12450</v>
      </c>
      <c r="K10" s="46">
        <f t="shared" si="1"/>
        <v>2300</v>
      </c>
      <c r="L10" s="46">
        <f t="shared" si="1"/>
        <v>28433</v>
      </c>
      <c r="M10" s="46">
        <f t="shared" si="1"/>
        <v>3148.57</v>
      </c>
      <c r="N10" s="46">
        <f t="shared" si="1"/>
        <v>21.77</v>
      </c>
      <c r="O10" s="46">
        <f t="shared" si="1"/>
        <v>26635</v>
      </c>
      <c r="P10" s="46">
        <f t="shared" si="1"/>
        <v>42500</v>
      </c>
      <c r="Q10" s="46">
        <f t="shared" si="1"/>
        <v>27525</v>
      </c>
      <c r="R10" s="46">
        <f t="shared" si="1"/>
        <v>30650</v>
      </c>
      <c r="S10" s="46">
        <f t="shared" si="1"/>
        <v>35950</v>
      </c>
      <c r="T10" s="46">
        <f t="shared" si="1"/>
        <v>19700</v>
      </c>
      <c r="U10" s="46">
        <f t="shared" si="1"/>
        <v>39251.279999999999</v>
      </c>
      <c r="V10" s="46">
        <f t="shared" si="1"/>
        <v>47300</v>
      </c>
      <c r="W10" s="46">
        <f t="shared" si="1"/>
        <v>18850</v>
      </c>
      <c r="X10" s="46">
        <f t="shared" si="1"/>
        <v>18050.5</v>
      </c>
      <c r="Y10" s="46">
        <f t="shared" si="1"/>
        <v>62832</v>
      </c>
      <c r="Z10" s="46">
        <f t="shared" si="1"/>
        <v>58517</v>
      </c>
      <c r="AA10" s="46">
        <f t="shared" si="1"/>
        <v>76504</v>
      </c>
      <c r="AB10" s="46">
        <f t="shared" si="1"/>
        <v>67875</v>
      </c>
      <c r="AC10" s="46">
        <f t="shared" si="1"/>
        <v>103750</v>
      </c>
      <c r="AD10" s="46">
        <f t="shared" si="1"/>
        <v>81580</v>
      </c>
      <c r="AE10" s="46">
        <f t="shared" si="1"/>
        <v>89560</v>
      </c>
      <c r="AF10" s="46">
        <f t="shared" si="1"/>
        <v>69850</v>
      </c>
      <c r="AG10" s="46">
        <f t="shared" si="1"/>
        <v>87945</v>
      </c>
      <c r="AH10" s="46">
        <f t="shared" si="1"/>
        <v>30650</v>
      </c>
      <c r="AI10" s="46">
        <f t="shared" si="1"/>
        <v>106425</v>
      </c>
      <c r="AJ10" s="46">
        <f t="shared" si="1"/>
        <v>24895</v>
      </c>
      <c r="AK10" s="46">
        <f t="shared" si="1"/>
        <v>180749.17</v>
      </c>
      <c r="AL10" s="46">
        <f t="shared" si="1"/>
        <v>59380</v>
      </c>
      <c r="AM10" s="46">
        <f t="shared" si="1"/>
        <v>92300</v>
      </c>
      <c r="AN10" s="46">
        <f t="shared" si="1"/>
        <v>66750</v>
      </c>
      <c r="AO10" s="46">
        <f t="shared" si="1"/>
        <v>78720</v>
      </c>
      <c r="AP10" s="46">
        <f t="shared" si="1"/>
        <v>118340</v>
      </c>
      <c r="AQ10" s="46">
        <f t="shared" si="1"/>
        <v>102365.05</v>
      </c>
      <c r="AR10" s="46">
        <f t="shared" si="1"/>
        <v>66713</v>
      </c>
      <c r="AS10" s="46">
        <f t="shared" si="1"/>
        <v>160095.51999999999</v>
      </c>
      <c r="AT10" s="46">
        <f t="shared" si="1"/>
        <v>22000</v>
      </c>
      <c r="AU10" s="46">
        <f t="shared" si="1"/>
        <v>0</v>
      </c>
      <c r="AV10" s="46">
        <f t="shared" si="1"/>
        <v>0</v>
      </c>
      <c r="AW10" s="46">
        <f t="shared" si="1"/>
        <v>0</v>
      </c>
      <c r="AX10" s="46">
        <f t="shared" si="0"/>
        <v>2199660.9699999997</v>
      </c>
    </row>
    <row r="11" spans="1:50" ht="17" customHeight="1" x14ac:dyDescent="0.2">
      <c r="A11" s="40" t="s">
        <v>73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2">
        <f>40</f>
        <v>40</v>
      </c>
      <c r="AD11" s="41"/>
      <c r="AE11" s="41"/>
      <c r="AF11" s="41"/>
      <c r="AG11" s="42">
        <f>500</f>
        <v>500</v>
      </c>
      <c r="AH11" s="41"/>
      <c r="AI11" s="42">
        <f>650</f>
        <v>650</v>
      </c>
      <c r="AJ11" s="41"/>
      <c r="AK11" s="42">
        <f>3400</f>
        <v>3400</v>
      </c>
      <c r="AL11" s="41"/>
      <c r="AM11" s="41"/>
      <c r="AN11" s="41"/>
      <c r="AO11" s="42">
        <f>400</f>
        <v>400</v>
      </c>
      <c r="AP11" s="41"/>
      <c r="AQ11" s="41"/>
      <c r="AR11" s="42">
        <f>225</f>
        <v>225</v>
      </c>
      <c r="AS11" s="41"/>
      <c r="AT11" s="41"/>
      <c r="AU11" s="41"/>
      <c r="AV11" s="41"/>
      <c r="AW11" s="41"/>
      <c r="AX11" s="42">
        <f t="shared" si="0"/>
        <v>5215</v>
      </c>
    </row>
    <row r="12" spans="1:50" ht="17" customHeight="1" x14ac:dyDescent="0.2">
      <c r="A12" s="40" t="s">
        <v>11</v>
      </c>
      <c r="B12" s="48">
        <f t="shared" ref="B12:AW12" si="2">((B7)+(B10))+(B11)</f>
        <v>0</v>
      </c>
      <c r="C12" s="48">
        <f t="shared" si="2"/>
        <v>0</v>
      </c>
      <c r="D12" s="48">
        <f t="shared" si="2"/>
        <v>0</v>
      </c>
      <c r="E12" s="48">
        <f t="shared" si="2"/>
        <v>0</v>
      </c>
      <c r="F12" s="48">
        <f t="shared" si="2"/>
        <v>0</v>
      </c>
      <c r="G12" s="48">
        <f t="shared" si="2"/>
        <v>0</v>
      </c>
      <c r="H12" s="48">
        <f t="shared" si="2"/>
        <v>15900.11</v>
      </c>
      <c r="I12" s="48">
        <f t="shared" si="2"/>
        <v>23200</v>
      </c>
      <c r="J12" s="48">
        <f t="shared" si="2"/>
        <v>12450</v>
      </c>
      <c r="K12" s="48">
        <f t="shared" si="2"/>
        <v>2300</v>
      </c>
      <c r="L12" s="48">
        <f t="shared" si="2"/>
        <v>28433</v>
      </c>
      <c r="M12" s="48">
        <f t="shared" si="2"/>
        <v>3148.57</v>
      </c>
      <c r="N12" s="48">
        <f t="shared" si="2"/>
        <v>21.77</v>
      </c>
      <c r="O12" s="48">
        <f t="shared" si="2"/>
        <v>26635</v>
      </c>
      <c r="P12" s="48">
        <f t="shared" si="2"/>
        <v>42500</v>
      </c>
      <c r="Q12" s="48">
        <f t="shared" si="2"/>
        <v>27525</v>
      </c>
      <c r="R12" s="48">
        <f t="shared" si="2"/>
        <v>30650</v>
      </c>
      <c r="S12" s="48">
        <f t="shared" si="2"/>
        <v>35950</v>
      </c>
      <c r="T12" s="48">
        <f t="shared" si="2"/>
        <v>19700</v>
      </c>
      <c r="U12" s="48">
        <f t="shared" si="2"/>
        <v>39251.279999999999</v>
      </c>
      <c r="V12" s="48">
        <f t="shared" si="2"/>
        <v>47300</v>
      </c>
      <c r="W12" s="48">
        <f t="shared" si="2"/>
        <v>18850</v>
      </c>
      <c r="X12" s="48">
        <f t="shared" si="2"/>
        <v>18050.5</v>
      </c>
      <c r="Y12" s="48">
        <f t="shared" si="2"/>
        <v>62832</v>
      </c>
      <c r="Z12" s="48">
        <f t="shared" si="2"/>
        <v>58517</v>
      </c>
      <c r="AA12" s="48">
        <f t="shared" si="2"/>
        <v>76504</v>
      </c>
      <c r="AB12" s="48">
        <f t="shared" si="2"/>
        <v>67875</v>
      </c>
      <c r="AC12" s="48">
        <f t="shared" si="2"/>
        <v>103790</v>
      </c>
      <c r="AD12" s="48">
        <f t="shared" si="2"/>
        <v>81580</v>
      </c>
      <c r="AE12" s="48">
        <f t="shared" si="2"/>
        <v>89560</v>
      </c>
      <c r="AF12" s="48">
        <f t="shared" si="2"/>
        <v>69850</v>
      </c>
      <c r="AG12" s="48">
        <f t="shared" si="2"/>
        <v>88445</v>
      </c>
      <c r="AH12" s="48">
        <f t="shared" si="2"/>
        <v>30650</v>
      </c>
      <c r="AI12" s="48">
        <f t="shared" si="2"/>
        <v>107075</v>
      </c>
      <c r="AJ12" s="48">
        <f t="shared" si="2"/>
        <v>24895</v>
      </c>
      <c r="AK12" s="48">
        <f t="shared" si="2"/>
        <v>184149.17</v>
      </c>
      <c r="AL12" s="48">
        <f t="shared" si="2"/>
        <v>59380</v>
      </c>
      <c r="AM12" s="48">
        <f t="shared" si="2"/>
        <v>92300</v>
      </c>
      <c r="AN12" s="48">
        <f t="shared" si="2"/>
        <v>66750</v>
      </c>
      <c r="AO12" s="48">
        <f t="shared" si="2"/>
        <v>79120</v>
      </c>
      <c r="AP12" s="48">
        <f t="shared" si="2"/>
        <v>118340</v>
      </c>
      <c r="AQ12" s="48">
        <f t="shared" si="2"/>
        <v>102365.05</v>
      </c>
      <c r="AR12" s="48">
        <f t="shared" si="2"/>
        <v>66938</v>
      </c>
      <c r="AS12" s="48">
        <f t="shared" si="2"/>
        <v>160095.51999999999</v>
      </c>
      <c r="AT12" s="48">
        <f t="shared" si="2"/>
        <v>22000</v>
      </c>
      <c r="AU12" s="48">
        <f t="shared" si="2"/>
        <v>0</v>
      </c>
      <c r="AV12" s="48">
        <f t="shared" si="2"/>
        <v>0</v>
      </c>
      <c r="AW12" s="48">
        <f t="shared" si="2"/>
        <v>0</v>
      </c>
      <c r="AX12" s="48">
        <f t="shared" si="0"/>
        <v>2204875.9699999997</v>
      </c>
    </row>
    <row r="13" spans="1:50" ht="17" customHeight="1" x14ac:dyDescent="0.2">
      <c r="A13" s="40" t="s">
        <v>71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2">
        <f>-400</f>
        <v>-400</v>
      </c>
      <c r="T13" s="41"/>
      <c r="U13" s="41"/>
      <c r="V13" s="42">
        <f>-500</f>
        <v>-500</v>
      </c>
      <c r="W13" s="41"/>
      <c r="X13" s="41"/>
      <c r="Y13" s="42">
        <f>-1000</f>
        <v>-1000</v>
      </c>
      <c r="Z13" s="42">
        <f>-850</f>
        <v>-850</v>
      </c>
      <c r="AA13" s="42">
        <f>-2300</f>
        <v>-2300</v>
      </c>
      <c r="AB13" s="42">
        <f>-250</f>
        <v>-250</v>
      </c>
      <c r="AC13" s="41"/>
      <c r="AD13" s="41"/>
      <c r="AE13" s="42">
        <f>-100</f>
        <v>-100</v>
      </c>
      <c r="AF13" s="41"/>
      <c r="AG13" s="41"/>
      <c r="AH13" s="41"/>
      <c r="AI13" s="42">
        <f>-1000</f>
        <v>-1000</v>
      </c>
      <c r="AJ13" s="42">
        <f>-9900</f>
        <v>-9900</v>
      </c>
      <c r="AK13" s="42">
        <f>-1400</f>
        <v>-1400</v>
      </c>
      <c r="AL13" s="41"/>
      <c r="AM13" s="41"/>
      <c r="AN13" s="42">
        <f>-1000</f>
        <v>-1000</v>
      </c>
      <c r="AO13" s="41"/>
      <c r="AP13" s="42">
        <f>-2100</f>
        <v>-2100</v>
      </c>
      <c r="AQ13" s="41"/>
      <c r="AR13" s="42">
        <f>-200</f>
        <v>-200</v>
      </c>
      <c r="AS13" s="42">
        <f>-500</f>
        <v>-500</v>
      </c>
      <c r="AT13" s="41"/>
      <c r="AU13" s="41"/>
      <c r="AV13" s="41"/>
      <c r="AW13" s="41"/>
      <c r="AX13" s="42">
        <f t="shared" si="0"/>
        <v>-21500</v>
      </c>
    </row>
    <row r="14" spans="1:50" ht="17" customHeight="1" x14ac:dyDescent="0.2">
      <c r="A14" s="40" t="s">
        <v>12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  <c r="AK14" s="41"/>
      <c r="AL14" s="41"/>
      <c r="AM14" s="42">
        <f>65250</f>
        <v>65250</v>
      </c>
      <c r="AN14" s="42">
        <f>41242</f>
        <v>41242</v>
      </c>
      <c r="AO14" s="42">
        <f>7100</f>
        <v>7100</v>
      </c>
      <c r="AP14" s="42">
        <f>18625</f>
        <v>18625</v>
      </c>
      <c r="AQ14" s="42">
        <f>95486</f>
        <v>95486</v>
      </c>
      <c r="AR14" s="42">
        <f>9500</f>
        <v>9500</v>
      </c>
      <c r="AS14" s="41"/>
      <c r="AT14" s="41"/>
      <c r="AU14" s="41"/>
      <c r="AV14" s="41"/>
      <c r="AW14" s="41"/>
      <c r="AX14" s="42">
        <f t="shared" si="0"/>
        <v>237203</v>
      </c>
    </row>
    <row r="15" spans="1:50" ht="17" customHeight="1" x14ac:dyDescent="0.2">
      <c r="A15" s="40" t="s">
        <v>165</v>
      </c>
      <c r="B15" s="41"/>
      <c r="C15" s="41"/>
      <c r="D15" s="41"/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2">
        <f>0</f>
        <v>0</v>
      </c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s="41"/>
      <c r="AL15" s="41"/>
      <c r="AM15" s="41"/>
      <c r="AN15" s="41"/>
      <c r="AO15" s="41"/>
      <c r="AP15" s="41"/>
      <c r="AQ15" s="41"/>
      <c r="AR15" s="41"/>
      <c r="AS15" s="41"/>
      <c r="AT15" s="41"/>
      <c r="AU15" s="41"/>
      <c r="AV15" s="41"/>
      <c r="AW15" s="41"/>
      <c r="AX15" s="42">
        <f t="shared" si="0"/>
        <v>0</v>
      </c>
    </row>
    <row r="16" spans="1:50" ht="17" customHeight="1" x14ac:dyDescent="0.2">
      <c r="A16" s="40" t="s">
        <v>13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41"/>
      <c r="AG16" s="41"/>
      <c r="AH16" s="41"/>
      <c r="AI16" s="41"/>
      <c r="AJ16" s="41"/>
      <c r="AK16" s="41"/>
      <c r="AL16" s="42">
        <f>4275</f>
        <v>4275</v>
      </c>
      <c r="AM16" s="41"/>
      <c r="AN16" s="41"/>
      <c r="AO16" s="41"/>
      <c r="AP16" s="41"/>
      <c r="AQ16" s="41"/>
      <c r="AR16" s="41"/>
      <c r="AS16" s="41"/>
      <c r="AT16" s="41"/>
      <c r="AU16" s="41"/>
      <c r="AV16" s="41"/>
      <c r="AW16" s="41"/>
      <c r="AX16" s="42">
        <f t="shared" si="0"/>
        <v>4275</v>
      </c>
    </row>
    <row r="17" spans="1:50" ht="17" customHeight="1" x14ac:dyDescent="0.2">
      <c r="A17" s="40" t="s">
        <v>14</v>
      </c>
      <c r="B17" s="48">
        <f t="shared" ref="B17:AW17" si="3">((B14)+(B15))+(B16)</f>
        <v>0</v>
      </c>
      <c r="C17" s="48">
        <f t="shared" si="3"/>
        <v>0</v>
      </c>
      <c r="D17" s="48">
        <f t="shared" si="3"/>
        <v>0</v>
      </c>
      <c r="E17" s="48">
        <f t="shared" si="3"/>
        <v>0</v>
      </c>
      <c r="F17" s="48">
        <f t="shared" si="3"/>
        <v>0</v>
      </c>
      <c r="G17" s="48">
        <f t="shared" si="3"/>
        <v>0</v>
      </c>
      <c r="H17" s="48">
        <f t="shared" si="3"/>
        <v>0</v>
      </c>
      <c r="I17" s="48">
        <f t="shared" si="3"/>
        <v>0</v>
      </c>
      <c r="J17" s="48">
        <f t="shared" si="3"/>
        <v>0</v>
      </c>
      <c r="K17" s="48">
        <f t="shared" si="3"/>
        <v>0</v>
      </c>
      <c r="L17" s="48">
        <f t="shared" si="3"/>
        <v>0</v>
      </c>
      <c r="M17" s="48">
        <f t="shared" si="3"/>
        <v>0</v>
      </c>
      <c r="N17" s="48">
        <f t="shared" si="3"/>
        <v>0</v>
      </c>
      <c r="O17" s="48">
        <f t="shared" si="3"/>
        <v>0</v>
      </c>
      <c r="P17" s="48">
        <f t="shared" si="3"/>
        <v>0</v>
      </c>
      <c r="Q17" s="48">
        <f t="shared" si="3"/>
        <v>0</v>
      </c>
      <c r="R17" s="48">
        <f t="shared" si="3"/>
        <v>0</v>
      </c>
      <c r="S17" s="48">
        <f t="shared" si="3"/>
        <v>0</v>
      </c>
      <c r="T17" s="48">
        <f t="shared" si="3"/>
        <v>0</v>
      </c>
      <c r="U17" s="48">
        <f t="shared" si="3"/>
        <v>0</v>
      </c>
      <c r="V17" s="48">
        <f t="shared" si="3"/>
        <v>0</v>
      </c>
      <c r="W17" s="48">
        <f t="shared" si="3"/>
        <v>0</v>
      </c>
      <c r="X17" s="48">
        <f t="shared" si="3"/>
        <v>0</v>
      </c>
      <c r="Y17" s="48">
        <f t="shared" si="3"/>
        <v>0</v>
      </c>
      <c r="Z17" s="48">
        <f t="shared" si="3"/>
        <v>0</v>
      </c>
      <c r="AA17" s="48">
        <f t="shared" si="3"/>
        <v>0</v>
      </c>
      <c r="AB17" s="48">
        <f t="shared" si="3"/>
        <v>0</v>
      </c>
      <c r="AC17" s="48">
        <f t="shared" si="3"/>
        <v>0</v>
      </c>
      <c r="AD17" s="48">
        <f t="shared" si="3"/>
        <v>0</v>
      </c>
      <c r="AE17" s="48">
        <f t="shared" si="3"/>
        <v>0</v>
      </c>
      <c r="AF17" s="48">
        <f t="shared" si="3"/>
        <v>0</v>
      </c>
      <c r="AG17" s="48">
        <f t="shared" si="3"/>
        <v>0</v>
      </c>
      <c r="AH17" s="48">
        <f t="shared" si="3"/>
        <v>0</v>
      </c>
      <c r="AI17" s="48">
        <f t="shared" si="3"/>
        <v>0</v>
      </c>
      <c r="AJ17" s="48">
        <f t="shared" si="3"/>
        <v>0</v>
      </c>
      <c r="AK17" s="48">
        <f t="shared" si="3"/>
        <v>0</v>
      </c>
      <c r="AL17" s="48">
        <f t="shared" si="3"/>
        <v>4275</v>
      </c>
      <c r="AM17" s="48">
        <f t="shared" si="3"/>
        <v>65250</v>
      </c>
      <c r="AN17" s="48">
        <f t="shared" si="3"/>
        <v>41242</v>
      </c>
      <c r="AO17" s="48">
        <f t="shared" si="3"/>
        <v>7100</v>
      </c>
      <c r="AP17" s="48">
        <f t="shared" si="3"/>
        <v>18625</v>
      </c>
      <c r="AQ17" s="48">
        <f t="shared" si="3"/>
        <v>95486</v>
      </c>
      <c r="AR17" s="48">
        <f t="shared" si="3"/>
        <v>9500</v>
      </c>
      <c r="AS17" s="48">
        <f t="shared" si="3"/>
        <v>0</v>
      </c>
      <c r="AT17" s="48">
        <f t="shared" si="3"/>
        <v>0</v>
      </c>
      <c r="AU17" s="48">
        <f t="shared" si="3"/>
        <v>0</v>
      </c>
      <c r="AV17" s="48">
        <f t="shared" si="3"/>
        <v>0</v>
      </c>
      <c r="AW17" s="48">
        <f t="shared" si="3"/>
        <v>0</v>
      </c>
      <c r="AX17" s="48">
        <f t="shared" si="0"/>
        <v>241478</v>
      </c>
    </row>
    <row r="18" spans="1:50" ht="17" customHeight="1" x14ac:dyDescent="0.2">
      <c r="A18" s="40" t="s">
        <v>164</v>
      </c>
      <c r="B18" s="41"/>
      <c r="C18" s="41"/>
      <c r="D18" s="41"/>
      <c r="E18" s="41"/>
      <c r="F18" s="41"/>
      <c r="G18" s="41"/>
      <c r="H18" s="41"/>
      <c r="I18" s="42">
        <f>2100</f>
        <v>2100</v>
      </c>
      <c r="J18" s="42">
        <f>5570</f>
        <v>5570</v>
      </c>
      <c r="K18" s="42">
        <f>5700</f>
        <v>5700</v>
      </c>
      <c r="L18" s="42">
        <f>5255</f>
        <v>5255</v>
      </c>
      <c r="M18" s="42">
        <f>-17389.11</f>
        <v>-17389.11</v>
      </c>
      <c r="N18" s="42">
        <f>14350</f>
        <v>14350</v>
      </c>
      <c r="O18" s="42">
        <f>12055</f>
        <v>12055</v>
      </c>
      <c r="P18" s="42">
        <f>37649.25</f>
        <v>37649.25</v>
      </c>
      <c r="Q18" s="42">
        <f>35469.47</f>
        <v>35469.47</v>
      </c>
      <c r="R18" s="42">
        <f>22420.97</f>
        <v>22420.97</v>
      </c>
      <c r="S18" s="42">
        <f>44933.75</f>
        <v>44933.75</v>
      </c>
      <c r="T18" s="42">
        <f>20957.19</f>
        <v>20957.189999999999</v>
      </c>
      <c r="U18" s="42">
        <f>25089.6</f>
        <v>25089.599999999999</v>
      </c>
      <c r="V18" s="42">
        <f>40133.35</f>
        <v>40133.35</v>
      </c>
      <c r="W18" s="42">
        <f>30112.3</f>
        <v>30112.3</v>
      </c>
      <c r="X18" s="42">
        <f>16857.5</f>
        <v>16857.5</v>
      </c>
      <c r="Y18" s="42">
        <f>-301910.13</f>
        <v>-301910.13</v>
      </c>
      <c r="Z18" s="41"/>
      <c r="AA18" s="41"/>
      <c r="AB18" s="41"/>
      <c r="AC18" s="41"/>
      <c r="AD18" s="41"/>
      <c r="AE18" s="41"/>
      <c r="AF18" s="41"/>
      <c r="AG18" s="41"/>
      <c r="AH18" s="41"/>
      <c r="AI18" s="41"/>
      <c r="AJ18" s="41"/>
      <c r="AK18" s="41"/>
      <c r="AL18" s="41"/>
      <c r="AM18" s="41"/>
      <c r="AN18" s="41"/>
      <c r="AO18" s="41"/>
      <c r="AP18" s="41"/>
      <c r="AQ18" s="41"/>
      <c r="AR18" s="41"/>
      <c r="AS18" s="41"/>
      <c r="AT18" s="41"/>
      <c r="AU18" s="41"/>
      <c r="AV18" s="41"/>
      <c r="AW18" s="41"/>
      <c r="AX18" s="42">
        <f t="shared" si="0"/>
        <v>-645.85999999998603</v>
      </c>
    </row>
    <row r="19" spans="1:50" ht="17" customHeight="1" x14ac:dyDescent="0.2">
      <c r="A19" s="40" t="s">
        <v>15</v>
      </c>
      <c r="B19" s="48">
        <f t="shared" ref="B19:AW19" si="4">(((B12)+(B13))+(B17))+(B18)</f>
        <v>0</v>
      </c>
      <c r="C19" s="48">
        <f t="shared" si="4"/>
        <v>0</v>
      </c>
      <c r="D19" s="48">
        <f t="shared" si="4"/>
        <v>0</v>
      </c>
      <c r="E19" s="48">
        <f t="shared" si="4"/>
        <v>0</v>
      </c>
      <c r="F19" s="48">
        <f t="shared" si="4"/>
        <v>0</v>
      </c>
      <c r="G19" s="48">
        <f t="shared" si="4"/>
        <v>0</v>
      </c>
      <c r="H19" s="48">
        <f t="shared" si="4"/>
        <v>15900.11</v>
      </c>
      <c r="I19" s="48">
        <f t="shared" si="4"/>
        <v>25300</v>
      </c>
      <c r="J19" s="48">
        <f t="shared" si="4"/>
        <v>18020</v>
      </c>
      <c r="K19" s="48">
        <f t="shared" si="4"/>
        <v>8000</v>
      </c>
      <c r="L19" s="48">
        <f t="shared" si="4"/>
        <v>33688</v>
      </c>
      <c r="M19" s="48">
        <f t="shared" si="4"/>
        <v>-14240.54</v>
      </c>
      <c r="N19" s="48">
        <f t="shared" si="4"/>
        <v>14371.77</v>
      </c>
      <c r="O19" s="48">
        <f t="shared" si="4"/>
        <v>38690</v>
      </c>
      <c r="P19" s="48">
        <f t="shared" si="4"/>
        <v>80149.25</v>
      </c>
      <c r="Q19" s="48">
        <f t="shared" si="4"/>
        <v>62994.47</v>
      </c>
      <c r="R19" s="48">
        <f t="shared" si="4"/>
        <v>53070.97</v>
      </c>
      <c r="S19" s="48">
        <f t="shared" si="4"/>
        <v>80483.75</v>
      </c>
      <c r="T19" s="48">
        <f t="shared" si="4"/>
        <v>40657.19</v>
      </c>
      <c r="U19" s="48">
        <f t="shared" si="4"/>
        <v>64340.88</v>
      </c>
      <c r="V19" s="48">
        <f t="shared" si="4"/>
        <v>86933.35</v>
      </c>
      <c r="W19" s="48">
        <f t="shared" si="4"/>
        <v>48962.3</v>
      </c>
      <c r="X19" s="48">
        <f t="shared" si="4"/>
        <v>34908</v>
      </c>
      <c r="Y19" s="48">
        <f t="shared" si="4"/>
        <v>-240078.13</v>
      </c>
      <c r="Z19" s="48">
        <f t="shared" si="4"/>
        <v>57667</v>
      </c>
      <c r="AA19" s="48">
        <f t="shared" si="4"/>
        <v>74204</v>
      </c>
      <c r="AB19" s="48">
        <f t="shared" si="4"/>
        <v>67625</v>
      </c>
      <c r="AC19" s="48">
        <f t="shared" si="4"/>
        <v>103790</v>
      </c>
      <c r="AD19" s="48">
        <f t="shared" si="4"/>
        <v>81580</v>
      </c>
      <c r="AE19" s="48">
        <f t="shared" si="4"/>
        <v>89460</v>
      </c>
      <c r="AF19" s="48">
        <f t="shared" si="4"/>
        <v>69850</v>
      </c>
      <c r="AG19" s="48">
        <f t="shared" si="4"/>
        <v>88445</v>
      </c>
      <c r="AH19" s="48">
        <f t="shared" si="4"/>
        <v>30650</v>
      </c>
      <c r="AI19" s="48">
        <f t="shared" si="4"/>
        <v>106075</v>
      </c>
      <c r="AJ19" s="48">
        <f t="shared" si="4"/>
        <v>14995</v>
      </c>
      <c r="AK19" s="48">
        <f t="shared" si="4"/>
        <v>182749.17</v>
      </c>
      <c r="AL19" s="48">
        <f t="shared" si="4"/>
        <v>63655</v>
      </c>
      <c r="AM19" s="48">
        <f t="shared" si="4"/>
        <v>157550</v>
      </c>
      <c r="AN19" s="48">
        <f t="shared" si="4"/>
        <v>106992</v>
      </c>
      <c r="AO19" s="48">
        <f t="shared" si="4"/>
        <v>86220</v>
      </c>
      <c r="AP19" s="48">
        <f t="shared" si="4"/>
        <v>134865</v>
      </c>
      <c r="AQ19" s="48">
        <f t="shared" si="4"/>
        <v>197851.05</v>
      </c>
      <c r="AR19" s="48">
        <f t="shared" si="4"/>
        <v>76238</v>
      </c>
      <c r="AS19" s="48">
        <f t="shared" si="4"/>
        <v>159595.51999999999</v>
      </c>
      <c r="AT19" s="48">
        <f t="shared" si="4"/>
        <v>22000</v>
      </c>
      <c r="AU19" s="48">
        <f t="shared" si="4"/>
        <v>0</v>
      </c>
      <c r="AV19" s="48">
        <f t="shared" si="4"/>
        <v>0</v>
      </c>
      <c r="AW19" s="48">
        <f t="shared" si="4"/>
        <v>0</v>
      </c>
      <c r="AX19" s="48">
        <f t="shared" si="0"/>
        <v>2424208.11</v>
      </c>
    </row>
    <row r="20" spans="1:50" ht="17" customHeight="1" x14ac:dyDescent="0.2">
      <c r="A20" s="40" t="s">
        <v>16</v>
      </c>
      <c r="B20" s="41"/>
      <c r="C20" s="41"/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  <c r="AA20" s="41"/>
      <c r="AB20" s="41"/>
      <c r="AC20" s="41"/>
      <c r="AD20" s="41"/>
      <c r="AE20" s="41"/>
      <c r="AF20" s="41"/>
      <c r="AG20" s="41"/>
      <c r="AH20" s="41"/>
      <c r="AI20" s="41"/>
      <c r="AJ20" s="41"/>
      <c r="AK20" s="41"/>
      <c r="AL20" s="41"/>
      <c r="AM20" s="41"/>
      <c r="AN20" s="41"/>
      <c r="AO20" s="41"/>
      <c r="AP20" s="41"/>
      <c r="AQ20" s="41"/>
      <c r="AR20" s="41"/>
      <c r="AS20" s="41"/>
      <c r="AT20" s="41"/>
      <c r="AU20" s="41"/>
      <c r="AV20" s="41"/>
      <c r="AW20" s="41"/>
      <c r="AX20" s="41"/>
    </row>
    <row r="21" spans="1:50" ht="17" customHeight="1" x14ac:dyDescent="0.2">
      <c r="A21" s="40" t="s">
        <v>17</v>
      </c>
      <c r="B21" s="41"/>
      <c r="C21" s="41"/>
      <c r="D21" s="41"/>
      <c r="E21" s="41"/>
      <c r="F21" s="41"/>
      <c r="G21" s="41"/>
      <c r="H21" s="42">
        <f>1495</f>
        <v>1495</v>
      </c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1"/>
      <c r="AL21" s="41"/>
      <c r="AM21" s="41"/>
      <c r="AN21" s="41"/>
      <c r="AO21" s="41"/>
      <c r="AP21" s="41"/>
      <c r="AQ21" s="41"/>
      <c r="AR21" s="41"/>
      <c r="AS21" s="41"/>
      <c r="AT21" s="41"/>
      <c r="AU21" s="41"/>
      <c r="AV21" s="41"/>
      <c r="AW21" s="41"/>
      <c r="AX21" s="42">
        <f t="shared" ref="AX21:AX26" si="5">(((((((((((((((((((((((((((((((((((((((((((((((B21)+(C21))+(D21))+(E21))+(F21))+(G21))+(H21))+(I21))+(J21))+(K21))+(L21))+(M21))+(N21))+(O21))+(P21))+(Q21))+(R21))+(S21))+(T21))+(U21))+(V21))+(W21))+(X21))+(Y21))+(Z21))+(AA21))+(AB21))+(AC21))+(AD21))+(AE21))+(AF21))+(AG21))+(AH21))+(AI21))+(AJ21))+(AK21))+(AL21))+(AM21))+(AN21))+(AO21))+(AP21))+(AQ21))+(AR21))+(AS21))+(AT21))+(AU21))+(AV21))+(AW21)</f>
        <v>1495</v>
      </c>
    </row>
    <row r="22" spans="1:50" ht="17" customHeight="1" x14ac:dyDescent="0.2">
      <c r="A22" s="40" t="s">
        <v>18</v>
      </c>
      <c r="B22" s="41"/>
      <c r="C22" s="41"/>
      <c r="D22" s="41"/>
      <c r="E22" s="41"/>
      <c r="F22" s="41"/>
      <c r="G22" s="41"/>
      <c r="H22" s="42">
        <f>1078.63</f>
        <v>1078.6300000000001</v>
      </c>
      <c r="I22" s="42">
        <f>1130.33</f>
        <v>1130.33</v>
      </c>
      <c r="J22" s="42">
        <f>327.6</f>
        <v>327.60000000000002</v>
      </c>
      <c r="K22" s="42">
        <f>2066.72</f>
        <v>2066.7199999999998</v>
      </c>
      <c r="L22" s="42">
        <f>1571.12</f>
        <v>1571.12</v>
      </c>
      <c r="M22" s="42">
        <f>2464.13</f>
        <v>2464.13</v>
      </c>
      <c r="N22" s="42">
        <f>457.12</f>
        <v>457.12</v>
      </c>
      <c r="O22" s="42">
        <f>3032.48</f>
        <v>3032.48</v>
      </c>
      <c r="P22" s="42">
        <f>2430.64</f>
        <v>2430.64</v>
      </c>
      <c r="Q22" s="42">
        <f>5896.77</f>
        <v>5896.77</v>
      </c>
      <c r="R22" s="42">
        <f>3353.24</f>
        <v>3353.24</v>
      </c>
      <c r="S22" s="42">
        <f>4913.5</f>
        <v>4913.5</v>
      </c>
      <c r="T22" s="42">
        <f>5606.01</f>
        <v>5606.01</v>
      </c>
      <c r="U22" s="42">
        <f>3928.15</f>
        <v>3928.15</v>
      </c>
      <c r="V22" s="42">
        <f>9327.14</f>
        <v>9327.14</v>
      </c>
      <c r="W22" s="42">
        <f>14266.13</f>
        <v>14266.13</v>
      </c>
      <c r="X22" s="42">
        <f>7366.9</f>
        <v>7366.9</v>
      </c>
      <c r="Y22" s="42">
        <f>20308.25</f>
        <v>20308.25</v>
      </c>
      <c r="Z22" s="42">
        <f>4981.64</f>
        <v>4981.6400000000003</v>
      </c>
      <c r="AA22" s="42">
        <f>13258.78</f>
        <v>13258.78</v>
      </c>
      <c r="AB22" s="42">
        <f>5062.81</f>
        <v>5062.8100000000004</v>
      </c>
      <c r="AC22" s="42">
        <f>9411.83</f>
        <v>9411.83</v>
      </c>
      <c r="AD22" s="42">
        <f>11466.37</f>
        <v>11466.37</v>
      </c>
      <c r="AE22" s="42">
        <f>12898.83</f>
        <v>12898.83</v>
      </c>
      <c r="AF22" s="42">
        <f>11587.27</f>
        <v>11587.27</v>
      </c>
      <c r="AG22" s="42">
        <f>8275.13</f>
        <v>8275.1299999999992</v>
      </c>
      <c r="AH22" s="42">
        <f>7404.69</f>
        <v>7404.69</v>
      </c>
      <c r="AI22" s="42">
        <f>13457.31</f>
        <v>13457.31</v>
      </c>
      <c r="AJ22" s="42">
        <f>16961.51</f>
        <v>16961.509999999998</v>
      </c>
      <c r="AK22" s="42">
        <f>7046.85</f>
        <v>7046.85</v>
      </c>
      <c r="AL22" s="42">
        <f>10040.24</f>
        <v>10040.24</v>
      </c>
      <c r="AM22" s="42">
        <f>18649.81</f>
        <v>18649.810000000001</v>
      </c>
      <c r="AN22" s="42">
        <f>32926.31</f>
        <v>32926.31</v>
      </c>
      <c r="AO22" s="42">
        <f>38246.98</f>
        <v>38246.980000000003</v>
      </c>
      <c r="AP22" s="42">
        <f>46029.34</f>
        <v>46029.34</v>
      </c>
      <c r="AQ22" s="42">
        <f>40131.66</f>
        <v>40131.660000000003</v>
      </c>
      <c r="AR22" s="42">
        <f>41960.11</f>
        <v>41960.11</v>
      </c>
      <c r="AS22" s="42">
        <f>8042.95</f>
        <v>8042.95</v>
      </c>
      <c r="AT22" s="41"/>
      <c r="AU22" s="41"/>
      <c r="AV22" s="41"/>
      <c r="AW22" s="41"/>
      <c r="AX22" s="42">
        <f t="shared" si="5"/>
        <v>447365.27999999997</v>
      </c>
    </row>
    <row r="23" spans="1:50" ht="17" customHeight="1" x14ac:dyDescent="0.2">
      <c r="A23" s="40" t="s">
        <v>163</v>
      </c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41"/>
      <c r="AB23" s="41"/>
      <c r="AC23" s="42">
        <f>2000</f>
        <v>2000</v>
      </c>
      <c r="AD23" s="41"/>
      <c r="AE23" s="41"/>
      <c r="AF23" s="41"/>
      <c r="AG23" s="42">
        <f>500</f>
        <v>500</v>
      </c>
      <c r="AH23" s="42">
        <f>8043.28</f>
        <v>8043.28</v>
      </c>
      <c r="AI23" s="42">
        <f>8200</f>
        <v>8200</v>
      </c>
      <c r="AJ23" s="42">
        <f>26200</f>
        <v>26200</v>
      </c>
      <c r="AK23" s="42">
        <f>30645</f>
        <v>30645</v>
      </c>
      <c r="AL23" s="41"/>
      <c r="AM23" s="41"/>
      <c r="AN23" s="41"/>
      <c r="AO23" s="41"/>
      <c r="AP23" s="41"/>
      <c r="AQ23" s="41"/>
      <c r="AR23" s="41"/>
      <c r="AS23" s="41"/>
      <c r="AT23" s="41"/>
      <c r="AU23" s="41"/>
      <c r="AV23" s="41"/>
      <c r="AW23" s="41"/>
      <c r="AX23" s="42">
        <f t="shared" si="5"/>
        <v>75588.28</v>
      </c>
    </row>
    <row r="24" spans="1:50" ht="17" customHeight="1" x14ac:dyDescent="0.2">
      <c r="A24" s="40" t="s">
        <v>19</v>
      </c>
      <c r="B24" s="48">
        <f t="shared" ref="B24:AW24" si="6">((B21)+(B22))+(B23)</f>
        <v>0</v>
      </c>
      <c r="C24" s="48">
        <f t="shared" si="6"/>
        <v>0</v>
      </c>
      <c r="D24" s="48">
        <f t="shared" si="6"/>
        <v>0</v>
      </c>
      <c r="E24" s="48">
        <f t="shared" si="6"/>
        <v>0</v>
      </c>
      <c r="F24" s="48">
        <f t="shared" si="6"/>
        <v>0</v>
      </c>
      <c r="G24" s="48">
        <f t="shared" si="6"/>
        <v>0</v>
      </c>
      <c r="H24" s="48">
        <f t="shared" si="6"/>
        <v>2573.63</v>
      </c>
      <c r="I24" s="48">
        <f t="shared" si="6"/>
        <v>1130.33</v>
      </c>
      <c r="J24" s="48">
        <f t="shared" si="6"/>
        <v>327.60000000000002</v>
      </c>
      <c r="K24" s="48">
        <f t="shared" si="6"/>
        <v>2066.7199999999998</v>
      </c>
      <c r="L24" s="48">
        <f t="shared" si="6"/>
        <v>1571.12</v>
      </c>
      <c r="M24" s="48">
        <f t="shared" si="6"/>
        <v>2464.13</v>
      </c>
      <c r="N24" s="48">
        <f t="shared" si="6"/>
        <v>457.12</v>
      </c>
      <c r="O24" s="48">
        <f t="shared" si="6"/>
        <v>3032.48</v>
      </c>
      <c r="P24" s="48">
        <f t="shared" si="6"/>
        <v>2430.64</v>
      </c>
      <c r="Q24" s="48">
        <f t="shared" si="6"/>
        <v>5896.77</v>
      </c>
      <c r="R24" s="48">
        <f t="shared" si="6"/>
        <v>3353.24</v>
      </c>
      <c r="S24" s="48">
        <f t="shared" si="6"/>
        <v>4913.5</v>
      </c>
      <c r="T24" s="48">
        <f t="shared" si="6"/>
        <v>5606.01</v>
      </c>
      <c r="U24" s="48">
        <f t="shared" si="6"/>
        <v>3928.15</v>
      </c>
      <c r="V24" s="48">
        <f t="shared" si="6"/>
        <v>9327.14</v>
      </c>
      <c r="W24" s="48">
        <f t="shared" si="6"/>
        <v>14266.13</v>
      </c>
      <c r="X24" s="48">
        <f t="shared" si="6"/>
        <v>7366.9</v>
      </c>
      <c r="Y24" s="48">
        <f t="shared" si="6"/>
        <v>20308.25</v>
      </c>
      <c r="Z24" s="48">
        <f t="shared" si="6"/>
        <v>4981.6400000000003</v>
      </c>
      <c r="AA24" s="48">
        <f t="shared" si="6"/>
        <v>13258.78</v>
      </c>
      <c r="AB24" s="48">
        <f t="shared" si="6"/>
        <v>5062.8100000000004</v>
      </c>
      <c r="AC24" s="48">
        <f t="shared" si="6"/>
        <v>11411.83</v>
      </c>
      <c r="AD24" s="48">
        <f t="shared" si="6"/>
        <v>11466.37</v>
      </c>
      <c r="AE24" s="48">
        <f t="shared" si="6"/>
        <v>12898.83</v>
      </c>
      <c r="AF24" s="48">
        <f t="shared" si="6"/>
        <v>11587.27</v>
      </c>
      <c r="AG24" s="48">
        <f t="shared" si="6"/>
        <v>8775.1299999999992</v>
      </c>
      <c r="AH24" s="48">
        <f t="shared" si="6"/>
        <v>15447.97</v>
      </c>
      <c r="AI24" s="48">
        <f t="shared" si="6"/>
        <v>21657.309999999998</v>
      </c>
      <c r="AJ24" s="48">
        <f t="shared" si="6"/>
        <v>43161.509999999995</v>
      </c>
      <c r="AK24" s="48">
        <f t="shared" si="6"/>
        <v>37691.85</v>
      </c>
      <c r="AL24" s="48">
        <f t="shared" si="6"/>
        <v>10040.24</v>
      </c>
      <c r="AM24" s="48">
        <f t="shared" si="6"/>
        <v>18649.810000000001</v>
      </c>
      <c r="AN24" s="48">
        <f t="shared" si="6"/>
        <v>32926.31</v>
      </c>
      <c r="AO24" s="48">
        <f t="shared" si="6"/>
        <v>38246.980000000003</v>
      </c>
      <c r="AP24" s="48">
        <f t="shared" si="6"/>
        <v>46029.34</v>
      </c>
      <c r="AQ24" s="48">
        <f t="shared" si="6"/>
        <v>40131.660000000003</v>
      </c>
      <c r="AR24" s="48">
        <f t="shared" si="6"/>
        <v>41960.11</v>
      </c>
      <c r="AS24" s="48">
        <f t="shared" si="6"/>
        <v>8042.95</v>
      </c>
      <c r="AT24" s="48">
        <f t="shared" si="6"/>
        <v>0</v>
      </c>
      <c r="AU24" s="48">
        <f t="shared" si="6"/>
        <v>0</v>
      </c>
      <c r="AV24" s="48">
        <f t="shared" si="6"/>
        <v>0</v>
      </c>
      <c r="AW24" s="48">
        <f t="shared" si="6"/>
        <v>0</v>
      </c>
      <c r="AX24" s="48">
        <f t="shared" si="5"/>
        <v>524448.55999999994</v>
      </c>
    </row>
    <row r="25" spans="1:50" s="47" customFormat="1" ht="17" customHeight="1" x14ac:dyDescent="0.2">
      <c r="A25" s="43" t="s">
        <v>16</v>
      </c>
      <c r="B25" s="46">
        <f t="shared" ref="B25:AW25" si="7">B24</f>
        <v>0</v>
      </c>
      <c r="C25" s="46">
        <f t="shared" si="7"/>
        <v>0</v>
      </c>
      <c r="D25" s="46">
        <f t="shared" si="7"/>
        <v>0</v>
      </c>
      <c r="E25" s="46">
        <f t="shared" si="7"/>
        <v>0</v>
      </c>
      <c r="F25" s="46">
        <f t="shared" si="7"/>
        <v>0</v>
      </c>
      <c r="G25" s="46">
        <f t="shared" si="7"/>
        <v>0</v>
      </c>
      <c r="H25" s="46">
        <f t="shared" si="7"/>
        <v>2573.63</v>
      </c>
      <c r="I25" s="46">
        <f t="shared" si="7"/>
        <v>1130.33</v>
      </c>
      <c r="J25" s="46">
        <f t="shared" si="7"/>
        <v>327.60000000000002</v>
      </c>
      <c r="K25" s="46">
        <f t="shared" si="7"/>
        <v>2066.7199999999998</v>
      </c>
      <c r="L25" s="46">
        <f t="shared" si="7"/>
        <v>1571.12</v>
      </c>
      <c r="M25" s="46">
        <f t="shared" si="7"/>
        <v>2464.13</v>
      </c>
      <c r="N25" s="46">
        <f t="shared" si="7"/>
        <v>457.12</v>
      </c>
      <c r="O25" s="46">
        <f t="shared" si="7"/>
        <v>3032.48</v>
      </c>
      <c r="P25" s="46">
        <f t="shared" si="7"/>
        <v>2430.64</v>
      </c>
      <c r="Q25" s="46">
        <f t="shared" si="7"/>
        <v>5896.77</v>
      </c>
      <c r="R25" s="46">
        <f t="shared" si="7"/>
        <v>3353.24</v>
      </c>
      <c r="S25" s="46">
        <f t="shared" si="7"/>
        <v>4913.5</v>
      </c>
      <c r="T25" s="46">
        <f t="shared" si="7"/>
        <v>5606.01</v>
      </c>
      <c r="U25" s="46">
        <f t="shared" si="7"/>
        <v>3928.15</v>
      </c>
      <c r="V25" s="46">
        <f t="shared" si="7"/>
        <v>9327.14</v>
      </c>
      <c r="W25" s="46">
        <f t="shared" si="7"/>
        <v>14266.13</v>
      </c>
      <c r="X25" s="46">
        <f t="shared" si="7"/>
        <v>7366.9</v>
      </c>
      <c r="Y25" s="46">
        <f t="shared" si="7"/>
        <v>20308.25</v>
      </c>
      <c r="Z25" s="46">
        <f t="shared" si="7"/>
        <v>4981.6400000000003</v>
      </c>
      <c r="AA25" s="46">
        <f t="shared" si="7"/>
        <v>13258.78</v>
      </c>
      <c r="AB25" s="46">
        <f t="shared" si="7"/>
        <v>5062.8100000000004</v>
      </c>
      <c r="AC25" s="46">
        <f t="shared" si="7"/>
        <v>11411.83</v>
      </c>
      <c r="AD25" s="46">
        <f t="shared" si="7"/>
        <v>11466.37</v>
      </c>
      <c r="AE25" s="46">
        <f t="shared" si="7"/>
        <v>12898.83</v>
      </c>
      <c r="AF25" s="46">
        <f t="shared" si="7"/>
        <v>11587.27</v>
      </c>
      <c r="AG25" s="46">
        <f t="shared" si="7"/>
        <v>8775.1299999999992</v>
      </c>
      <c r="AH25" s="46">
        <f t="shared" si="7"/>
        <v>15447.97</v>
      </c>
      <c r="AI25" s="46">
        <f t="shared" si="7"/>
        <v>21657.309999999998</v>
      </c>
      <c r="AJ25" s="46">
        <f t="shared" si="7"/>
        <v>43161.509999999995</v>
      </c>
      <c r="AK25" s="46">
        <f t="shared" si="7"/>
        <v>37691.85</v>
      </c>
      <c r="AL25" s="46">
        <f t="shared" si="7"/>
        <v>10040.24</v>
      </c>
      <c r="AM25" s="46">
        <f t="shared" si="7"/>
        <v>18649.810000000001</v>
      </c>
      <c r="AN25" s="46">
        <f t="shared" si="7"/>
        <v>32926.31</v>
      </c>
      <c r="AO25" s="46">
        <f t="shared" si="7"/>
        <v>38246.980000000003</v>
      </c>
      <c r="AP25" s="46">
        <f t="shared" si="7"/>
        <v>46029.34</v>
      </c>
      <c r="AQ25" s="46">
        <f t="shared" si="7"/>
        <v>40131.660000000003</v>
      </c>
      <c r="AR25" s="46">
        <f t="shared" si="7"/>
        <v>41960.11</v>
      </c>
      <c r="AS25" s="46">
        <f t="shared" si="7"/>
        <v>8042.95</v>
      </c>
      <c r="AT25" s="46">
        <f t="shared" si="7"/>
        <v>0</v>
      </c>
      <c r="AU25" s="46">
        <f t="shared" si="7"/>
        <v>0</v>
      </c>
      <c r="AV25" s="46">
        <f t="shared" si="7"/>
        <v>0</v>
      </c>
      <c r="AW25" s="46">
        <f t="shared" si="7"/>
        <v>0</v>
      </c>
      <c r="AX25" s="46">
        <f t="shared" si="5"/>
        <v>524448.55999999994</v>
      </c>
    </row>
    <row r="26" spans="1:50" ht="17" customHeight="1" x14ac:dyDescent="0.2">
      <c r="A26" s="40" t="s">
        <v>21</v>
      </c>
      <c r="B26" s="48">
        <f t="shared" ref="B26:AW26" si="8">(B19)-(B25)</f>
        <v>0</v>
      </c>
      <c r="C26" s="48">
        <f t="shared" si="8"/>
        <v>0</v>
      </c>
      <c r="D26" s="48">
        <f t="shared" si="8"/>
        <v>0</v>
      </c>
      <c r="E26" s="48">
        <f t="shared" si="8"/>
        <v>0</v>
      </c>
      <c r="F26" s="48">
        <f t="shared" si="8"/>
        <v>0</v>
      </c>
      <c r="G26" s="48">
        <f t="shared" si="8"/>
        <v>0</v>
      </c>
      <c r="H26" s="48">
        <f t="shared" si="8"/>
        <v>13326.48</v>
      </c>
      <c r="I26" s="48">
        <f t="shared" si="8"/>
        <v>24169.67</v>
      </c>
      <c r="J26" s="48">
        <f t="shared" si="8"/>
        <v>17692.400000000001</v>
      </c>
      <c r="K26" s="48">
        <f t="shared" si="8"/>
        <v>5933.2800000000007</v>
      </c>
      <c r="L26" s="48">
        <f t="shared" si="8"/>
        <v>32116.880000000001</v>
      </c>
      <c r="M26" s="48">
        <f t="shared" si="8"/>
        <v>-16704.670000000002</v>
      </c>
      <c r="N26" s="48">
        <f t="shared" si="8"/>
        <v>13914.65</v>
      </c>
      <c r="O26" s="48">
        <f t="shared" si="8"/>
        <v>35657.519999999997</v>
      </c>
      <c r="P26" s="48">
        <f t="shared" si="8"/>
        <v>77718.61</v>
      </c>
      <c r="Q26" s="48">
        <f t="shared" si="8"/>
        <v>57097.7</v>
      </c>
      <c r="R26" s="48">
        <f t="shared" si="8"/>
        <v>49717.73</v>
      </c>
      <c r="S26" s="48">
        <f t="shared" si="8"/>
        <v>75570.25</v>
      </c>
      <c r="T26" s="48">
        <f t="shared" si="8"/>
        <v>35051.18</v>
      </c>
      <c r="U26" s="48">
        <f t="shared" si="8"/>
        <v>60412.729999999996</v>
      </c>
      <c r="V26" s="48">
        <f t="shared" si="8"/>
        <v>77606.210000000006</v>
      </c>
      <c r="W26" s="48">
        <f t="shared" si="8"/>
        <v>34696.170000000006</v>
      </c>
      <c r="X26" s="48">
        <f t="shared" si="8"/>
        <v>27541.1</v>
      </c>
      <c r="Y26" s="48">
        <f t="shared" si="8"/>
        <v>-260386.38</v>
      </c>
      <c r="Z26" s="48">
        <f t="shared" si="8"/>
        <v>52685.36</v>
      </c>
      <c r="AA26" s="48">
        <f t="shared" si="8"/>
        <v>60945.22</v>
      </c>
      <c r="AB26" s="48">
        <f t="shared" si="8"/>
        <v>62562.19</v>
      </c>
      <c r="AC26" s="48">
        <f t="shared" si="8"/>
        <v>92378.17</v>
      </c>
      <c r="AD26" s="48">
        <f t="shared" si="8"/>
        <v>70113.63</v>
      </c>
      <c r="AE26" s="48">
        <f t="shared" si="8"/>
        <v>76561.17</v>
      </c>
      <c r="AF26" s="48">
        <f t="shared" si="8"/>
        <v>58262.729999999996</v>
      </c>
      <c r="AG26" s="48">
        <f t="shared" si="8"/>
        <v>79669.87</v>
      </c>
      <c r="AH26" s="48">
        <f t="shared" si="8"/>
        <v>15202.03</v>
      </c>
      <c r="AI26" s="48">
        <f t="shared" si="8"/>
        <v>84417.69</v>
      </c>
      <c r="AJ26" s="48">
        <f t="shared" si="8"/>
        <v>-28166.509999999995</v>
      </c>
      <c r="AK26" s="48">
        <f t="shared" si="8"/>
        <v>145057.32</v>
      </c>
      <c r="AL26" s="48">
        <f t="shared" si="8"/>
        <v>53614.76</v>
      </c>
      <c r="AM26" s="48">
        <f t="shared" si="8"/>
        <v>138900.19</v>
      </c>
      <c r="AN26" s="48">
        <f t="shared" si="8"/>
        <v>74065.69</v>
      </c>
      <c r="AO26" s="48">
        <f t="shared" si="8"/>
        <v>47973.02</v>
      </c>
      <c r="AP26" s="48">
        <f t="shared" si="8"/>
        <v>88835.66</v>
      </c>
      <c r="AQ26" s="48">
        <f t="shared" si="8"/>
        <v>157719.38999999998</v>
      </c>
      <c r="AR26" s="48">
        <f t="shared" si="8"/>
        <v>34277.89</v>
      </c>
      <c r="AS26" s="48">
        <f t="shared" si="8"/>
        <v>151552.56999999998</v>
      </c>
      <c r="AT26" s="48">
        <f t="shared" si="8"/>
        <v>22000</v>
      </c>
      <c r="AU26" s="48">
        <f t="shared" si="8"/>
        <v>0</v>
      </c>
      <c r="AV26" s="48">
        <f t="shared" si="8"/>
        <v>0</v>
      </c>
      <c r="AW26" s="48">
        <f t="shared" si="8"/>
        <v>0</v>
      </c>
      <c r="AX26" s="48">
        <f t="shared" si="5"/>
        <v>1899759.5499999998</v>
      </c>
    </row>
    <row r="27" spans="1:50" ht="17" customHeight="1" x14ac:dyDescent="0.2">
      <c r="A27" s="40" t="s">
        <v>22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s="41"/>
      <c r="AL27" s="41"/>
      <c r="AM27" s="41"/>
      <c r="AN27" s="41"/>
      <c r="AO27" s="41"/>
      <c r="AP27" s="41"/>
      <c r="AQ27" s="41"/>
      <c r="AR27" s="41"/>
      <c r="AS27" s="41"/>
      <c r="AT27" s="41"/>
      <c r="AU27" s="41"/>
      <c r="AV27" s="41"/>
      <c r="AW27" s="41"/>
      <c r="AX27" s="41"/>
    </row>
    <row r="28" spans="1:50" ht="17" customHeight="1" x14ac:dyDescent="0.2">
      <c r="A28" s="40" t="s">
        <v>23</v>
      </c>
      <c r="B28" s="41"/>
      <c r="C28" s="41"/>
      <c r="D28" s="41"/>
      <c r="E28" s="41"/>
      <c r="F28" s="41"/>
      <c r="G28" s="41"/>
      <c r="H28" s="41"/>
      <c r="I28" s="41"/>
      <c r="J28" s="42">
        <f>100</f>
        <v>100</v>
      </c>
      <c r="K28" s="42">
        <f>80</f>
        <v>80</v>
      </c>
      <c r="L28" s="42">
        <f>140</f>
        <v>140</v>
      </c>
      <c r="M28" s="42">
        <f>65</f>
        <v>65</v>
      </c>
      <c r="N28" s="41"/>
      <c r="O28" s="41"/>
      <c r="P28" s="42">
        <f>391.68</f>
        <v>391.68</v>
      </c>
      <c r="Q28" s="42">
        <f>905.27</f>
        <v>905.27</v>
      </c>
      <c r="R28" s="42">
        <f>950.04</f>
        <v>950.04</v>
      </c>
      <c r="S28" s="42">
        <f>1349.96</f>
        <v>1349.96</v>
      </c>
      <c r="T28" s="42">
        <f>900</f>
        <v>900</v>
      </c>
      <c r="U28" s="42">
        <f>920</f>
        <v>920</v>
      </c>
      <c r="V28" s="42">
        <f>4717.5</f>
        <v>4717.5</v>
      </c>
      <c r="W28" s="42">
        <f>1257</f>
        <v>1257</v>
      </c>
      <c r="X28" s="42">
        <f>3832.26</f>
        <v>3832.26</v>
      </c>
      <c r="Y28" s="42">
        <f>536</f>
        <v>536</v>
      </c>
      <c r="Z28" s="41"/>
      <c r="AA28" s="41"/>
      <c r="AB28" s="41"/>
      <c r="AC28" s="41"/>
      <c r="AD28" s="41"/>
      <c r="AE28" s="41"/>
      <c r="AF28" s="41"/>
      <c r="AG28" s="41"/>
      <c r="AH28" s="41"/>
      <c r="AI28" s="41"/>
      <c r="AJ28" s="41"/>
      <c r="AK28" s="41"/>
      <c r="AL28" s="41"/>
      <c r="AM28" s="41"/>
      <c r="AN28" s="41"/>
      <c r="AO28" s="41"/>
      <c r="AP28" s="41"/>
      <c r="AQ28" s="41"/>
      <c r="AR28" s="41"/>
      <c r="AS28" s="41"/>
      <c r="AT28" s="41"/>
      <c r="AU28" s="41"/>
      <c r="AV28" s="41"/>
      <c r="AW28" s="41"/>
      <c r="AX28" s="42">
        <f t="shared" ref="AX28:AX59" si="9">(((((((((((((((((((((((((((((((((((((((((((((((B28)+(C28))+(D28))+(E28))+(F28))+(G28))+(H28))+(I28))+(J28))+(K28))+(L28))+(M28))+(N28))+(O28))+(P28))+(Q28))+(R28))+(S28))+(T28))+(U28))+(V28))+(W28))+(X28))+(Y28))+(Z28))+(AA28))+(AB28))+(AC28))+(AD28))+(AE28))+(AF28))+(AG28))+(AH28))+(AI28))+(AJ28))+(AK28))+(AL28))+(AM28))+(AN28))+(AO28))+(AP28))+(AQ28))+(AR28))+(AS28))+(AT28))+(AU28))+(AV28))+(AW28)</f>
        <v>16144.710000000001</v>
      </c>
    </row>
    <row r="29" spans="1:50" ht="17" customHeight="1" x14ac:dyDescent="0.2">
      <c r="A29" s="40" t="s">
        <v>24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2">
        <f>3797.5</f>
        <v>3797.5</v>
      </c>
      <c r="AA29" s="42">
        <f>4632</f>
        <v>4632</v>
      </c>
      <c r="AB29" s="41"/>
      <c r="AC29" s="42">
        <f>100</f>
        <v>100</v>
      </c>
      <c r="AD29" s="41"/>
      <c r="AE29" s="42">
        <f>500</f>
        <v>500</v>
      </c>
      <c r="AF29" s="42">
        <f>2000</f>
        <v>2000</v>
      </c>
      <c r="AG29" s="41"/>
      <c r="AH29" s="41"/>
      <c r="AI29" s="42">
        <f>775</f>
        <v>775</v>
      </c>
      <c r="AJ29" s="42">
        <f>235.76</f>
        <v>235.76</v>
      </c>
      <c r="AK29" s="41"/>
      <c r="AL29" s="42">
        <f>1237.67</f>
        <v>1237.67</v>
      </c>
      <c r="AM29" s="42">
        <f>291.35</f>
        <v>291.35000000000002</v>
      </c>
      <c r="AN29" s="42">
        <f>2110.07</f>
        <v>2110.0700000000002</v>
      </c>
      <c r="AO29" s="41"/>
      <c r="AP29" s="41"/>
      <c r="AQ29" s="41"/>
      <c r="AR29" s="42">
        <f>444.29</f>
        <v>444.29</v>
      </c>
      <c r="AS29" s="42">
        <f>441.42</f>
        <v>441.42</v>
      </c>
      <c r="AT29" s="41"/>
      <c r="AU29" s="41"/>
      <c r="AV29" s="41"/>
      <c r="AW29" s="41"/>
      <c r="AX29" s="42">
        <f t="shared" si="9"/>
        <v>16565.060000000001</v>
      </c>
    </row>
    <row r="30" spans="1:50" ht="17" customHeight="1" x14ac:dyDescent="0.2">
      <c r="A30" s="40" t="s">
        <v>74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2">
        <f>20</f>
        <v>20</v>
      </c>
      <c r="AA30" s="42">
        <f>20</f>
        <v>20</v>
      </c>
      <c r="AB30" s="42">
        <f>20</f>
        <v>20</v>
      </c>
      <c r="AC30" s="42">
        <f>1591.8</f>
        <v>1591.8</v>
      </c>
      <c r="AD30" s="42">
        <f>40</f>
        <v>40</v>
      </c>
      <c r="AE30" s="42">
        <f>250</f>
        <v>250</v>
      </c>
      <c r="AF30" s="42">
        <f>323.6</f>
        <v>323.60000000000002</v>
      </c>
      <c r="AG30" s="42">
        <f>347</f>
        <v>347</v>
      </c>
      <c r="AH30" s="42">
        <f>1050</f>
        <v>1050</v>
      </c>
      <c r="AI30" s="42">
        <f>1125</f>
        <v>1125</v>
      </c>
      <c r="AJ30" s="42">
        <f>996.25</f>
        <v>996.25</v>
      </c>
      <c r="AK30" s="42">
        <f>2109.99</f>
        <v>2109.9899999999998</v>
      </c>
      <c r="AL30" s="41"/>
      <c r="AM30" s="41"/>
      <c r="AN30" s="41"/>
      <c r="AO30" s="42">
        <f>449</f>
        <v>449</v>
      </c>
      <c r="AP30" s="42">
        <f>1724.76</f>
        <v>1724.76</v>
      </c>
      <c r="AQ30" s="42">
        <f>2806.53</f>
        <v>2806.53</v>
      </c>
      <c r="AR30" s="42">
        <f>2437.48</f>
        <v>2437.48</v>
      </c>
      <c r="AS30" s="42">
        <f>1228.9</f>
        <v>1228.9000000000001</v>
      </c>
      <c r="AT30" s="41"/>
      <c r="AU30" s="41"/>
      <c r="AV30" s="41"/>
      <c r="AW30" s="41"/>
      <c r="AX30" s="42">
        <f t="shared" si="9"/>
        <v>16540.310000000001</v>
      </c>
    </row>
    <row r="31" spans="1:50" ht="17" customHeight="1" x14ac:dyDescent="0.2">
      <c r="A31" s="40" t="s">
        <v>162</v>
      </c>
      <c r="B31" s="48">
        <f t="shared" ref="B31:AW31" si="10">((B28)+(B29))+(B30)</f>
        <v>0</v>
      </c>
      <c r="C31" s="48">
        <f t="shared" si="10"/>
        <v>0</v>
      </c>
      <c r="D31" s="48">
        <f t="shared" si="10"/>
        <v>0</v>
      </c>
      <c r="E31" s="48">
        <f t="shared" si="10"/>
        <v>0</v>
      </c>
      <c r="F31" s="48">
        <f t="shared" si="10"/>
        <v>0</v>
      </c>
      <c r="G31" s="48">
        <f t="shared" si="10"/>
        <v>0</v>
      </c>
      <c r="H31" s="48">
        <f t="shared" si="10"/>
        <v>0</v>
      </c>
      <c r="I31" s="48">
        <f t="shared" si="10"/>
        <v>0</v>
      </c>
      <c r="J31" s="48">
        <f t="shared" si="10"/>
        <v>100</v>
      </c>
      <c r="K31" s="48">
        <f t="shared" si="10"/>
        <v>80</v>
      </c>
      <c r="L31" s="48">
        <f t="shared" si="10"/>
        <v>140</v>
      </c>
      <c r="M31" s="48">
        <f t="shared" si="10"/>
        <v>65</v>
      </c>
      <c r="N31" s="48">
        <f t="shared" si="10"/>
        <v>0</v>
      </c>
      <c r="O31" s="48">
        <f t="shared" si="10"/>
        <v>0</v>
      </c>
      <c r="P31" s="48">
        <f t="shared" si="10"/>
        <v>391.68</v>
      </c>
      <c r="Q31" s="48">
        <f t="shared" si="10"/>
        <v>905.27</v>
      </c>
      <c r="R31" s="48">
        <f t="shared" si="10"/>
        <v>950.04</v>
      </c>
      <c r="S31" s="48">
        <f t="shared" si="10"/>
        <v>1349.96</v>
      </c>
      <c r="T31" s="48">
        <f t="shared" si="10"/>
        <v>900</v>
      </c>
      <c r="U31" s="48">
        <f t="shared" si="10"/>
        <v>920</v>
      </c>
      <c r="V31" s="48">
        <f t="shared" si="10"/>
        <v>4717.5</v>
      </c>
      <c r="W31" s="48">
        <f t="shared" si="10"/>
        <v>1257</v>
      </c>
      <c r="X31" s="48">
        <f t="shared" si="10"/>
        <v>3832.26</v>
      </c>
      <c r="Y31" s="48">
        <f t="shared" si="10"/>
        <v>536</v>
      </c>
      <c r="Z31" s="48">
        <f t="shared" si="10"/>
        <v>3817.5</v>
      </c>
      <c r="AA31" s="48">
        <f t="shared" si="10"/>
        <v>4652</v>
      </c>
      <c r="AB31" s="48">
        <f t="shared" si="10"/>
        <v>20</v>
      </c>
      <c r="AC31" s="48">
        <f t="shared" si="10"/>
        <v>1691.8</v>
      </c>
      <c r="AD31" s="48">
        <f t="shared" si="10"/>
        <v>40</v>
      </c>
      <c r="AE31" s="48">
        <f t="shared" si="10"/>
        <v>750</v>
      </c>
      <c r="AF31" s="48">
        <f t="shared" si="10"/>
        <v>2323.6</v>
      </c>
      <c r="AG31" s="48">
        <f t="shared" si="10"/>
        <v>347</v>
      </c>
      <c r="AH31" s="48">
        <f t="shared" si="10"/>
        <v>1050</v>
      </c>
      <c r="AI31" s="48">
        <f t="shared" si="10"/>
        <v>1900</v>
      </c>
      <c r="AJ31" s="48">
        <f t="shared" si="10"/>
        <v>1232.01</v>
      </c>
      <c r="AK31" s="48">
        <f t="shared" si="10"/>
        <v>2109.9899999999998</v>
      </c>
      <c r="AL31" s="48">
        <f t="shared" si="10"/>
        <v>1237.67</v>
      </c>
      <c r="AM31" s="48">
        <f t="shared" si="10"/>
        <v>291.35000000000002</v>
      </c>
      <c r="AN31" s="48">
        <f t="shared" si="10"/>
        <v>2110.0700000000002</v>
      </c>
      <c r="AO31" s="48">
        <f t="shared" si="10"/>
        <v>449</v>
      </c>
      <c r="AP31" s="48">
        <f t="shared" si="10"/>
        <v>1724.76</v>
      </c>
      <c r="AQ31" s="48">
        <f t="shared" si="10"/>
        <v>2806.53</v>
      </c>
      <c r="AR31" s="48">
        <f t="shared" si="10"/>
        <v>2881.77</v>
      </c>
      <c r="AS31" s="48">
        <f t="shared" si="10"/>
        <v>1670.3200000000002</v>
      </c>
      <c r="AT31" s="48">
        <f t="shared" si="10"/>
        <v>0</v>
      </c>
      <c r="AU31" s="48">
        <f t="shared" si="10"/>
        <v>0</v>
      </c>
      <c r="AV31" s="48">
        <f t="shared" si="10"/>
        <v>0</v>
      </c>
      <c r="AW31" s="48">
        <f t="shared" si="10"/>
        <v>0</v>
      </c>
      <c r="AX31" s="48">
        <f t="shared" si="9"/>
        <v>49250.079999999987</v>
      </c>
    </row>
    <row r="32" spans="1:50" ht="17" customHeight="1" x14ac:dyDescent="0.2">
      <c r="A32" s="40" t="s">
        <v>25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41"/>
      <c r="AB32" s="41"/>
      <c r="AC32" s="41"/>
      <c r="AD32" s="41"/>
      <c r="AE32" s="41"/>
      <c r="AF32" s="41"/>
      <c r="AG32" s="41"/>
      <c r="AH32" s="41"/>
      <c r="AI32" s="41"/>
      <c r="AJ32" s="41"/>
      <c r="AK32" s="41"/>
      <c r="AL32" s="41"/>
      <c r="AM32" s="41"/>
      <c r="AN32" s="41"/>
      <c r="AO32" s="41"/>
      <c r="AP32" s="41"/>
      <c r="AQ32" s="41"/>
      <c r="AR32" s="41"/>
      <c r="AS32" s="41"/>
      <c r="AT32" s="41"/>
      <c r="AU32" s="41"/>
      <c r="AV32" s="41"/>
      <c r="AW32" s="41"/>
      <c r="AX32" s="42">
        <f t="shared" si="9"/>
        <v>0</v>
      </c>
    </row>
    <row r="33" spans="1:50" ht="17" customHeight="1" x14ac:dyDescent="0.2">
      <c r="A33" s="40" t="s">
        <v>26</v>
      </c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1"/>
      <c r="AN33" s="41"/>
      <c r="AO33" s="41"/>
      <c r="AP33" s="41"/>
      <c r="AQ33" s="41"/>
      <c r="AR33" s="41"/>
      <c r="AS33" s="41"/>
      <c r="AT33" s="41"/>
      <c r="AU33" s="41"/>
      <c r="AV33" s="41"/>
      <c r="AW33" s="41"/>
      <c r="AX33" s="42">
        <f t="shared" si="9"/>
        <v>0</v>
      </c>
    </row>
    <row r="34" spans="1:50" ht="17" customHeight="1" x14ac:dyDescent="0.2">
      <c r="A34" s="40" t="s">
        <v>27</v>
      </c>
      <c r="B34" s="41"/>
      <c r="C34" s="41"/>
      <c r="D34" s="41"/>
      <c r="E34" s="41"/>
      <c r="F34" s="41"/>
      <c r="G34" s="41"/>
      <c r="H34" s="41"/>
      <c r="I34" s="41"/>
      <c r="J34" s="41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  <c r="AA34" s="41"/>
      <c r="AB34" s="42">
        <f>3315</f>
        <v>3315</v>
      </c>
      <c r="AC34" s="42">
        <f>21462.2</f>
        <v>21462.2</v>
      </c>
      <c r="AD34" s="42">
        <f>40160.51</f>
        <v>40160.51</v>
      </c>
      <c r="AE34" s="42">
        <f>19497.15</f>
        <v>19497.150000000001</v>
      </c>
      <c r="AF34" s="42">
        <f>13167.66</f>
        <v>13167.66</v>
      </c>
      <c r="AG34" s="42">
        <f>17792.22</f>
        <v>17792.22</v>
      </c>
      <c r="AH34" s="42">
        <f>19590.32</f>
        <v>19590.32</v>
      </c>
      <c r="AI34" s="42">
        <f>9340.55</f>
        <v>9340.5499999999993</v>
      </c>
      <c r="AJ34" s="42">
        <f>8936</f>
        <v>8936</v>
      </c>
      <c r="AK34" s="42">
        <f>15785.26</f>
        <v>15785.26</v>
      </c>
      <c r="AL34" s="42">
        <f>16130.26</f>
        <v>16130.26</v>
      </c>
      <c r="AM34" s="42">
        <f>17721.34</f>
        <v>17721.34</v>
      </c>
      <c r="AN34" s="42">
        <f>22315.62</f>
        <v>22315.62</v>
      </c>
      <c r="AO34" s="42">
        <f>26211.84</f>
        <v>26211.84</v>
      </c>
      <c r="AP34" s="42">
        <f>14544.1</f>
        <v>14544.1</v>
      </c>
      <c r="AQ34" s="42">
        <f>9611.61</f>
        <v>9611.61</v>
      </c>
      <c r="AR34" s="42">
        <f>28667.57</f>
        <v>28667.57</v>
      </c>
      <c r="AS34" s="41"/>
      <c r="AT34" s="41"/>
      <c r="AU34" s="41"/>
      <c r="AV34" s="41"/>
      <c r="AW34" s="41"/>
      <c r="AX34" s="42">
        <f t="shared" si="9"/>
        <v>304249.21000000002</v>
      </c>
    </row>
    <row r="35" spans="1:50" ht="17" customHeight="1" x14ac:dyDescent="0.2">
      <c r="A35" s="40" t="s">
        <v>161</v>
      </c>
      <c r="B35" s="41"/>
      <c r="C35" s="41"/>
      <c r="D35" s="41"/>
      <c r="E35" s="41"/>
      <c r="F35" s="41"/>
      <c r="G35" s="41"/>
      <c r="H35" s="41"/>
      <c r="I35" s="41"/>
      <c r="J35" s="41"/>
      <c r="K35" s="41"/>
      <c r="L35" s="41"/>
      <c r="M35" s="41"/>
      <c r="N35" s="41"/>
      <c r="O35" s="41"/>
      <c r="P35" s="41"/>
      <c r="Q35" s="42">
        <f>1706</f>
        <v>1706</v>
      </c>
      <c r="R35" s="42">
        <f>916</f>
        <v>916</v>
      </c>
      <c r="S35" s="42">
        <f>2017</f>
        <v>2017</v>
      </c>
      <c r="T35" s="42">
        <f>3492</f>
        <v>3492</v>
      </c>
      <c r="U35" s="42">
        <f>5010</f>
        <v>5010</v>
      </c>
      <c r="V35" s="42">
        <f>3506</f>
        <v>3506</v>
      </c>
      <c r="W35" s="42">
        <f>2151</f>
        <v>2151</v>
      </c>
      <c r="X35" s="42">
        <f>3125</f>
        <v>3125</v>
      </c>
      <c r="Y35" s="42">
        <f>7610</f>
        <v>7610</v>
      </c>
      <c r="Z35" s="42">
        <f>10512</f>
        <v>10512</v>
      </c>
      <c r="AA35" s="42">
        <f>8898</f>
        <v>8898</v>
      </c>
      <c r="AB35" s="42">
        <f>10487</f>
        <v>10487</v>
      </c>
      <c r="AC35" s="42">
        <f>12983.35</f>
        <v>12983.35</v>
      </c>
      <c r="AD35" s="42">
        <f>2350</f>
        <v>2350</v>
      </c>
      <c r="AE35" s="42">
        <f>5750</f>
        <v>5750</v>
      </c>
      <c r="AF35" s="42">
        <f>7943</f>
        <v>7943</v>
      </c>
      <c r="AG35" s="42">
        <f>8640</f>
        <v>8640</v>
      </c>
      <c r="AH35" s="42">
        <f>9366</f>
        <v>9366</v>
      </c>
      <c r="AI35" s="42">
        <f>19250</f>
        <v>19250</v>
      </c>
      <c r="AJ35" s="42">
        <f>2900</f>
        <v>2900</v>
      </c>
      <c r="AK35" s="42">
        <f>2000</f>
        <v>2000</v>
      </c>
      <c r="AL35" s="41"/>
      <c r="AM35" s="41"/>
      <c r="AN35" s="41"/>
      <c r="AO35" s="41"/>
      <c r="AP35" s="41"/>
      <c r="AQ35" s="41"/>
      <c r="AR35" s="41"/>
      <c r="AS35" s="41"/>
      <c r="AT35" s="41"/>
      <c r="AU35" s="41"/>
      <c r="AV35" s="41"/>
      <c r="AW35" s="41"/>
      <c r="AX35" s="42">
        <f t="shared" si="9"/>
        <v>130612.35</v>
      </c>
    </row>
    <row r="36" spans="1:50" ht="17" customHeight="1" x14ac:dyDescent="0.2">
      <c r="A36" s="40" t="s">
        <v>160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  <c r="AA36" s="41"/>
      <c r="AB36" s="41"/>
      <c r="AC36" s="42">
        <f>2287.65</f>
        <v>2287.65</v>
      </c>
      <c r="AD36" s="42">
        <f>2774.11</f>
        <v>2774.11</v>
      </c>
      <c r="AE36" s="42">
        <f>2915.69</f>
        <v>2915.69</v>
      </c>
      <c r="AF36" s="42">
        <f>1674.56</f>
        <v>1674.56</v>
      </c>
      <c r="AG36" s="42">
        <f>2285.01</f>
        <v>2285.0100000000002</v>
      </c>
      <c r="AH36" s="42">
        <f>2541.07</f>
        <v>2541.0700000000002</v>
      </c>
      <c r="AI36" s="41"/>
      <c r="AJ36" s="41"/>
      <c r="AK36" s="41"/>
      <c r="AL36" s="41"/>
      <c r="AM36" s="41"/>
      <c r="AN36" s="41"/>
      <c r="AO36" s="41"/>
      <c r="AP36" s="41"/>
      <c r="AQ36" s="41"/>
      <c r="AR36" s="41"/>
      <c r="AS36" s="41"/>
      <c r="AT36" s="41"/>
      <c r="AU36" s="41"/>
      <c r="AV36" s="41"/>
      <c r="AW36" s="41"/>
      <c r="AX36" s="42">
        <f t="shared" si="9"/>
        <v>14478.09</v>
      </c>
    </row>
    <row r="37" spans="1:50" ht="17" customHeight="1" x14ac:dyDescent="0.2">
      <c r="A37" s="40" t="s">
        <v>159</v>
      </c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41"/>
      <c r="AB37" s="41"/>
      <c r="AC37" s="42">
        <f>500</f>
        <v>500</v>
      </c>
      <c r="AD37" s="41"/>
      <c r="AE37" s="41"/>
      <c r="AF37" s="41"/>
      <c r="AG37" s="41"/>
      <c r="AH37" s="41"/>
      <c r="AI37" s="41"/>
      <c r="AJ37" s="41"/>
      <c r="AK37" s="42">
        <f>500</f>
        <v>500</v>
      </c>
      <c r="AL37" s="41"/>
      <c r="AM37" s="41"/>
      <c r="AN37" s="41"/>
      <c r="AO37" s="41"/>
      <c r="AP37" s="41"/>
      <c r="AQ37" s="41"/>
      <c r="AR37" s="41"/>
      <c r="AS37" s="41"/>
      <c r="AT37" s="41"/>
      <c r="AU37" s="41"/>
      <c r="AV37" s="41"/>
      <c r="AW37" s="41"/>
      <c r="AX37" s="42">
        <f t="shared" si="9"/>
        <v>1000</v>
      </c>
    </row>
    <row r="38" spans="1:50" ht="17" customHeight="1" x14ac:dyDescent="0.2">
      <c r="A38" s="40" t="s">
        <v>158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2">
        <f>1228</f>
        <v>1228</v>
      </c>
      <c r="M38" s="41"/>
      <c r="N38" s="42">
        <f>614</f>
        <v>614</v>
      </c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  <c r="AA38" s="41"/>
      <c r="AB38" s="41"/>
      <c r="AC38" s="41"/>
      <c r="AD38" s="41"/>
      <c r="AE38" s="41"/>
      <c r="AF38" s="41"/>
      <c r="AG38" s="41"/>
      <c r="AH38" s="41"/>
      <c r="AI38" s="41"/>
      <c r="AJ38" s="41"/>
      <c r="AK38" s="41"/>
      <c r="AL38" s="41"/>
      <c r="AM38" s="41"/>
      <c r="AN38" s="41"/>
      <c r="AO38" s="41"/>
      <c r="AP38" s="41"/>
      <c r="AQ38" s="41"/>
      <c r="AR38" s="41"/>
      <c r="AS38" s="41"/>
      <c r="AT38" s="41"/>
      <c r="AU38" s="41"/>
      <c r="AV38" s="41"/>
      <c r="AW38" s="41"/>
      <c r="AX38" s="42">
        <f t="shared" si="9"/>
        <v>1842</v>
      </c>
    </row>
    <row r="39" spans="1:50" ht="17" customHeight="1" x14ac:dyDescent="0.2">
      <c r="A39" s="40" t="s">
        <v>157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2">
        <f>8000</f>
        <v>8000</v>
      </c>
      <c r="M39" s="41"/>
      <c r="N39" s="42">
        <f>7420.55</f>
        <v>7420.55</v>
      </c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41"/>
      <c r="AB39" s="41"/>
      <c r="AC39" s="41"/>
      <c r="AD39" s="41"/>
      <c r="AE39" s="41"/>
      <c r="AF39" s="41"/>
      <c r="AG39" s="41"/>
      <c r="AH39" s="41"/>
      <c r="AI39" s="41"/>
      <c r="AJ39" s="41"/>
      <c r="AK39" s="41"/>
      <c r="AL39" s="41"/>
      <c r="AM39" s="41"/>
      <c r="AN39" s="41"/>
      <c r="AO39" s="41"/>
      <c r="AP39" s="41"/>
      <c r="AQ39" s="41"/>
      <c r="AR39" s="41"/>
      <c r="AS39" s="41"/>
      <c r="AT39" s="41"/>
      <c r="AU39" s="41"/>
      <c r="AV39" s="41"/>
      <c r="AW39" s="41"/>
      <c r="AX39" s="42">
        <f t="shared" si="9"/>
        <v>15420.55</v>
      </c>
    </row>
    <row r="40" spans="1:50" s="47" customFormat="1" ht="17" customHeight="1" x14ac:dyDescent="0.2">
      <c r="A40" s="43" t="s">
        <v>330</v>
      </c>
      <c r="B40" s="46">
        <f t="shared" ref="B40:AW40" si="11">((((((B33)+(B34))+(B35))+(B36))+(B37))+(B38))+(B39)</f>
        <v>0</v>
      </c>
      <c r="C40" s="46">
        <f t="shared" si="11"/>
        <v>0</v>
      </c>
      <c r="D40" s="46">
        <f t="shared" si="11"/>
        <v>0</v>
      </c>
      <c r="E40" s="46">
        <f t="shared" si="11"/>
        <v>0</v>
      </c>
      <c r="F40" s="46">
        <f t="shared" si="11"/>
        <v>0</v>
      </c>
      <c r="G40" s="46">
        <f t="shared" si="11"/>
        <v>0</v>
      </c>
      <c r="H40" s="46">
        <f t="shared" si="11"/>
        <v>0</v>
      </c>
      <c r="I40" s="46">
        <f t="shared" si="11"/>
        <v>0</v>
      </c>
      <c r="J40" s="46">
        <f t="shared" si="11"/>
        <v>0</v>
      </c>
      <c r="K40" s="46">
        <f t="shared" si="11"/>
        <v>0</v>
      </c>
      <c r="L40" s="46">
        <f t="shared" si="11"/>
        <v>9228</v>
      </c>
      <c r="M40" s="46">
        <f t="shared" si="11"/>
        <v>0</v>
      </c>
      <c r="N40" s="46">
        <f t="shared" si="11"/>
        <v>8034.55</v>
      </c>
      <c r="O40" s="46">
        <f t="shared" si="11"/>
        <v>0</v>
      </c>
      <c r="P40" s="46">
        <f t="shared" si="11"/>
        <v>0</v>
      </c>
      <c r="Q40" s="46">
        <f t="shared" si="11"/>
        <v>1706</v>
      </c>
      <c r="R40" s="46">
        <f t="shared" si="11"/>
        <v>916</v>
      </c>
      <c r="S40" s="46">
        <f t="shared" si="11"/>
        <v>2017</v>
      </c>
      <c r="T40" s="46">
        <f t="shared" si="11"/>
        <v>3492</v>
      </c>
      <c r="U40" s="46">
        <f t="shared" si="11"/>
        <v>5010</v>
      </c>
      <c r="V40" s="46">
        <f t="shared" si="11"/>
        <v>3506</v>
      </c>
      <c r="W40" s="46">
        <f t="shared" si="11"/>
        <v>2151</v>
      </c>
      <c r="X40" s="46">
        <f t="shared" si="11"/>
        <v>3125</v>
      </c>
      <c r="Y40" s="46">
        <f t="shared" si="11"/>
        <v>7610</v>
      </c>
      <c r="Z40" s="46">
        <f t="shared" si="11"/>
        <v>10512</v>
      </c>
      <c r="AA40" s="46">
        <f t="shared" si="11"/>
        <v>8898</v>
      </c>
      <c r="AB40" s="46">
        <f t="shared" si="11"/>
        <v>13802</v>
      </c>
      <c r="AC40" s="46">
        <f t="shared" si="11"/>
        <v>37233.200000000004</v>
      </c>
      <c r="AD40" s="46">
        <f t="shared" si="11"/>
        <v>45284.62</v>
      </c>
      <c r="AE40" s="46">
        <f t="shared" si="11"/>
        <v>28162.84</v>
      </c>
      <c r="AF40" s="46">
        <f t="shared" si="11"/>
        <v>22785.22</v>
      </c>
      <c r="AG40" s="46">
        <f t="shared" si="11"/>
        <v>28717.230000000003</v>
      </c>
      <c r="AH40" s="46">
        <f t="shared" si="11"/>
        <v>31497.39</v>
      </c>
      <c r="AI40" s="46">
        <f t="shared" si="11"/>
        <v>28590.55</v>
      </c>
      <c r="AJ40" s="46">
        <f t="shared" si="11"/>
        <v>11836</v>
      </c>
      <c r="AK40" s="46">
        <f t="shared" si="11"/>
        <v>18285.260000000002</v>
      </c>
      <c r="AL40" s="46">
        <f t="shared" si="11"/>
        <v>16130.26</v>
      </c>
      <c r="AM40" s="46">
        <f t="shared" si="11"/>
        <v>17721.34</v>
      </c>
      <c r="AN40" s="46">
        <f t="shared" si="11"/>
        <v>22315.62</v>
      </c>
      <c r="AO40" s="46">
        <f t="shared" si="11"/>
        <v>26211.84</v>
      </c>
      <c r="AP40" s="46">
        <f t="shared" si="11"/>
        <v>14544.1</v>
      </c>
      <c r="AQ40" s="46">
        <f t="shared" si="11"/>
        <v>9611.61</v>
      </c>
      <c r="AR40" s="46">
        <f t="shared" si="11"/>
        <v>28667.57</v>
      </c>
      <c r="AS40" s="46">
        <f t="shared" si="11"/>
        <v>0</v>
      </c>
      <c r="AT40" s="46">
        <f t="shared" si="11"/>
        <v>0</v>
      </c>
      <c r="AU40" s="46">
        <f t="shared" si="11"/>
        <v>0</v>
      </c>
      <c r="AV40" s="46">
        <f t="shared" si="11"/>
        <v>0</v>
      </c>
      <c r="AW40" s="46">
        <f t="shared" si="11"/>
        <v>0</v>
      </c>
      <c r="AX40" s="46">
        <f t="shared" si="9"/>
        <v>467602.2</v>
      </c>
    </row>
    <row r="41" spans="1:50" ht="17" customHeight="1" x14ac:dyDescent="0.2">
      <c r="A41" s="40" t="s">
        <v>29</v>
      </c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41"/>
      <c r="AB41" s="41"/>
      <c r="AC41" s="41"/>
      <c r="AD41" s="41"/>
      <c r="AE41" s="41"/>
      <c r="AF41" s="41"/>
      <c r="AG41" s="41"/>
      <c r="AH41" s="41"/>
      <c r="AI41" s="41"/>
      <c r="AJ41" s="41"/>
      <c r="AK41" s="41"/>
      <c r="AL41" s="41"/>
      <c r="AM41" s="41"/>
      <c r="AN41" s="41"/>
      <c r="AO41" s="41"/>
      <c r="AP41" s="41"/>
      <c r="AQ41" s="41"/>
      <c r="AR41" s="41"/>
      <c r="AS41" s="41"/>
      <c r="AT41" s="41"/>
      <c r="AU41" s="41"/>
      <c r="AV41" s="41"/>
      <c r="AW41" s="41"/>
      <c r="AX41" s="42">
        <f t="shared" si="9"/>
        <v>0</v>
      </c>
    </row>
    <row r="42" spans="1:50" ht="17" customHeight="1" x14ac:dyDescent="0.2">
      <c r="A42" s="40" t="s">
        <v>156</v>
      </c>
      <c r="B42" s="41"/>
      <c r="C42" s="41"/>
      <c r="D42" s="41"/>
      <c r="E42" s="41"/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  <c r="AA42" s="41"/>
      <c r="AB42" s="41"/>
      <c r="AC42" s="42">
        <f>24000</f>
        <v>24000</v>
      </c>
      <c r="AD42" s="41"/>
      <c r="AE42" s="41"/>
      <c r="AF42" s="41"/>
      <c r="AG42" s="41"/>
      <c r="AH42" s="41"/>
      <c r="AI42" s="41"/>
      <c r="AJ42" s="41"/>
      <c r="AK42" s="41"/>
      <c r="AL42" s="41"/>
      <c r="AM42" s="41"/>
      <c r="AN42" s="41"/>
      <c r="AO42" s="41"/>
      <c r="AP42" s="41"/>
      <c r="AQ42" s="41"/>
      <c r="AR42" s="41"/>
      <c r="AS42" s="41"/>
      <c r="AT42" s="41"/>
      <c r="AU42" s="41"/>
      <c r="AV42" s="41"/>
      <c r="AW42" s="41"/>
      <c r="AX42" s="42">
        <f t="shared" si="9"/>
        <v>24000</v>
      </c>
    </row>
    <row r="43" spans="1:50" ht="17" customHeight="1" x14ac:dyDescent="0.2">
      <c r="A43" s="40" t="s">
        <v>77</v>
      </c>
      <c r="B43" s="41"/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  <c r="AA43" s="41"/>
      <c r="AB43" s="41"/>
      <c r="AC43" s="41"/>
      <c r="AD43" s="41"/>
      <c r="AE43" s="42">
        <f>798.27</f>
        <v>798.27</v>
      </c>
      <c r="AF43" s="41"/>
      <c r="AG43" s="42">
        <f>246.4</f>
        <v>246.4</v>
      </c>
      <c r="AH43" s="42">
        <f>141.02</f>
        <v>141.02000000000001</v>
      </c>
      <c r="AI43" s="41"/>
      <c r="AJ43" s="41"/>
      <c r="AK43" s="41"/>
      <c r="AL43" s="41"/>
      <c r="AM43" s="41"/>
      <c r="AN43" s="41"/>
      <c r="AO43" s="41"/>
      <c r="AP43" s="42">
        <f>1520</f>
        <v>1520</v>
      </c>
      <c r="AQ43" s="41"/>
      <c r="AR43" s="41"/>
      <c r="AS43" s="41"/>
      <c r="AT43" s="41"/>
      <c r="AU43" s="41"/>
      <c r="AV43" s="41"/>
      <c r="AW43" s="41"/>
      <c r="AX43" s="42">
        <f t="shared" si="9"/>
        <v>2705.69</v>
      </c>
    </row>
    <row r="44" spans="1:50" ht="17" customHeight="1" x14ac:dyDescent="0.2">
      <c r="A44" s="40" t="s">
        <v>30</v>
      </c>
      <c r="B44" s="41"/>
      <c r="C44" s="41"/>
      <c r="D44" s="41"/>
      <c r="E44" s="41"/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  <c r="AA44" s="41"/>
      <c r="AB44" s="41"/>
      <c r="AC44" s="41"/>
      <c r="AD44" s="41"/>
      <c r="AE44" s="41"/>
      <c r="AF44" s="42">
        <f>599.88</f>
        <v>599.88</v>
      </c>
      <c r="AG44" s="42">
        <f>167.66</f>
        <v>167.66</v>
      </c>
      <c r="AH44" s="42">
        <f>533.82</f>
        <v>533.82000000000005</v>
      </c>
      <c r="AI44" s="41"/>
      <c r="AJ44" s="42">
        <f>400.8</f>
        <v>400.8</v>
      </c>
      <c r="AK44" s="41"/>
      <c r="AL44" s="42">
        <f>414.97</f>
        <v>414.97</v>
      </c>
      <c r="AM44" s="41"/>
      <c r="AN44" s="42">
        <f>766.3</f>
        <v>766.3</v>
      </c>
      <c r="AO44" s="42">
        <f>1649.7</f>
        <v>1649.7</v>
      </c>
      <c r="AP44" s="42">
        <f>337.89</f>
        <v>337.89</v>
      </c>
      <c r="AQ44" s="42">
        <f>318.62</f>
        <v>318.62</v>
      </c>
      <c r="AR44" s="42">
        <f>383.55</f>
        <v>383.55</v>
      </c>
      <c r="AS44" s="41"/>
      <c r="AT44" s="41"/>
      <c r="AU44" s="41"/>
      <c r="AV44" s="41"/>
      <c r="AW44" s="41"/>
      <c r="AX44" s="42">
        <f t="shared" si="9"/>
        <v>5573.1900000000005</v>
      </c>
    </row>
    <row r="45" spans="1:50" ht="17" customHeight="1" x14ac:dyDescent="0.2">
      <c r="A45" s="40" t="s">
        <v>31</v>
      </c>
      <c r="B45" s="41"/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2">
        <f>225.83</f>
        <v>225.83</v>
      </c>
      <c r="W45" s="42">
        <f>220</f>
        <v>220</v>
      </c>
      <c r="X45" s="42">
        <f>292.66</f>
        <v>292.66000000000003</v>
      </c>
      <c r="Y45" s="42">
        <f>220</f>
        <v>220</v>
      </c>
      <c r="Z45" s="42">
        <f>275.73</f>
        <v>275.73</v>
      </c>
      <c r="AA45" s="42">
        <f>220</f>
        <v>220</v>
      </c>
      <c r="AB45" s="42">
        <f>223.22</f>
        <v>223.22</v>
      </c>
      <c r="AC45" s="42">
        <f>110</f>
        <v>110</v>
      </c>
      <c r="AD45" s="42">
        <f>220</f>
        <v>220</v>
      </c>
      <c r="AE45" s="42">
        <f>289.66</f>
        <v>289.66000000000003</v>
      </c>
      <c r="AF45" s="42">
        <f>220</f>
        <v>220</v>
      </c>
      <c r="AG45" s="42">
        <f>220</f>
        <v>220</v>
      </c>
      <c r="AH45" s="42">
        <f>220</f>
        <v>220</v>
      </c>
      <c r="AI45" s="42">
        <f>220</f>
        <v>220</v>
      </c>
      <c r="AJ45" s="42">
        <f>220</f>
        <v>220</v>
      </c>
      <c r="AK45" s="42">
        <f>220</f>
        <v>220</v>
      </c>
      <c r="AL45" s="42">
        <f>220</f>
        <v>220</v>
      </c>
      <c r="AM45" s="42">
        <f>220</f>
        <v>220</v>
      </c>
      <c r="AN45" s="42">
        <f>220</f>
        <v>220</v>
      </c>
      <c r="AO45" s="42">
        <f>220</f>
        <v>220</v>
      </c>
      <c r="AP45" s="42">
        <f>220</f>
        <v>220</v>
      </c>
      <c r="AQ45" s="42">
        <f>220</f>
        <v>220</v>
      </c>
      <c r="AR45" s="42">
        <f>220</f>
        <v>220</v>
      </c>
      <c r="AS45" s="41"/>
      <c r="AT45" s="41"/>
      <c r="AU45" s="41"/>
      <c r="AV45" s="41"/>
      <c r="AW45" s="41"/>
      <c r="AX45" s="42">
        <f t="shared" si="9"/>
        <v>5157.1000000000004</v>
      </c>
    </row>
    <row r="46" spans="1:50" ht="17" customHeight="1" x14ac:dyDescent="0.2">
      <c r="A46" s="40" t="s">
        <v>155</v>
      </c>
      <c r="B46" s="41"/>
      <c r="C46" s="41"/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  <c r="AA46" s="41"/>
      <c r="AB46" s="41"/>
      <c r="AC46" s="41"/>
      <c r="AD46" s="41"/>
      <c r="AE46" s="41"/>
      <c r="AF46" s="42">
        <f>19822.1</f>
        <v>19822.099999999999</v>
      </c>
      <c r="AG46" s="41"/>
      <c r="AH46" s="42">
        <f>352.77</f>
        <v>352.77</v>
      </c>
      <c r="AI46" s="42">
        <f>300.29</f>
        <v>300.29000000000002</v>
      </c>
      <c r="AJ46" s="41"/>
      <c r="AK46" s="42">
        <f>6470.8</f>
        <v>6470.8</v>
      </c>
      <c r="AL46" s="41"/>
      <c r="AM46" s="41"/>
      <c r="AN46" s="41"/>
      <c r="AO46" s="41"/>
      <c r="AP46" s="41"/>
      <c r="AQ46" s="41"/>
      <c r="AR46" s="41"/>
      <c r="AS46" s="41"/>
      <c r="AT46" s="41"/>
      <c r="AU46" s="41"/>
      <c r="AV46" s="41"/>
      <c r="AW46" s="41"/>
      <c r="AX46" s="42">
        <f t="shared" si="9"/>
        <v>26945.96</v>
      </c>
    </row>
    <row r="47" spans="1:50" ht="17" customHeight="1" x14ac:dyDescent="0.2">
      <c r="A47" s="40" t="s">
        <v>32</v>
      </c>
      <c r="B47" s="48">
        <f t="shared" ref="B47:AW47" si="12">(((((B41)+(B42))+(B43))+(B44))+(B45))+(B46)</f>
        <v>0</v>
      </c>
      <c r="C47" s="48">
        <f t="shared" si="12"/>
        <v>0</v>
      </c>
      <c r="D47" s="48">
        <f t="shared" si="12"/>
        <v>0</v>
      </c>
      <c r="E47" s="48">
        <f t="shared" si="12"/>
        <v>0</v>
      </c>
      <c r="F47" s="48">
        <f t="shared" si="12"/>
        <v>0</v>
      </c>
      <c r="G47" s="48">
        <f t="shared" si="12"/>
        <v>0</v>
      </c>
      <c r="H47" s="48">
        <f t="shared" si="12"/>
        <v>0</v>
      </c>
      <c r="I47" s="48">
        <f t="shared" si="12"/>
        <v>0</v>
      </c>
      <c r="J47" s="48">
        <f t="shared" si="12"/>
        <v>0</v>
      </c>
      <c r="K47" s="48">
        <f t="shared" si="12"/>
        <v>0</v>
      </c>
      <c r="L47" s="48">
        <f t="shared" si="12"/>
        <v>0</v>
      </c>
      <c r="M47" s="48">
        <f t="shared" si="12"/>
        <v>0</v>
      </c>
      <c r="N47" s="48">
        <f t="shared" si="12"/>
        <v>0</v>
      </c>
      <c r="O47" s="48">
        <f t="shared" si="12"/>
        <v>0</v>
      </c>
      <c r="P47" s="48">
        <f t="shared" si="12"/>
        <v>0</v>
      </c>
      <c r="Q47" s="48">
        <f t="shared" si="12"/>
        <v>0</v>
      </c>
      <c r="R47" s="48">
        <f t="shared" si="12"/>
        <v>0</v>
      </c>
      <c r="S47" s="48">
        <f t="shared" si="12"/>
        <v>0</v>
      </c>
      <c r="T47" s="48">
        <f t="shared" si="12"/>
        <v>0</v>
      </c>
      <c r="U47" s="48">
        <f t="shared" si="12"/>
        <v>0</v>
      </c>
      <c r="V47" s="48">
        <f t="shared" si="12"/>
        <v>225.83</v>
      </c>
      <c r="W47" s="48">
        <f t="shared" si="12"/>
        <v>220</v>
      </c>
      <c r="X47" s="48">
        <f t="shared" si="12"/>
        <v>292.66000000000003</v>
      </c>
      <c r="Y47" s="48">
        <f t="shared" si="12"/>
        <v>220</v>
      </c>
      <c r="Z47" s="48">
        <f t="shared" si="12"/>
        <v>275.73</v>
      </c>
      <c r="AA47" s="48">
        <f t="shared" si="12"/>
        <v>220</v>
      </c>
      <c r="AB47" s="48">
        <f t="shared" si="12"/>
        <v>223.22</v>
      </c>
      <c r="AC47" s="48">
        <f t="shared" si="12"/>
        <v>24110</v>
      </c>
      <c r="AD47" s="48">
        <f t="shared" si="12"/>
        <v>220</v>
      </c>
      <c r="AE47" s="48">
        <f t="shared" si="12"/>
        <v>1087.93</v>
      </c>
      <c r="AF47" s="48">
        <f t="shared" si="12"/>
        <v>20641.98</v>
      </c>
      <c r="AG47" s="48">
        <f t="shared" si="12"/>
        <v>634.05999999999995</v>
      </c>
      <c r="AH47" s="48">
        <f t="shared" si="12"/>
        <v>1247.6100000000001</v>
      </c>
      <c r="AI47" s="48">
        <f t="shared" si="12"/>
        <v>520.29</v>
      </c>
      <c r="AJ47" s="48">
        <f t="shared" si="12"/>
        <v>620.79999999999995</v>
      </c>
      <c r="AK47" s="48">
        <f t="shared" si="12"/>
        <v>6690.8</v>
      </c>
      <c r="AL47" s="48">
        <f t="shared" si="12"/>
        <v>634.97</v>
      </c>
      <c r="AM47" s="48">
        <f t="shared" si="12"/>
        <v>220</v>
      </c>
      <c r="AN47" s="48">
        <f t="shared" si="12"/>
        <v>986.3</v>
      </c>
      <c r="AO47" s="48">
        <f t="shared" si="12"/>
        <v>1869.7</v>
      </c>
      <c r="AP47" s="48">
        <f t="shared" si="12"/>
        <v>2077.89</v>
      </c>
      <c r="AQ47" s="48">
        <f t="shared" si="12"/>
        <v>538.62</v>
      </c>
      <c r="AR47" s="48">
        <f t="shared" si="12"/>
        <v>603.54999999999995</v>
      </c>
      <c r="AS47" s="48">
        <f t="shared" si="12"/>
        <v>0</v>
      </c>
      <c r="AT47" s="48">
        <f t="shared" si="12"/>
        <v>0</v>
      </c>
      <c r="AU47" s="48">
        <f t="shared" si="12"/>
        <v>0</v>
      </c>
      <c r="AV47" s="48">
        <f t="shared" si="12"/>
        <v>0</v>
      </c>
      <c r="AW47" s="48">
        <f t="shared" si="12"/>
        <v>0</v>
      </c>
      <c r="AX47" s="48">
        <f t="shared" si="9"/>
        <v>64381.94000000001</v>
      </c>
    </row>
    <row r="48" spans="1:50" ht="17" customHeight="1" x14ac:dyDescent="0.2">
      <c r="A48" s="40" t="s">
        <v>33</v>
      </c>
      <c r="B48" s="48">
        <f t="shared" ref="B48:AW48" si="13">((B32)+(B40))+(B47)</f>
        <v>0</v>
      </c>
      <c r="C48" s="48">
        <f t="shared" si="13"/>
        <v>0</v>
      </c>
      <c r="D48" s="48">
        <f t="shared" si="13"/>
        <v>0</v>
      </c>
      <c r="E48" s="48">
        <f t="shared" si="13"/>
        <v>0</v>
      </c>
      <c r="F48" s="48">
        <f t="shared" si="13"/>
        <v>0</v>
      </c>
      <c r="G48" s="48">
        <f t="shared" si="13"/>
        <v>0</v>
      </c>
      <c r="H48" s="48">
        <f t="shared" si="13"/>
        <v>0</v>
      </c>
      <c r="I48" s="48">
        <f t="shared" si="13"/>
        <v>0</v>
      </c>
      <c r="J48" s="48">
        <f t="shared" si="13"/>
        <v>0</v>
      </c>
      <c r="K48" s="48">
        <f t="shared" si="13"/>
        <v>0</v>
      </c>
      <c r="L48" s="48">
        <f t="shared" si="13"/>
        <v>9228</v>
      </c>
      <c r="M48" s="48">
        <f t="shared" si="13"/>
        <v>0</v>
      </c>
      <c r="N48" s="48">
        <f t="shared" si="13"/>
        <v>8034.55</v>
      </c>
      <c r="O48" s="48">
        <f t="shared" si="13"/>
        <v>0</v>
      </c>
      <c r="P48" s="48">
        <f t="shared" si="13"/>
        <v>0</v>
      </c>
      <c r="Q48" s="48">
        <f t="shared" si="13"/>
        <v>1706</v>
      </c>
      <c r="R48" s="48">
        <f t="shared" si="13"/>
        <v>916</v>
      </c>
      <c r="S48" s="48">
        <f t="shared" si="13"/>
        <v>2017</v>
      </c>
      <c r="T48" s="48">
        <f t="shared" si="13"/>
        <v>3492</v>
      </c>
      <c r="U48" s="48">
        <f t="shared" si="13"/>
        <v>5010</v>
      </c>
      <c r="V48" s="48">
        <f t="shared" si="13"/>
        <v>3731.83</v>
      </c>
      <c r="W48" s="48">
        <f t="shared" si="13"/>
        <v>2371</v>
      </c>
      <c r="X48" s="48">
        <f t="shared" si="13"/>
        <v>3417.66</v>
      </c>
      <c r="Y48" s="48">
        <f t="shared" si="13"/>
        <v>7830</v>
      </c>
      <c r="Z48" s="48">
        <f t="shared" si="13"/>
        <v>10787.73</v>
      </c>
      <c r="AA48" s="48">
        <f t="shared" si="13"/>
        <v>9118</v>
      </c>
      <c r="AB48" s="48">
        <f t="shared" si="13"/>
        <v>14025.22</v>
      </c>
      <c r="AC48" s="48">
        <f t="shared" si="13"/>
        <v>61343.200000000004</v>
      </c>
      <c r="AD48" s="48">
        <f t="shared" si="13"/>
        <v>45504.62</v>
      </c>
      <c r="AE48" s="48">
        <f t="shared" si="13"/>
        <v>29250.77</v>
      </c>
      <c r="AF48" s="48">
        <f t="shared" si="13"/>
        <v>43427.199999999997</v>
      </c>
      <c r="AG48" s="48">
        <f t="shared" si="13"/>
        <v>29351.290000000005</v>
      </c>
      <c r="AH48" s="48">
        <f t="shared" si="13"/>
        <v>32745</v>
      </c>
      <c r="AI48" s="48">
        <f t="shared" si="13"/>
        <v>29110.84</v>
      </c>
      <c r="AJ48" s="48">
        <f t="shared" si="13"/>
        <v>12456.8</v>
      </c>
      <c r="AK48" s="48">
        <f t="shared" si="13"/>
        <v>24976.06</v>
      </c>
      <c r="AL48" s="48">
        <f t="shared" si="13"/>
        <v>16765.23</v>
      </c>
      <c r="AM48" s="48">
        <f t="shared" si="13"/>
        <v>17941.34</v>
      </c>
      <c r="AN48" s="48">
        <f t="shared" si="13"/>
        <v>23301.919999999998</v>
      </c>
      <c r="AO48" s="48">
        <f t="shared" si="13"/>
        <v>28081.54</v>
      </c>
      <c r="AP48" s="48">
        <f t="shared" si="13"/>
        <v>16621.990000000002</v>
      </c>
      <c r="AQ48" s="48">
        <f t="shared" si="13"/>
        <v>10150.230000000001</v>
      </c>
      <c r="AR48" s="48">
        <f t="shared" si="13"/>
        <v>29271.119999999999</v>
      </c>
      <c r="AS48" s="48">
        <f t="shared" si="13"/>
        <v>0</v>
      </c>
      <c r="AT48" s="48">
        <f t="shared" si="13"/>
        <v>0</v>
      </c>
      <c r="AU48" s="48">
        <f t="shared" si="13"/>
        <v>0</v>
      </c>
      <c r="AV48" s="48">
        <f t="shared" si="13"/>
        <v>0</v>
      </c>
      <c r="AW48" s="48">
        <f t="shared" si="13"/>
        <v>0</v>
      </c>
      <c r="AX48" s="48">
        <f t="shared" si="9"/>
        <v>531984.1399999999</v>
      </c>
    </row>
    <row r="49" spans="1:50" ht="17" customHeight="1" x14ac:dyDescent="0.2">
      <c r="A49" s="40" t="s">
        <v>34</v>
      </c>
      <c r="B49" s="41"/>
      <c r="C49" s="41"/>
      <c r="D49" s="41"/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  <c r="AA49" s="41"/>
      <c r="AB49" s="41"/>
      <c r="AC49" s="41"/>
      <c r="AD49" s="41"/>
      <c r="AE49" s="41"/>
      <c r="AF49" s="41"/>
      <c r="AG49" s="41"/>
      <c r="AH49" s="41"/>
      <c r="AI49" s="41"/>
      <c r="AJ49" s="41"/>
      <c r="AK49" s="41"/>
      <c r="AL49" s="41"/>
      <c r="AM49" s="41"/>
      <c r="AN49" s="41"/>
      <c r="AO49" s="41"/>
      <c r="AP49" s="41"/>
      <c r="AQ49" s="41"/>
      <c r="AR49" s="41"/>
      <c r="AS49" s="41"/>
      <c r="AT49" s="41"/>
      <c r="AU49" s="41"/>
      <c r="AV49" s="41"/>
      <c r="AW49" s="41"/>
      <c r="AX49" s="42">
        <f t="shared" si="9"/>
        <v>0</v>
      </c>
    </row>
    <row r="50" spans="1:50" ht="17" customHeight="1" x14ac:dyDescent="0.2">
      <c r="A50" s="40" t="s">
        <v>35</v>
      </c>
      <c r="B50" s="41"/>
      <c r="C50" s="41"/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  <c r="AA50" s="41"/>
      <c r="AB50" s="42">
        <f>90.61</f>
        <v>90.61</v>
      </c>
      <c r="AC50" s="42">
        <f>12</f>
        <v>12</v>
      </c>
      <c r="AD50" s="42">
        <f>1296.23</f>
        <v>1296.23</v>
      </c>
      <c r="AE50" s="42">
        <f>3790.6</f>
        <v>3790.6</v>
      </c>
      <c r="AF50" s="42">
        <f>515</f>
        <v>515</v>
      </c>
      <c r="AG50" s="42">
        <f>15</f>
        <v>15</v>
      </c>
      <c r="AH50" s="42">
        <f>638.63</f>
        <v>638.63</v>
      </c>
      <c r="AI50" s="42">
        <f>625.62</f>
        <v>625.62</v>
      </c>
      <c r="AJ50" s="41"/>
      <c r="AK50" s="41"/>
      <c r="AL50" s="42">
        <f>124.19</f>
        <v>124.19</v>
      </c>
      <c r="AM50" s="41"/>
      <c r="AN50" s="41"/>
      <c r="AO50" s="41"/>
      <c r="AP50" s="42">
        <f>439.95</f>
        <v>439.95</v>
      </c>
      <c r="AQ50" s="42">
        <f>1581.69</f>
        <v>1581.69</v>
      </c>
      <c r="AR50" s="42">
        <f>294.95</f>
        <v>294.95</v>
      </c>
      <c r="AS50" s="41"/>
      <c r="AT50" s="41"/>
      <c r="AU50" s="41"/>
      <c r="AV50" s="41"/>
      <c r="AW50" s="41"/>
      <c r="AX50" s="42">
        <f t="shared" si="9"/>
        <v>9424.4699999999993</v>
      </c>
    </row>
    <row r="51" spans="1:50" ht="17" customHeight="1" x14ac:dyDescent="0.2">
      <c r="A51" s="40" t="s">
        <v>36</v>
      </c>
      <c r="B51" s="41"/>
      <c r="C51" s="41"/>
      <c r="D51" s="41"/>
      <c r="E51" s="41"/>
      <c r="F51" s="41"/>
      <c r="G51" s="41"/>
      <c r="H51" s="41"/>
      <c r="I51" s="42">
        <f>53.13</f>
        <v>53.13</v>
      </c>
      <c r="J51" s="42">
        <f>679.02</f>
        <v>679.02</v>
      </c>
      <c r="K51" s="42">
        <f>598.42</f>
        <v>598.41999999999996</v>
      </c>
      <c r="L51" s="42">
        <f>506.17</f>
        <v>506.17</v>
      </c>
      <c r="M51" s="42">
        <f>201.35</f>
        <v>201.35</v>
      </c>
      <c r="N51" s="42">
        <f>289.43</f>
        <v>289.43</v>
      </c>
      <c r="O51" s="42">
        <f>422.42</f>
        <v>422.42</v>
      </c>
      <c r="P51" s="42">
        <f>306.8</f>
        <v>306.8</v>
      </c>
      <c r="Q51" s="42">
        <f>843.28</f>
        <v>843.28</v>
      </c>
      <c r="R51" s="42">
        <f>314.59</f>
        <v>314.58999999999997</v>
      </c>
      <c r="S51" s="42">
        <f>519.7</f>
        <v>519.70000000000005</v>
      </c>
      <c r="T51" s="42">
        <f>647.66</f>
        <v>647.66</v>
      </c>
      <c r="U51" s="42">
        <f>483.24</f>
        <v>483.24</v>
      </c>
      <c r="V51" s="42">
        <f>1679.31</f>
        <v>1679.31</v>
      </c>
      <c r="W51" s="42">
        <f>954.37</f>
        <v>954.37</v>
      </c>
      <c r="X51" s="42">
        <f>398.51</f>
        <v>398.51</v>
      </c>
      <c r="Y51" s="42">
        <f>1484.66</f>
        <v>1484.66</v>
      </c>
      <c r="Z51" s="42">
        <f>1141.07</f>
        <v>1141.07</v>
      </c>
      <c r="AA51" s="42">
        <f>1574.8</f>
        <v>1574.8</v>
      </c>
      <c r="AB51" s="42">
        <f>591.48</f>
        <v>591.48</v>
      </c>
      <c r="AC51" s="42">
        <f>871.01</f>
        <v>871.01</v>
      </c>
      <c r="AD51" s="42">
        <f>1797.9</f>
        <v>1797.9</v>
      </c>
      <c r="AE51" s="42">
        <f>1222.42</f>
        <v>1222.42</v>
      </c>
      <c r="AF51" s="42">
        <f>1657.16</f>
        <v>1657.16</v>
      </c>
      <c r="AG51" s="42">
        <f>1272.36</f>
        <v>1272.3599999999999</v>
      </c>
      <c r="AH51" s="42">
        <f>1104.39</f>
        <v>1104.3900000000001</v>
      </c>
      <c r="AI51" s="42">
        <f>602.53</f>
        <v>602.53</v>
      </c>
      <c r="AJ51" s="42">
        <f>1040.65</f>
        <v>1040.6500000000001</v>
      </c>
      <c r="AK51" s="42">
        <f>564.48</f>
        <v>564.48</v>
      </c>
      <c r="AL51" s="42">
        <f>2114.81</f>
        <v>2114.81</v>
      </c>
      <c r="AM51" s="42">
        <f>474.22</f>
        <v>474.22</v>
      </c>
      <c r="AN51" s="42">
        <f>498.02</f>
        <v>498.02</v>
      </c>
      <c r="AO51" s="42">
        <f>1125.51</f>
        <v>1125.51</v>
      </c>
      <c r="AP51" s="42">
        <f>439.3</f>
        <v>439.3</v>
      </c>
      <c r="AQ51" s="42">
        <f>389.23</f>
        <v>389.23</v>
      </c>
      <c r="AR51" s="42">
        <f>426.16</f>
        <v>426.16</v>
      </c>
      <c r="AS51" s="42">
        <f>528.56</f>
        <v>528.55999999999995</v>
      </c>
      <c r="AT51" s="41"/>
      <c r="AU51" s="41"/>
      <c r="AV51" s="41"/>
      <c r="AW51" s="41"/>
      <c r="AX51" s="42">
        <f t="shared" si="9"/>
        <v>29818.12</v>
      </c>
    </row>
    <row r="52" spans="1:50" ht="17" customHeight="1" x14ac:dyDescent="0.2">
      <c r="A52" s="40" t="s">
        <v>37</v>
      </c>
      <c r="B52" s="48">
        <f t="shared" ref="B52:AW52" si="14">((B49)+(B50))+(B51)</f>
        <v>0</v>
      </c>
      <c r="C52" s="48">
        <f t="shared" si="14"/>
        <v>0</v>
      </c>
      <c r="D52" s="48">
        <f t="shared" si="14"/>
        <v>0</v>
      </c>
      <c r="E52" s="48">
        <f t="shared" si="14"/>
        <v>0</v>
      </c>
      <c r="F52" s="48">
        <f t="shared" si="14"/>
        <v>0</v>
      </c>
      <c r="G52" s="48">
        <f t="shared" si="14"/>
        <v>0</v>
      </c>
      <c r="H52" s="48">
        <f t="shared" si="14"/>
        <v>0</v>
      </c>
      <c r="I52" s="48">
        <f t="shared" si="14"/>
        <v>53.13</v>
      </c>
      <c r="J52" s="48">
        <f t="shared" si="14"/>
        <v>679.02</v>
      </c>
      <c r="K52" s="48">
        <f t="shared" si="14"/>
        <v>598.41999999999996</v>
      </c>
      <c r="L52" s="48">
        <f t="shared" si="14"/>
        <v>506.17</v>
      </c>
      <c r="M52" s="48">
        <f t="shared" si="14"/>
        <v>201.35</v>
      </c>
      <c r="N52" s="48">
        <f t="shared" si="14"/>
        <v>289.43</v>
      </c>
      <c r="O52" s="48">
        <f t="shared" si="14"/>
        <v>422.42</v>
      </c>
      <c r="P52" s="48">
        <f t="shared" si="14"/>
        <v>306.8</v>
      </c>
      <c r="Q52" s="48">
        <f t="shared" si="14"/>
        <v>843.28</v>
      </c>
      <c r="R52" s="48">
        <f t="shared" si="14"/>
        <v>314.58999999999997</v>
      </c>
      <c r="S52" s="48">
        <f t="shared" si="14"/>
        <v>519.70000000000005</v>
      </c>
      <c r="T52" s="48">
        <f t="shared" si="14"/>
        <v>647.66</v>
      </c>
      <c r="U52" s="48">
        <f t="shared" si="14"/>
        <v>483.24</v>
      </c>
      <c r="V52" s="48">
        <f t="shared" si="14"/>
        <v>1679.31</v>
      </c>
      <c r="W52" s="48">
        <f t="shared" si="14"/>
        <v>954.37</v>
      </c>
      <c r="X52" s="48">
        <f t="shared" si="14"/>
        <v>398.51</v>
      </c>
      <c r="Y52" s="48">
        <f t="shared" si="14"/>
        <v>1484.66</v>
      </c>
      <c r="Z52" s="48">
        <f t="shared" si="14"/>
        <v>1141.07</v>
      </c>
      <c r="AA52" s="48">
        <f t="shared" si="14"/>
        <v>1574.8</v>
      </c>
      <c r="AB52" s="48">
        <f t="shared" si="14"/>
        <v>682.09</v>
      </c>
      <c r="AC52" s="48">
        <f t="shared" si="14"/>
        <v>883.01</v>
      </c>
      <c r="AD52" s="48">
        <f t="shared" si="14"/>
        <v>3094.13</v>
      </c>
      <c r="AE52" s="48">
        <f t="shared" si="14"/>
        <v>5013.0200000000004</v>
      </c>
      <c r="AF52" s="48">
        <f t="shared" si="14"/>
        <v>2172.16</v>
      </c>
      <c r="AG52" s="48">
        <f t="shared" si="14"/>
        <v>1287.3599999999999</v>
      </c>
      <c r="AH52" s="48">
        <f t="shared" si="14"/>
        <v>1743.02</v>
      </c>
      <c r="AI52" s="48">
        <f t="shared" si="14"/>
        <v>1228.1500000000001</v>
      </c>
      <c r="AJ52" s="48">
        <f t="shared" si="14"/>
        <v>1040.6500000000001</v>
      </c>
      <c r="AK52" s="48">
        <f t="shared" si="14"/>
        <v>564.48</v>
      </c>
      <c r="AL52" s="48">
        <f t="shared" si="14"/>
        <v>2239</v>
      </c>
      <c r="AM52" s="48">
        <f t="shared" si="14"/>
        <v>474.22</v>
      </c>
      <c r="AN52" s="48">
        <f t="shared" si="14"/>
        <v>498.02</v>
      </c>
      <c r="AO52" s="48">
        <f t="shared" si="14"/>
        <v>1125.51</v>
      </c>
      <c r="AP52" s="48">
        <f t="shared" si="14"/>
        <v>879.25</v>
      </c>
      <c r="AQ52" s="48">
        <f t="shared" si="14"/>
        <v>1970.92</v>
      </c>
      <c r="AR52" s="48">
        <f t="shared" si="14"/>
        <v>721.11</v>
      </c>
      <c r="AS52" s="48">
        <f t="shared" si="14"/>
        <v>528.55999999999995</v>
      </c>
      <c r="AT52" s="48">
        <f t="shared" si="14"/>
        <v>0</v>
      </c>
      <c r="AU52" s="48">
        <f t="shared" si="14"/>
        <v>0</v>
      </c>
      <c r="AV52" s="48">
        <f t="shared" si="14"/>
        <v>0</v>
      </c>
      <c r="AW52" s="48">
        <f t="shared" si="14"/>
        <v>0</v>
      </c>
      <c r="AX52" s="48">
        <f t="shared" si="9"/>
        <v>39242.589999999997</v>
      </c>
    </row>
    <row r="53" spans="1:50" ht="17" customHeight="1" x14ac:dyDescent="0.2">
      <c r="A53" s="40" t="s">
        <v>38</v>
      </c>
      <c r="B53" s="41"/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  <c r="AA53" s="41"/>
      <c r="AB53" s="41"/>
      <c r="AC53" s="41"/>
      <c r="AD53" s="41"/>
      <c r="AE53" s="41"/>
      <c r="AF53" s="41"/>
      <c r="AG53" s="41"/>
      <c r="AH53" s="41"/>
      <c r="AI53" s="41"/>
      <c r="AJ53" s="41"/>
      <c r="AK53" s="41"/>
      <c r="AL53" s="41"/>
      <c r="AM53" s="41"/>
      <c r="AN53" s="41"/>
      <c r="AO53" s="41"/>
      <c r="AP53" s="41"/>
      <c r="AQ53" s="41"/>
      <c r="AR53" s="41"/>
      <c r="AS53" s="41"/>
      <c r="AT53" s="41"/>
      <c r="AU53" s="41"/>
      <c r="AV53" s="41"/>
      <c r="AW53" s="41"/>
      <c r="AX53" s="42">
        <f t="shared" si="9"/>
        <v>0</v>
      </c>
    </row>
    <row r="54" spans="1:50" ht="17" customHeight="1" x14ac:dyDescent="0.2">
      <c r="A54" s="40" t="s">
        <v>39</v>
      </c>
      <c r="B54" s="41"/>
      <c r="C54" s="41"/>
      <c r="D54" s="41"/>
      <c r="E54" s="41"/>
      <c r="F54" s="41"/>
      <c r="G54" s="41"/>
      <c r="H54" s="42">
        <f>1800</f>
        <v>1800</v>
      </c>
      <c r="I54" s="42">
        <f>2925</f>
        <v>2925</v>
      </c>
      <c r="J54" s="41"/>
      <c r="K54" s="42">
        <f>3054.95</f>
        <v>3054.95</v>
      </c>
      <c r="L54" s="42">
        <f>3046.55</f>
        <v>3046.55</v>
      </c>
      <c r="M54" s="42">
        <f>3139.84</f>
        <v>3139.84</v>
      </c>
      <c r="N54" s="42">
        <f>2993.29</f>
        <v>2993.29</v>
      </c>
      <c r="O54" s="42">
        <f>3520.47</f>
        <v>3520.47</v>
      </c>
      <c r="P54" s="42">
        <f>2125</f>
        <v>2125</v>
      </c>
      <c r="Q54" s="42">
        <f>3176.45</f>
        <v>3176.45</v>
      </c>
      <c r="R54" s="42">
        <f>6312.6</f>
        <v>6312.6</v>
      </c>
      <c r="S54" s="42">
        <f>2925</f>
        <v>2925</v>
      </c>
      <c r="T54" s="42">
        <f>2990.01</f>
        <v>2990.01</v>
      </c>
      <c r="U54" s="42">
        <f>2925</f>
        <v>2925</v>
      </c>
      <c r="V54" s="42">
        <f>2925</f>
        <v>2925</v>
      </c>
      <c r="W54" s="42">
        <f>2925</f>
        <v>2925</v>
      </c>
      <c r="X54" s="42">
        <f>2925</f>
        <v>2925</v>
      </c>
      <c r="Y54" s="42">
        <f>2925</f>
        <v>2925</v>
      </c>
      <c r="Z54" s="42">
        <f>2925</f>
        <v>2925</v>
      </c>
      <c r="AA54" s="42">
        <f>2925</f>
        <v>2925</v>
      </c>
      <c r="AB54" s="42">
        <f>2925</f>
        <v>2925</v>
      </c>
      <c r="AC54" s="42">
        <f>2675</f>
        <v>2675</v>
      </c>
      <c r="AD54" s="42">
        <f>2975</f>
        <v>2975</v>
      </c>
      <c r="AE54" s="42">
        <f>2925</f>
        <v>2925</v>
      </c>
      <c r="AF54" s="42">
        <f>2925</f>
        <v>2925</v>
      </c>
      <c r="AG54" s="42">
        <f>2925</f>
        <v>2925</v>
      </c>
      <c r="AH54" s="42">
        <f>3126.5</f>
        <v>3126.5</v>
      </c>
      <c r="AI54" s="42">
        <f>3125</f>
        <v>3125</v>
      </c>
      <c r="AJ54" s="42">
        <f>3025</f>
        <v>3025</v>
      </c>
      <c r="AK54" s="42">
        <f>3025</f>
        <v>3025</v>
      </c>
      <c r="AL54" s="42">
        <f>3025</f>
        <v>3025</v>
      </c>
      <c r="AM54" s="42">
        <f>3025</f>
        <v>3025</v>
      </c>
      <c r="AN54" s="42">
        <f>3025</f>
        <v>3025</v>
      </c>
      <c r="AO54" s="42">
        <f>3025</f>
        <v>3025</v>
      </c>
      <c r="AP54" s="42">
        <f>6050</f>
        <v>6050</v>
      </c>
      <c r="AQ54" s="41"/>
      <c r="AR54" s="41"/>
      <c r="AS54" s="41"/>
      <c r="AT54" s="41"/>
      <c r="AU54" s="41"/>
      <c r="AV54" s="41"/>
      <c r="AW54" s="41"/>
      <c r="AX54" s="42">
        <f t="shared" si="9"/>
        <v>106285.66</v>
      </c>
    </row>
    <row r="55" spans="1:50" ht="17" customHeight="1" x14ac:dyDescent="0.2">
      <c r="A55" s="40" t="s">
        <v>40</v>
      </c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2">
        <f>96.29</f>
        <v>96.29</v>
      </c>
      <c r="N55" s="42">
        <f>96.29</f>
        <v>96.29</v>
      </c>
      <c r="O55" s="42">
        <f>96.55</f>
        <v>96.55</v>
      </c>
      <c r="P55" s="42">
        <f>555.18</f>
        <v>555.17999999999995</v>
      </c>
      <c r="Q55" s="42">
        <f>247.91</f>
        <v>247.91</v>
      </c>
      <c r="R55" s="42">
        <f>199.59</f>
        <v>199.59</v>
      </c>
      <c r="S55" s="42">
        <f>293.58</f>
        <v>293.58</v>
      </c>
      <c r="T55" s="42">
        <f>389.76</f>
        <v>389.76</v>
      </c>
      <c r="U55" s="42">
        <f>239.64</f>
        <v>239.64</v>
      </c>
      <c r="V55" s="42">
        <f>279.48</f>
        <v>279.48</v>
      </c>
      <c r="W55" s="42">
        <f>221.44</f>
        <v>221.44</v>
      </c>
      <c r="X55" s="42">
        <f>278.25</f>
        <v>278.25</v>
      </c>
      <c r="Y55" s="42">
        <f>370.14</f>
        <v>370.14</v>
      </c>
      <c r="Z55" s="42">
        <f>572.86</f>
        <v>572.86</v>
      </c>
      <c r="AA55" s="42">
        <f>669.38</f>
        <v>669.38</v>
      </c>
      <c r="AB55" s="42">
        <f>588.6</f>
        <v>588.6</v>
      </c>
      <c r="AC55" s="42">
        <f>524.41</f>
        <v>524.41</v>
      </c>
      <c r="AD55" s="42">
        <f>405.28</f>
        <v>405.28</v>
      </c>
      <c r="AE55" s="42">
        <f>329.43</f>
        <v>329.43</v>
      </c>
      <c r="AF55" s="42">
        <f>255.29</f>
        <v>255.29</v>
      </c>
      <c r="AG55" s="42">
        <f>311.42</f>
        <v>311.42</v>
      </c>
      <c r="AH55" s="42">
        <f>302.31</f>
        <v>302.31</v>
      </c>
      <c r="AI55" s="42">
        <f>368.04</f>
        <v>368.04</v>
      </c>
      <c r="AJ55" s="42">
        <f>273.66</f>
        <v>273.66000000000003</v>
      </c>
      <c r="AK55" s="42">
        <f>451.84</f>
        <v>451.84</v>
      </c>
      <c r="AL55" s="42">
        <f>649.92</f>
        <v>649.91999999999996</v>
      </c>
      <c r="AM55" s="42">
        <f>863.19</f>
        <v>863.19</v>
      </c>
      <c r="AN55" s="42">
        <f>774.55</f>
        <v>774.55</v>
      </c>
      <c r="AO55" s="42">
        <f>1249.84</f>
        <v>1249.8399999999999</v>
      </c>
      <c r="AP55" s="42">
        <f>1093.23</f>
        <v>1093.23</v>
      </c>
      <c r="AQ55" s="42">
        <f>157.72</f>
        <v>157.72</v>
      </c>
      <c r="AR55" s="42">
        <f>245.47</f>
        <v>245.47</v>
      </c>
      <c r="AS55" s="41"/>
      <c r="AT55" s="41"/>
      <c r="AU55" s="41"/>
      <c r="AV55" s="41"/>
      <c r="AW55" s="41"/>
      <c r="AX55" s="42">
        <f t="shared" si="9"/>
        <v>13450.539999999999</v>
      </c>
    </row>
    <row r="56" spans="1:50" ht="17" customHeight="1" x14ac:dyDescent="0.2">
      <c r="A56" s="40" t="s">
        <v>41</v>
      </c>
      <c r="B56" s="41"/>
      <c r="C56" s="41"/>
      <c r="D56" s="41"/>
      <c r="E56" s="41"/>
      <c r="F56" s="41"/>
      <c r="G56" s="41"/>
      <c r="H56" s="41"/>
      <c r="I56" s="41"/>
      <c r="J56" s="42">
        <f>597.32</f>
        <v>597.32000000000005</v>
      </c>
      <c r="K56" s="41"/>
      <c r="L56" s="42">
        <f>1907.7</f>
        <v>1907.7</v>
      </c>
      <c r="M56" s="42">
        <f>-0.62</f>
        <v>-0.62</v>
      </c>
      <c r="N56" s="42">
        <f>188</f>
        <v>188</v>
      </c>
      <c r="O56" s="42">
        <f>107.15</f>
        <v>107.15</v>
      </c>
      <c r="P56" s="42">
        <f>107.15</f>
        <v>107.15</v>
      </c>
      <c r="Q56" s="42">
        <f>107.15</f>
        <v>107.15</v>
      </c>
      <c r="R56" s="42">
        <f>91.59</f>
        <v>91.59</v>
      </c>
      <c r="S56" s="42">
        <f>26.79</f>
        <v>26.79</v>
      </c>
      <c r="T56" s="42">
        <f>26.79</f>
        <v>26.79</v>
      </c>
      <c r="U56" s="42">
        <f>26.79</f>
        <v>26.79</v>
      </c>
      <c r="V56" s="42">
        <f>26.79</f>
        <v>26.79</v>
      </c>
      <c r="W56" s="42">
        <f>196.79</f>
        <v>196.79</v>
      </c>
      <c r="X56" s="42">
        <f>685.5</f>
        <v>685.5</v>
      </c>
      <c r="Y56" s="42">
        <f>571.22</f>
        <v>571.22</v>
      </c>
      <c r="Z56" s="42">
        <f>225.59</f>
        <v>225.59</v>
      </c>
      <c r="AA56" s="42">
        <f>405.23</f>
        <v>405.23</v>
      </c>
      <c r="AB56" s="42">
        <f>757.14</f>
        <v>757.14</v>
      </c>
      <c r="AC56" s="42">
        <f>227.01</f>
        <v>227.01</v>
      </c>
      <c r="AD56" s="42">
        <f>773.55</f>
        <v>773.55</v>
      </c>
      <c r="AE56" s="42">
        <f>506.49</f>
        <v>506.49</v>
      </c>
      <c r="AF56" s="42">
        <f>511.86</f>
        <v>511.86</v>
      </c>
      <c r="AG56" s="42">
        <f>503.28</f>
        <v>503.28</v>
      </c>
      <c r="AH56" s="42">
        <f>503.28</f>
        <v>503.28</v>
      </c>
      <c r="AI56" s="42">
        <f>236.22</f>
        <v>236.22</v>
      </c>
      <c r="AJ56" s="42">
        <f>882.01</f>
        <v>882.01</v>
      </c>
      <c r="AK56" s="42">
        <f>5762.5</f>
        <v>5762.5</v>
      </c>
      <c r="AL56" s="42">
        <f>784.85</f>
        <v>784.85</v>
      </c>
      <c r="AM56" s="42">
        <f>362.89</f>
        <v>362.89</v>
      </c>
      <c r="AN56" s="42">
        <f>862.69</f>
        <v>862.69</v>
      </c>
      <c r="AO56" s="42">
        <f>946.32</f>
        <v>946.32</v>
      </c>
      <c r="AP56" s="42">
        <f>671.5</f>
        <v>671.5</v>
      </c>
      <c r="AQ56" s="42">
        <f>1038.97</f>
        <v>1038.97</v>
      </c>
      <c r="AR56" s="42">
        <f>816.39</f>
        <v>816.39</v>
      </c>
      <c r="AS56" s="42">
        <f>54.69</f>
        <v>54.69</v>
      </c>
      <c r="AT56" s="41"/>
      <c r="AU56" s="41"/>
      <c r="AV56" s="41"/>
      <c r="AW56" s="41"/>
      <c r="AX56" s="42">
        <f t="shared" si="9"/>
        <v>21498.569999999996</v>
      </c>
    </row>
    <row r="57" spans="1:50" ht="17" customHeight="1" x14ac:dyDescent="0.2">
      <c r="A57" s="40" t="s">
        <v>42</v>
      </c>
      <c r="B57" s="41"/>
      <c r="C57" s="41"/>
      <c r="D57" s="41"/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2">
        <f>37.81</f>
        <v>37.81</v>
      </c>
      <c r="Y57" s="42">
        <f>31.97</f>
        <v>31.97</v>
      </c>
      <c r="Z57" s="42">
        <f>329.09</f>
        <v>329.09</v>
      </c>
      <c r="AA57" s="42">
        <f>589.33</f>
        <v>589.33000000000004</v>
      </c>
      <c r="AB57" s="42">
        <f>922.07</f>
        <v>922.07</v>
      </c>
      <c r="AC57" s="42">
        <f>705.03</f>
        <v>705.03</v>
      </c>
      <c r="AD57" s="42">
        <f>814.31</f>
        <v>814.31</v>
      </c>
      <c r="AE57" s="42">
        <f>720.47</f>
        <v>720.47</v>
      </c>
      <c r="AF57" s="42">
        <f>608.65</f>
        <v>608.65</v>
      </c>
      <c r="AG57" s="42">
        <f>544.97</f>
        <v>544.97</v>
      </c>
      <c r="AH57" s="42">
        <f>223.05</f>
        <v>223.05</v>
      </c>
      <c r="AI57" s="42">
        <f>546.55</f>
        <v>546.54999999999995</v>
      </c>
      <c r="AJ57" s="42">
        <f>809.74</f>
        <v>809.74</v>
      </c>
      <c r="AK57" s="42">
        <f>919.17</f>
        <v>919.17</v>
      </c>
      <c r="AL57" s="42">
        <f>627.17</f>
        <v>627.16999999999996</v>
      </c>
      <c r="AM57" s="42">
        <f>1026.79</f>
        <v>1026.79</v>
      </c>
      <c r="AN57" s="42">
        <f>1172.46</f>
        <v>1172.46</v>
      </c>
      <c r="AO57" s="42">
        <f>1715.3</f>
        <v>1715.3</v>
      </c>
      <c r="AP57" s="42">
        <f>3246.94</f>
        <v>3246.94</v>
      </c>
      <c r="AQ57" s="41"/>
      <c r="AR57" s="41"/>
      <c r="AS57" s="41"/>
      <c r="AT57" s="41"/>
      <c r="AU57" s="41"/>
      <c r="AV57" s="41"/>
      <c r="AW57" s="41"/>
      <c r="AX57" s="42">
        <f t="shared" si="9"/>
        <v>15590.869999999997</v>
      </c>
    </row>
    <row r="58" spans="1:50" ht="17" customHeight="1" x14ac:dyDescent="0.2">
      <c r="A58" s="40" t="s">
        <v>75</v>
      </c>
      <c r="B58" s="41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  <c r="AA58" s="41"/>
      <c r="AB58" s="41"/>
      <c r="AC58" s="41"/>
      <c r="AD58" s="41"/>
      <c r="AE58" s="41"/>
      <c r="AF58" s="42">
        <f>392.56</f>
        <v>392.56</v>
      </c>
      <c r="AG58" s="41"/>
      <c r="AH58" s="41"/>
      <c r="AI58" s="41"/>
      <c r="AJ58" s="42">
        <f>99</f>
        <v>99</v>
      </c>
      <c r="AK58" s="41"/>
      <c r="AL58" s="41"/>
      <c r="AM58" s="41"/>
      <c r="AN58" s="41"/>
      <c r="AO58" s="42">
        <f>374.3</f>
        <v>374.3</v>
      </c>
      <c r="AP58" s="41"/>
      <c r="AQ58" s="41"/>
      <c r="AR58" s="41"/>
      <c r="AS58" s="41"/>
      <c r="AT58" s="41"/>
      <c r="AU58" s="41"/>
      <c r="AV58" s="41"/>
      <c r="AW58" s="41"/>
      <c r="AX58" s="42">
        <f t="shared" si="9"/>
        <v>865.86</v>
      </c>
    </row>
    <row r="59" spans="1:50" ht="17" customHeight="1" x14ac:dyDescent="0.2">
      <c r="A59" s="40" t="s">
        <v>154</v>
      </c>
      <c r="B59" s="41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2">
        <f>1297.92</f>
        <v>1297.92</v>
      </c>
      <c r="Z59" s="41"/>
      <c r="AA59" s="41"/>
      <c r="AB59" s="41"/>
      <c r="AC59" s="41"/>
      <c r="AD59" s="41"/>
      <c r="AE59" s="41"/>
      <c r="AF59" s="41"/>
      <c r="AG59" s="42">
        <f>500</f>
        <v>500</v>
      </c>
      <c r="AH59" s="41"/>
      <c r="AI59" s="41"/>
      <c r="AJ59" s="41"/>
      <c r="AK59" s="41"/>
      <c r="AL59" s="41"/>
      <c r="AM59" s="41"/>
      <c r="AN59" s="41"/>
      <c r="AO59" s="41"/>
      <c r="AP59" s="41"/>
      <c r="AQ59" s="41"/>
      <c r="AR59" s="41"/>
      <c r="AS59" s="41"/>
      <c r="AT59" s="41"/>
      <c r="AU59" s="41"/>
      <c r="AV59" s="41"/>
      <c r="AW59" s="41"/>
      <c r="AX59" s="42">
        <f t="shared" si="9"/>
        <v>1797.92</v>
      </c>
    </row>
    <row r="60" spans="1:50" ht="17" customHeight="1" x14ac:dyDescent="0.2">
      <c r="A60" s="40" t="s">
        <v>43</v>
      </c>
      <c r="B60" s="41"/>
      <c r="C60" s="41"/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  <c r="AA60" s="41"/>
      <c r="AB60" s="41"/>
      <c r="AC60" s="41"/>
      <c r="AD60" s="41"/>
      <c r="AE60" s="41"/>
      <c r="AF60" s="41"/>
      <c r="AG60" s="41"/>
      <c r="AH60" s="41"/>
      <c r="AI60" s="41"/>
      <c r="AJ60" s="41"/>
      <c r="AK60" s="41"/>
      <c r="AL60" s="41"/>
      <c r="AM60" s="41"/>
      <c r="AN60" s="41"/>
      <c r="AO60" s="41"/>
      <c r="AP60" s="41"/>
      <c r="AQ60" s="41"/>
      <c r="AR60" s="41"/>
      <c r="AS60" s="41"/>
      <c r="AT60" s="41"/>
      <c r="AU60" s="41"/>
      <c r="AV60" s="41"/>
      <c r="AW60" s="41"/>
      <c r="AX60" s="42">
        <f t="shared" ref="AX60:AX91" si="15">(((((((((((((((((((((((((((((((((((((((((((((((B60)+(C60))+(D60))+(E60))+(F60))+(G60))+(H60))+(I60))+(J60))+(K60))+(L60))+(M60))+(N60))+(O60))+(P60))+(Q60))+(R60))+(S60))+(T60))+(U60))+(V60))+(W60))+(X60))+(Y60))+(Z60))+(AA60))+(AB60))+(AC60))+(AD60))+(AE60))+(AF60))+(AG60))+(AH60))+(AI60))+(AJ60))+(AK60))+(AL60))+(AM60))+(AN60))+(AO60))+(AP60))+(AQ60))+(AR60))+(AS60))+(AT60))+(AU60))+(AV60))+(AW60)</f>
        <v>0</v>
      </c>
    </row>
    <row r="61" spans="1:50" ht="17" customHeight="1" x14ac:dyDescent="0.2">
      <c r="A61" s="40" t="s">
        <v>44</v>
      </c>
      <c r="B61" s="41"/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  <c r="Z61" s="42">
        <f>563.92</f>
        <v>563.91999999999996</v>
      </c>
      <c r="AA61" s="41"/>
      <c r="AB61" s="41"/>
      <c r="AC61" s="41"/>
      <c r="AD61" s="42">
        <f>1041.01</f>
        <v>1041.01</v>
      </c>
      <c r="AE61" s="41"/>
      <c r="AF61" s="41"/>
      <c r="AG61" s="41"/>
      <c r="AH61" s="41"/>
      <c r="AI61" s="41"/>
      <c r="AJ61" s="41"/>
      <c r="AK61" s="41"/>
      <c r="AL61" s="42">
        <f>2384.27</f>
        <v>2384.27</v>
      </c>
      <c r="AM61" s="41"/>
      <c r="AN61" s="41"/>
      <c r="AO61" s="41"/>
      <c r="AP61" s="41"/>
      <c r="AQ61" s="41"/>
      <c r="AR61" s="41"/>
      <c r="AS61" s="41"/>
      <c r="AT61" s="41"/>
      <c r="AU61" s="41"/>
      <c r="AV61" s="41"/>
      <c r="AW61" s="41"/>
      <c r="AX61" s="42">
        <f t="shared" si="15"/>
        <v>3989.2</v>
      </c>
    </row>
    <row r="62" spans="1:50" ht="17" customHeight="1" x14ac:dyDescent="0.2">
      <c r="A62" s="40" t="s">
        <v>45</v>
      </c>
      <c r="B62" s="41"/>
      <c r="C62" s="41"/>
      <c r="D62" s="41"/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  <c r="AC62" s="41"/>
      <c r="AD62" s="41"/>
      <c r="AE62" s="41"/>
      <c r="AF62" s="42">
        <f>91.63</f>
        <v>91.63</v>
      </c>
      <c r="AG62" s="41"/>
      <c r="AH62" s="42">
        <f>32.74</f>
        <v>32.74</v>
      </c>
      <c r="AI62" s="41"/>
      <c r="AJ62" s="41"/>
      <c r="AK62" s="41"/>
      <c r="AL62" s="42">
        <f>1722.49</f>
        <v>1722.49</v>
      </c>
      <c r="AM62" s="41"/>
      <c r="AN62" s="41"/>
      <c r="AO62" s="41"/>
      <c r="AP62" s="41"/>
      <c r="AQ62" s="41"/>
      <c r="AR62" s="41"/>
      <c r="AS62" s="41"/>
      <c r="AT62" s="41"/>
      <c r="AU62" s="41"/>
      <c r="AV62" s="41"/>
      <c r="AW62" s="41"/>
      <c r="AX62" s="42">
        <f t="shared" si="15"/>
        <v>1846.8600000000001</v>
      </c>
    </row>
    <row r="63" spans="1:50" ht="17" customHeight="1" x14ac:dyDescent="0.2">
      <c r="A63" s="40" t="s">
        <v>46</v>
      </c>
      <c r="B63" s="41"/>
      <c r="C63" s="41"/>
      <c r="D63" s="41"/>
      <c r="E63" s="41"/>
      <c r="F63" s="41"/>
      <c r="G63" s="41"/>
      <c r="H63" s="41"/>
      <c r="I63" s="42">
        <f>15</f>
        <v>15</v>
      </c>
      <c r="J63" s="41"/>
      <c r="K63" s="41"/>
      <c r="L63" s="41"/>
      <c r="M63" s="41"/>
      <c r="N63" s="41"/>
      <c r="O63" s="41"/>
      <c r="P63" s="41"/>
      <c r="Q63" s="42">
        <f>1027</f>
        <v>1027</v>
      </c>
      <c r="R63" s="42">
        <f>25.73</f>
        <v>25.73</v>
      </c>
      <c r="S63" s="41"/>
      <c r="T63" s="41"/>
      <c r="U63" s="41"/>
      <c r="V63" s="41"/>
      <c r="W63" s="41"/>
      <c r="X63" s="41"/>
      <c r="Y63" s="41"/>
      <c r="Z63" s="42">
        <f>29.78</f>
        <v>29.78</v>
      </c>
      <c r="AA63" s="41"/>
      <c r="AB63" s="41"/>
      <c r="AC63" s="41"/>
      <c r="AD63" s="41"/>
      <c r="AE63" s="41"/>
      <c r="AF63" s="42">
        <f>107.23</f>
        <v>107.23</v>
      </c>
      <c r="AG63" s="41"/>
      <c r="AH63" s="41"/>
      <c r="AI63" s="41"/>
      <c r="AJ63" s="41"/>
      <c r="AK63" s="42">
        <f>10</f>
        <v>10</v>
      </c>
      <c r="AL63" s="42">
        <f>103</f>
        <v>103</v>
      </c>
      <c r="AM63" s="41"/>
      <c r="AN63" s="41"/>
      <c r="AO63" s="41"/>
      <c r="AP63" s="41"/>
      <c r="AQ63" s="41"/>
      <c r="AR63" s="41"/>
      <c r="AS63" s="41"/>
      <c r="AT63" s="41"/>
      <c r="AU63" s="41"/>
      <c r="AV63" s="41"/>
      <c r="AW63" s="41"/>
      <c r="AX63" s="42">
        <f t="shared" si="15"/>
        <v>1317.74</v>
      </c>
    </row>
    <row r="64" spans="1:50" ht="17" customHeight="1" x14ac:dyDescent="0.2">
      <c r="A64" s="40" t="s">
        <v>47</v>
      </c>
      <c r="B64" s="48">
        <f t="shared" ref="B64:AW64" si="16">(((B60)+(B61))+(B62))+(B63)</f>
        <v>0</v>
      </c>
      <c r="C64" s="48">
        <f t="shared" si="16"/>
        <v>0</v>
      </c>
      <c r="D64" s="48">
        <f t="shared" si="16"/>
        <v>0</v>
      </c>
      <c r="E64" s="48">
        <f t="shared" si="16"/>
        <v>0</v>
      </c>
      <c r="F64" s="48">
        <f t="shared" si="16"/>
        <v>0</v>
      </c>
      <c r="G64" s="48">
        <f t="shared" si="16"/>
        <v>0</v>
      </c>
      <c r="H64" s="48">
        <f t="shared" si="16"/>
        <v>0</v>
      </c>
      <c r="I64" s="48">
        <f t="shared" si="16"/>
        <v>15</v>
      </c>
      <c r="J64" s="48">
        <f t="shared" si="16"/>
        <v>0</v>
      </c>
      <c r="K64" s="48">
        <f t="shared" si="16"/>
        <v>0</v>
      </c>
      <c r="L64" s="48">
        <f t="shared" si="16"/>
        <v>0</v>
      </c>
      <c r="M64" s="48">
        <f t="shared" si="16"/>
        <v>0</v>
      </c>
      <c r="N64" s="48">
        <f t="shared" si="16"/>
        <v>0</v>
      </c>
      <c r="O64" s="48">
        <f t="shared" si="16"/>
        <v>0</v>
      </c>
      <c r="P64" s="48">
        <f t="shared" si="16"/>
        <v>0</v>
      </c>
      <c r="Q64" s="48">
        <f t="shared" si="16"/>
        <v>1027</v>
      </c>
      <c r="R64" s="48">
        <f t="shared" si="16"/>
        <v>25.73</v>
      </c>
      <c r="S64" s="48">
        <f t="shared" si="16"/>
        <v>0</v>
      </c>
      <c r="T64" s="48">
        <f t="shared" si="16"/>
        <v>0</v>
      </c>
      <c r="U64" s="48">
        <f t="shared" si="16"/>
        <v>0</v>
      </c>
      <c r="V64" s="48">
        <f t="shared" si="16"/>
        <v>0</v>
      </c>
      <c r="W64" s="48">
        <f t="shared" si="16"/>
        <v>0</v>
      </c>
      <c r="X64" s="48">
        <f t="shared" si="16"/>
        <v>0</v>
      </c>
      <c r="Y64" s="48">
        <f t="shared" si="16"/>
        <v>0</v>
      </c>
      <c r="Z64" s="48">
        <f t="shared" si="16"/>
        <v>593.69999999999993</v>
      </c>
      <c r="AA64" s="48">
        <f t="shared" si="16"/>
        <v>0</v>
      </c>
      <c r="AB64" s="48">
        <f t="shared" si="16"/>
        <v>0</v>
      </c>
      <c r="AC64" s="48">
        <f t="shared" si="16"/>
        <v>0</v>
      </c>
      <c r="AD64" s="48">
        <f t="shared" si="16"/>
        <v>1041.01</v>
      </c>
      <c r="AE64" s="48">
        <f t="shared" si="16"/>
        <v>0</v>
      </c>
      <c r="AF64" s="48">
        <f t="shared" si="16"/>
        <v>198.86</v>
      </c>
      <c r="AG64" s="48">
        <f t="shared" si="16"/>
        <v>0</v>
      </c>
      <c r="AH64" s="48">
        <f t="shared" si="16"/>
        <v>32.74</v>
      </c>
      <c r="AI64" s="48">
        <f t="shared" si="16"/>
        <v>0</v>
      </c>
      <c r="AJ64" s="48">
        <f t="shared" si="16"/>
        <v>0</v>
      </c>
      <c r="AK64" s="48">
        <f t="shared" si="16"/>
        <v>10</v>
      </c>
      <c r="AL64" s="48">
        <f t="shared" si="16"/>
        <v>4209.76</v>
      </c>
      <c r="AM64" s="48">
        <f t="shared" si="16"/>
        <v>0</v>
      </c>
      <c r="AN64" s="48">
        <f t="shared" si="16"/>
        <v>0</v>
      </c>
      <c r="AO64" s="48">
        <f t="shared" si="16"/>
        <v>0</v>
      </c>
      <c r="AP64" s="48">
        <f t="shared" si="16"/>
        <v>0</v>
      </c>
      <c r="AQ64" s="48">
        <f t="shared" si="16"/>
        <v>0</v>
      </c>
      <c r="AR64" s="48">
        <f t="shared" si="16"/>
        <v>0</v>
      </c>
      <c r="AS64" s="48">
        <f t="shared" si="16"/>
        <v>0</v>
      </c>
      <c r="AT64" s="48">
        <f t="shared" si="16"/>
        <v>0</v>
      </c>
      <c r="AU64" s="48">
        <f t="shared" si="16"/>
        <v>0</v>
      </c>
      <c r="AV64" s="48">
        <f t="shared" si="16"/>
        <v>0</v>
      </c>
      <c r="AW64" s="48">
        <f t="shared" si="16"/>
        <v>0</v>
      </c>
      <c r="AX64" s="48">
        <f t="shared" si="15"/>
        <v>7153.7999999999993</v>
      </c>
    </row>
    <row r="65" spans="1:50" ht="17" customHeight="1" x14ac:dyDescent="0.2">
      <c r="A65" s="40" t="s">
        <v>48</v>
      </c>
      <c r="B65" s="41"/>
      <c r="C65" s="41"/>
      <c r="D65" s="41"/>
      <c r="E65" s="41"/>
      <c r="F65" s="41"/>
      <c r="G65" s="41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  <c r="AA65" s="41"/>
      <c r="AB65" s="41"/>
      <c r="AC65" s="41"/>
      <c r="AD65" s="41"/>
      <c r="AE65" s="41"/>
      <c r="AF65" s="41"/>
      <c r="AG65" s="41"/>
      <c r="AH65" s="41"/>
      <c r="AI65" s="41"/>
      <c r="AJ65" s="41"/>
      <c r="AK65" s="41"/>
      <c r="AL65" s="41"/>
      <c r="AM65" s="41"/>
      <c r="AN65" s="41"/>
      <c r="AO65" s="41"/>
      <c r="AP65" s="41"/>
      <c r="AQ65" s="41"/>
      <c r="AR65" s="41"/>
      <c r="AS65" s="41"/>
      <c r="AT65" s="41"/>
      <c r="AU65" s="41"/>
      <c r="AV65" s="41"/>
      <c r="AW65" s="41"/>
      <c r="AX65" s="42">
        <f t="shared" si="15"/>
        <v>0</v>
      </c>
    </row>
    <row r="66" spans="1:50" ht="17" customHeight="1" x14ac:dyDescent="0.2">
      <c r="A66" s="40" t="s">
        <v>49</v>
      </c>
      <c r="B66" s="41"/>
      <c r="C66" s="41"/>
      <c r="D66" s="41"/>
      <c r="E66" s="41"/>
      <c r="F66" s="41"/>
      <c r="G66" s="41"/>
      <c r="H66" s="41"/>
      <c r="I66" s="41"/>
      <c r="J66" s="41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  <c r="AA66" s="41"/>
      <c r="AB66" s="41"/>
      <c r="AC66" s="41"/>
      <c r="AD66" s="41"/>
      <c r="AE66" s="41"/>
      <c r="AF66" s="41"/>
      <c r="AG66" s="41"/>
      <c r="AH66" s="41"/>
      <c r="AI66" s="41"/>
      <c r="AJ66" s="41"/>
      <c r="AK66" s="41"/>
      <c r="AL66" s="42">
        <f>656.82</f>
        <v>656.82</v>
      </c>
      <c r="AM66" s="41"/>
      <c r="AN66" s="41"/>
      <c r="AO66" s="41"/>
      <c r="AP66" s="41"/>
      <c r="AQ66" s="41"/>
      <c r="AR66" s="41"/>
      <c r="AS66" s="41"/>
      <c r="AT66" s="41"/>
      <c r="AU66" s="41"/>
      <c r="AV66" s="41"/>
      <c r="AW66" s="41"/>
      <c r="AX66" s="42">
        <f t="shared" si="15"/>
        <v>656.82</v>
      </c>
    </row>
    <row r="67" spans="1:50" ht="17" customHeight="1" x14ac:dyDescent="0.2">
      <c r="A67" s="40" t="s">
        <v>50</v>
      </c>
      <c r="B67" s="41"/>
      <c r="C67" s="41"/>
      <c r="D67" s="41"/>
      <c r="E67" s="41"/>
      <c r="F67" s="41"/>
      <c r="G67" s="41"/>
      <c r="H67" s="41"/>
      <c r="I67" s="41"/>
      <c r="J67" s="41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2">
        <f>16.56</f>
        <v>16.559999999999999</v>
      </c>
      <c r="X67" s="41"/>
      <c r="Y67" s="41"/>
      <c r="Z67" s="42">
        <f>1196.69</f>
        <v>1196.69</v>
      </c>
      <c r="AA67" s="42">
        <f>1684.22</f>
        <v>1684.22</v>
      </c>
      <c r="AB67" s="42">
        <f>1625.58</f>
        <v>1625.58</v>
      </c>
      <c r="AC67" s="42">
        <f>1496.39</f>
        <v>1496.39</v>
      </c>
      <c r="AD67" s="42">
        <f>1825.74</f>
        <v>1825.74</v>
      </c>
      <c r="AE67" s="42">
        <f>3739.19</f>
        <v>3739.19</v>
      </c>
      <c r="AF67" s="42">
        <f>1841.95</f>
        <v>1841.95</v>
      </c>
      <c r="AG67" s="42">
        <f>1681.23</f>
        <v>1681.23</v>
      </c>
      <c r="AH67" s="42">
        <f>2025.19</f>
        <v>2025.19</v>
      </c>
      <c r="AI67" s="42">
        <f>1349.31</f>
        <v>1349.31</v>
      </c>
      <c r="AJ67" s="42">
        <f>1923.36</f>
        <v>1923.36</v>
      </c>
      <c r="AK67" s="42">
        <f>1653.92</f>
        <v>1653.92</v>
      </c>
      <c r="AL67" s="42">
        <f>1708.47</f>
        <v>1708.47</v>
      </c>
      <c r="AM67" s="42">
        <f>1906.88</f>
        <v>1906.88</v>
      </c>
      <c r="AN67" s="42">
        <f>1734.59</f>
        <v>1734.59</v>
      </c>
      <c r="AO67" s="42">
        <f>1263.74</f>
        <v>1263.74</v>
      </c>
      <c r="AP67" s="42">
        <f>2070.02</f>
        <v>2070.02</v>
      </c>
      <c r="AQ67" s="42">
        <f>1920.24</f>
        <v>1920.24</v>
      </c>
      <c r="AR67" s="42">
        <f>1186.61</f>
        <v>1186.6099999999999</v>
      </c>
      <c r="AS67" s="42">
        <f>595.75</f>
        <v>595.75</v>
      </c>
      <c r="AT67" s="41"/>
      <c r="AU67" s="41"/>
      <c r="AV67" s="41"/>
      <c r="AW67" s="41"/>
      <c r="AX67" s="42">
        <f t="shared" si="15"/>
        <v>34445.630000000005</v>
      </c>
    </row>
    <row r="68" spans="1:50" ht="17" customHeight="1" x14ac:dyDescent="0.2">
      <c r="A68" s="40" t="s">
        <v>78</v>
      </c>
      <c r="B68" s="41"/>
      <c r="C68" s="41"/>
      <c r="D68" s="41"/>
      <c r="E68" s="41"/>
      <c r="F68" s="41"/>
      <c r="G68" s="41"/>
      <c r="H68" s="41"/>
      <c r="I68" s="41"/>
      <c r="J68" s="41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/>
      <c r="AA68" s="41"/>
      <c r="AB68" s="41"/>
      <c r="AC68" s="41"/>
      <c r="AD68" s="41"/>
      <c r="AE68" s="41"/>
      <c r="AF68" s="42">
        <f>3123</f>
        <v>3123</v>
      </c>
      <c r="AG68" s="41"/>
      <c r="AH68" s="41"/>
      <c r="AI68" s="41"/>
      <c r="AJ68" s="41"/>
      <c r="AK68" s="41"/>
      <c r="AL68" s="41"/>
      <c r="AM68" s="41"/>
      <c r="AN68" s="41"/>
      <c r="AO68" s="41"/>
      <c r="AP68" s="42">
        <f>813</f>
        <v>813</v>
      </c>
      <c r="AQ68" s="41"/>
      <c r="AR68" s="41"/>
      <c r="AS68" s="41"/>
      <c r="AT68" s="41"/>
      <c r="AU68" s="41"/>
      <c r="AV68" s="41"/>
      <c r="AW68" s="41"/>
      <c r="AX68" s="42">
        <f t="shared" si="15"/>
        <v>3936</v>
      </c>
    </row>
    <row r="69" spans="1:50" ht="17" customHeight="1" x14ac:dyDescent="0.2">
      <c r="A69" s="40" t="s">
        <v>51</v>
      </c>
      <c r="B69" s="41"/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  <c r="Z69" s="41"/>
      <c r="AA69" s="41"/>
      <c r="AB69" s="41"/>
      <c r="AC69" s="42">
        <f>260.73</f>
        <v>260.73</v>
      </c>
      <c r="AD69" s="42">
        <f>1398.4</f>
        <v>1398.4</v>
      </c>
      <c r="AE69" s="42">
        <f>126.52</f>
        <v>126.52</v>
      </c>
      <c r="AF69" s="42">
        <f>73.48</f>
        <v>73.48</v>
      </c>
      <c r="AG69" s="42">
        <f>1587.99</f>
        <v>1587.99</v>
      </c>
      <c r="AH69" s="42">
        <f>798.03</f>
        <v>798.03</v>
      </c>
      <c r="AI69" s="42">
        <f>388.97</f>
        <v>388.97</v>
      </c>
      <c r="AJ69" s="42">
        <f>1282.12</f>
        <v>1282.1199999999999</v>
      </c>
      <c r="AK69" s="42">
        <f>953.82</f>
        <v>953.82</v>
      </c>
      <c r="AL69" s="42">
        <f>197.29</f>
        <v>197.29</v>
      </c>
      <c r="AM69" s="42">
        <f>23.75</f>
        <v>23.75</v>
      </c>
      <c r="AN69" s="42">
        <f>213.61</f>
        <v>213.61</v>
      </c>
      <c r="AO69" s="42">
        <f>774.56</f>
        <v>774.56</v>
      </c>
      <c r="AP69" s="42">
        <f>314.82</f>
        <v>314.82</v>
      </c>
      <c r="AQ69" s="42">
        <f>13.93</f>
        <v>13.93</v>
      </c>
      <c r="AR69" s="42">
        <f>244.42</f>
        <v>244.42</v>
      </c>
      <c r="AS69" s="41"/>
      <c r="AT69" s="41"/>
      <c r="AU69" s="41"/>
      <c r="AV69" s="41"/>
      <c r="AW69" s="41"/>
      <c r="AX69" s="42">
        <f t="shared" si="15"/>
        <v>8652.4399999999987</v>
      </c>
    </row>
    <row r="70" spans="1:50" ht="17" customHeight="1" x14ac:dyDescent="0.2">
      <c r="A70" s="40" t="s">
        <v>153</v>
      </c>
      <c r="B70" s="41"/>
      <c r="C70" s="41"/>
      <c r="D70" s="41"/>
      <c r="E70" s="41"/>
      <c r="F70" s="41"/>
      <c r="G70" s="41"/>
      <c r="H70" s="41"/>
      <c r="I70" s="42">
        <f>6.17</f>
        <v>6.17</v>
      </c>
      <c r="J70" s="42">
        <f>524.59</f>
        <v>524.59</v>
      </c>
      <c r="K70" s="42">
        <f>526.04</f>
        <v>526.04</v>
      </c>
      <c r="L70" s="42">
        <f>401.59</f>
        <v>401.59</v>
      </c>
      <c r="M70" s="42">
        <f>637.63</f>
        <v>637.63</v>
      </c>
      <c r="N70" s="42">
        <f>538.83</f>
        <v>538.83000000000004</v>
      </c>
      <c r="O70" s="42">
        <f>1084.62</f>
        <v>1084.6199999999999</v>
      </c>
      <c r="P70" s="42">
        <f>739.96</f>
        <v>739.96</v>
      </c>
      <c r="Q70" s="42">
        <f>1471.32</f>
        <v>1471.32</v>
      </c>
      <c r="R70" s="42">
        <f>664.23</f>
        <v>664.23</v>
      </c>
      <c r="S70" s="42">
        <f>1318.3</f>
        <v>1318.3</v>
      </c>
      <c r="T70" s="42">
        <f>1043.58</f>
        <v>1043.58</v>
      </c>
      <c r="U70" s="42">
        <f>1450.9</f>
        <v>1450.9</v>
      </c>
      <c r="V70" s="42">
        <f>1246.37</f>
        <v>1246.3699999999999</v>
      </c>
      <c r="W70" s="42">
        <f>990.09</f>
        <v>990.09</v>
      </c>
      <c r="X70" s="42">
        <f>754.11</f>
        <v>754.11</v>
      </c>
      <c r="Y70" s="42">
        <f>1731.33</f>
        <v>1731.33</v>
      </c>
      <c r="Z70" s="41"/>
      <c r="AA70" s="41"/>
      <c r="AB70" s="41"/>
      <c r="AC70" s="41"/>
      <c r="AD70" s="41"/>
      <c r="AE70" s="41"/>
      <c r="AF70" s="41"/>
      <c r="AG70" s="41"/>
      <c r="AH70" s="41"/>
      <c r="AI70" s="41"/>
      <c r="AJ70" s="41"/>
      <c r="AK70" s="41"/>
      <c r="AL70" s="41"/>
      <c r="AM70" s="41"/>
      <c r="AN70" s="41"/>
      <c r="AO70" s="41"/>
      <c r="AP70" s="41"/>
      <c r="AQ70" s="41"/>
      <c r="AR70" s="41"/>
      <c r="AS70" s="41"/>
      <c r="AT70" s="41"/>
      <c r="AU70" s="41"/>
      <c r="AV70" s="41"/>
      <c r="AW70" s="41"/>
      <c r="AX70" s="42">
        <f t="shared" si="15"/>
        <v>15129.660000000002</v>
      </c>
    </row>
    <row r="71" spans="1:50" ht="17" customHeight="1" x14ac:dyDescent="0.2">
      <c r="A71" s="40" t="s">
        <v>52</v>
      </c>
      <c r="B71" s="48">
        <f t="shared" ref="B71:AW71" si="17">(((((B65)+(B66))+(B67))+(B68))+(B69))+(B70)</f>
        <v>0</v>
      </c>
      <c r="C71" s="48">
        <f t="shared" si="17"/>
        <v>0</v>
      </c>
      <c r="D71" s="48">
        <f t="shared" si="17"/>
        <v>0</v>
      </c>
      <c r="E71" s="48">
        <f t="shared" si="17"/>
        <v>0</v>
      </c>
      <c r="F71" s="48">
        <f t="shared" si="17"/>
        <v>0</v>
      </c>
      <c r="G71" s="48">
        <f t="shared" si="17"/>
        <v>0</v>
      </c>
      <c r="H71" s="48">
        <f t="shared" si="17"/>
        <v>0</v>
      </c>
      <c r="I71" s="48">
        <f t="shared" si="17"/>
        <v>6.17</v>
      </c>
      <c r="J71" s="48">
        <f t="shared" si="17"/>
        <v>524.59</v>
      </c>
      <c r="K71" s="48">
        <f t="shared" si="17"/>
        <v>526.04</v>
      </c>
      <c r="L71" s="48">
        <f t="shared" si="17"/>
        <v>401.59</v>
      </c>
      <c r="M71" s="48">
        <f t="shared" si="17"/>
        <v>637.63</v>
      </c>
      <c r="N71" s="48">
        <f t="shared" si="17"/>
        <v>538.83000000000004</v>
      </c>
      <c r="O71" s="48">
        <f t="shared" si="17"/>
        <v>1084.6199999999999</v>
      </c>
      <c r="P71" s="48">
        <f t="shared" si="17"/>
        <v>739.96</v>
      </c>
      <c r="Q71" s="48">
        <f t="shared" si="17"/>
        <v>1471.32</v>
      </c>
      <c r="R71" s="48">
        <f t="shared" si="17"/>
        <v>664.23</v>
      </c>
      <c r="S71" s="48">
        <f t="shared" si="17"/>
        <v>1318.3</v>
      </c>
      <c r="T71" s="48">
        <f t="shared" si="17"/>
        <v>1043.58</v>
      </c>
      <c r="U71" s="48">
        <f t="shared" si="17"/>
        <v>1450.9</v>
      </c>
      <c r="V71" s="48">
        <f t="shared" si="17"/>
        <v>1246.3699999999999</v>
      </c>
      <c r="W71" s="48">
        <f t="shared" si="17"/>
        <v>1006.65</v>
      </c>
      <c r="X71" s="48">
        <f t="shared" si="17"/>
        <v>754.11</v>
      </c>
      <c r="Y71" s="48">
        <f t="shared" si="17"/>
        <v>1731.33</v>
      </c>
      <c r="Z71" s="48">
        <f t="shared" si="17"/>
        <v>1196.69</v>
      </c>
      <c r="AA71" s="48">
        <f t="shared" si="17"/>
        <v>1684.22</v>
      </c>
      <c r="AB71" s="48">
        <f t="shared" si="17"/>
        <v>1625.58</v>
      </c>
      <c r="AC71" s="48">
        <f t="shared" si="17"/>
        <v>1757.1200000000001</v>
      </c>
      <c r="AD71" s="48">
        <f t="shared" si="17"/>
        <v>3224.1400000000003</v>
      </c>
      <c r="AE71" s="48">
        <f t="shared" si="17"/>
        <v>3865.71</v>
      </c>
      <c r="AF71" s="48">
        <f t="shared" si="17"/>
        <v>5038.4299999999994</v>
      </c>
      <c r="AG71" s="48">
        <f t="shared" si="17"/>
        <v>3269.2200000000003</v>
      </c>
      <c r="AH71" s="48">
        <f t="shared" si="17"/>
        <v>2823.2200000000003</v>
      </c>
      <c r="AI71" s="48">
        <f t="shared" si="17"/>
        <v>1738.28</v>
      </c>
      <c r="AJ71" s="48">
        <f t="shared" si="17"/>
        <v>3205.4799999999996</v>
      </c>
      <c r="AK71" s="48">
        <f t="shared" si="17"/>
        <v>2607.7400000000002</v>
      </c>
      <c r="AL71" s="48">
        <f t="shared" si="17"/>
        <v>2562.58</v>
      </c>
      <c r="AM71" s="48">
        <f t="shared" si="17"/>
        <v>1930.63</v>
      </c>
      <c r="AN71" s="48">
        <f t="shared" si="17"/>
        <v>1948.1999999999998</v>
      </c>
      <c r="AO71" s="48">
        <f t="shared" si="17"/>
        <v>2038.3</v>
      </c>
      <c r="AP71" s="48">
        <f t="shared" si="17"/>
        <v>3197.84</v>
      </c>
      <c r="AQ71" s="48">
        <f t="shared" si="17"/>
        <v>1934.17</v>
      </c>
      <c r="AR71" s="48">
        <f t="shared" si="17"/>
        <v>1431.03</v>
      </c>
      <c r="AS71" s="48">
        <f t="shared" si="17"/>
        <v>595.75</v>
      </c>
      <c r="AT71" s="48">
        <f t="shared" si="17"/>
        <v>0</v>
      </c>
      <c r="AU71" s="48">
        <f t="shared" si="17"/>
        <v>0</v>
      </c>
      <c r="AV71" s="48">
        <f t="shared" si="17"/>
        <v>0</v>
      </c>
      <c r="AW71" s="48">
        <f t="shared" si="17"/>
        <v>0</v>
      </c>
      <c r="AX71" s="48">
        <f t="shared" si="15"/>
        <v>62820.549999999988</v>
      </c>
    </row>
    <row r="72" spans="1:50" ht="17" customHeight="1" x14ac:dyDescent="0.2">
      <c r="A72" s="40" t="s">
        <v>152</v>
      </c>
      <c r="B72" s="41"/>
      <c r="C72" s="41"/>
      <c r="D72" s="41"/>
      <c r="E72" s="41"/>
      <c r="F72" s="41"/>
      <c r="G72" s="41"/>
      <c r="H72" s="41"/>
      <c r="I72" s="41"/>
      <c r="J72" s="41"/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41"/>
      <c r="Z72" s="41"/>
      <c r="AA72" s="41"/>
      <c r="AB72" s="41"/>
      <c r="AC72" s="41"/>
      <c r="AD72" s="41"/>
      <c r="AE72" s="41"/>
      <c r="AF72" s="41"/>
      <c r="AG72" s="41"/>
      <c r="AH72" s="42">
        <f>8.95</f>
        <v>8.9499999999999993</v>
      </c>
      <c r="AI72" s="41"/>
      <c r="AJ72" s="41"/>
      <c r="AK72" s="41"/>
      <c r="AL72" s="41"/>
      <c r="AM72" s="41"/>
      <c r="AN72" s="41"/>
      <c r="AO72" s="41"/>
      <c r="AP72" s="41"/>
      <c r="AQ72" s="41"/>
      <c r="AR72" s="41"/>
      <c r="AS72" s="41"/>
      <c r="AT72" s="41"/>
      <c r="AU72" s="41"/>
      <c r="AV72" s="41"/>
      <c r="AW72" s="41"/>
      <c r="AX72" s="42">
        <f t="shared" si="15"/>
        <v>8.9499999999999993</v>
      </c>
    </row>
    <row r="73" spans="1:50" ht="17" customHeight="1" x14ac:dyDescent="0.2">
      <c r="A73" s="40" t="s">
        <v>69</v>
      </c>
      <c r="B73" s="41"/>
      <c r="C73" s="41"/>
      <c r="D73" s="41"/>
      <c r="E73" s="41"/>
      <c r="F73" s="41"/>
      <c r="G73" s="41"/>
      <c r="H73" s="41"/>
      <c r="I73" s="42">
        <f>20.13</f>
        <v>20.13</v>
      </c>
      <c r="J73" s="41"/>
      <c r="K73" s="41"/>
      <c r="L73" s="41"/>
      <c r="M73" s="41"/>
      <c r="N73" s="42">
        <f>5.11</f>
        <v>5.1100000000000003</v>
      </c>
      <c r="O73" s="41"/>
      <c r="P73" s="42">
        <f>0</f>
        <v>0</v>
      </c>
      <c r="Q73" s="41"/>
      <c r="R73" s="41"/>
      <c r="S73" s="41"/>
      <c r="T73" s="41"/>
      <c r="U73" s="41"/>
      <c r="V73" s="41"/>
      <c r="W73" s="42">
        <f>25</f>
        <v>25</v>
      </c>
      <c r="X73" s="41"/>
      <c r="Y73" s="41"/>
      <c r="Z73" s="42">
        <f>4.91</f>
        <v>4.91</v>
      </c>
      <c r="AA73" s="42">
        <f>20.8</f>
        <v>20.8</v>
      </c>
      <c r="AB73" s="42">
        <f>20.13</f>
        <v>20.13</v>
      </c>
      <c r="AC73" s="42">
        <f>345</f>
        <v>345</v>
      </c>
      <c r="AD73" s="42">
        <f>25</f>
        <v>25</v>
      </c>
      <c r="AE73" s="42">
        <f>25</f>
        <v>25</v>
      </c>
      <c r="AF73" s="41"/>
      <c r="AG73" s="41"/>
      <c r="AH73" s="41"/>
      <c r="AI73" s="42">
        <f>129.75</f>
        <v>129.75</v>
      </c>
      <c r="AJ73" s="42">
        <f>123.43</f>
        <v>123.43</v>
      </c>
      <c r="AK73" s="42">
        <f>10</f>
        <v>10</v>
      </c>
      <c r="AL73" s="41"/>
      <c r="AM73" s="42">
        <f>39</f>
        <v>39</v>
      </c>
      <c r="AN73" s="41"/>
      <c r="AO73" s="42">
        <f>345</f>
        <v>345</v>
      </c>
      <c r="AP73" s="41"/>
      <c r="AQ73" s="42">
        <f>-0.72</f>
        <v>-0.72</v>
      </c>
      <c r="AR73" s="42">
        <f>-0.28</f>
        <v>-0.28000000000000003</v>
      </c>
      <c r="AS73" s="42">
        <f>117</f>
        <v>117</v>
      </c>
      <c r="AT73" s="41"/>
      <c r="AU73" s="41"/>
      <c r="AV73" s="41"/>
      <c r="AW73" s="41"/>
      <c r="AX73" s="42">
        <f t="shared" si="15"/>
        <v>1254.26</v>
      </c>
    </row>
    <row r="74" spans="1:50" ht="17" customHeight="1" x14ac:dyDescent="0.2">
      <c r="A74" s="40" t="s">
        <v>151</v>
      </c>
      <c r="B74" s="41"/>
      <c r="C74" s="41"/>
      <c r="D74" s="41"/>
      <c r="E74" s="41"/>
      <c r="F74" s="41"/>
      <c r="G74" s="41"/>
      <c r="H74" s="41"/>
      <c r="I74" s="41"/>
      <c r="J74" s="41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1"/>
      <c r="AA74" s="41"/>
      <c r="AB74" s="41"/>
      <c r="AC74" s="41"/>
      <c r="AD74" s="42">
        <f>500</f>
        <v>500</v>
      </c>
      <c r="AE74" s="42">
        <f>1100</f>
        <v>1100</v>
      </c>
      <c r="AF74" s="41"/>
      <c r="AG74" s="41"/>
      <c r="AH74" s="41"/>
      <c r="AI74" s="41"/>
      <c r="AJ74" s="41"/>
      <c r="AK74" s="41"/>
      <c r="AL74" s="41"/>
      <c r="AM74" s="41"/>
      <c r="AN74" s="41"/>
      <c r="AO74" s="41"/>
      <c r="AP74" s="41"/>
      <c r="AQ74" s="41"/>
      <c r="AR74" s="41"/>
      <c r="AS74" s="41"/>
      <c r="AT74" s="41"/>
      <c r="AU74" s="41"/>
      <c r="AV74" s="41"/>
      <c r="AW74" s="41"/>
      <c r="AX74" s="42">
        <f t="shared" si="15"/>
        <v>1600</v>
      </c>
    </row>
    <row r="75" spans="1:50" ht="17" customHeight="1" x14ac:dyDescent="0.2">
      <c r="A75" s="40" t="s">
        <v>53</v>
      </c>
      <c r="B75" s="48">
        <f t="shared" ref="B75:AW75" si="18">(((((((((((B53)+(B54))+(B55))+(B56))+(B57))+(B58))+(B59))+(B64))+(B71))+(B72))+(B73))+(B74)</f>
        <v>0</v>
      </c>
      <c r="C75" s="48">
        <f t="shared" si="18"/>
        <v>0</v>
      </c>
      <c r="D75" s="48">
        <f t="shared" si="18"/>
        <v>0</v>
      </c>
      <c r="E75" s="48">
        <f t="shared" si="18"/>
        <v>0</v>
      </c>
      <c r="F75" s="48">
        <f t="shared" si="18"/>
        <v>0</v>
      </c>
      <c r="G75" s="48">
        <f t="shared" si="18"/>
        <v>0</v>
      </c>
      <c r="H75" s="48">
        <f t="shared" si="18"/>
        <v>1800</v>
      </c>
      <c r="I75" s="48">
        <f t="shared" si="18"/>
        <v>2966.3</v>
      </c>
      <c r="J75" s="48">
        <f t="shared" si="18"/>
        <v>1121.9100000000001</v>
      </c>
      <c r="K75" s="48">
        <f t="shared" si="18"/>
        <v>3580.99</v>
      </c>
      <c r="L75" s="48">
        <f t="shared" si="18"/>
        <v>5355.84</v>
      </c>
      <c r="M75" s="48">
        <f t="shared" si="18"/>
        <v>3873.1400000000003</v>
      </c>
      <c r="N75" s="48">
        <f t="shared" si="18"/>
        <v>3821.52</v>
      </c>
      <c r="O75" s="48">
        <f t="shared" si="18"/>
        <v>4808.79</v>
      </c>
      <c r="P75" s="48">
        <f t="shared" si="18"/>
        <v>3527.29</v>
      </c>
      <c r="Q75" s="48">
        <f t="shared" si="18"/>
        <v>6029.83</v>
      </c>
      <c r="R75" s="48">
        <f t="shared" si="18"/>
        <v>7293.74</v>
      </c>
      <c r="S75" s="48">
        <f t="shared" si="18"/>
        <v>4563.67</v>
      </c>
      <c r="T75" s="48">
        <f t="shared" si="18"/>
        <v>4450.1400000000003</v>
      </c>
      <c r="U75" s="48">
        <f t="shared" si="18"/>
        <v>4642.33</v>
      </c>
      <c r="V75" s="48">
        <f t="shared" si="18"/>
        <v>4477.6399999999994</v>
      </c>
      <c r="W75" s="48">
        <f t="shared" si="18"/>
        <v>4374.88</v>
      </c>
      <c r="X75" s="48">
        <f t="shared" si="18"/>
        <v>4680.67</v>
      </c>
      <c r="Y75" s="48">
        <f t="shared" si="18"/>
        <v>6927.58</v>
      </c>
      <c r="Z75" s="48">
        <f t="shared" si="18"/>
        <v>5847.84</v>
      </c>
      <c r="AA75" s="48">
        <f t="shared" si="18"/>
        <v>6293.9600000000009</v>
      </c>
      <c r="AB75" s="48">
        <f t="shared" si="18"/>
        <v>6838.5199999999995</v>
      </c>
      <c r="AC75" s="48">
        <f t="shared" si="18"/>
        <v>6233.57</v>
      </c>
      <c r="AD75" s="48">
        <f t="shared" si="18"/>
        <v>9758.2900000000009</v>
      </c>
      <c r="AE75" s="48">
        <f t="shared" si="18"/>
        <v>9472.1</v>
      </c>
      <c r="AF75" s="48">
        <f t="shared" si="18"/>
        <v>9930.65</v>
      </c>
      <c r="AG75" s="48">
        <f t="shared" si="18"/>
        <v>8053.89</v>
      </c>
      <c r="AH75" s="48">
        <f t="shared" si="18"/>
        <v>7020.05</v>
      </c>
      <c r="AI75" s="48">
        <f t="shared" si="18"/>
        <v>6143.8399999999992</v>
      </c>
      <c r="AJ75" s="48">
        <f t="shared" si="18"/>
        <v>8418.32</v>
      </c>
      <c r="AK75" s="48">
        <f t="shared" si="18"/>
        <v>12786.25</v>
      </c>
      <c r="AL75" s="48">
        <f t="shared" si="18"/>
        <v>11859.28</v>
      </c>
      <c r="AM75" s="48">
        <f t="shared" si="18"/>
        <v>7247.5</v>
      </c>
      <c r="AN75" s="48">
        <f t="shared" si="18"/>
        <v>7782.9</v>
      </c>
      <c r="AO75" s="48">
        <f t="shared" si="18"/>
        <v>9694.06</v>
      </c>
      <c r="AP75" s="48">
        <f t="shared" si="18"/>
        <v>14259.51</v>
      </c>
      <c r="AQ75" s="48">
        <f t="shared" si="18"/>
        <v>3130.1400000000003</v>
      </c>
      <c r="AR75" s="48">
        <f t="shared" si="18"/>
        <v>2492.6099999999997</v>
      </c>
      <c r="AS75" s="48">
        <f t="shared" si="18"/>
        <v>767.44</v>
      </c>
      <c r="AT75" s="48">
        <f t="shared" si="18"/>
        <v>0</v>
      </c>
      <c r="AU75" s="48">
        <f t="shared" si="18"/>
        <v>0</v>
      </c>
      <c r="AV75" s="48">
        <f t="shared" si="18"/>
        <v>0</v>
      </c>
      <c r="AW75" s="48">
        <f t="shared" si="18"/>
        <v>0</v>
      </c>
      <c r="AX75" s="48">
        <f t="shared" si="15"/>
        <v>232326.98</v>
      </c>
    </row>
    <row r="76" spans="1:50" ht="17" customHeight="1" x14ac:dyDescent="0.2">
      <c r="A76" s="40" t="s">
        <v>150</v>
      </c>
      <c r="B76" s="41"/>
      <c r="C76" s="41"/>
      <c r="D76" s="41"/>
      <c r="E76" s="41"/>
      <c r="F76" s="41"/>
      <c r="G76" s="41"/>
      <c r="H76" s="41"/>
      <c r="I76" s="41"/>
      <c r="J76" s="41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1"/>
      <c r="AA76" s="41"/>
      <c r="AB76" s="41"/>
      <c r="AC76" s="42">
        <f>25</f>
        <v>25</v>
      </c>
      <c r="AD76" s="41"/>
      <c r="AE76" s="41"/>
      <c r="AF76" s="41"/>
      <c r="AG76" s="41"/>
      <c r="AH76" s="41"/>
      <c r="AI76" s="41"/>
      <c r="AJ76" s="41"/>
      <c r="AK76" s="41"/>
      <c r="AL76" s="41"/>
      <c r="AM76" s="41"/>
      <c r="AN76" s="41"/>
      <c r="AO76" s="41"/>
      <c r="AP76" s="41"/>
      <c r="AQ76" s="41"/>
      <c r="AR76" s="41"/>
      <c r="AS76" s="41"/>
      <c r="AT76" s="41"/>
      <c r="AU76" s="41"/>
      <c r="AV76" s="41"/>
      <c r="AW76" s="41"/>
      <c r="AX76" s="42">
        <f t="shared" si="15"/>
        <v>25</v>
      </c>
    </row>
    <row r="77" spans="1:50" ht="17" customHeight="1" x14ac:dyDescent="0.2">
      <c r="A77" s="40" t="s">
        <v>54</v>
      </c>
      <c r="B77" s="41"/>
      <c r="C77" s="41"/>
      <c r="D77" s="41"/>
      <c r="E77" s="41"/>
      <c r="F77" s="41"/>
      <c r="G77" s="41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  <c r="Z77" s="41"/>
      <c r="AA77" s="41"/>
      <c r="AB77" s="41"/>
      <c r="AC77" s="41"/>
      <c r="AD77" s="41"/>
      <c r="AE77" s="41"/>
      <c r="AF77" s="41"/>
      <c r="AG77" s="41"/>
      <c r="AH77" s="41"/>
      <c r="AI77" s="41"/>
      <c r="AJ77" s="41"/>
      <c r="AK77" s="41"/>
      <c r="AL77" s="41"/>
      <c r="AM77" s="41"/>
      <c r="AN77" s="41"/>
      <c r="AO77" s="41"/>
      <c r="AP77" s="41"/>
      <c r="AQ77" s="41"/>
      <c r="AR77" s="41"/>
      <c r="AS77" s="41"/>
      <c r="AT77" s="41"/>
      <c r="AU77" s="41"/>
      <c r="AV77" s="41"/>
      <c r="AW77" s="41"/>
      <c r="AX77" s="42">
        <f t="shared" si="15"/>
        <v>0</v>
      </c>
    </row>
    <row r="78" spans="1:50" ht="17" customHeight="1" x14ac:dyDescent="0.2">
      <c r="A78" s="40" t="s">
        <v>55</v>
      </c>
      <c r="B78" s="41"/>
      <c r="C78" s="41"/>
      <c r="D78" s="41"/>
      <c r="E78" s="41"/>
      <c r="F78" s="41"/>
      <c r="G78" s="41"/>
      <c r="H78" s="41"/>
      <c r="I78" s="41"/>
      <c r="J78" s="41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  <c r="AA78" s="41"/>
      <c r="AB78" s="42">
        <f>200</f>
        <v>200</v>
      </c>
      <c r="AC78" s="41"/>
      <c r="AD78" s="41"/>
      <c r="AE78" s="42">
        <f>900</f>
        <v>900</v>
      </c>
      <c r="AF78" s="41"/>
      <c r="AG78" s="42">
        <f>2575</f>
        <v>2575</v>
      </c>
      <c r="AH78" s="42">
        <f>300</f>
        <v>300</v>
      </c>
      <c r="AI78" s="42">
        <f>550</f>
        <v>550</v>
      </c>
      <c r="AJ78" s="42">
        <f>300</f>
        <v>300</v>
      </c>
      <c r="AK78" s="41"/>
      <c r="AL78" s="42">
        <f>600</f>
        <v>600</v>
      </c>
      <c r="AM78" s="41"/>
      <c r="AN78" s="42">
        <f>625</f>
        <v>625</v>
      </c>
      <c r="AO78" s="42">
        <f>300</f>
        <v>300</v>
      </c>
      <c r="AP78" s="41"/>
      <c r="AQ78" s="42">
        <f>600</f>
        <v>600</v>
      </c>
      <c r="AR78" s="42">
        <f>309</f>
        <v>309</v>
      </c>
      <c r="AS78" s="42">
        <f>309</f>
        <v>309</v>
      </c>
      <c r="AT78" s="41"/>
      <c r="AU78" s="41"/>
      <c r="AV78" s="41"/>
      <c r="AW78" s="41"/>
      <c r="AX78" s="42">
        <f t="shared" si="15"/>
        <v>7568</v>
      </c>
    </row>
    <row r="79" spans="1:50" ht="17" customHeight="1" x14ac:dyDescent="0.2">
      <c r="A79" s="40" t="s">
        <v>56</v>
      </c>
      <c r="B79" s="48">
        <f t="shared" ref="B79:AW79" si="19">(B77)+(B78)</f>
        <v>0</v>
      </c>
      <c r="C79" s="48">
        <f t="shared" si="19"/>
        <v>0</v>
      </c>
      <c r="D79" s="48">
        <f t="shared" si="19"/>
        <v>0</v>
      </c>
      <c r="E79" s="48">
        <f t="shared" si="19"/>
        <v>0</v>
      </c>
      <c r="F79" s="48">
        <f t="shared" si="19"/>
        <v>0</v>
      </c>
      <c r="G79" s="48">
        <f t="shared" si="19"/>
        <v>0</v>
      </c>
      <c r="H79" s="48">
        <f t="shared" si="19"/>
        <v>0</v>
      </c>
      <c r="I79" s="48">
        <f t="shared" si="19"/>
        <v>0</v>
      </c>
      <c r="J79" s="48">
        <f t="shared" si="19"/>
        <v>0</v>
      </c>
      <c r="K79" s="48">
        <f t="shared" si="19"/>
        <v>0</v>
      </c>
      <c r="L79" s="48">
        <f t="shared" si="19"/>
        <v>0</v>
      </c>
      <c r="M79" s="48">
        <f t="shared" si="19"/>
        <v>0</v>
      </c>
      <c r="N79" s="48">
        <f t="shared" si="19"/>
        <v>0</v>
      </c>
      <c r="O79" s="48">
        <f t="shared" si="19"/>
        <v>0</v>
      </c>
      <c r="P79" s="48">
        <f t="shared" si="19"/>
        <v>0</v>
      </c>
      <c r="Q79" s="48">
        <f t="shared" si="19"/>
        <v>0</v>
      </c>
      <c r="R79" s="48">
        <f t="shared" si="19"/>
        <v>0</v>
      </c>
      <c r="S79" s="48">
        <f t="shared" si="19"/>
        <v>0</v>
      </c>
      <c r="T79" s="48">
        <f t="shared" si="19"/>
        <v>0</v>
      </c>
      <c r="U79" s="48">
        <f t="shared" si="19"/>
        <v>0</v>
      </c>
      <c r="V79" s="48">
        <f t="shared" si="19"/>
        <v>0</v>
      </c>
      <c r="W79" s="48">
        <f t="shared" si="19"/>
        <v>0</v>
      </c>
      <c r="X79" s="48">
        <f t="shared" si="19"/>
        <v>0</v>
      </c>
      <c r="Y79" s="48">
        <f t="shared" si="19"/>
        <v>0</v>
      </c>
      <c r="Z79" s="48">
        <f t="shared" si="19"/>
        <v>0</v>
      </c>
      <c r="AA79" s="48">
        <f t="shared" si="19"/>
        <v>0</v>
      </c>
      <c r="AB79" s="48">
        <f t="shared" si="19"/>
        <v>200</v>
      </c>
      <c r="AC79" s="48">
        <f t="shared" si="19"/>
        <v>0</v>
      </c>
      <c r="AD79" s="48">
        <f t="shared" si="19"/>
        <v>0</v>
      </c>
      <c r="AE79" s="48">
        <f t="shared" si="19"/>
        <v>900</v>
      </c>
      <c r="AF79" s="48">
        <f t="shared" si="19"/>
        <v>0</v>
      </c>
      <c r="AG79" s="48">
        <f t="shared" si="19"/>
        <v>2575</v>
      </c>
      <c r="AH79" s="48">
        <f t="shared" si="19"/>
        <v>300</v>
      </c>
      <c r="AI79" s="48">
        <f t="shared" si="19"/>
        <v>550</v>
      </c>
      <c r="AJ79" s="48">
        <f t="shared" si="19"/>
        <v>300</v>
      </c>
      <c r="AK79" s="48">
        <f t="shared" si="19"/>
        <v>0</v>
      </c>
      <c r="AL79" s="48">
        <f t="shared" si="19"/>
        <v>600</v>
      </c>
      <c r="AM79" s="48">
        <f t="shared" si="19"/>
        <v>0</v>
      </c>
      <c r="AN79" s="48">
        <f t="shared" si="19"/>
        <v>625</v>
      </c>
      <c r="AO79" s="48">
        <f t="shared" si="19"/>
        <v>300</v>
      </c>
      <c r="AP79" s="48">
        <f t="shared" si="19"/>
        <v>0</v>
      </c>
      <c r="AQ79" s="48">
        <f t="shared" si="19"/>
        <v>600</v>
      </c>
      <c r="AR79" s="48">
        <f t="shared" si="19"/>
        <v>309</v>
      </c>
      <c r="AS79" s="48">
        <f t="shared" si="19"/>
        <v>309</v>
      </c>
      <c r="AT79" s="48">
        <f t="shared" si="19"/>
        <v>0</v>
      </c>
      <c r="AU79" s="48">
        <f t="shared" si="19"/>
        <v>0</v>
      </c>
      <c r="AV79" s="48">
        <f t="shared" si="19"/>
        <v>0</v>
      </c>
      <c r="AW79" s="48">
        <f t="shared" si="19"/>
        <v>0</v>
      </c>
      <c r="AX79" s="48">
        <f t="shared" si="15"/>
        <v>7568</v>
      </c>
    </row>
    <row r="80" spans="1:50" ht="17" customHeight="1" x14ac:dyDescent="0.2">
      <c r="A80" s="40" t="s">
        <v>57</v>
      </c>
      <c r="B80" s="41"/>
      <c r="C80" s="41"/>
      <c r="D80" s="41"/>
      <c r="E80" s="41"/>
      <c r="F80" s="41"/>
      <c r="G80" s="41"/>
      <c r="H80" s="41"/>
      <c r="I80" s="41"/>
      <c r="J80" s="41"/>
      <c r="K80" s="41"/>
      <c r="L80" s="41"/>
      <c r="M80" s="41"/>
      <c r="N80" s="4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  <c r="Z80" s="41"/>
      <c r="AA80" s="41"/>
      <c r="AB80" s="41"/>
      <c r="AC80" s="41"/>
      <c r="AD80" s="41"/>
      <c r="AE80" s="41"/>
      <c r="AF80" s="41"/>
      <c r="AG80" s="41"/>
      <c r="AH80" s="41"/>
      <c r="AI80" s="41"/>
      <c r="AJ80" s="41"/>
      <c r="AK80" s="41"/>
      <c r="AL80" s="41"/>
      <c r="AM80" s="41"/>
      <c r="AN80" s="41"/>
      <c r="AO80" s="41"/>
      <c r="AP80" s="41"/>
      <c r="AQ80" s="41"/>
      <c r="AR80" s="41"/>
      <c r="AS80" s="41"/>
      <c r="AT80" s="41"/>
      <c r="AU80" s="41"/>
      <c r="AV80" s="41"/>
      <c r="AW80" s="41"/>
      <c r="AX80" s="42">
        <f t="shared" si="15"/>
        <v>0</v>
      </c>
    </row>
    <row r="81" spans="1:50" ht="17" customHeight="1" x14ac:dyDescent="0.2">
      <c r="A81" s="40" t="s">
        <v>58</v>
      </c>
      <c r="B81" s="41"/>
      <c r="C81" s="41"/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  <c r="Z81" s="41"/>
      <c r="AA81" s="41"/>
      <c r="AB81" s="41"/>
      <c r="AC81" s="41"/>
      <c r="AD81" s="41"/>
      <c r="AE81" s="42">
        <f>871</f>
        <v>871</v>
      </c>
      <c r="AF81" s="41"/>
      <c r="AG81" s="41"/>
      <c r="AH81" s="41"/>
      <c r="AI81" s="42">
        <f>7460</f>
        <v>7460</v>
      </c>
      <c r="AJ81" s="42">
        <f>4619.9</f>
        <v>4619.8999999999996</v>
      </c>
      <c r="AK81" s="41"/>
      <c r="AL81" s="42">
        <f>70</f>
        <v>70</v>
      </c>
      <c r="AM81" s="41"/>
      <c r="AN81" s="41"/>
      <c r="AO81" s="41"/>
      <c r="AP81" s="41"/>
      <c r="AQ81" s="42">
        <f>49</f>
        <v>49</v>
      </c>
      <c r="AR81" s="42">
        <f>14754.5</f>
        <v>14754.5</v>
      </c>
      <c r="AS81" s="41"/>
      <c r="AT81" s="41"/>
      <c r="AU81" s="41"/>
      <c r="AV81" s="41"/>
      <c r="AW81" s="41"/>
      <c r="AX81" s="42">
        <f t="shared" si="15"/>
        <v>27824.400000000001</v>
      </c>
    </row>
    <row r="82" spans="1:50" ht="17" customHeight="1" x14ac:dyDescent="0.2">
      <c r="A82" s="40" t="s">
        <v>59</v>
      </c>
      <c r="B82" s="41"/>
      <c r="C82" s="41"/>
      <c r="D82" s="41"/>
      <c r="E82" s="41"/>
      <c r="F82" s="41"/>
      <c r="G82" s="41"/>
      <c r="H82" s="41"/>
      <c r="I82" s="41"/>
      <c r="J82" s="41"/>
      <c r="K82" s="42">
        <f>484</f>
        <v>484</v>
      </c>
      <c r="L82" s="41"/>
      <c r="M82" s="41"/>
      <c r="N82" s="41"/>
      <c r="O82" s="41"/>
      <c r="P82" s="41"/>
      <c r="Q82" s="41"/>
      <c r="R82" s="41"/>
      <c r="S82" s="41"/>
      <c r="T82" s="41"/>
      <c r="U82" s="42">
        <f>3145</f>
        <v>3145</v>
      </c>
      <c r="V82" s="41"/>
      <c r="W82" s="41"/>
      <c r="X82" s="41"/>
      <c r="Y82" s="41"/>
      <c r="Z82" s="41"/>
      <c r="AA82" s="41"/>
      <c r="AB82" s="41"/>
      <c r="AC82" s="41"/>
      <c r="AD82" s="41"/>
      <c r="AE82" s="42">
        <f>417.6</f>
        <v>417.6</v>
      </c>
      <c r="AF82" s="42">
        <f>220.13</f>
        <v>220.13</v>
      </c>
      <c r="AG82" s="42">
        <f>220.13</f>
        <v>220.13</v>
      </c>
      <c r="AH82" s="42">
        <f>220.13</f>
        <v>220.13</v>
      </c>
      <c r="AI82" s="42">
        <f>220.13</f>
        <v>220.13</v>
      </c>
      <c r="AJ82" s="42">
        <f>220.13</f>
        <v>220.13</v>
      </c>
      <c r="AK82" s="42">
        <f>197.37</f>
        <v>197.37</v>
      </c>
      <c r="AL82" s="42">
        <f>208.75</f>
        <v>208.75</v>
      </c>
      <c r="AM82" s="42">
        <f>208.75</f>
        <v>208.75</v>
      </c>
      <c r="AN82" s="42">
        <f>208.75</f>
        <v>208.75</v>
      </c>
      <c r="AO82" s="42">
        <f>208.75</f>
        <v>208.75</v>
      </c>
      <c r="AP82" s="42">
        <f>208.78</f>
        <v>208.78</v>
      </c>
      <c r="AQ82" s="42">
        <f>214.59</f>
        <v>214.59</v>
      </c>
      <c r="AR82" s="42">
        <f>214.68</f>
        <v>214.68</v>
      </c>
      <c r="AS82" s="41"/>
      <c r="AT82" s="41"/>
      <c r="AU82" s="41"/>
      <c r="AV82" s="41"/>
      <c r="AW82" s="41"/>
      <c r="AX82" s="42">
        <f t="shared" si="15"/>
        <v>6817.67</v>
      </c>
    </row>
    <row r="83" spans="1:50" ht="17" customHeight="1" x14ac:dyDescent="0.2">
      <c r="A83" s="40" t="s">
        <v>88</v>
      </c>
      <c r="B83" s="41"/>
      <c r="C83" s="41"/>
      <c r="D83" s="41"/>
      <c r="E83" s="41"/>
      <c r="F83" s="41"/>
      <c r="G83" s="41"/>
      <c r="H83" s="41"/>
      <c r="I83" s="41"/>
      <c r="J83" s="41"/>
      <c r="K83" s="41"/>
      <c r="L83" s="41"/>
      <c r="M83" s="41"/>
      <c r="N83" s="41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  <c r="Z83" s="41"/>
      <c r="AA83" s="41"/>
      <c r="AB83" s="41"/>
      <c r="AC83" s="41"/>
      <c r="AD83" s="41"/>
      <c r="AE83" s="41"/>
      <c r="AF83" s="41"/>
      <c r="AG83" s="41"/>
      <c r="AH83" s="41"/>
      <c r="AI83" s="41"/>
      <c r="AJ83" s="41"/>
      <c r="AK83" s="41"/>
      <c r="AL83" s="41"/>
      <c r="AM83" s="41"/>
      <c r="AN83" s="41"/>
      <c r="AO83" s="41"/>
      <c r="AP83" s="41"/>
      <c r="AQ83" s="41"/>
      <c r="AR83" s="41"/>
      <c r="AS83" s="42">
        <f>41.61</f>
        <v>41.61</v>
      </c>
      <c r="AT83" s="41"/>
      <c r="AU83" s="41"/>
      <c r="AV83" s="41"/>
      <c r="AW83" s="41"/>
      <c r="AX83" s="42">
        <f t="shared" si="15"/>
        <v>41.61</v>
      </c>
    </row>
    <row r="84" spans="1:50" ht="17" customHeight="1" x14ac:dyDescent="0.2">
      <c r="A84" s="40" t="s">
        <v>60</v>
      </c>
      <c r="B84" s="48">
        <f t="shared" ref="B84:AW84" si="20">(((B80)+(B81))+(B82))+(B83)</f>
        <v>0</v>
      </c>
      <c r="C84" s="48">
        <f t="shared" si="20"/>
        <v>0</v>
      </c>
      <c r="D84" s="48">
        <f t="shared" si="20"/>
        <v>0</v>
      </c>
      <c r="E84" s="48">
        <f t="shared" si="20"/>
        <v>0</v>
      </c>
      <c r="F84" s="48">
        <f t="shared" si="20"/>
        <v>0</v>
      </c>
      <c r="G84" s="48">
        <f t="shared" si="20"/>
        <v>0</v>
      </c>
      <c r="H84" s="48">
        <f t="shared" si="20"/>
        <v>0</v>
      </c>
      <c r="I84" s="48">
        <f t="shared" si="20"/>
        <v>0</v>
      </c>
      <c r="J84" s="48">
        <f t="shared" si="20"/>
        <v>0</v>
      </c>
      <c r="K84" s="48">
        <f t="shared" si="20"/>
        <v>484</v>
      </c>
      <c r="L84" s="48">
        <f t="shared" si="20"/>
        <v>0</v>
      </c>
      <c r="M84" s="48">
        <f t="shared" si="20"/>
        <v>0</v>
      </c>
      <c r="N84" s="48">
        <f t="shared" si="20"/>
        <v>0</v>
      </c>
      <c r="O84" s="48">
        <f t="shared" si="20"/>
        <v>0</v>
      </c>
      <c r="P84" s="48">
        <f t="shared" si="20"/>
        <v>0</v>
      </c>
      <c r="Q84" s="48">
        <f t="shared" si="20"/>
        <v>0</v>
      </c>
      <c r="R84" s="48">
        <f t="shared" si="20"/>
        <v>0</v>
      </c>
      <c r="S84" s="48">
        <f t="shared" si="20"/>
        <v>0</v>
      </c>
      <c r="T84" s="48">
        <f t="shared" si="20"/>
        <v>0</v>
      </c>
      <c r="U84" s="48">
        <f t="shared" si="20"/>
        <v>3145</v>
      </c>
      <c r="V84" s="48">
        <f t="shared" si="20"/>
        <v>0</v>
      </c>
      <c r="W84" s="48">
        <f t="shared" si="20"/>
        <v>0</v>
      </c>
      <c r="X84" s="48">
        <f t="shared" si="20"/>
        <v>0</v>
      </c>
      <c r="Y84" s="48">
        <f t="shared" si="20"/>
        <v>0</v>
      </c>
      <c r="Z84" s="48">
        <f t="shared" si="20"/>
        <v>0</v>
      </c>
      <c r="AA84" s="48">
        <f t="shared" si="20"/>
        <v>0</v>
      </c>
      <c r="AB84" s="48">
        <f t="shared" si="20"/>
        <v>0</v>
      </c>
      <c r="AC84" s="48">
        <f t="shared" si="20"/>
        <v>0</v>
      </c>
      <c r="AD84" s="48">
        <f t="shared" si="20"/>
        <v>0</v>
      </c>
      <c r="AE84" s="48">
        <f t="shared" si="20"/>
        <v>1288.5999999999999</v>
      </c>
      <c r="AF84" s="48">
        <f t="shared" si="20"/>
        <v>220.13</v>
      </c>
      <c r="AG84" s="48">
        <f t="shared" si="20"/>
        <v>220.13</v>
      </c>
      <c r="AH84" s="48">
        <f t="shared" si="20"/>
        <v>220.13</v>
      </c>
      <c r="AI84" s="48">
        <f t="shared" si="20"/>
        <v>7680.13</v>
      </c>
      <c r="AJ84" s="48">
        <f t="shared" si="20"/>
        <v>4840.03</v>
      </c>
      <c r="AK84" s="48">
        <f t="shared" si="20"/>
        <v>197.37</v>
      </c>
      <c r="AL84" s="48">
        <f t="shared" si="20"/>
        <v>278.75</v>
      </c>
      <c r="AM84" s="48">
        <f t="shared" si="20"/>
        <v>208.75</v>
      </c>
      <c r="AN84" s="48">
        <f t="shared" si="20"/>
        <v>208.75</v>
      </c>
      <c r="AO84" s="48">
        <f t="shared" si="20"/>
        <v>208.75</v>
      </c>
      <c r="AP84" s="48">
        <f t="shared" si="20"/>
        <v>208.78</v>
      </c>
      <c r="AQ84" s="48">
        <f t="shared" si="20"/>
        <v>263.59000000000003</v>
      </c>
      <c r="AR84" s="48">
        <f t="shared" si="20"/>
        <v>14969.18</v>
      </c>
      <c r="AS84" s="48">
        <f t="shared" si="20"/>
        <v>41.61</v>
      </c>
      <c r="AT84" s="48">
        <f t="shared" si="20"/>
        <v>0</v>
      </c>
      <c r="AU84" s="48">
        <f t="shared" si="20"/>
        <v>0</v>
      </c>
      <c r="AV84" s="48">
        <f t="shared" si="20"/>
        <v>0</v>
      </c>
      <c r="AW84" s="48">
        <f t="shared" si="20"/>
        <v>0</v>
      </c>
      <c r="AX84" s="48">
        <f t="shared" si="15"/>
        <v>34683.68</v>
      </c>
    </row>
    <row r="85" spans="1:50" ht="17" customHeight="1" x14ac:dyDescent="0.2">
      <c r="A85" s="40" t="s">
        <v>149</v>
      </c>
      <c r="B85" s="41"/>
      <c r="C85" s="41"/>
      <c r="D85" s="41"/>
      <c r="E85" s="41"/>
      <c r="F85" s="41"/>
      <c r="G85" s="41"/>
      <c r="H85" s="41"/>
      <c r="I85" s="41"/>
      <c r="J85" s="41"/>
      <c r="K85" s="41"/>
      <c r="L85" s="42">
        <f>0</f>
        <v>0</v>
      </c>
      <c r="M85" s="41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  <c r="Z85" s="41"/>
      <c r="AA85" s="41"/>
      <c r="AB85" s="41"/>
      <c r="AC85" s="41"/>
      <c r="AD85" s="41"/>
      <c r="AE85" s="41"/>
      <c r="AF85" s="41"/>
      <c r="AG85" s="41"/>
      <c r="AH85" s="41"/>
      <c r="AI85" s="41"/>
      <c r="AJ85" s="41"/>
      <c r="AK85" s="41"/>
      <c r="AL85" s="41"/>
      <c r="AM85" s="41"/>
      <c r="AN85" s="41"/>
      <c r="AO85" s="41"/>
      <c r="AP85" s="41"/>
      <c r="AQ85" s="41"/>
      <c r="AR85" s="41"/>
      <c r="AS85" s="41"/>
      <c r="AT85" s="41"/>
      <c r="AU85" s="41"/>
      <c r="AV85" s="41"/>
      <c r="AW85" s="41"/>
      <c r="AX85" s="42">
        <f t="shared" si="15"/>
        <v>0</v>
      </c>
    </row>
    <row r="86" spans="1:50" ht="17" customHeight="1" x14ac:dyDescent="0.2">
      <c r="A86" s="40" t="s">
        <v>61</v>
      </c>
      <c r="B86" s="41"/>
      <c r="C86" s="41"/>
      <c r="D86" s="41"/>
      <c r="E86" s="41"/>
      <c r="F86" s="41"/>
      <c r="G86" s="41"/>
      <c r="H86" s="41"/>
      <c r="I86" s="41"/>
      <c r="J86" s="41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  <c r="AA86" s="41"/>
      <c r="AB86" s="41"/>
      <c r="AC86" s="41"/>
      <c r="AD86" s="41"/>
      <c r="AE86" s="41"/>
      <c r="AF86" s="41"/>
      <c r="AG86" s="41"/>
      <c r="AH86" s="41"/>
      <c r="AI86" s="41"/>
      <c r="AJ86" s="41"/>
      <c r="AK86" s="41"/>
      <c r="AL86" s="42">
        <f>1849.48</f>
        <v>1849.48</v>
      </c>
      <c r="AM86" s="42">
        <f>15894.45</f>
        <v>15894.45</v>
      </c>
      <c r="AN86" s="42">
        <f>732.42</f>
        <v>732.42</v>
      </c>
      <c r="AO86" s="42">
        <f>341.88</f>
        <v>341.88</v>
      </c>
      <c r="AP86" s="42">
        <f>20063.16</f>
        <v>20063.16</v>
      </c>
      <c r="AQ86" s="42">
        <f>46582.21</f>
        <v>46582.21</v>
      </c>
      <c r="AR86" s="42">
        <f>324.13</f>
        <v>324.13</v>
      </c>
      <c r="AS86" s="42">
        <f>-0.01</f>
        <v>-0.01</v>
      </c>
      <c r="AT86" s="41"/>
      <c r="AU86" s="41"/>
      <c r="AV86" s="41"/>
      <c r="AW86" s="41"/>
      <c r="AX86" s="42">
        <f t="shared" si="15"/>
        <v>85787.720000000016</v>
      </c>
    </row>
    <row r="87" spans="1:50" ht="17" customHeight="1" x14ac:dyDescent="0.2">
      <c r="A87" s="40" t="s">
        <v>62</v>
      </c>
      <c r="B87" s="41"/>
      <c r="C87" s="41"/>
      <c r="D87" s="41"/>
      <c r="E87" s="41"/>
      <c r="F87" s="41"/>
      <c r="G87" s="41"/>
      <c r="H87" s="41"/>
      <c r="I87" s="41"/>
      <c r="J87" s="41"/>
      <c r="K87" s="41"/>
      <c r="L87" s="41"/>
      <c r="M87" s="41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  <c r="Z87" s="41"/>
      <c r="AA87" s="41"/>
      <c r="AB87" s="41"/>
      <c r="AC87" s="41"/>
      <c r="AD87" s="41"/>
      <c r="AE87" s="41"/>
      <c r="AF87" s="41"/>
      <c r="AG87" s="41"/>
      <c r="AH87" s="41"/>
      <c r="AI87" s="41"/>
      <c r="AJ87" s="41"/>
      <c r="AK87" s="41"/>
      <c r="AL87" s="42">
        <f>16700.21</f>
        <v>16700.21</v>
      </c>
      <c r="AM87" s="42">
        <f>34645</f>
        <v>34645</v>
      </c>
      <c r="AN87" s="42">
        <f>33104.08</f>
        <v>33104.080000000002</v>
      </c>
      <c r="AO87" s="42">
        <f>16550</f>
        <v>16550</v>
      </c>
      <c r="AP87" s="42">
        <f>11042</f>
        <v>11042</v>
      </c>
      <c r="AQ87" s="42">
        <f>55167.47</f>
        <v>55167.47</v>
      </c>
      <c r="AR87" s="42">
        <f>15775</f>
        <v>15775</v>
      </c>
      <c r="AS87" s="42">
        <f>38934.51</f>
        <v>38934.51</v>
      </c>
      <c r="AT87" s="41"/>
      <c r="AU87" s="41"/>
      <c r="AV87" s="41"/>
      <c r="AW87" s="41"/>
      <c r="AX87" s="42">
        <f t="shared" si="15"/>
        <v>221918.27000000002</v>
      </c>
    </row>
    <row r="88" spans="1:50" ht="17" customHeight="1" x14ac:dyDescent="0.2">
      <c r="A88" s="40" t="s">
        <v>63</v>
      </c>
      <c r="B88" s="41"/>
      <c r="C88" s="41"/>
      <c r="D88" s="41"/>
      <c r="E88" s="41"/>
      <c r="F88" s="41"/>
      <c r="G88" s="41"/>
      <c r="H88" s="41"/>
      <c r="I88" s="41"/>
      <c r="J88" s="41"/>
      <c r="K88" s="41"/>
      <c r="L88" s="41"/>
      <c r="M88" s="41"/>
      <c r="N88" s="41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  <c r="Z88" s="41"/>
      <c r="AA88" s="41"/>
      <c r="AB88" s="41"/>
      <c r="AC88" s="41"/>
      <c r="AD88" s="41"/>
      <c r="AE88" s="41"/>
      <c r="AF88" s="41"/>
      <c r="AG88" s="41"/>
      <c r="AH88" s="41"/>
      <c r="AI88" s="41"/>
      <c r="AJ88" s="41"/>
      <c r="AK88" s="41"/>
      <c r="AL88" s="42">
        <f>2735</f>
        <v>2735</v>
      </c>
      <c r="AM88" s="42">
        <f>3966</f>
        <v>3966</v>
      </c>
      <c r="AN88" s="42">
        <f>410</f>
        <v>410</v>
      </c>
      <c r="AO88" s="42">
        <f>900</f>
        <v>900</v>
      </c>
      <c r="AP88" s="41"/>
      <c r="AQ88" s="42">
        <f>4150</f>
        <v>4150</v>
      </c>
      <c r="AR88" s="42">
        <f>3407</f>
        <v>3407</v>
      </c>
      <c r="AS88" s="41"/>
      <c r="AT88" s="41"/>
      <c r="AU88" s="41"/>
      <c r="AV88" s="41"/>
      <c r="AW88" s="41"/>
      <c r="AX88" s="42">
        <f t="shared" si="15"/>
        <v>15568</v>
      </c>
    </row>
    <row r="89" spans="1:50" ht="17" customHeight="1" x14ac:dyDescent="0.2">
      <c r="A89" s="40" t="s">
        <v>64</v>
      </c>
      <c r="B89" s="48">
        <f t="shared" ref="B89:AW89" si="21">((B86)+(B87))+(B88)</f>
        <v>0</v>
      </c>
      <c r="C89" s="48">
        <f t="shared" si="21"/>
        <v>0</v>
      </c>
      <c r="D89" s="48">
        <f t="shared" si="21"/>
        <v>0</v>
      </c>
      <c r="E89" s="48">
        <f t="shared" si="21"/>
        <v>0</v>
      </c>
      <c r="F89" s="48">
        <f t="shared" si="21"/>
        <v>0</v>
      </c>
      <c r="G89" s="48">
        <f t="shared" si="21"/>
        <v>0</v>
      </c>
      <c r="H89" s="48">
        <f t="shared" si="21"/>
        <v>0</v>
      </c>
      <c r="I89" s="48">
        <f t="shared" si="21"/>
        <v>0</v>
      </c>
      <c r="J89" s="48">
        <f t="shared" si="21"/>
        <v>0</v>
      </c>
      <c r="K89" s="48">
        <f t="shared" si="21"/>
        <v>0</v>
      </c>
      <c r="L89" s="48">
        <f t="shared" si="21"/>
        <v>0</v>
      </c>
      <c r="M89" s="48">
        <f t="shared" si="21"/>
        <v>0</v>
      </c>
      <c r="N89" s="48">
        <f t="shared" si="21"/>
        <v>0</v>
      </c>
      <c r="O89" s="48">
        <f t="shared" si="21"/>
        <v>0</v>
      </c>
      <c r="P89" s="48">
        <f t="shared" si="21"/>
        <v>0</v>
      </c>
      <c r="Q89" s="48">
        <f t="shared" si="21"/>
        <v>0</v>
      </c>
      <c r="R89" s="48">
        <f t="shared" si="21"/>
        <v>0</v>
      </c>
      <c r="S89" s="48">
        <f t="shared" si="21"/>
        <v>0</v>
      </c>
      <c r="T89" s="48">
        <f t="shared" si="21"/>
        <v>0</v>
      </c>
      <c r="U89" s="48">
        <f t="shared" si="21"/>
        <v>0</v>
      </c>
      <c r="V89" s="48">
        <f t="shared" si="21"/>
        <v>0</v>
      </c>
      <c r="W89" s="48">
        <f t="shared" si="21"/>
        <v>0</v>
      </c>
      <c r="X89" s="48">
        <f t="shared" si="21"/>
        <v>0</v>
      </c>
      <c r="Y89" s="48">
        <f t="shared" si="21"/>
        <v>0</v>
      </c>
      <c r="Z89" s="48">
        <f t="shared" si="21"/>
        <v>0</v>
      </c>
      <c r="AA89" s="48">
        <f t="shared" si="21"/>
        <v>0</v>
      </c>
      <c r="AB89" s="48">
        <f t="shared" si="21"/>
        <v>0</v>
      </c>
      <c r="AC89" s="48">
        <f t="shared" si="21"/>
        <v>0</v>
      </c>
      <c r="AD89" s="48">
        <f t="shared" si="21"/>
        <v>0</v>
      </c>
      <c r="AE89" s="48">
        <f t="shared" si="21"/>
        <v>0</v>
      </c>
      <c r="AF89" s="48">
        <f t="shared" si="21"/>
        <v>0</v>
      </c>
      <c r="AG89" s="48">
        <f t="shared" si="21"/>
        <v>0</v>
      </c>
      <c r="AH89" s="48">
        <f t="shared" si="21"/>
        <v>0</v>
      </c>
      <c r="AI89" s="48">
        <f t="shared" si="21"/>
        <v>0</v>
      </c>
      <c r="AJ89" s="48">
        <f t="shared" si="21"/>
        <v>0</v>
      </c>
      <c r="AK89" s="48">
        <f t="shared" si="21"/>
        <v>0</v>
      </c>
      <c r="AL89" s="48">
        <f t="shared" si="21"/>
        <v>21284.69</v>
      </c>
      <c r="AM89" s="48">
        <f t="shared" si="21"/>
        <v>54505.45</v>
      </c>
      <c r="AN89" s="48">
        <f t="shared" si="21"/>
        <v>34246.5</v>
      </c>
      <c r="AO89" s="48">
        <f t="shared" si="21"/>
        <v>17791.88</v>
      </c>
      <c r="AP89" s="48">
        <f t="shared" si="21"/>
        <v>31105.16</v>
      </c>
      <c r="AQ89" s="48">
        <f t="shared" si="21"/>
        <v>105899.68</v>
      </c>
      <c r="AR89" s="48">
        <f t="shared" si="21"/>
        <v>19506.129999999997</v>
      </c>
      <c r="AS89" s="48">
        <f t="shared" si="21"/>
        <v>38934.5</v>
      </c>
      <c r="AT89" s="48">
        <f t="shared" si="21"/>
        <v>0</v>
      </c>
      <c r="AU89" s="48">
        <f t="shared" si="21"/>
        <v>0</v>
      </c>
      <c r="AV89" s="48">
        <f t="shared" si="21"/>
        <v>0</v>
      </c>
      <c r="AW89" s="48">
        <f t="shared" si="21"/>
        <v>0</v>
      </c>
      <c r="AX89" s="48">
        <f t="shared" si="15"/>
        <v>323273.99</v>
      </c>
    </row>
    <row r="90" spans="1:50" ht="17" customHeight="1" x14ac:dyDescent="0.2">
      <c r="A90" s="40" t="s">
        <v>65</v>
      </c>
      <c r="B90" s="48">
        <f t="shared" ref="B90:AW90" si="22">((((((((B31)+(B48))+(B52))+(B75))+(B76))+(B79))+(B84))+(B85))+(B89)</f>
        <v>0</v>
      </c>
      <c r="C90" s="48">
        <f t="shared" si="22"/>
        <v>0</v>
      </c>
      <c r="D90" s="48">
        <f t="shared" si="22"/>
        <v>0</v>
      </c>
      <c r="E90" s="48">
        <f t="shared" si="22"/>
        <v>0</v>
      </c>
      <c r="F90" s="48">
        <f t="shared" si="22"/>
        <v>0</v>
      </c>
      <c r="G90" s="48">
        <f t="shared" si="22"/>
        <v>0</v>
      </c>
      <c r="H90" s="48">
        <f t="shared" si="22"/>
        <v>1800</v>
      </c>
      <c r="I90" s="48">
        <f t="shared" si="22"/>
        <v>3019.4300000000003</v>
      </c>
      <c r="J90" s="48">
        <f t="shared" si="22"/>
        <v>1900.93</v>
      </c>
      <c r="K90" s="48">
        <f t="shared" si="22"/>
        <v>4743.41</v>
      </c>
      <c r="L90" s="48">
        <f t="shared" si="22"/>
        <v>15230.01</v>
      </c>
      <c r="M90" s="48">
        <f t="shared" si="22"/>
        <v>4139.4900000000007</v>
      </c>
      <c r="N90" s="48">
        <f t="shared" si="22"/>
        <v>12145.5</v>
      </c>
      <c r="O90" s="48">
        <f t="shared" si="22"/>
        <v>5231.21</v>
      </c>
      <c r="P90" s="48">
        <f t="shared" si="22"/>
        <v>4225.7700000000004</v>
      </c>
      <c r="Q90" s="48">
        <f t="shared" si="22"/>
        <v>9484.380000000001</v>
      </c>
      <c r="R90" s="48">
        <f t="shared" si="22"/>
        <v>9474.369999999999</v>
      </c>
      <c r="S90" s="48">
        <f t="shared" si="22"/>
        <v>8450.33</v>
      </c>
      <c r="T90" s="48">
        <f t="shared" si="22"/>
        <v>9489.7999999999993</v>
      </c>
      <c r="U90" s="48">
        <f t="shared" si="22"/>
        <v>14200.57</v>
      </c>
      <c r="V90" s="48">
        <f t="shared" si="22"/>
        <v>14606.279999999999</v>
      </c>
      <c r="W90" s="48">
        <f t="shared" si="22"/>
        <v>8957.25</v>
      </c>
      <c r="X90" s="48">
        <f t="shared" si="22"/>
        <v>12329.1</v>
      </c>
      <c r="Y90" s="48">
        <f t="shared" si="22"/>
        <v>16778.239999999998</v>
      </c>
      <c r="Z90" s="48">
        <f t="shared" si="22"/>
        <v>21594.14</v>
      </c>
      <c r="AA90" s="48">
        <f t="shared" si="22"/>
        <v>21638.760000000002</v>
      </c>
      <c r="AB90" s="48">
        <f t="shared" si="22"/>
        <v>21765.829999999998</v>
      </c>
      <c r="AC90" s="48">
        <f t="shared" si="22"/>
        <v>70176.580000000016</v>
      </c>
      <c r="AD90" s="48">
        <f t="shared" si="22"/>
        <v>58397.04</v>
      </c>
      <c r="AE90" s="48">
        <f t="shared" si="22"/>
        <v>46674.49</v>
      </c>
      <c r="AF90" s="48">
        <f t="shared" si="22"/>
        <v>58073.739999999991</v>
      </c>
      <c r="AG90" s="48">
        <f t="shared" si="22"/>
        <v>41834.670000000006</v>
      </c>
      <c r="AH90" s="48">
        <f t="shared" si="22"/>
        <v>43078.2</v>
      </c>
      <c r="AI90" s="48">
        <f t="shared" si="22"/>
        <v>46612.959999999999</v>
      </c>
      <c r="AJ90" s="48">
        <f t="shared" si="22"/>
        <v>28287.809999999998</v>
      </c>
      <c r="AK90" s="48">
        <f t="shared" si="22"/>
        <v>40634.15</v>
      </c>
      <c r="AL90" s="48">
        <f t="shared" si="22"/>
        <v>54264.619999999995</v>
      </c>
      <c r="AM90" s="48">
        <f t="shared" si="22"/>
        <v>80668.61</v>
      </c>
      <c r="AN90" s="48">
        <f t="shared" si="22"/>
        <v>68773.16</v>
      </c>
      <c r="AO90" s="48">
        <f t="shared" si="22"/>
        <v>57650.740000000005</v>
      </c>
      <c r="AP90" s="48">
        <f t="shared" si="22"/>
        <v>64799.45</v>
      </c>
      <c r="AQ90" s="48">
        <f t="shared" si="22"/>
        <v>124821.09</v>
      </c>
      <c r="AR90" s="48">
        <f t="shared" si="22"/>
        <v>70150.92</v>
      </c>
      <c r="AS90" s="48">
        <f t="shared" si="22"/>
        <v>42251.43</v>
      </c>
      <c r="AT90" s="48">
        <f t="shared" si="22"/>
        <v>0</v>
      </c>
      <c r="AU90" s="48">
        <f t="shared" si="22"/>
        <v>0</v>
      </c>
      <c r="AV90" s="48">
        <f t="shared" si="22"/>
        <v>0</v>
      </c>
      <c r="AW90" s="48">
        <f t="shared" si="22"/>
        <v>0</v>
      </c>
      <c r="AX90" s="48">
        <f t="shared" si="15"/>
        <v>1218354.4599999997</v>
      </c>
    </row>
    <row r="91" spans="1:50" ht="17" customHeight="1" x14ac:dyDescent="0.2">
      <c r="A91" s="40" t="s">
        <v>66</v>
      </c>
      <c r="B91" s="48">
        <f t="shared" ref="B91:AW91" si="23">(B26)-(B90)</f>
        <v>0</v>
      </c>
      <c r="C91" s="48">
        <f t="shared" si="23"/>
        <v>0</v>
      </c>
      <c r="D91" s="48">
        <f t="shared" si="23"/>
        <v>0</v>
      </c>
      <c r="E91" s="48">
        <f t="shared" si="23"/>
        <v>0</v>
      </c>
      <c r="F91" s="48">
        <f t="shared" si="23"/>
        <v>0</v>
      </c>
      <c r="G91" s="48">
        <f t="shared" si="23"/>
        <v>0</v>
      </c>
      <c r="H91" s="48">
        <f t="shared" si="23"/>
        <v>11526.48</v>
      </c>
      <c r="I91" s="48">
        <f t="shared" si="23"/>
        <v>21150.239999999998</v>
      </c>
      <c r="J91" s="48">
        <f t="shared" si="23"/>
        <v>15791.470000000001</v>
      </c>
      <c r="K91" s="48">
        <f t="shared" si="23"/>
        <v>1189.8700000000008</v>
      </c>
      <c r="L91" s="48">
        <f t="shared" si="23"/>
        <v>16886.870000000003</v>
      </c>
      <c r="M91" s="48">
        <f t="shared" si="23"/>
        <v>-20844.160000000003</v>
      </c>
      <c r="N91" s="48">
        <f t="shared" si="23"/>
        <v>1769.1499999999996</v>
      </c>
      <c r="O91" s="48">
        <f t="shared" si="23"/>
        <v>30426.309999999998</v>
      </c>
      <c r="P91" s="48">
        <f t="shared" si="23"/>
        <v>73492.84</v>
      </c>
      <c r="Q91" s="48">
        <f t="shared" si="23"/>
        <v>47613.319999999992</v>
      </c>
      <c r="R91" s="48">
        <f t="shared" si="23"/>
        <v>40243.360000000001</v>
      </c>
      <c r="S91" s="48">
        <f t="shared" si="23"/>
        <v>67119.92</v>
      </c>
      <c r="T91" s="48">
        <f t="shared" si="23"/>
        <v>25561.38</v>
      </c>
      <c r="U91" s="48">
        <f t="shared" si="23"/>
        <v>46212.159999999996</v>
      </c>
      <c r="V91" s="48">
        <f t="shared" si="23"/>
        <v>62999.930000000008</v>
      </c>
      <c r="W91" s="48">
        <f t="shared" si="23"/>
        <v>25738.920000000006</v>
      </c>
      <c r="X91" s="48">
        <f t="shared" si="23"/>
        <v>15211.999999999998</v>
      </c>
      <c r="Y91" s="48">
        <f t="shared" si="23"/>
        <v>-277164.62</v>
      </c>
      <c r="Z91" s="48">
        <f t="shared" si="23"/>
        <v>31091.22</v>
      </c>
      <c r="AA91" s="48">
        <f t="shared" si="23"/>
        <v>39306.46</v>
      </c>
      <c r="AB91" s="48">
        <f t="shared" si="23"/>
        <v>40796.36</v>
      </c>
      <c r="AC91" s="48">
        <f t="shared" si="23"/>
        <v>22201.589999999982</v>
      </c>
      <c r="AD91" s="48">
        <f t="shared" si="23"/>
        <v>11716.590000000004</v>
      </c>
      <c r="AE91" s="48">
        <f t="shared" si="23"/>
        <v>29886.68</v>
      </c>
      <c r="AF91" s="48">
        <f t="shared" si="23"/>
        <v>188.99000000000524</v>
      </c>
      <c r="AG91" s="48">
        <f t="shared" si="23"/>
        <v>37835.19999999999</v>
      </c>
      <c r="AH91" s="48">
        <f t="shared" si="23"/>
        <v>-27876.17</v>
      </c>
      <c r="AI91" s="48">
        <f t="shared" si="23"/>
        <v>37804.730000000003</v>
      </c>
      <c r="AJ91" s="48">
        <f t="shared" si="23"/>
        <v>-56454.319999999992</v>
      </c>
      <c r="AK91" s="48">
        <f t="shared" si="23"/>
        <v>104423.17000000001</v>
      </c>
      <c r="AL91" s="48">
        <f t="shared" si="23"/>
        <v>-649.85999999999331</v>
      </c>
      <c r="AM91" s="48">
        <f t="shared" si="23"/>
        <v>58231.58</v>
      </c>
      <c r="AN91" s="48">
        <f t="shared" si="23"/>
        <v>5292.5299999999988</v>
      </c>
      <c r="AO91" s="48">
        <f t="shared" si="23"/>
        <v>-9677.7200000000084</v>
      </c>
      <c r="AP91" s="48">
        <f t="shared" si="23"/>
        <v>24036.210000000006</v>
      </c>
      <c r="AQ91" s="48">
        <f t="shared" si="23"/>
        <v>32898.299999999988</v>
      </c>
      <c r="AR91" s="48">
        <f t="shared" si="23"/>
        <v>-35873.03</v>
      </c>
      <c r="AS91" s="48">
        <f t="shared" si="23"/>
        <v>109301.13999999998</v>
      </c>
      <c r="AT91" s="48">
        <f t="shared" si="23"/>
        <v>22000</v>
      </c>
      <c r="AU91" s="48">
        <f t="shared" si="23"/>
        <v>0</v>
      </c>
      <c r="AV91" s="48">
        <f t="shared" si="23"/>
        <v>0</v>
      </c>
      <c r="AW91" s="48">
        <f t="shared" si="23"/>
        <v>0</v>
      </c>
      <c r="AX91" s="48">
        <f t="shared" si="15"/>
        <v>681405.09</v>
      </c>
    </row>
    <row r="92" spans="1:50" ht="17" customHeight="1" x14ac:dyDescent="0.2">
      <c r="A92" s="40" t="s">
        <v>148</v>
      </c>
      <c r="B92" s="41"/>
      <c r="C92" s="41"/>
      <c r="D92" s="41"/>
      <c r="E92" s="41"/>
      <c r="F92" s="41"/>
      <c r="G92" s="41"/>
      <c r="H92" s="41"/>
      <c r="I92" s="41"/>
      <c r="J92" s="41"/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1"/>
      <c r="AA92" s="41"/>
      <c r="AB92" s="41"/>
      <c r="AC92" s="41"/>
      <c r="AD92" s="41"/>
      <c r="AE92" s="41"/>
      <c r="AF92" s="41"/>
      <c r="AG92" s="41"/>
      <c r="AH92" s="41"/>
      <c r="AI92" s="41"/>
      <c r="AJ92" s="41"/>
      <c r="AK92" s="41"/>
      <c r="AL92" s="41"/>
      <c r="AM92" s="41"/>
      <c r="AN92" s="41"/>
      <c r="AO92" s="41"/>
      <c r="AP92" s="41"/>
      <c r="AQ92" s="41"/>
      <c r="AR92" s="41"/>
      <c r="AS92" s="41"/>
      <c r="AT92" s="41"/>
      <c r="AU92" s="41"/>
      <c r="AV92" s="41"/>
      <c r="AW92" s="41"/>
      <c r="AX92" s="41"/>
    </row>
    <row r="93" spans="1:50" ht="17" customHeight="1" x14ac:dyDescent="0.2">
      <c r="A93" s="40" t="s">
        <v>147</v>
      </c>
      <c r="B93" s="41"/>
      <c r="C93" s="41"/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  <c r="AA93" s="41"/>
      <c r="AB93" s="41"/>
      <c r="AC93" s="41"/>
      <c r="AD93" s="41"/>
      <c r="AE93" s="41"/>
      <c r="AF93" s="41"/>
      <c r="AG93" s="41"/>
      <c r="AH93" s="41"/>
      <c r="AI93" s="41"/>
      <c r="AJ93" s="41"/>
      <c r="AK93" s="41"/>
      <c r="AL93" s="41"/>
      <c r="AM93" s="41"/>
      <c r="AN93" s="41"/>
      <c r="AO93" s="41"/>
      <c r="AP93" s="41"/>
      <c r="AQ93" s="41"/>
      <c r="AR93" s="41"/>
      <c r="AS93" s="41"/>
      <c r="AT93" s="41"/>
      <c r="AU93" s="41"/>
      <c r="AV93" s="41"/>
      <c r="AW93" s="41"/>
      <c r="AX93" s="42">
        <f>(((((((((((((((((((((((((((((((((((((((((((((((B93)+(C93))+(D93))+(E93))+(F93))+(G93))+(H93))+(I93))+(J93))+(K93))+(L93))+(M93))+(N93))+(O93))+(P93))+(Q93))+(R93))+(S93))+(T93))+(U93))+(V93))+(W93))+(X93))+(Y93))+(Z93))+(AA93))+(AB93))+(AC93))+(AD93))+(AE93))+(AF93))+(AG93))+(AH93))+(AI93))+(AJ93))+(AK93))+(AL93))+(AM93))+(AN93))+(AO93))+(AP93))+(AQ93))+(AR93))+(AS93))+(AT93))+(AU93))+(AV93))+(AW93)</f>
        <v>0</v>
      </c>
    </row>
    <row r="94" spans="1:50" ht="17" customHeight="1" x14ac:dyDescent="0.2">
      <c r="A94" s="40" t="s">
        <v>146</v>
      </c>
      <c r="B94" s="41"/>
      <c r="C94" s="41"/>
      <c r="D94" s="41"/>
      <c r="E94" s="41"/>
      <c r="F94" s="41"/>
      <c r="G94" s="41"/>
      <c r="H94" s="41"/>
      <c r="I94" s="41"/>
      <c r="J94" s="41"/>
      <c r="K94" s="41"/>
      <c r="L94" s="41"/>
      <c r="M94" s="41"/>
      <c r="N94" s="41"/>
      <c r="O94" s="41"/>
      <c r="P94" s="41"/>
      <c r="Q94" s="41"/>
      <c r="R94" s="41"/>
      <c r="S94" s="41"/>
      <c r="T94" s="41"/>
      <c r="U94" s="41"/>
      <c r="V94" s="42">
        <f>1.97</f>
        <v>1.97</v>
      </c>
      <c r="W94" s="42">
        <f>3.22</f>
        <v>3.22</v>
      </c>
      <c r="X94" s="42">
        <f>2.47</f>
        <v>2.4700000000000002</v>
      </c>
      <c r="Y94" s="42">
        <f>2.41</f>
        <v>2.41</v>
      </c>
      <c r="Z94" s="42">
        <f>2.34</f>
        <v>2.34</v>
      </c>
      <c r="AA94" s="42">
        <f>2.48</f>
        <v>2.48</v>
      </c>
      <c r="AB94" s="42">
        <f>3.99</f>
        <v>3.99</v>
      </c>
      <c r="AC94" s="42">
        <f>5.81</f>
        <v>5.81</v>
      </c>
      <c r="AD94" s="42">
        <f>6.96</f>
        <v>6.96</v>
      </c>
      <c r="AE94" s="42">
        <f>4.36</f>
        <v>4.3600000000000003</v>
      </c>
      <c r="AF94" s="42">
        <f>4.75</f>
        <v>4.75</v>
      </c>
      <c r="AG94" s="42">
        <f>1.95</f>
        <v>1.95</v>
      </c>
      <c r="AH94" s="41"/>
      <c r="AI94" s="41"/>
      <c r="AJ94" s="41"/>
      <c r="AK94" s="41"/>
      <c r="AL94" s="41"/>
      <c r="AM94" s="41"/>
      <c r="AN94" s="41"/>
      <c r="AO94" s="41"/>
      <c r="AP94" s="41"/>
      <c r="AQ94" s="41"/>
      <c r="AR94" s="41"/>
      <c r="AS94" s="41"/>
      <c r="AT94" s="41"/>
      <c r="AU94" s="41"/>
      <c r="AV94" s="41"/>
      <c r="AW94" s="41"/>
      <c r="AX94" s="42">
        <f>(((((((((((((((((((((((((((((((((((((((((((((((B94)+(C94))+(D94))+(E94))+(F94))+(G94))+(H94))+(I94))+(J94))+(K94))+(L94))+(M94))+(N94))+(O94))+(P94))+(Q94))+(R94))+(S94))+(T94))+(U94))+(V94))+(W94))+(X94))+(Y94))+(Z94))+(AA94))+(AB94))+(AC94))+(AD94))+(AE94))+(AF94))+(AG94))+(AH94))+(AI94))+(AJ94))+(AK94))+(AL94))+(AM94))+(AN94))+(AO94))+(AP94))+(AQ94))+(AR94))+(AS94))+(AT94))+(AU94))+(AV94))+(AW94)</f>
        <v>42.710000000000008</v>
      </c>
    </row>
    <row r="95" spans="1:50" ht="17" customHeight="1" x14ac:dyDescent="0.2">
      <c r="A95" s="40" t="s">
        <v>145</v>
      </c>
      <c r="B95" s="48">
        <f t="shared" ref="B95:AW95" si="24">(B93)+(B94)</f>
        <v>0</v>
      </c>
      <c r="C95" s="48">
        <f t="shared" si="24"/>
        <v>0</v>
      </c>
      <c r="D95" s="48">
        <f t="shared" si="24"/>
        <v>0</v>
      </c>
      <c r="E95" s="48">
        <f t="shared" si="24"/>
        <v>0</v>
      </c>
      <c r="F95" s="48">
        <f t="shared" si="24"/>
        <v>0</v>
      </c>
      <c r="G95" s="48">
        <f t="shared" si="24"/>
        <v>0</v>
      </c>
      <c r="H95" s="48">
        <f t="shared" si="24"/>
        <v>0</v>
      </c>
      <c r="I95" s="48">
        <f t="shared" si="24"/>
        <v>0</v>
      </c>
      <c r="J95" s="48">
        <f t="shared" si="24"/>
        <v>0</v>
      </c>
      <c r="K95" s="48">
        <f t="shared" si="24"/>
        <v>0</v>
      </c>
      <c r="L95" s="48">
        <f t="shared" si="24"/>
        <v>0</v>
      </c>
      <c r="M95" s="48">
        <f t="shared" si="24"/>
        <v>0</v>
      </c>
      <c r="N95" s="48">
        <f t="shared" si="24"/>
        <v>0</v>
      </c>
      <c r="O95" s="48">
        <f t="shared" si="24"/>
        <v>0</v>
      </c>
      <c r="P95" s="48">
        <f t="shared" si="24"/>
        <v>0</v>
      </c>
      <c r="Q95" s="48">
        <f t="shared" si="24"/>
        <v>0</v>
      </c>
      <c r="R95" s="48">
        <f t="shared" si="24"/>
        <v>0</v>
      </c>
      <c r="S95" s="48">
        <f t="shared" si="24"/>
        <v>0</v>
      </c>
      <c r="T95" s="48">
        <f t="shared" si="24"/>
        <v>0</v>
      </c>
      <c r="U95" s="48">
        <f t="shared" si="24"/>
        <v>0</v>
      </c>
      <c r="V95" s="48">
        <f t="shared" si="24"/>
        <v>1.97</v>
      </c>
      <c r="W95" s="48">
        <f t="shared" si="24"/>
        <v>3.22</v>
      </c>
      <c r="X95" s="48">
        <f t="shared" si="24"/>
        <v>2.4700000000000002</v>
      </c>
      <c r="Y95" s="48">
        <f t="shared" si="24"/>
        <v>2.41</v>
      </c>
      <c r="Z95" s="48">
        <f t="shared" si="24"/>
        <v>2.34</v>
      </c>
      <c r="AA95" s="48">
        <f t="shared" si="24"/>
        <v>2.48</v>
      </c>
      <c r="AB95" s="48">
        <f t="shared" si="24"/>
        <v>3.99</v>
      </c>
      <c r="AC95" s="48">
        <f t="shared" si="24"/>
        <v>5.81</v>
      </c>
      <c r="AD95" s="48">
        <f t="shared" si="24"/>
        <v>6.96</v>
      </c>
      <c r="AE95" s="48">
        <f t="shared" si="24"/>
        <v>4.3600000000000003</v>
      </c>
      <c r="AF95" s="48">
        <f t="shared" si="24"/>
        <v>4.75</v>
      </c>
      <c r="AG95" s="48">
        <f t="shared" si="24"/>
        <v>1.95</v>
      </c>
      <c r="AH95" s="48">
        <f t="shared" si="24"/>
        <v>0</v>
      </c>
      <c r="AI95" s="48">
        <f t="shared" si="24"/>
        <v>0</v>
      </c>
      <c r="AJ95" s="48">
        <f t="shared" si="24"/>
        <v>0</v>
      </c>
      <c r="AK95" s="48">
        <f t="shared" si="24"/>
        <v>0</v>
      </c>
      <c r="AL95" s="48">
        <f t="shared" si="24"/>
        <v>0</v>
      </c>
      <c r="AM95" s="48">
        <f t="shared" si="24"/>
        <v>0</v>
      </c>
      <c r="AN95" s="48">
        <f t="shared" si="24"/>
        <v>0</v>
      </c>
      <c r="AO95" s="48">
        <f t="shared" si="24"/>
        <v>0</v>
      </c>
      <c r="AP95" s="48">
        <f t="shared" si="24"/>
        <v>0</v>
      </c>
      <c r="AQ95" s="48">
        <f t="shared" si="24"/>
        <v>0</v>
      </c>
      <c r="AR95" s="48">
        <f t="shared" si="24"/>
        <v>0</v>
      </c>
      <c r="AS95" s="48">
        <f t="shared" si="24"/>
        <v>0</v>
      </c>
      <c r="AT95" s="48">
        <f t="shared" si="24"/>
        <v>0</v>
      </c>
      <c r="AU95" s="48">
        <f t="shared" si="24"/>
        <v>0</v>
      </c>
      <c r="AV95" s="48">
        <f t="shared" si="24"/>
        <v>0</v>
      </c>
      <c r="AW95" s="48">
        <f t="shared" si="24"/>
        <v>0</v>
      </c>
      <c r="AX95" s="48">
        <f>(((((((((((((((((((((((((((((((((((((((((((((((B95)+(C95))+(D95))+(E95))+(F95))+(G95))+(H95))+(I95))+(J95))+(K95))+(L95))+(M95))+(N95))+(O95))+(P95))+(Q95))+(R95))+(S95))+(T95))+(U95))+(V95))+(W95))+(X95))+(Y95))+(Z95))+(AA95))+(AB95))+(AC95))+(AD95))+(AE95))+(AF95))+(AG95))+(AH95))+(AI95))+(AJ95))+(AK95))+(AL95))+(AM95))+(AN95))+(AO95))+(AP95))+(AQ95))+(AR95))+(AS95))+(AT95))+(AU95))+(AV95))+(AW95)</f>
        <v>42.710000000000008</v>
      </c>
    </row>
    <row r="96" spans="1:50" ht="17" customHeight="1" x14ac:dyDescent="0.2">
      <c r="A96" s="40" t="s">
        <v>144</v>
      </c>
      <c r="B96" s="48">
        <f t="shared" ref="B96:AW96" si="25">B95</f>
        <v>0</v>
      </c>
      <c r="C96" s="48">
        <f t="shared" si="25"/>
        <v>0</v>
      </c>
      <c r="D96" s="48">
        <f t="shared" si="25"/>
        <v>0</v>
      </c>
      <c r="E96" s="48">
        <f t="shared" si="25"/>
        <v>0</v>
      </c>
      <c r="F96" s="48">
        <f t="shared" si="25"/>
        <v>0</v>
      </c>
      <c r="G96" s="48">
        <f t="shared" si="25"/>
        <v>0</v>
      </c>
      <c r="H96" s="48">
        <f t="shared" si="25"/>
        <v>0</v>
      </c>
      <c r="I96" s="48">
        <f t="shared" si="25"/>
        <v>0</v>
      </c>
      <c r="J96" s="48">
        <f t="shared" si="25"/>
        <v>0</v>
      </c>
      <c r="K96" s="48">
        <f t="shared" si="25"/>
        <v>0</v>
      </c>
      <c r="L96" s="48">
        <f t="shared" si="25"/>
        <v>0</v>
      </c>
      <c r="M96" s="48">
        <f t="shared" si="25"/>
        <v>0</v>
      </c>
      <c r="N96" s="48">
        <f t="shared" si="25"/>
        <v>0</v>
      </c>
      <c r="O96" s="48">
        <f t="shared" si="25"/>
        <v>0</v>
      </c>
      <c r="P96" s="48">
        <f t="shared" si="25"/>
        <v>0</v>
      </c>
      <c r="Q96" s="48">
        <f t="shared" si="25"/>
        <v>0</v>
      </c>
      <c r="R96" s="48">
        <f t="shared" si="25"/>
        <v>0</v>
      </c>
      <c r="S96" s="48">
        <f t="shared" si="25"/>
        <v>0</v>
      </c>
      <c r="T96" s="48">
        <f t="shared" si="25"/>
        <v>0</v>
      </c>
      <c r="U96" s="48">
        <f t="shared" si="25"/>
        <v>0</v>
      </c>
      <c r="V96" s="48">
        <f t="shared" si="25"/>
        <v>1.97</v>
      </c>
      <c r="W96" s="48">
        <f t="shared" si="25"/>
        <v>3.22</v>
      </c>
      <c r="X96" s="48">
        <f t="shared" si="25"/>
        <v>2.4700000000000002</v>
      </c>
      <c r="Y96" s="48">
        <f t="shared" si="25"/>
        <v>2.41</v>
      </c>
      <c r="Z96" s="48">
        <f t="shared" si="25"/>
        <v>2.34</v>
      </c>
      <c r="AA96" s="48">
        <f t="shared" si="25"/>
        <v>2.48</v>
      </c>
      <c r="AB96" s="48">
        <f t="shared" si="25"/>
        <v>3.99</v>
      </c>
      <c r="AC96" s="48">
        <f t="shared" si="25"/>
        <v>5.81</v>
      </c>
      <c r="AD96" s="48">
        <f t="shared" si="25"/>
        <v>6.96</v>
      </c>
      <c r="AE96" s="48">
        <f t="shared" si="25"/>
        <v>4.3600000000000003</v>
      </c>
      <c r="AF96" s="48">
        <f t="shared" si="25"/>
        <v>4.75</v>
      </c>
      <c r="AG96" s="48">
        <f t="shared" si="25"/>
        <v>1.95</v>
      </c>
      <c r="AH96" s="48">
        <f t="shared" si="25"/>
        <v>0</v>
      </c>
      <c r="AI96" s="48">
        <f t="shared" si="25"/>
        <v>0</v>
      </c>
      <c r="AJ96" s="48">
        <f t="shared" si="25"/>
        <v>0</v>
      </c>
      <c r="AK96" s="48">
        <f t="shared" si="25"/>
        <v>0</v>
      </c>
      <c r="AL96" s="48">
        <f t="shared" si="25"/>
        <v>0</v>
      </c>
      <c r="AM96" s="48">
        <f t="shared" si="25"/>
        <v>0</v>
      </c>
      <c r="AN96" s="48">
        <f t="shared" si="25"/>
        <v>0</v>
      </c>
      <c r="AO96" s="48">
        <f t="shared" si="25"/>
        <v>0</v>
      </c>
      <c r="AP96" s="48">
        <f t="shared" si="25"/>
        <v>0</v>
      </c>
      <c r="AQ96" s="48">
        <f t="shared" si="25"/>
        <v>0</v>
      </c>
      <c r="AR96" s="48">
        <f t="shared" si="25"/>
        <v>0</v>
      </c>
      <c r="AS96" s="48">
        <f t="shared" si="25"/>
        <v>0</v>
      </c>
      <c r="AT96" s="48">
        <f t="shared" si="25"/>
        <v>0</v>
      </c>
      <c r="AU96" s="48">
        <f t="shared" si="25"/>
        <v>0</v>
      </c>
      <c r="AV96" s="48">
        <f t="shared" si="25"/>
        <v>0</v>
      </c>
      <c r="AW96" s="48">
        <f t="shared" si="25"/>
        <v>0</v>
      </c>
      <c r="AX96" s="48">
        <f>(((((((((((((((((((((((((((((((((((((((((((((((B96)+(C96))+(D96))+(E96))+(F96))+(G96))+(H96))+(I96))+(J96))+(K96))+(L96))+(M96))+(N96))+(O96))+(P96))+(Q96))+(R96))+(S96))+(T96))+(U96))+(V96))+(W96))+(X96))+(Y96))+(Z96))+(AA96))+(AB96))+(AC96))+(AD96))+(AE96))+(AF96))+(AG96))+(AH96))+(AI96))+(AJ96))+(AK96))+(AL96))+(AM96))+(AN96))+(AO96))+(AP96))+(AQ96))+(AR96))+(AS96))+(AT96))+(AU96))+(AV96))+(AW96)</f>
        <v>42.710000000000008</v>
      </c>
    </row>
    <row r="97" spans="1:50" ht="17" customHeight="1" x14ac:dyDescent="0.2">
      <c r="A97" s="40" t="s">
        <v>80</v>
      </c>
      <c r="B97" s="41"/>
      <c r="C97" s="41"/>
      <c r="D97" s="41"/>
      <c r="E97" s="41"/>
      <c r="F97" s="41"/>
      <c r="G97" s="41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  <c r="Z97" s="41"/>
      <c r="AA97" s="41"/>
      <c r="AB97" s="41"/>
      <c r="AC97" s="41"/>
      <c r="AD97" s="41"/>
      <c r="AE97" s="41"/>
      <c r="AF97" s="41"/>
      <c r="AG97" s="41"/>
      <c r="AH97" s="41"/>
      <c r="AI97" s="41"/>
      <c r="AJ97" s="41"/>
      <c r="AK97" s="41"/>
      <c r="AL97" s="41"/>
      <c r="AM97" s="41"/>
      <c r="AN97" s="41"/>
      <c r="AO97" s="41"/>
      <c r="AP97" s="41"/>
      <c r="AQ97" s="41"/>
      <c r="AR97" s="41"/>
      <c r="AS97" s="41"/>
      <c r="AT97" s="41"/>
      <c r="AU97" s="41"/>
      <c r="AV97" s="41"/>
      <c r="AW97" s="41"/>
      <c r="AX97" s="41"/>
    </row>
    <row r="98" spans="1:50" ht="17" customHeight="1" x14ac:dyDescent="0.2">
      <c r="A98" s="40" t="s">
        <v>81</v>
      </c>
      <c r="B98" s="41"/>
      <c r="C98" s="41"/>
      <c r="D98" s="41"/>
      <c r="E98" s="41"/>
      <c r="F98" s="41"/>
      <c r="G98" s="41"/>
      <c r="H98" s="41"/>
      <c r="I98" s="41"/>
      <c r="J98" s="41"/>
      <c r="K98" s="41"/>
      <c r="L98" s="41"/>
      <c r="M98" s="41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  <c r="Z98" s="41"/>
      <c r="AA98" s="41"/>
      <c r="AB98" s="41"/>
      <c r="AC98" s="41"/>
      <c r="AD98" s="41"/>
      <c r="AE98" s="41"/>
      <c r="AF98" s="41"/>
      <c r="AG98" s="41"/>
      <c r="AH98" s="41"/>
      <c r="AI98" s="41"/>
      <c r="AJ98" s="41"/>
      <c r="AK98" s="41"/>
      <c r="AL98" s="41"/>
      <c r="AM98" s="41"/>
      <c r="AN98" s="41"/>
      <c r="AO98" s="41"/>
      <c r="AP98" s="41"/>
      <c r="AQ98" s="41"/>
      <c r="AR98" s="41"/>
      <c r="AS98" s="41"/>
      <c r="AT98" s="41"/>
      <c r="AU98" s="41"/>
      <c r="AV98" s="41"/>
      <c r="AW98" s="41"/>
      <c r="AX98" s="42">
        <f t="shared" ref="AX98:AX104" si="26">(((((((((((((((((((((((((((((((((((((((((((((((B98)+(C98))+(D98))+(E98))+(F98))+(G98))+(H98))+(I98))+(J98))+(K98))+(L98))+(M98))+(N98))+(O98))+(P98))+(Q98))+(R98))+(S98))+(T98))+(U98))+(V98))+(W98))+(X98))+(Y98))+(Z98))+(AA98))+(AB98))+(AC98))+(AD98))+(AE98))+(AF98))+(AG98))+(AH98))+(AI98))+(AJ98))+(AK98))+(AL98))+(AM98))+(AN98))+(AO98))+(AP98))+(AQ98))+(AR98))+(AS98))+(AT98))+(AU98))+(AV98))+(AW98)</f>
        <v>0</v>
      </c>
    </row>
    <row r="99" spans="1:50" ht="17" customHeight="1" x14ac:dyDescent="0.2">
      <c r="A99" s="40" t="s">
        <v>82</v>
      </c>
      <c r="B99" s="41"/>
      <c r="C99" s="41"/>
      <c r="D99" s="41"/>
      <c r="E99" s="41"/>
      <c r="F99" s="41"/>
      <c r="G99" s="41"/>
      <c r="H99" s="41"/>
      <c r="I99" s="41"/>
      <c r="J99" s="41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  <c r="Z99" s="41"/>
      <c r="AA99" s="41"/>
      <c r="AB99" s="41"/>
      <c r="AC99" s="41"/>
      <c r="AD99" s="41"/>
      <c r="AE99" s="41"/>
      <c r="AF99" s="41"/>
      <c r="AG99" s="41"/>
      <c r="AH99" s="41"/>
      <c r="AI99" s="41"/>
      <c r="AJ99" s="41"/>
      <c r="AK99" s="41"/>
      <c r="AL99" s="41"/>
      <c r="AM99" s="41"/>
      <c r="AN99" s="41"/>
      <c r="AO99" s="41"/>
      <c r="AP99" s="41"/>
      <c r="AQ99" s="42">
        <f>37.92</f>
        <v>37.92</v>
      </c>
      <c r="AR99" s="42">
        <f>36.54</f>
        <v>36.54</v>
      </c>
      <c r="AS99" s="41"/>
      <c r="AT99" s="41"/>
      <c r="AU99" s="41"/>
      <c r="AV99" s="41"/>
      <c r="AW99" s="41"/>
      <c r="AX99" s="42">
        <f t="shared" si="26"/>
        <v>74.460000000000008</v>
      </c>
    </row>
    <row r="100" spans="1:50" ht="17" customHeight="1" x14ac:dyDescent="0.2">
      <c r="A100" s="40" t="s">
        <v>83</v>
      </c>
      <c r="B100" s="48">
        <f t="shared" ref="B100:AW100" si="27">(B98)+(B99)</f>
        <v>0</v>
      </c>
      <c r="C100" s="48">
        <f t="shared" si="27"/>
        <v>0</v>
      </c>
      <c r="D100" s="48">
        <f t="shared" si="27"/>
        <v>0</v>
      </c>
      <c r="E100" s="48">
        <f t="shared" si="27"/>
        <v>0</v>
      </c>
      <c r="F100" s="48">
        <f t="shared" si="27"/>
        <v>0</v>
      </c>
      <c r="G100" s="48">
        <f t="shared" si="27"/>
        <v>0</v>
      </c>
      <c r="H100" s="48">
        <f t="shared" si="27"/>
        <v>0</v>
      </c>
      <c r="I100" s="48">
        <f t="shared" si="27"/>
        <v>0</v>
      </c>
      <c r="J100" s="48">
        <f t="shared" si="27"/>
        <v>0</v>
      </c>
      <c r="K100" s="48">
        <f t="shared" si="27"/>
        <v>0</v>
      </c>
      <c r="L100" s="48">
        <f t="shared" si="27"/>
        <v>0</v>
      </c>
      <c r="M100" s="48">
        <f t="shared" si="27"/>
        <v>0</v>
      </c>
      <c r="N100" s="48">
        <f t="shared" si="27"/>
        <v>0</v>
      </c>
      <c r="O100" s="48">
        <f t="shared" si="27"/>
        <v>0</v>
      </c>
      <c r="P100" s="48">
        <f t="shared" si="27"/>
        <v>0</v>
      </c>
      <c r="Q100" s="48">
        <f t="shared" si="27"/>
        <v>0</v>
      </c>
      <c r="R100" s="48">
        <f t="shared" si="27"/>
        <v>0</v>
      </c>
      <c r="S100" s="48">
        <f t="shared" si="27"/>
        <v>0</v>
      </c>
      <c r="T100" s="48">
        <f t="shared" si="27"/>
        <v>0</v>
      </c>
      <c r="U100" s="48">
        <f t="shared" si="27"/>
        <v>0</v>
      </c>
      <c r="V100" s="48">
        <f t="shared" si="27"/>
        <v>0</v>
      </c>
      <c r="W100" s="48">
        <f t="shared" si="27"/>
        <v>0</v>
      </c>
      <c r="X100" s="48">
        <f t="shared" si="27"/>
        <v>0</v>
      </c>
      <c r="Y100" s="48">
        <f t="shared" si="27"/>
        <v>0</v>
      </c>
      <c r="Z100" s="48">
        <f t="shared" si="27"/>
        <v>0</v>
      </c>
      <c r="AA100" s="48">
        <f t="shared" si="27"/>
        <v>0</v>
      </c>
      <c r="AB100" s="48">
        <f t="shared" si="27"/>
        <v>0</v>
      </c>
      <c r="AC100" s="48">
        <f t="shared" si="27"/>
        <v>0</v>
      </c>
      <c r="AD100" s="48">
        <f t="shared" si="27"/>
        <v>0</v>
      </c>
      <c r="AE100" s="48">
        <f t="shared" si="27"/>
        <v>0</v>
      </c>
      <c r="AF100" s="48">
        <f t="shared" si="27"/>
        <v>0</v>
      </c>
      <c r="AG100" s="48">
        <f t="shared" si="27"/>
        <v>0</v>
      </c>
      <c r="AH100" s="48">
        <f t="shared" si="27"/>
        <v>0</v>
      </c>
      <c r="AI100" s="48">
        <f t="shared" si="27"/>
        <v>0</v>
      </c>
      <c r="AJ100" s="48">
        <f t="shared" si="27"/>
        <v>0</v>
      </c>
      <c r="AK100" s="48">
        <f t="shared" si="27"/>
        <v>0</v>
      </c>
      <c r="AL100" s="48">
        <f t="shared" si="27"/>
        <v>0</v>
      </c>
      <c r="AM100" s="48">
        <f t="shared" si="27"/>
        <v>0</v>
      </c>
      <c r="AN100" s="48">
        <f t="shared" si="27"/>
        <v>0</v>
      </c>
      <c r="AO100" s="48">
        <f t="shared" si="27"/>
        <v>0</v>
      </c>
      <c r="AP100" s="48">
        <f t="shared" si="27"/>
        <v>0</v>
      </c>
      <c r="AQ100" s="48">
        <f t="shared" si="27"/>
        <v>37.92</v>
      </c>
      <c r="AR100" s="48">
        <f t="shared" si="27"/>
        <v>36.54</v>
      </c>
      <c r="AS100" s="48">
        <f t="shared" si="27"/>
        <v>0</v>
      </c>
      <c r="AT100" s="48">
        <f t="shared" si="27"/>
        <v>0</v>
      </c>
      <c r="AU100" s="48">
        <f t="shared" si="27"/>
        <v>0</v>
      </c>
      <c r="AV100" s="48">
        <f t="shared" si="27"/>
        <v>0</v>
      </c>
      <c r="AW100" s="48">
        <f t="shared" si="27"/>
        <v>0</v>
      </c>
      <c r="AX100" s="48">
        <f t="shared" si="26"/>
        <v>74.460000000000008</v>
      </c>
    </row>
    <row r="101" spans="1:50" ht="17" customHeight="1" x14ac:dyDescent="0.2">
      <c r="A101" s="40" t="s">
        <v>143</v>
      </c>
      <c r="B101" s="41"/>
      <c r="C101" s="41"/>
      <c r="D101" s="41"/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41"/>
      <c r="T101" s="41"/>
      <c r="U101" s="41"/>
      <c r="V101" s="42">
        <f>4.34</f>
        <v>4.34</v>
      </c>
      <c r="W101" s="41"/>
      <c r="X101" s="41"/>
      <c r="Y101" s="41"/>
      <c r="Z101" s="41"/>
      <c r="AA101" s="41"/>
      <c r="AB101" s="41"/>
      <c r="AC101" s="41"/>
      <c r="AD101" s="41"/>
      <c r="AE101" s="41"/>
      <c r="AF101" s="41"/>
      <c r="AG101" s="41"/>
      <c r="AH101" s="41"/>
      <c r="AI101" s="41"/>
      <c r="AJ101" s="41"/>
      <c r="AK101" s="41"/>
      <c r="AL101" s="41"/>
      <c r="AM101" s="41"/>
      <c r="AN101" s="41"/>
      <c r="AO101" s="41"/>
      <c r="AP101" s="41"/>
      <c r="AQ101" s="41"/>
      <c r="AR101" s="41"/>
      <c r="AS101" s="41"/>
      <c r="AT101" s="41"/>
      <c r="AU101" s="41"/>
      <c r="AV101" s="41"/>
      <c r="AW101" s="41"/>
      <c r="AX101" s="42">
        <f t="shared" si="26"/>
        <v>4.34</v>
      </c>
    </row>
    <row r="102" spans="1:50" ht="17" customHeight="1" x14ac:dyDescent="0.2">
      <c r="A102" s="40" t="s">
        <v>84</v>
      </c>
      <c r="B102" s="48">
        <f t="shared" ref="B102:AW102" si="28">(B100)+(B101)</f>
        <v>0</v>
      </c>
      <c r="C102" s="48">
        <f t="shared" si="28"/>
        <v>0</v>
      </c>
      <c r="D102" s="48">
        <f t="shared" si="28"/>
        <v>0</v>
      </c>
      <c r="E102" s="48">
        <f t="shared" si="28"/>
        <v>0</v>
      </c>
      <c r="F102" s="48">
        <f t="shared" si="28"/>
        <v>0</v>
      </c>
      <c r="G102" s="48">
        <f t="shared" si="28"/>
        <v>0</v>
      </c>
      <c r="H102" s="48">
        <f t="shared" si="28"/>
        <v>0</v>
      </c>
      <c r="I102" s="48">
        <f t="shared" si="28"/>
        <v>0</v>
      </c>
      <c r="J102" s="48">
        <f t="shared" si="28"/>
        <v>0</v>
      </c>
      <c r="K102" s="48">
        <f t="shared" si="28"/>
        <v>0</v>
      </c>
      <c r="L102" s="48">
        <f t="shared" si="28"/>
        <v>0</v>
      </c>
      <c r="M102" s="48">
        <f t="shared" si="28"/>
        <v>0</v>
      </c>
      <c r="N102" s="48">
        <f t="shared" si="28"/>
        <v>0</v>
      </c>
      <c r="O102" s="48">
        <f t="shared" si="28"/>
        <v>0</v>
      </c>
      <c r="P102" s="48">
        <f t="shared" si="28"/>
        <v>0</v>
      </c>
      <c r="Q102" s="48">
        <f t="shared" si="28"/>
        <v>0</v>
      </c>
      <c r="R102" s="48">
        <f t="shared" si="28"/>
        <v>0</v>
      </c>
      <c r="S102" s="48">
        <f t="shared" si="28"/>
        <v>0</v>
      </c>
      <c r="T102" s="48">
        <f t="shared" si="28"/>
        <v>0</v>
      </c>
      <c r="U102" s="48">
        <f t="shared" si="28"/>
        <v>0</v>
      </c>
      <c r="V102" s="48">
        <f t="shared" si="28"/>
        <v>4.34</v>
      </c>
      <c r="W102" s="48">
        <f t="shared" si="28"/>
        <v>0</v>
      </c>
      <c r="X102" s="48">
        <f t="shared" si="28"/>
        <v>0</v>
      </c>
      <c r="Y102" s="48">
        <f t="shared" si="28"/>
        <v>0</v>
      </c>
      <c r="Z102" s="48">
        <f t="shared" si="28"/>
        <v>0</v>
      </c>
      <c r="AA102" s="48">
        <f t="shared" si="28"/>
        <v>0</v>
      </c>
      <c r="AB102" s="48">
        <f t="shared" si="28"/>
        <v>0</v>
      </c>
      <c r="AC102" s="48">
        <f t="shared" si="28"/>
        <v>0</v>
      </c>
      <c r="AD102" s="48">
        <f t="shared" si="28"/>
        <v>0</v>
      </c>
      <c r="AE102" s="48">
        <f t="shared" si="28"/>
        <v>0</v>
      </c>
      <c r="AF102" s="48">
        <f t="shared" si="28"/>
        <v>0</v>
      </c>
      <c r="AG102" s="48">
        <f t="shared" si="28"/>
        <v>0</v>
      </c>
      <c r="AH102" s="48">
        <f t="shared" si="28"/>
        <v>0</v>
      </c>
      <c r="AI102" s="48">
        <f t="shared" si="28"/>
        <v>0</v>
      </c>
      <c r="AJ102" s="48">
        <f t="shared" si="28"/>
        <v>0</v>
      </c>
      <c r="AK102" s="48">
        <f t="shared" si="28"/>
        <v>0</v>
      </c>
      <c r="AL102" s="48">
        <f t="shared" si="28"/>
        <v>0</v>
      </c>
      <c r="AM102" s="48">
        <f t="shared" si="28"/>
        <v>0</v>
      </c>
      <c r="AN102" s="48">
        <f t="shared" si="28"/>
        <v>0</v>
      </c>
      <c r="AO102" s="48">
        <f t="shared" si="28"/>
        <v>0</v>
      </c>
      <c r="AP102" s="48">
        <f t="shared" si="28"/>
        <v>0</v>
      </c>
      <c r="AQ102" s="48">
        <f t="shared" si="28"/>
        <v>37.92</v>
      </c>
      <c r="AR102" s="48">
        <f t="shared" si="28"/>
        <v>36.54</v>
      </c>
      <c r="AS102" s="48">
        <f t="shared" si="28"/>
        <v>0</v>
      </c>
      <c r="AT102" s="48">
        <f t="shared" si="28"/>
        <v>0</v>
      </c>
      <c r="AU102" s="48">
        <f t="shared" si="28"/>
        <v>0</v>
      </c>
      <c r="AV102" s="48">
        <f t="shared" si="28"/>
        <v>0</v>
      </c>
      <c r="AW102" s="48">
        <f t="shared" si="28"/>
        <v>0</v>
      </c>
      <c r="AX102" s="48">
        <f t="shared" si="26"/>
        <v>78.800000000000011</v>
      </c>
    </row>
    <row r="103" spans="1:50" ht="17" customHeight="1" x14ac:dyDescent="0.2">
      <c r="A103" s="40" t="s">
        <v>85</v>
      </c>
      <c r="B103" s="48">
        <f t="shared" ref="B103:AW103" si="29">(B96)-(B102)</f>
        <v>0</v>
      </c>
      <c r="C103" s="48">
        <f t="shared" si="29"/>
        <v>0</v>
      </c>
      <c r="D103" s="48">
        <f t="shared" si="29"/>
        <v>0</v>
      </c>
      <c r="E103" s="48">
        <f t="shared" si="29"/>
        <v>0</v>
      </c>
      <c r="F103" s="48">
        <f t="shared" si="29"/>
        <v>0</v>
      </c>
      <c r="G103" s="48">
        <f t="shared" si="29"/>
        <v>0</v>
      </c>
      <c r="H103" s="48">
        <f t="shared" si="29"/>
        <v>0</v>
      </c>
      <c r="I103" s="48">
        <f t="shared" si="29"/>
        <v>0</v>
      </c>
      <c r="J103" s="48">
        <f t="shared" si="29"/>
        <v>0</v>
      </c>
      <c r="K103" s="48">
        <f t="shared" si="29"/>
        <v>0</v>
      </c>
      <c r="L103" s="48">
        <f t="shared" si="29"/>
        <v>0</v>
      </c>
      <c r="M103" s="48">
        <f t="shared" si="29"/>
        <v>0</v>
      </c>
      <c r="N103" s="48">
        <f t="shared" si="29"/>
        <v>0</v>
      </c>
      <c r="O103" s="48">
        <f t="shared" si="29"/>
        <v>0</v>
      </c>
      <c r="P103" s="48">
        <f t="shared" si="29"/>
        <v>0</v>
      </c>
      <c r="Q103" s="48">
        <f t="shared" si="29"/>
        <v>0</v>
      </c>
      <c r="R103" s="48">
        <f t="shared" si="29"/>
        <v>0</v>
      </c>
      <c r="S103" s="48">
        <f t="shared" si="29"/>
        <v>0</v>
      </c>
      <c r="T103" s="48">
        <f t="shared" si="29"/>
        <v>0</v>
      </c>
      <c r="U103" s="48">
        <f t="shared" si="29"/>
        <v>0</v>
      </c>
      <c r="V103" s="48">
        <f t="shared" si="29"/>
        <v>-2.37</v>
      </c>
      <c r="W103" s="48">
        <f t="shared" si="29"/>
        <v>3.22</v>
      </c>
      <c r="X103" s="48">
        <f t="shared" si="29"/>
        <v>2.4700000000000002</v>
      </c>
      <c r="Y103" s="48">
        <f t="shared" si="29"/>
        <v>2.41</v>
      </c>
      <c r="Z103" s="48">
        <f t="shared" si="29"/>
        <v>2.34</v>
      </c>
      <c r="AA103" s="48">
        <f t="shared" si="29"/>
        <v>2.48</v>
      </c>
      <c r="AB103" s="48">
        <f t="shared" si="29"/>
        <v>3.99</v>
      </c>
      <c r="AC103" s="48">
        <f t="shared" si="29"/>
        <v>5.81</v>
      </c>
      <c r="AD103" s="48">
        <f t="shared" si="29"/>
        <v>6.96</v>
      </c>
      <c r="AE103" s="48">
        <f t="shared" si="29"/>
        <v>4.3600000000000003</v>
      </c>
      <c r="AF103" s="48">
        <f t="shared" si="29"/>
        <v>4.75</v>
      </c>
      <c r="AG103" s="48">
        <f t="shared" si="29"/>
        <v>1.95</v>
      </c>
      <c r="AH103" s="48">
        <f t="shared" si="29"/>
        <v>0</v>
      </c>
      <c r="AI103" s="48">
        <f t="shared" si="29"/>
        <v>0</v>
      </c>
      <c r="AJ103" s="48">
        <f t="shared" si="29"/>
        <v>0</v>
      </c>
      <c r="AK103" s="48">
        <f t="shared" si="29"/>
        <v>0</v>
      </c>
      <c r="AL103" s="48">
        <f t="shared" si="29"/>
        <v>0</v>
      </c>
      <c r="AM103" s="48">
        <f t="shared" si="29"/>
        <v>0</v>
      </c>
      <c r="AN103" s="48">
        <f t="shared" si="29"/>
        <v>0</v>
      </c>
      <c r="AO103" s="48">
        <f t="shared" si="29"/>
        <v>0</v>
      </c>
      <c r="AP103" s="48">
        <f t="shared" si="29"/>
        <v>0</v>
      </c>
      <c r="AQ103" s="48">
        <f t="shared" si="29"/>
        <v>-37.92</v>
      </c>
      <c r="AR103" s="48">
        <f t="shared" si="29"/>
        <v>-36.54</v>
      </c>
      <c r="AS103" s="48">
        <f t="shared" si="29"/>
        <v>0</v>
      </c>
      <c r="AT103" s="48">
        <f t="shared" si="29"/>
        <v>0</v>
      </c>
      <c r="AU103" s="48">
        <f t="shared" si="29"/>
        <v>0</v>
      </c>
      <c r="AV103" s="48">
        <f t="shared" si="29"/>
        <v>0</v>
      </c>
      <c r="AW103" s="48">
        <f t="shared" si="29"/>
        <v>0</v>
      </c>
      <c r="AX103" s="48">
        <f t="shared" si="26"/>
        <v>-36.089999999999996</v>
      </c>
    </row>
    <row r="104" spans="1:50" s="47" customFormat="1" ht="17" customHeight="1" x14ac:dyDescent="0.2">
      <c r="A104" s="43" t="s">
        <v>67</v>
      </c>
      <c r="B104" s="46">
        <f t="shared" ref="B104:AW104" si="30">(B91)+(B103)</f>
        <v>0</v>
      </c>
      <c r="C104" s="46">
        <f t="shared" si="30"/>
        <v>0</v>
      </c>
      <c r="D104" s="46">
        <f t="shared" si="30"/>
        <v>0</v>
      </c>
      <c r="E104" s="46">
        <f t="shared" si="30"/>
        <v>0</v>
      </c>
      <c r="F104" s="46">
        <f t="shared" si="30"/>
        <v>0</v>
      </c>
      <c r="G104" s="46">
        <f t="shared" si="30"/>
        <v>0</v>
      </c>
      <c r="H104" s="46">
        <f t="shared" si="30"/>
        <v>11526.48</v>
      </c>
      <c r="I104" s="46">
        <f t="shared" si="30"/>
        <v>21150.239999999998</v>
      </c>
      <c r="J104" s="46">
        <f t="shared" si="30"/>
        <v>15791.470000000001</v>
      </c>
      <c r="K104" s="46">
        <f t="shared" si="30"/>
        <v>1189.8700000000008</v>
      </c>
      <c r="L104" s="46">
        <f t="shared" si="30"/>
        <v>16886.870000000003</v>
      </c>
      <c r="M104" s="46">
        <f t="shared" si="30"/>
        <v>-20844.160000000003</v>
      </c>
      <c r="N104" s="46">
        <f t="shared" si="30"/>
        <v>1769.1499999999996</v>
      </c>
      <c r="O104" s="46">
        <f t="shared" si="30"/>
        <v>30426.309999999998</v>
      </c>
      <c r="P104" s="46">
        <f t="shared" si="30"/>
        <v>73492.84</v>
      </c>
      <c r="Q104" s="46">
        <f t="shared" si="30"/>
        <v>47613.319999999992</v>
      </c>
      <c r="R104" s="46">
        <f t="shared" si="30"/>
        <v>40243.360000000001</v>
      </c>
      <c r="S104" s="46">
        <f t="shared" si="30"/>
        <v>67119.92</v>
      </c>
      <c r="T104" s="46">
        <f t="shared" si="30"/>
        <v>25561.38</v>
      </c>
      <c r="U104" s="46">
        <f t="shared" si="30"/>
        <v>46212.159999999996</v>
      </c>
      <c r="V104" s="46">
        <f t="shared" si="30"/>
        <v>62997.560000000005</v>
      </c>
      <c r="W104" s="46">
        <f t="shared" si="30"/>
        <v>25742.140000000007</v>
      </c>
      <c r="X104" s="46">
        <f t="shared" si="30"/>
        <v>15214.469999999998</v>
      </c>
      <c r="Y104" s="46">
        <f t="shared" si="30"/>
        <v>-277162.21000000002</v>
      </c>
      <c r="Z104" s="46">
        <f t="shared" si="30"/>
        <v>31093.56</v>
      </c>
      <c r="AA104" s="46">
        <f t="shared" si="30"/>
        <v>39308.94</v>
      </c>
      <c r="AB104" s="46">
        <f t="shared" si="30"/>
        <v>40800.35</v>
      </c>
      <c r="AC104" s="46">
        <f t="shared" si="30"/>
        <v>22207.399999999983</v>
      </c>
      <c r="AD104" s="46">
        <f t="shared" si="30"/>
        <v>11723.550000000003</v>
      </c>
      <c r="AE104" s="46">
        <f t="shared" si="30"/>
        <v>29891.040000000001</v>
      </c>
      <c r="AF104" s="46">
        <f t="shared" si="30"/>
        <v>193.74000000000524</v>
      </c>
      <c r="AG104" s="46">
        <f t="shared" si="30"/>
        <v>37837.149999999987</v>
      </c>
      <c r="AH104" s="46">
        <f t="shared" si="30"/>
        <v>-27876.17</v>
      </c>
      <c r="AI104" s="46">
        <f t="shared" si="30"/>
        <v>37804.730000000003</v>
      </c>
      <c r="AJ104" s="46">
        <f t="shared" si="30"/>
        <v>-56454.319999999992</v>
      </c>
      <c r="AK104" s="46">
        <f t="shared" si="30"/>
        <v>104423.17000000001</v>
      </c>
      <c r="AL104" s="46">
        <f t="shared" si="30"/>
        <v>-649.85999999999331</v>
      </c>
      <c r="AM104" s="46">
        <f t="shared" si="30"/>
        <v>58231.58</v>
      </c>
      <c r="AN104" s="46">
        <f t="shared" si="30"/>
        <v>5292.5299999999988</v>
      </c>
      <c r="AO104" s="46">
        <f t="shared" si="30"/>
        <v>-9677.7200000000084</v>
      </c>
      <c r="AP104" s="46">
        <f t="shared" si="30"/>
        <v>24036.210000000006</v>
      </c>
      <c r="AQ104" s="46">
        <f t="shared" si="30"/>
        <v>32860.37999999999</v>
      </c>
      <c r="AR104" s="46">
        <f t="shared" si="30"/>
        <v>-35909.57</v>
      </c>
      <c r="AS104" s="46">
        <f t="shared" si="30"/>
        <v>109301.13999999998</v>
      </c>
      <c r="AT104" s="46">
        <f t="shared" si="30"/>
        <v>22000</v>
      </c>
      <c r="AU104" s="46">
        <f t="shared" si="30"/>
        <v>0</v>
      </c>
      <c r="AV104" s="46">
        <f t="shared" si="30"/>
        <v>0</v>
      </c>
      <c r="AW104" s="46">
        <f t="shared" si="30"/>
        <v>0</v>
      </c>
      <c r="AX104" s="46">
        <f t="shared" si="26"/>
        <v>681368.99999999988</v>
      </c>
    </row>
    <row r="105" spans="1:50" ht="17" customHeight="1" x14ac:dyDescent="0.2">
      <c r="A105" s="39"/>
      <c r="B105" s="32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2"/>
      <c r="AE105" s="32"/>
      <c r="AF105" s="32"/>
      <c r="AG105" s="32"/>
      <c r="AH105" s="32"/>
      <c r="AI105" s="32"/>
      <c r="AJ105" s="32"/>
      <c r="AK105" s="32"/>
      <c r="AL105" s="32"/>
      <c r="AM105" s="32"/>
      <c r="AN105" s="32"/>
      <c r="AO105" s="32"/>
      <c r="AP105" s="32"/>
      <c r="AQ105" s="32"/>
      <c r="AR105" s="32"/>
      <c r="AS105" s="32"/>
      <c r="AT105" s="32"/>
      <c r="AU105" s="32"/>
      <c r="AV105" s="32"/>
      <c r="AW105" s="32"/>
      <c r="AX105" s="32"/>
    </row>
    <row r="106" spans="1:50" ht="17" customHeight="1" x14ac:dyDescent="0.2"/>
    <row r="107" spans="1:50" ht="17" customHeight="1" x14ac:dyDescent="0.2"/>
    <row r="108" spans="1:50" ht="17" customHeight="1" x14ac:dyDescent="0.2">
      <c r="A108" s="64" t="s">
        <v>170</v>
      </c>
      <c r="B108" s="65"/>
      <c r="C108" s="65"/>
      <c r="D108" s="65"/>
      <c r="E108" s="65"/>
      <c r="F108" s="65"/>
      <c r="G108" s="65"/>
      <c r="H108" s="65"/>
      <c r="I108" s="65"/>
      <c r="J108" s="65"/>
      <c r="K108" s="65"/>
      <c r="L108" s="65"/>
      <c r="M108" s="65"/>
      <c r="N108" s="65"/>
      <c r="O108" s="65"/>
      <c r="P108" s="65"/>
      <c r="Q108" s="65"/>
      <c r="R108" s="65"/>
      <c r="S108" s="65"/>
      <c r="T108" s="65"/>
      <c r="U108" s="65"/>
      <c r="V108" s="65"/>
      <c r="W108" s="65"/>
      <c r="X108" s="65"/>
      <c r="Y108" s="65"/>
      <c r="Z108" s="65"/>
      <c r="AA108" s="65"/>
      <c r="AB108" s="65"/>
      <c r="AC108" s="65"/>
      <c r="AD108" s="65"/>
      <c r="AE108" s="65"/>
      <c r="AF108" s="65"/>
      <c r="AG108" s="65"/>
      <c r="AH108" s="65"/>
      <c r="AI108" s="65"/>
      <c r="AJ108" s="65"/>
      <c r="AK108" s="65"/>
      <c r="AL108" s="65"/>
      <c r="AM108" s="65"/>
      <c r="AN108" s="65"/>
      <c r="AO108" s="65"/>
      <c r="AP108" s="65"/>
      <c r="AQ108" s="65"/>
      <c r="AR108" s="65"/>
      <c r="AS108" s="65"/>
      <c r="AT108" s="65"/>
      <c r="AU108" s="65"/>
      <c r="AV108" s="65"/>
      <c r="AW108" s="65"/>
      <c r="AX108" s="65"/>
    </row>
  </sheetData>
  <mergeCells count="4">
    <mergeCell ref="A108:AX108"/>
    <mergeCell ref="A1:AX1"/>
    <mergeCell ref="A2:AX2"/>
    <mergeCell ref="A3:AX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ABC01-E6CD-934E-B91A-EAB436542F0E}">
  <dimension ref="A1:AW84"/>
  <sheetViews>
    <sheetView workbookViewId="0">
      <selection sqref="A1:AW1"/>
    </sheetView>
  </sheetViews>
  <sheetFormatPr baseColWidth="10" defaultColWidth="8.83203125" defaultRowHeight="15" x14ac:dyDescent="0.2"/>
  <cols>
    <col min="1" max="1" width="59.33203125" style="31" customWidth="1"/>
    <col min="2" max="7" width="7.6640625" style="31" customWidth="1"/>
    <col min="8" max="8" width="10.33203125" style="31" customWidth="1"/>
    <col min="9" max="15" width="9.5" style="31" customWidth="1"/>
    <col min="16" max="24" width="10.33203125" style="31" customWidth="1"/>
    <col min="25" max="36" width="11.1640625" style="31" customWidth="1"/>
    <col min="37" max="40" width="10.33203125" style="31" customWidth="1"/>
    <col min="41" max="49" width="11.1640625" style="31" customWidth="1"/>
    <col min="50" max="16384" width="8.83203125" style="31"/>
  </cols>
  <sheetData>
    <row r="1" spans="1:49" ht="18" x14ac:dyDescent="0.2">
      <c r="A1" s="66" t="s">
        <v>169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  <c r="AH1" s="65"/>
      <c r="AI1" s="65"/>
      <c r="AJ1" s="65"/>
      <c r="AK1" s="65"/>
      <c r="AL1" s="65"/>
      <c r="AM1" s="65"/>
      <c r="AN1" s="65"/>
      <c r="AO1" s="65"/>
      <c r="AP1" s="65"/>
      <c r="AQ1" s="65"/>
      <c r="AR1" s="65"/>
      <c r="AS1" s="65"/>
      <c r="AT1" s="65"/>
      <c r="AU1" s="65"/>
      <c r="AV1" s="65"/>
      <c r="AW1" s="65"/>
    </row>
    <row r="2" spans="1:49" ht="18" x14ac:dyDescent="0.2">
      <c r="A2" s="66" t="s">
        <v>329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  <c r="AA2" s="65"/>
      <c r="AB2" s="65"/>
      <c r="AC2" s="65"/>
      <c r="AD2" s="65"/>
      <c r="AE2" s="65"/>
      <c r="AF2" s="65"/>
      <c r="AG2" s="65"/>
      <c r="AH2" s="65"/>
      <c r="AI2" s="65"/>
      <c r="AJ2" s="65"/>
      <c r="AK2" s="65"/>
      <c r="AL2" s="65"/>
      <c r="AM2" s="65"/>
      <c r="AN2" s="65"/>
      <c r="AO2" s="65"/>
      <c r="AP2" s="65"/>
      <c r="AQ2" s="65"/>
      <c r="AR2" s="65"/>
      <c r="AS2" s="65"/>
      <c r="AT2" s="65"/>
      <c r="AU2" s="65"/>
      <c r="AV2" s="65"/>
      <c r="AW2" s="65"/>
    </row>
    <row r="3" spans="1:49" x14ac:dyDescent="0.2">
      <c r="A3" s="67" t="s">
        <v>328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65"/>
      <c r="AB3" s="65"/>
      <c r="AC3" s="65"/>
      <c r="AD3" s="65"/>
      <c r="AE3" s="65"/>
      <c r="AF3" s="65"/>
      <c r="AG3" s="65"/>
      <c r="AH3" s="65"/>
      <c r="AI3" s="65"/>
      <c r="AJ3" s="65"/>
      <c r="AK3" s="65"/>
      <c r="AL3" s="65"/>
      <c r="AM3" s="65"/>
      <c r="AN3" s="65"/>
      <c r="AO3" s="65"/>
      <c r="AP3" s="65"/>
      <c r="AQ3" s="65"/>
      <c r="AR3" s="65"/>
      <c r="AS3" s="65"/>
      <c r="AT3" s="65"/>
      <c r="AU3" s="65"/>
      <c r="AV3" s="65"/>
      <c r="AW3" s="65"/>
    </row>
    <row r="5" spans="1:49" ht="27" x14ac:dyDescent="0.2">
      <c r="A5" s="37"/>
      <c r="B5" s="36" t="s">
        <v>217</v>
      </c>
      <c r="C5" s="36" t="s">
        <v>216</v>
      </c>
      <c r="D5" s="36" t="s">
        <v>215</v>
      </c>
      <c r="E5" s="36" t="s">
        <v>214</v>
      </c>
      <c r="F5" s="36" t="s">
        <v>213</v>
      </c>
      <c r="G5" s="36" t="s">
        <v>212</v>
      </c>
      <c r="H5" s="36" t="s">
        <v>211</v>
      </c>
      <c r="I5" s="36" t="s">
        <v>210</v>
      </c>
      <c r="J5" s="36" t="s">
        <v>209</v>
      </c>
      <c r="K5" s="36" t="s">
        <v>208</v>
      </c>
      <c r="L5" s="36" t="s">
        <v>207</v>
      </c>
      <c r="M5" s="36" t="s">
        <v>206</v>
      </c>
      <c r="N5" s="36" t="s">
        <v>205</v>
      </c>
      <c r="O5" s="36" t="s">
        <v>204</v>
      </c>
      <c r="P5" s="36" t="s">
        <v>203</v>
      </c>
      <c r="Q5" s="36" t="s">
        <v>202</v>
      </c>
      <c r="R5" s="36" t="s">
        <v>201</v>
      </c>
      <c r="S5" s="36" t="s">
        <v>200</v>
      </c>
      <c r="T5" s="36" t="s">
        <v>199</v>
      </c>
      <c r="U5" s="36" t="s">
        <v>198</v>
      </c>
      <c r="V5" s="36" t="s">
        <v>197</v>
      </c>
      <c r="W5" s="36" t="s">
        <v>196</v>
      </c>
      <c r="X5" s="36" t="s">
        <v>195</v>
      </c>
      <c r="Y5" s="36" t="s">
        <v>194</v>
      </c>
      <c r="Z5" s="36" t="s">
        <v>193</v>
      </c>
      <c r="AA5" s="36" t="s">
        <v>192</v>
      </c>
      <c r="AB5" s="36" t="s">
        <v>191</v>
      </c>
      <c r="AC5" s="36" t="s">
        <v>190</v>
      </c>
      <c r="AD5" s="36" t="s">
        <v>189</v>
      </c>
      <c r="AE5" s="36" t="s">
        <v>188</v>
      </c>
      <c r="AF5" s="36" t="s">
        <v>187</v>
      </c>
      <c r="AG5" s="36" t="s">
        <v>186</v>
      </c>
      <c r="AH5" s="36" t="s">
        <v>185</v>
      </c>
      <c r="AI5" s="36" t="s">
        <v>184</v>
      </c>
      <c r="AJ5" s="36" t="s">
        <v>183</v>
      </c>
      <c r="AK5" s="36" t="s">
        <v>182</v>
      </c>
      <c r="AL5" s="36" t="s">
        <v>181</v>
      </c>
      <c r="AM5" s="36" t="s">
        <v>180</v>
      </c>
      <c r="AN5" s="36" t="s">
        <v>179</v>
      </c>
      <c r="AO5" s="36" t="s">
        <v>178</v>
      </c>
      <c r="AP5" s="36" t="s">
        <v>76</v>
      </c>
      <c r="AQ5" s="36" t="s">
        <v>177</v>
      </c>
      <c r="AR5" s="36" t="s">
        <v>176</v>
      </c>
      <c r="AS5" s="36" t="s">
        <v>175</v>
      </c>
      <c r="AT5" s="36" t="s">
        <v>174</v>
      </c>
      <c r="AU5" s="36" t="s">
        <v>173</v>
      </c>
      <c r="AV5" s="36" t="s">
        <v>172</v>
      </c>
      <c r="AW5" s="36" t="s">
        <v>171</v>
      </c>
    </row>
    <row r="6" spans="1:49" x14ac:dyDescent="0.2">
      <c r="A6" s="33" t="s">
        <v>327</v>
      </c>
      <c r="B6" s="32"/>
      <c r="C6" s="32"/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32"/>
      <c r="AV6" s="32"/>
      <c r="AW6" s="32"/>
    </row>
    <row r="7" spans="1:49" x14ac:dyDescent="0.2">
      <c r="A7" s="33" t="s">
        <v>326</v>
      </c>
      <c r="B7" s="32"/>
      <c r="C7" s="32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/>
      <c r="AT7" s="32"/>
      <c r="AU7" s="32"/>
      <c r="AV7" s="32"/>
      <c r="AW7" s="32"/>
    </row>
    <row r="8" spans="1:49" x14ac:dyDescent="0.2">
      <c r="A8" s="33" t="s">
        <v>325</v>
      </c>
      <c r="B8" s="32"/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</row>
    <row r="9" spans="1:49" x14ac:dyDescent="0.2">
      <c r="A9" s="33" t="s">
        <v>324</v>
      </c>
      <c r="B9" s="32"/>
      <c r="C9" s="35">
        <f t="shared" ref="C9:AW9" si="0">B9</f>
        <v>0</v>
      </c>
      <c r="D9" s="35">
        <f t="shared" si="0"/>
        <v>0</v>
      </c>
      <c r="E9" s="35">
        <f t="shared" si="0"/>
        <v>0</v>
      </c>
      <c r="F9" s="35">
        <f t="shared" si="0"/>
        <v>0</v>
      </c>
      <c r="G9" s="35">
        <f t="shared" si="0"/>
        <v>0</v>
      </c>
      <c r="H9" s="35">
        <f t="shared" si="0"/>
        <v>0</v>
      </c>
      <c r="I9" s="35">
        <f t="shared" si="0"/>
        <v>0</v>
      </c>
      <c r="J9" s="35">
        <f t="shared" si="0"/>
        <v>0</v>
      </c>
      <c r="K9" s="35">
        <f t="shared" si="0"/>
        <v>0</v>
      </c>
      <c r="L9" s="35">
        <f t="shared" si="0"/>
        <v>0</v>
      </c>
      <c r="M9" s="35">
        <f t="shared" si="0"/>
        <v>0</v>
      </c>
      <c r="N9" s="35">
        <f t="shared" si="0"/>
        <v>0</v>
      </c>
      <c r="O9" s="35">
        <f t="shared" si="0"/>
        <v>0</v>
      </c>
      <c r="P9" s="35">
        <f t="shared" si="0"/>
        <v>0</v>
      </c>
      <c r="Q9" s="35">
        <f t="shared" si="0"/>
        <v>0</v>
      </c>
      <c r="R9" s="35">
        <f t="shared" si="0"/>
        <v>0</v>
      </c>
      <c r="S9" s="35">
        <f t="shared" si="0"/>
        <v>0</v>
      </c>
      <c r="T9" s="35">
        <f t="shared" si="0"/>
        <v>0</v>
      </c>
      <c r="U9" s="35">
        <f t="shared" si="0"/>
        <v>0</v>
      </c>
      <c r="V9" s="35">
        <f t="shared" si="0"/>
        <v>0</v>
      </c>
      <c r="W9" s="35">
        <f t="shared" si="0"/>
        <v>0</v>
      </c>
      <c r="X9" s="35">
        <f t="shared" si="0"/>
        <v>0</v>
      </c>
      <c r="Y9" s="35">
        <f t="shared" si="0"/>
        <v>0</v>
      </c>
      <c r="Z9" s="35">
        <f t="shared" si="0"/>
        <v>0</v>
      </c>
      <c r="AA9" s="35">
        <f t="shared" si="0"/>
        <v>0</v>
      </c>
      <c r="AB9" s="35">
        <f t="shared" si="0"/>
        <v>0</v>
      </c>
      <c r="AC9" s="35">
        <f t="shared" si="0"/>
        <v>0</v>
      </c>
      <c r="AD9" s="35">
        <f t="shared" si="0"/>
        <v>0</v>
      </c>
      <c r="AE9" s="35">
        <f t="shared" si="0"/>
        <v>0</v>
      </c>
      <c r="AF9" s="35">
        <f t="shared" si="0"/>
        <v>0</v>
      </c>
      <c r="AG9" s="35">
        <f t="shared" si="0"/>
        <v>0</v>
      </c>
      <c r="AH9" s="35">
        <f t="shared" si="0"/>
        <v>0</v>
      </c>
      <c r="AI9" s="35">
        <f t="shared" si="0"/>
        <v>0</v>
      </c>
      <c r="AJ9" s="35">
        <f t="shared" si="0"/>
        <v>0</v>
      </c>
      <c r="AK9" s="35">
        <f t="shared" si="0"/>
        <v>0</v>
      </c>
      <c r="AL9" s="35">
        <f t="shared" si="0"/>
        <v>0</v>
      </c>
      <c r="AM9" s="35">
        <f t="shared" si="0"/>
        <v>0</v>
      </c>
      <c r="AN9" s="35">
        <f t="shared" si="0"/>
        <v>0</v>
      </c>
      <c r="AO9" s="35">
        <f t="shared" si="0"/>
        <v>0</v>
      </c>
      <c r="AP9" s="35">
        <f t="shared" si="0"/>
        <v>0</v>
      </c>
      <c r="AQ9" s="35">
        <f t="shared" si="0"/>
        <v>0</v>
      </c>
      <c r="AR9" s="35">
        <f t="shared" si="0"/>
        <v>0</v>
      </c>
      <c r="AS9" s="35">
        <f t="shared" si="0"/>
        <v>0</v>
      </c>
      <c r="AT9" s="35">
        <f t="shared" si="0"/>
        <v>0</v>
      </c>
      <c r="AU9" s="35">
        <f t="shared" si="0"/>
        <v>0</v>
      </c>
      <c r="AV9" s="35">
        <f t="shared" si="0"/>
        <v>0</v>
      </c>
      <c r="AW9" s="35">
        <f t="shared" si="0"/>
        <v>0</v>
      </c>
    </row>
    <row r="10" spans="1:49" x14ac:dyDescent="0.2">
      <c r="A10" s="33" t="s">
        <v>323</v>
      </c>
      <c r="B10" s="32"/>
      <c r="C10" s="35">
        <f t="shared" ref="C10:H11" si="1">B10</f>
        <v>0</v>
      </c>
      <c r="D10" s="35">
        <f t="shared" si="1"/>
        <v>0</v>
      </c>
      <c r="E10" s="35">
        <f t="shared" si="1"/>
        <v>0</v>
      </c>
      <c r="F10" s="35">
        <f t="shared" si="1"/>
        <v>0</v>
      </c>
      <c r="G10" s="35">
        <f t="shared" si="1"/>
        <v>0</v>
      </c>
      <c r="H10" s="35">
        <f t="shared" si="1"/>
        <v>0</v>
      </c>
      <c r="I10" s="35">
        <f>6840.17</f>
        <v>6840.17</v>
      </c>
      <c r="J10" s="35">
        <f>12181.64</f>
        <v>12181.64</v>
      </c>
      <c r="K10" s="35">
        <f>12919.76</f>
        <v>12919.76</v>
      </c>
      <c r="L10" s="35">
        <f>11520.63</f>
        <v>11520.63</v>
      </c>
      <c r="M10" s="35">
        <f>532.49</f>
        <v>532.49</v>
      </c>
      <c r="N10" s="35">
        <f>6715.64</f>
        <v>6715.64</v>
      </c>
      <c r="O10" s="35">
        <f>5406.95</f>
        <v>5406.95</v>
      </c>
      <c r="P10" s="35">
        <f>28976.94</f>
        <v>28976.94</v>
      </c>
      <c r="Q10" s="35">
        <f>42157.05</f>
        <v>42157.05</v>
      </c>
      <c r="R10" s="35">
        <f>39527.97</f>
        <v>39527.97</v>
      </c>
      <c r="S10" s="35">
        <f>38723.69</f>
        <v>38723.69</v>
      </c>
      <c r="T10" s="35">
        <f>59441.2</f>
        <v>59441.2</v>
      </c>
      <c r="U10" s="35">
        <f>70646.73</f>
        <v>70646.73</v>
      </c>
      <c r="V10" s="35">
        <f>3968.57</f>
        <v>3968.57</v>
      </c>
      <c r="W10" s="35">
        <f>4704.64</f>
        <v>4704.6400000000003</v>
      </c>
      <c r="X10" s="35">
        <f>9360.55</f>
        <v>9360.5499999999993</v>
      </c>
      <c r="Y10" s="35">
        <f>16255.21</f>
        <v>16255.21</v>
      </c>
      <c r="Z10" s="35">
        <f>34928.48</f>
        <v>34928.480000000003</v>
      </c>
      <c r="AA10" s="35">
        <f>60059.94</f>
        <v>60059.94</v>
      </c>
      <c r="AB10" s="35">
        <f>16719.15</f>
        <v>16719.150000000001</v>
      </c>
      <c r="AC10" s="35">
        <f>17558.01</f>
        <v>17558.009999999998</v>
      </c>
      <c r="AD10" s="35">
        <f>10103.58</f>
        <v>10103.58</v>
      </c>
      <c r="AE10" s="35">
        <f>30129.59</f>
        <v>30129.59</v>
      </c>
      <c r="AF10" s="35">
        <f>12809.08</f>
        <v>12809.08</v>
      </c>
      <c r="AG10" s="35">
        <f>25672.15</f>
        <v>25672.15</v>
      </c>
      <c r="AH10" s="35">
        <f>37946.1</f>
        <v>37946.1</v>
      </c>
      <c r="AI10" s="35">
        <f>5757.35</f>
        <v>5757.35</v>
      </c>
      <c r="AJ10" s="35">
        <f>23071.42</f>
        <v>23071.42</v>
      </c>
      <c r="AK10" s="35">
        <f>13239.14</f>
        <v>13239.14</v>
      </c>
      <c r="AL10" s="35">
        <f>19561.18</f>
        <v>19561.18</v>
      </c>
      <c r="AM10" s="35">
        <f>24505.75</f>
        <v>24505.75</v>
      </c>
      <c r="AN10" s="35">
        <f>19262.64</f>
        <v>19262.64</v>
      </c>
      <c r="AO10" s="35">
        <f>24070.15</f>
        <v>24070.15</v>
      </c>
      <c r="AP10" s="35">
        <f>21026.01</f>
        <v>21026.01</v>
      </c>
      <c r="AQ10" s="35">
        <f>32765.24</f>
        <v>32765.24</v>
      </c>
      <c r="AR10" s="35">
        <f>27693.85</f>
        <v>27693.85</v>
      </c>
      <c r="AS10" s="35">
        <f>59181.85</f>
        <v>59181.85</v>
      </c>
      <c r="AT10" s="35">
        <f>82956.85</f>
        <v>82956.850000000006</v>
      </c>
      <c r="AU10" s="35">
        <f t="shared" ref="AU10:AW11" si="2">AT10</f>
        <v>82956.850000000006</v>
      </c>
      <c r="AV10" s="35">
        <f t="shared" si="2"/>
        <v>82956.850000000006</v>
      </c>
      <c r="AW10" s="35">
        <f t="shared" si="2"/>
        <v>82956.850000000006</v>
      </c>
    </row>
    <row r="11" spans="1:49" x14ac:dyDescent="0.2">
      <c r="A11" s="33" t="s">
        <v>322</v>
      </c>
      <c r="B11" s="32"/>
      <c r="C11" s="35">
        <f t="shared" si="1"/>
        <v>0</v>
      </c>
      <c r="D11" s="35">
        <f t="shared" si="1"/>
        <v>0</v>
      </c>
      <c r="E11" s="35">
        <f t="shared" si="1"/>
        <v>0</v>
      </c>
      <c r="F11" s="35">
        <f t="shared" si="1"/>
        <v>0</v>
      </c>
      <c r="G11" s="35">
        <f t="shared" si="1"/>
        <v>0</v>
      </c>
      <c r="H11" s="35">
        <f t="shared" si="1"/>
        <v>0</v>
      </c>
      <c r="I11" s="35">
        <f>H11</f>
        <v>0</v>
      </c>
      <c r="J11" s="35">
        <f>I11</f>
        <v>0</v>
      </c>
      <c r="K11" s="35">
        <f>J11</f>
        <v>0</v>
      </c>
      <c r="L11" s="35">
        <f>K11</f>
        <v>0</v>
      </c>
      <c r="M11" s="35">
        <f>L11</f>
        <v>0</v>
      </c>
      <c r="N11" s="35">
        <f>1</f>
        <v>1</v>
      </c>
      <c r="O11" s="35">
        <f t="shared" ref="O11:U11" si="3">N11</f>
        <v>1</v>
      </c>
      <c r="P11" s="35">
        <f t="shared" si="3"/>
        <v>1</v>
      </c>
      <c r="Q11" s="35">
        <f t="shared" si="3"/>
        <v>1</v>
      </c>
      <c r="R11" s="35">
        <f t="shared" si="3"/>
        <v>1</v>
      </c>
      <c r="S11" s="35">
        <f t="shared" si="3"/>
        <v>1</v>
      </c>
      <c r="T11" s="35">
        <f t="shared" si="3"/>
        <v>1</v>
      </c>
      <c r="U11" s="35">
        <f t="shared" si="3"/>
        <v>1</v>
      </c>
      <c r="V11" s="35">
        <f>80002.97</f>
        <v>80002.97</v>
      </c>
      <c r="W11" s="35">
        <f>63006.19</f>
        <v>63006.19</v>
      </c>
      <c r="X11" s="35">
        <f>60008.66</f>
        <v>60008.66</v>
      </c>
      <c r="Y11" s="35">
        <f>43511.07</f>
        <v>43511.07</v>
      </c>
      <c r="Z11" s="35">
        <f>58513.41</f>
        <v>58513.41</v>
      </c>
      <c r="AA11" s="35">
        <f>48515.89</f>
        <v>48515.89</v>
      </c>
      <c r="AB11" s="35">
        <f>102005.88</f>
        <v>102005.88</v>
      </c>
      <c r="AC11" s="35">
        <f>150361.69</f>
        <v>150361.69</v>
      </c>
      <c r="AD11" s="35">
        <f>180368.65</f>
        <v>180368.65</v>
      </c>
      <c r="AE11" s="35">
        <f>100778.01</f>
        <v>100778.01</v>
      </c>
      <c r="AF11" s="35">
        <f>129332.86</f>
        <v>129332.86</v>
      </c>
      <c r="AG11" s="35">
        <f>3.81</f>
        <v>3.81</v>
      </c>
      <c r="AH11" s="35">
        <f t="shared" ref="AH11:AP11" si="4">AG11</f>
        <v>3.81</v>
      </c>
      <c r="AI11" s="35">
        <f t="shared" si="4"/>
        <v>3.81</v>
      </c>
      <c r="AJ11" s="35">
        <f t="shared" si="4"/>
        <v>3.81</v>
      </c>
      <c r="AK11" s="35">
        <f t="shared" si="4"/>
        <v>3.81</v>
      </c>
      <c r="AL11" s="35">
        <f t="shared" si="4"/>
        <v>3.81</v>
      </c>
      <c r="AM11" s="35">
        <f t="shared" si="4"/>
        <v>3.81</v>
      </c>
      <c r="AN11" s="35">
        <f t="shared" si="4"/>
        <v>3.81</v>
      </c>
      <c r="AO11" s="35">
        <f t="shared" si="4"/>
        <v>3.81</v>
      </c>
      <c r="AP11" s="35">
        <f t="shared" si="4"/>
        <v>3.81</v>
      </c>
      <c r="AQ11" s="35">
        <f>4.53</f>
        <v>4.53</v>
      </c>
      <c r="AR11" s="35">
        <f>AQ11</f>
        <v>4.53</v>
      </c>
      <c r="AS11" s="35">
        <f>AR11</f>
        <v>4.53</v>
      </c>
      <c r="AT11" s="35">
        <f>AS11</f>
        <v>4.53</v>
      </c>
      <c r="AU11" s="35">
        <f t="shared" si="2"/>
        <v>4.53</v>
      </c>
      <c r="AV11" s="35">
        <f t="shared" si="2"/>
        <v>4.53</v>
      </c>
      <c r="AW11" s="35">
        <f t="shared" si="2"/>
        <v>4.53</v>
      </c>
    </row>
    <row r="12" spans="1:49" x14ac:dyDescent="0.2">
      <c r="A12" s="33" t="s">
        <v>321</v>
      </c>
      <c r="B12" s="34">
        <f t="shared" ref="B12:AW12" si="5">((B9)+(B10))+(B11)</f>
        <v>0</v>
      </c>
      <c r="C12" s="34">
        <f t="shared" si="5"/>
        <v>0</v>
      </c>
      <c r="D12" s="34">
        <f t="shared" si="5"/>
        <v>0</v>
      </c>
      <c r="E12" s="34">
        <f t="shared" si="5"/>
        <v>0</v>
      </c>
      <c r="F12" s="34">
        <f t="shared" si="5"/>
        <v>0</v>
      </c>
      <c r="G12" s="34">
        <f t="shared" si="5"/>
        <v>0</v>
      </c>
      <c r="H12" s="34">
        <f t="shared" si="5"/>
        <v>0</v>
      </c>
      <c r="I12" s="34">
        <f t="shared" si="5"/>
        <v>6840.17</v>
      </c>
      <c r="J12" s="34">
        <f t="shared" si="5"/>
        <v>12181.64</v>
      </c>
      <c r="K12" s="34">
        <f t="shared" si="5"/>
        <v>12919.76</v>
      </c>
      <c r="L12" s="34">
        <f t="shared" si="5"/>
        <v>11520.63</v>
      </c>
      <c r="M12" s="34">
        <f t="shared" si="5"/>
        <v>532.49</v>
      </c>
      <c r="N12" s="34">
        <f t="shared" si="5"/>
        <v>6716.64</v>
      </c>
      <c r="O12" s="34">
        <f t="shared" si="5"/>
        <v>5407.95</v>
      </c>
      <c r="P12" s="34">
        <f t="shared" si="5"/>
        <v>28977.94</v>
      </c>
      <c r="Q12" s="34">
        <f t="shared" si="5"/>
        <v>42158.05</v>
      </c>
      <c r="R12" s="34">
        <f t="shared" si="5"/>
        <v>39528.97</v>
      </c>
      <c r="S12" s="34">
        <f t="shared" si="5"/>
        <v>38724.69</v>
      </c>
      <c r="T12" s="34">
        <f t="shared" si="5"/>
        <v>59442.2</v>
      </c>
      <c r="U12" s="34">
        <f t="shared" si="5"/>
        <v>70647.73</v>
      </c>
      <c r="V12" s="34">
        <f t="shared" si="5"/>
        <v>83971.540000000008</v>
      </c>
      <c r="W12" s="34">
        <f t="shared" si="5"/>
        <v>67710.83</v>
      </c>
      <c r="X12" s="34">
        <f t="shared" si="5"/>
        <v>69369.210000000006</v>
      </c>
      <c r="Y12" s="34">
        <f t="shared" si="5"/>
        <v>59766.28</v>
      </c>
      <c r="Z12" s="34">
        <f t="shared" si="5"/>
        <v>93441.890000000014</v>
      </c>
      <c r="AA12" s="34">
        <f t="shared" si="5"/>
        <v>108575.83</v>
      </c>
      <c r="AB12" s="34">
        <f t="shared" si="5"/>
        <v>118725.03</v>
      </c>
      <c r="AC12" s="34">
        <f t="shared" si="5"/>
        <v>167919.7</v>
      </c>
      <c r="AD12" s="34">
        <f t="shared" si="5"/>
        <v>190472.22999999998</v>
      </c>
      <c r="AE12" s="34">
        <f t="shared" si="5"/>
        <v>130907.59999999999</v>
      </c>
      <c r="AF12" s="34">
        <f t="shared" si="5"/>
        <v>142141.94</v>
      </c>
      <c r="AG12" s="34">
        <f t="shared" si="5"/>
        <v>25675.960000000003</v>
      </c>
      <c r="AH12" s="34">
        <f t="shared" si="5"/>
        <v>37949.909999999996</v>
      </c>
      <c r="AI12" s="34">
        <f t="shared" si="5"/>
        <v>5761.1600000000008</v>
      </c>
      <c r="AJ12" s="34">
        <f t="shared" si="5"/>
        <v>23075.23</v>
      </c>
      <c r="AK12" s="34">
        <f t="shared" si="5"/>
        <v>13242.949999999999</v>
      </c>
      <c r="AL12" s="34">
        <f t="shared" si="5"/>
        <v>19564.990000000002</v>
      </c>
      <c r="AM12" s="34">
        <f t="shared" si="5"/>
        <v>24509.56</v>
      </c>
      <c r="AN12" s="34">
        <f t="shared" si="5"/>
        <v>19266.45</v>
      </c>
      <c r="AO12" s="34">
        <f t="shared" si="5"/>
        <v>24073.960000000003</v>
      </c>
      <c r="AP12" s="34">
        <f t="shared" si="5"/>
        <v>21029.82</v>
      </c>
      <c r="AQ12" s="34">
        <f t="shared" si="5"/>
        <v>32769.770000000004</v>
      </c>
      <c r="AR12" s="34">
        <f t="shared" si="5"/>
        <v>27698.379999999997</v>
      </c>
      <c r="AS12" s="34">
        <f t="shared" si="5"/>
        <v>59186.38</v>
      </c>
      <c r="AT12" s="34">
        <f t="shared" si="5"/>
        <v>82961.38</v>
      </c>
      <c r="AU12" s="34">
        <f t="shared" si="5"/>
        <v>82961.38</v>
      </c>
      <c r="AV12" s="34">
        <f t="shared" si="5"/>
        <v>82961.38</v>
      </c>
      <c r="AW12" s="34">
        <f t="shared" si="5"/>
        <v>82961.38</v>
      </c>
    </row>
    <row r="13" spans="1:49" x14ac:dyDescent="0.2">
      <c r="A13" s="33" t="s">
        <v>320</v>
      </c>
      <c r="B13" s="32"/>
      <c r="C13" s="35">
        <f t="shared" ref="C13:G14" si="6">B13</f>
        <v>0</v>
      </c>
      <c r="D13" s="35">
        <f t="shared" si="6"/>
        <v>0</v>
      </c>
      <c r="E13" s="35">
        <f t="shared" si="6"/>
        <v>0</v>
      </c>
      <c r="F13" s="35">
        <f t="shared" si="6"/>
        <v>0</v>
      </c>
      <c r="G13" s="35">
        <f t="shared" si="6"/>
        <v>0</v>
      </c>
      <c r="H13" s="35">
        <f>-2573.63</f>
        <v>-2573.63</v>
      </c>
      <c r="I13" s="35">
        <f t="shared" ref="I13:K14" si="7">H13</f>
        <v>-2573.63</v>
      </c>
      <c r="J13" s="35">
        <f t="shared" si="7"/>
        <v>-2573.63</v>
      </c>
      <c r="K13" s="35">
        <f t="shared" si="7"/>
        <v>-2573.63</v>
      </c>
      <c r="L13" s="35">
        <f>0</f>
        <v>0</v>
      </c>
      <c r="M13" s="35">
        <f>L13</f>
        <v>0</v>
      </c>
      <c r="N13" s="35">
        <f>0</f>
        <v>0</v>
      </c>
      <c r="O13" s="35">
        <f t="shared" ref="O13:AW13" si="8">N13</f>
        <v>0</v>
      </c>
      <c r="P13" s="35">
        <f t="shared" si="8"/>
        <v>0</v>
      </c>
      <c r="Q13" s="35">
        <f t="shared" si="8"/>
        <v>0</v>
      </c>
      <c r="R13" s="35">
        <f t="shared" si="8"/>
        <v>0</v>
      </c>
      <c r="S13" s="35">
        <f t="shared" si="8"/>
        <v>0</v>
      </c>
      <c r="T13" s="35">
        <f t="shared" si="8"/>
        <v>0</v>
      </c>
      <c r="U13" s="35">
        <f t="shared" si="8"/>
        <v>0</v>
      </c>
      <c r="V13" s="35">
        <f t="shared" si="8"/>
        <v>0</v>
      </c>
      <c r="W13" s="35">
        <f t="shared" si="8"/>
        <v>0</v>
      </c>
      <c r="X13" s="35">
        <f t="shared" si="8"/>
        <v>0</v>
      </c>
      <c r="Y13" s="35">
        <f t="shared" si="8"/>
        <v>0</v>
      </c>
      <c r="Z13" s="35">
        <f t="shared" si="8"/>
        <v>0</v>
      </c>
      <c r="AA13" s="35">
        <f t="shared" si="8"/>
        <v>0</v>
      </c>
      <c r="AB13" s="35">
        <f t="shared" si="8"/>
        <v>0</v>
      </c>
      <c r="AC13" s="35">
        <f t="shared" si="8"/>
        <v>0</v>
      </c>
      <c r="AD13" s="35">
        <f t="shared" si="8"/>
        <v>0</v>
      </c>
      <c r="AE13" s="35">
        <f t="shared" si="8"/>
        <v>0</v>
      </c>
      <c r="AF13" s="35">
        <f t="shared" si="8"/>
        <v>0</v>
      </c>
      <c r="AG13" s="35">
        <f t="shared" si="8"/>
        <v>0</v>
      </c>
      <c r="AH13" s="35">
        <f t="shared" si="8"/>
        <v>0</v>
      </c>
      <c r="AI13" s="35">
        <f t="shared" si="8"/>
        <v>0</v>
      </c>
      <c r="AJ13" s="35">
        <f t="shared" si="8"/>
        <v>0</v>
      </c>
      <c r="AK13" s="35">
        <f t="shared" si="8"/>
        <v>0</v>
      </c>
      <c r="AL13" s="35">
        <f t="shared" si="8"/>
        <v>0</v>
      </c>
      <c r="AM13" s="35">
        <f t="shared" si="8"/>
        <v>0</v>
      </c>
      <c r="AN13" s="35">
        <f t="shared" si="8"/>
        <v>0</v>
      </c>
      <c r="AO13" s="35">
        <f t="shared" si="8"/>
        <v>0</v>
      </c>
      <c r="AP13" s="35">
        <f t="shared" si="8"/>
        <v>0</v>
      </c>
      <c r="AQ13" s="35">
        <f t="shared" si="8"/>
        <v>0</v>
      </c>
      <c r="AR13" s="35">
        <f t="shared" si="8"/>
        <v>0</v>
      </c>
      <c r="AS13" s="35">
        <f t="shared" si="8"/>
        <v>0</v>
      </c>
      <c r="AT13" s="35">
        <f t="shared" si="8"/>
        <v>0</v>
      </c>
      <c r="AU13" s="35">
        <f t="shared" si="8"/>
        <v>0</v>
      </c>
      <c r="AV13" s="35">
        <f t="shared" si="8"/>
        <v>0</v>
      </c>
      <c r="AW13" s="35">
        <f t="shared" si="8"/>
        <v>0</v>
      </c>
    </row>
    <row r="14" spans="1:49" x14ac:dyDescent="0.2">
      <c r="A14" s="33" t="s">
        <v>319</v>
      </c>
      <c r="B14" s="32"/>
      <c r="C14" s="35">
        <f t="shared" si="6"/>
        <v>0</v>
      </c>
      <c r="D14" s="35">
        <f t="shared" si="6"/>
        <v>0</v>
      </c>
      <c r="E14" s="35">
        <f t="shared" si="6"/>
        <v>0</v>
      </c>
      <c r="F14" s="35">
        <f t="shared" si="6"/>
        <v>0</v>
      </c>
      <c r="G14" s="35">
        <f t="shared" si="6"/>
        <v>0</v>
      </c>
      <c r="H14" s="35">
        <f>G14</f>
        <v>0</v>
      </c>
      <c r="I14" s="35">
        <f t="shared" si="7"/>
        <v>0</v>
      </c>
      <c r="J14" s="35">
        <f t="shared" si="7"/>
        <v>0</v>
      </c>
      <c r="K14" s="35">
        <f t="shared" si="7"/>
        <v>0</v>
      </c>
      <c r="L14" s="35">
        <f>K14</f>
        <v>0</v>
      </c>
      <c r="M14" s="35">
        <f>L14</f>
        <v>0</v>
      </c>
      <c r="N14" s="35">
        <f>M14</f>
        <v>0</v>
      </c>
      <c r="O14" s="35">
        <f>N14</f>
        <v>0</v>
      </c>
      <c r="P14" s="35">
        <f>O14</f>
        <v>0</v>
      </c>
      <c r="Q14" s="35">
        <f>P14</f>
        <v>0</v>
      </c>
      <c r="R14" s="35">
        <f>2900</f>
        <v>2900</v>
      </c>
      <c r="S14" s="35">
        <f t="shared" ref="S14:AB14" si="9">R14</f>
        <v>2900</v>
      </c>
      <c r="T14" s="35">
        <f t="shared" si="9"/>
        <v>2900</v>
      </c>
      <c r="U14" s="35">
        <f t="shared" si="9"/>
        <v>2900</v>
      </c>
      <c r="V14" s="35">
        <f t="shared" si="9"/>
        <v>2900</v>
      </c>
      <c r="W14" s="35">
        <f t="shared" si="9"/>
        <v>2900</v>
      </c>
      <c r="X14" s="35">
        <f t="shared" si="9"/>
        <v>2900</v>
      </c>
      <c r="Y14" s="35">
        <f t="shared" si="9"/>
        <v>2900</v>
      </c>
      <c r="Z14" s="35">
        <f t="shared" si="9"/>
        <v>2900</v>
      </c>
      <c r="AA14" s="35">
        <f t="shared" si="9"/>
        <v>2900</v>
      </c>
      <c r="AB14" s="35">
        <f t="shared" si="9"/>
        <v>2900</v>
      </c>
      <c r="AC14" s="35">
        <f>2900</f>
        <v>2900</v>
      </c>
      <c r="AD14" s="35">
        <f>0</f>
        <v>0</v>
      </c>
      <c r="AE14" s="35">
        <f>0</f>
        <v>0</v>
      </c>
      <c r="AF14" s="35">
        <f>0</f>
        <v>0</v>
      </c>
      <c r="AG14" s="35">
        <f>0</f>
        <v>0</v>
      </c>
      <c r="AH14" s="35">
        <f>0</f>
        <v>0</v>
      </c>
      <c r="AI14" s="35">
        <f>0</f>
        <v>0</v>
      </c>
      <c r="AJ14" s="35">
        <f>3829.4</f>
        <v>3829.4</v>
      </c>
      <c r="AK14" s="35">
        <f>21.45</f>
        <v>21.45</v>
      </c>
      <c r="AL14" s="35">
        <f>21.45</f>
        <v>21.45</v>
      </c>
      <c r="AM14" s="35">
        <f>-5476.48</f>
        <v>-5476.48</v>
      </c>
      <c r="AN14" s="35">
        <f>-19628.55</f>
        <v>-19628.55</v>
      </c>
      <c r="AO14" s="35">
        <f>-45715</f>
        <v>-45715</v>
      </c>
      <c r="AP14" s="35">
        <f>-40999.19</f>
        <v>-40999.19</v>
      </c>
      <c r="AQ14" s="35">
        <f>-44244.55</f>
        <v>-44244.55</v>
      </c>
      <c r="AR14" s="35">
        <f>-105083.45</f>
        <v>-105083.45</v>
      </c>
      <c r="AS14" s="35">
        <f>AR14</f>
        <v>-105083.45</v>
      </c>
      <c r="AT14" s="35">
        <f>AS14</f>
        <v>-105083.45</v>
      </c>
      <c r="AU14" s="35">
        <f>AT14</f>
        <v>-105083.45</v>
      </c>
      <c r="AV14" s="35">
        <f>AU14</f>
        <v>-105083.45</v>
      </c>
      <c r="AW14" s="35">
        <f>AV14</f>
        <v>-105083.45</v>
      </c>
    </row>
    <row r="15" spans="1:49" x14ac:dyDescent="0.2">
      <c r="A15" s="33" t="s">
        <v>318</v>
      </c>
      <c r="B15" s="34">
        <f t="shared" ref="B15:AW15" si="10">((B12)+(B13))+(B14)</f>
        <v>0</v>
      </c>
      <c r="C15" s="34">
        <f t="shared" si="10"/>
        <v>0</v>
      </c>
      <c r="D15" s="34">
        <f t="shared" si="10"/>
        <v>0</v>
      </c>
      <c r="E15" s="34">
        <f t="shared" si="10"/>
        <v>0</v>
      </c>
      <c r="F15" s="34">
        <f t="shared" si="10"/>
        <v>0</v>
      </c>
      <c r="G15" s="34">
        <f t="shared" si="10"/>
        <v>0</v>
      </c>
      <c r="H15" s="34">
        <f t="shared" si="10"/>
        <v>-2573.63</v>
      </c>
      <c r="I15" s="34">
        <f t="shared" si="10"/>
        <v>4266.54</v>
      </c>
      <c r="J15" s="34">
        <f t="shared" si="10"/>
        <v>9608.0099999999984</v>
      </c>
      <c r="K15" s="34">
        <f t="shared" si="10"/>
        <v>10346.130000000001</v>
      </c>
      <c r="L15" s="34">
        <f t="shared" si="10"/>
        <v>11520.63</v>
      </c>
      <c r="M15" s="34">
        <f t="shared" si="10"/>
        <v>532.49</v>
      </c>
      <c r="N15" s="34">
        <f t="shared" si="10"/>
        <v>6716.64</v>
      </c>
      <c r="O15" s="34">
        <f t="shared" si="10"/>
        <v>5407.95</v>
      </c>
      <c r="P15" s="34">
        <f t="shared" si="10"/>
        <v>28977.94</v>
      </c>
      <c r="Q15" s="34">
        <f t="shared" si="10"/>
        <v>42158.05</v>
      </c>
      <c r="R15" s="34">
        <f t="shared" si="10"/>
        <v>42428.97</v>
      </c>
      <c r="S15" s="34">
        <f t="shared" si="10"/>
        <v>41624.69</v>
      </c>
      <c r="T15" s="34">
        <f t="shared" si="10"/>
        <v>62342.2</v>
      </c>
      <c r="U15" s="34">
        <f t="shared" si="10"/>
        <v>73547.73</v>
      </c>
      <c r="V15" s="34">
        <f t="shared" si="10"/>
        <v>86871.540000000008</v>
      </c>
      <c r="W15" s="34">
        <f t="shared" si="10"/>
        <v>70610.83</v>
      </c>
      <c r="X15" s="34">
        <f t="shared" si="10"/>
        <v>72269.210000000006</v>
      </c>
      <c r="Y15" s="34">
        <f t="shared" si="10"/>
        <v>62666.28</v>
      </c>
      <c r="Z15" s="34">
        <f t="shared" si="10"/>
        <v>96341.890000000014</v>
      </c>
      <c r="AA15" s="34">
        <f t="shared" si="10"/>
        <v>111475.83</v>
      </c>
      <c r="AB15" s="34">
        <f t="shared" si="10"/>
        <v>121625.03</v>
      </c>
      <c r="AC15" s="34">
        <f t="shared" si="10"/>
        <v>170819.7</v>
      </c>
      <c r="AD15" s="34">
        <f t="shared" si="10"/>
        <v>190472.22999999998</v>
      </c>
      <c r="AE15" s="34">
        <f t="shared" si="10"/>
        <v>130907.59999999999</v>
      </c>
      <c r="AF15" s="34">
        <f t="shared" si="10"/>
        <v>142141.94</v>
      </c>
      <c r="AG15" s="34">
        <f t="shared" si="10"/>
        <v>25675.960000000003</v>
      </c>
      <c r="AH15" s="34">
        <f t="shared" si="10"/>
        <v>37949.909999999996</v>
      </c>
      <c r="AI15" s="34">
        <f t="shared" si="10"/>
        <v>5761.1600000000008</v>
      </c>
      <c r="AJ15" s="34">
        <f t="shared" si="10"/>
        <v>26904.63</v>
      </c>
      <c r="AK15" s="34">
        <f t="shared" si="10"/>
        <v>13264.4</v>
      </c>
      <c r="AL15" s="34">
        <f t="shared" si="10"/>
        <v>19586.440000000002</v>
      </c>
      <c r="AM15" s="34">
        <f t="shared" si="10"/>
        <v>19033.080000000002</v>
      </c>
      <c r="AN15" s="34">
        <f t="shared" si="10"/>
        <v>-362.09999999999854</v>
      </c>
      <c r="AO15" s="34">
        <f t="shared" si="10"/>
        <v>-21641.039999999997</v>
      </c>
      <c r="AP15" s="34">
        <f t="shared" si="10"/>
        <v>-19969.370000000003</v>
      </c>
      <c r="AQ15" s="34">
        <f t="shared" si="10"/>
        <v>-11474.779999999999</v>
      </c>
      <c r="AR15" s="34">
        <f t="shared" si="10"/>
        <v>-77385.070000000007</v>
      </c>
      <c r="AS15" s="34">
        <f t="shared" si="10"/>
        <v>-45897.07</v>
      </c>
      <c r="AT15" s="34">
        <f t="shared" si="10"/>
        <v>-22122.069999999992</v>
      </c>
      <c r="AU15" s="34">
        <f t="shared" si="10"/>
        <v>-22122.069999999992</v>
      </c>
      <c r="AV15" s="34">
        <f t="shared" si="10"/>
        <v>-22122.069999999992</v>
      </c>
      <c r="AW15" s="34">
        <f t="shared" si="10"/>
        <v>-22122.069999999992</v>
      </c>
    </row>
    <row r="16" spans="1:49" x14ac:dyDescent="0.2">
      <c r="A16" s="33" t="s">
        <v>317</v>
      </c>
      <c r="B16" s="32"/>
      <c r="C16" s="32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  <c r="AH16" s="32"/>
      <c r="AI16" s="32"/>
      <c r="AJ16" s="32"/>
      <c r="AK16" s="32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</row>
    <row r="17" spans="1:49" x14ac:dyDescent="0.2">
      <c r="A17" s="33" t="s">
        <v>316</v>
      </c>
      <c r="B17" s="32"/>
      <c r="C17" s="35">
        <f>B17</f>
        <v>0</v>
      </c>
      <c r="D17" s="35">
        <f>C17</f>
        <v>0</v>
      </c>
      <c r="E17" s="35">
        <f>D17</f>
        <v>0</v>
      </c>
      <c r="F17" s="35">
        <f>E17</f>
        <v>0</v>
      </c>
      <c r="G17" s="35">
        <f>F17</f>
        <v>0</v>
      </c>
      <c r="H17" s="35">
        <f>1800</f>
        <v>1800</v>
      </c>
      <c r="I17" s="35">
        <f>5700</f>
        <v>5700</v>
      </c>
      <c r="J17" s="35">
        <f>2000</f>
        <v>2000</v>
      </c>
      <c r="K17" s="35">
        <f>4300</f>
        <v>4300</v>
      </c>
      <c r="L17" s="35">
        <f>10000</f>
        <v>10000</v>
      </c>
      <c r="M17" s="35">
        <f>13000</f>
        <v>13000</v>
      </c>
      <c r="N17" s="35">
        <f>M17</f>
        <v>13000</v>
      </c>
      <c r="O17" s="35">
        <f>7335</f>
        <v>7335</v>
      </c>
      <c r="P17" s="35">
        <f>11510</f>
        <v>11510</v>
      </c>
      <c r="Q17" s="35">
        <f>14125</f>
        <v>14125</v>
      </c>
      <c r="R17" s="35">
        <f>17750</f>
        <v>17750</v>
      </c>
      <c r="S17" s="35">
        <f>17450</f>
        <v>17450</v>
      </c>
      <c r="T17" s="35">
        <f>9250</f>
        <v>9250</v>
      </c>
      <c r="U17" s="35">
        <f>20150</f>
        <v>20150</v>
      </c>
      <c r="V17" s="35">
        <f>19350</f>
        <v>19350</v>
      </c>
      <c r="W17" s="35">
        <f>13600</f>
        <v>13600</v>
      </c>
      <c r="X17" s="35">
        <f>16700</f>
        <v>16700</v>
      </c>
      <c r="Y17" s="35">
        <f>-23685</f>
        <v>-23685</v>
      </c>
      <c r="Z17" s="35">
        <f>7550</f>
        <v>7550</v>
      </c>
      <c r="AA17" s="35">
        <f>23600</f>
        <v>23600</v>
      </c>
      <c r="AB17" s="35">
        <f>19300</f>
        <v>19300</v>
      </c>
      <c r="AC17" s="35">
        <f>35050</f>
        <v>35050</v>
      </c>
      <c r="AD17" s="35">
        <f>24380</f>
        <v>24380</v>
      </c>
      <c r="AE17" s="35">
        <f>57215</f>
        <v>57215</v>
      </c>
      <c r="AF17" s="35">
        <f>37130</f>
        <v>37130</v>
      </c>
      <c r="AG17" s="35">
        <f>64545</f>
        <v>64545</v>
      </c>
      <c r="AH17" s="35">
        <f>24900</f>
        <v>24900</v>
      </c>
      <c r="AI17" s="35">
        <f>88375</f>
        <v>88375</v>
      </c>
      <c r="AJ17" s="35">
        <f>18520</f>
        <v>18520</v>
      </c>
      <c r="AK17" s="35">
        <f>46400</f>
        <v>46400</v>
      </c>
      <c r="AL17" s="35">
        <f>38700</f>
        <v>38700</v>
      </c>
      <c r="AM17" s="35">
        <f>55300</f>
        <v>55300</v>
      </c>
      <c r="AN17" s="35">
        <f>43000</f>
        <v>43000</v>
      </c>
      <c r="AO17" s="35">
        <f>71625</f>
        <v>71625</v>
      </c>
      <c r="AP17" s="35">
        <f>77800</f>
        <v>77800</v>
      </c>
      <c r="AQ17" s="35">
        <f>41005.75</f>
        <v>41005.75</v>
      </c>
      <c r="AR17" s="35">
        <f>33743.75</f>
        <v>33743.75</v>
      </c>
      <c r="AS17" s="35">
        <f>24130.75</f>
        <v>24130.75</v>
      </c>
      <c r="AT17" s="35">
        <f>22355.75</f>
        <v>22355.75</v>
      </c>
      <c r="AU17" s="35">
        <f>AT17</f>
        <v>22355.75</v>
      </c>
      <c r="AV17" s="35">
        <f>AU17</f>
        <v>22355.75</v>
      </c>
      <c r="AW17" s="35">
        <f>AV17</f>
        <v>22355.75</v>
      </c>
    </row>
    <row r="18" spans="1:49" x14ac:dyDescent="0.2">
      <c r="A18" s="33" t="s">
        <v>315</v>
      </c>
      <c r="B18" s="34">
        <f t="shared" ref="B18:AW18" si="11">B17</f>
        <v>0</v>
      </c>
      <c r="C18" s="34">
        <f t="shared" si="11"/>
        <v>0</v>
      </c>
      <c r="D18" s="34">
        <f t="shared" si="11"/>
        <v>0</v>
      </c>
      <c r="E18" s="34">
        <f t="shared" si="11"/>
        <v>0</v>
      </c>
      <c r="F18" s="34">
        <f t="shared" si="11"/>
        <v>0</v>
      </c>
      <c r="G18" s="34">
        <f t="shared" si="11"/>
        <v>0</v>
      </c>
      <c r="H18" s="34">
        <f t="shared" si="11"/>
        <v>1800</v>
      </c>
      <c r="I18" s="34">
        <f t="shared" si="11"/>
        <v>5700</v>
      </c>
      <c r="J18" s="34">
        <f t="shared" si="11"/>
        <v>2000</v>
      </c>
      <c r="K18" s="34">
        <f t="shared" si="11"/>
        <v>4300</v>
      </c>
      <c r="L18" s="34">
        <f t="shared" si="11"/>
        <v>10000</v>
      </c>
      <c r="M18" s="34">
        <f t="shared" si="11"/>
        <v>13000</v>
      </c>
      <c r="N18" s="34">
        <f t="shared" si="11"/>
        <v>13000</v>
      </c>
      <c r="O18" s="34">
        <f t="shared" si="11"/>
        <v>7335</v>
      </c>
      <c r="P18" s="34">
        <f t="shared" si="11"/>
        <v>11510</v>
      </c>
      <c r="Q18" s="34">
        <f t="shared" si="11"/>
        <v>14125</v>
      </c>
      <c r="R18" s="34">
        <f t="shared" si="11"/>
        <v>17750</v>
      </c>
      <c r="S18" s="34">
        <f t="shared" si="11"/>
        <v>17450</v>
      </c>
      <c r="T18" s="34">
        <f t="shared" si="11"/>
        <v>9250</v>
      </c>
      <c r="U18" s="34">
        <f t="shared" si="11"/>
        <v>20150</v>
      </c>
      <c r="V18" s="34">
        <f t="shared" si="11"/>
        <v>19350</v>
      </c>
      <c r="W18" s="34">
        <f t="shared" si="11"/>
        <v>13600</v>
      </c>
      <c r="X18" s="34">
        <f t="shared" si="11"/>
        <v>16700</v>
      </c>
      <c r="Y18" s="34">
        <f t="shared" si="11"/>
        <v>-23685</v>
      </c>
      <c r="Z18" s="34">
        <f t="shared" si="11"/>
        <v>7550</v>
      </c>
      <c r="AA18" s="34">
        <f t="shared" si="11"/>
        <v>23600</v>
      </c>
      <c r="AB18" s="34">
        <f t="shared" si="11"/>
        <v>19300</v>
      </c>
      <c r="AC18" s="34">
        <f t="shared" si="11"/>
        <v>35050</v>
      </c>
      <c r="AD18" s="34">
        <f t="shared" si="11"/>
        <v>24380</v>
      </c>
      <c r="AE18" s="34">
        <f t="shared" si="11"/>
        <v>57215</v>
      </c>
      <c r="AF18" s="34">
        <f t="shared" si="11"/>
        <v>37130</v>
      </c>
      <c r="AG18" s="34">
        <f t="shared" si="11"/>
        <v>64545</v>
      </c>
      <c r="AH18" s="34">
        <f t="shared" si="11"/>
        <v>24900</v>
      </c>
      <c r="AI18" s="34">
        <f t="shared" si="11"/>
        <v>88375</v>
      </c>
      <c r="AJ18" s="34">
        <f t="shared" si="11"/>
        <v>18520</v>
      </c>
      <c r="AK18" s="34">
        <f t="shared" si="11"/>
        <v>46400</v>
      </c>
      <c r="AL18" s="34">
        <f t="shared" si="11"/>
        <v>38700</v>
      </c>
      <c r="AM18" s="34">
        <f t="shared" si="11"/>
        <v>55300</v>
      </c>
      <c r="AN18" s="34">
        <f t="shared" si="11"/>
        <v>43000</v>
      </c>
      <c r="AO18" s="34">
        <f t="shared" si="11"/>
        <v>71625</v>
      </c>
      <c r="AP18" s="34">
        <f t="shared" si="11"/>
        <v>77800</v>
      </c>
      <c r="AQ18" s="34">
        <f t="shared" si="11"/>
        <v>41005.75</v>
      </c>
      <c r="AR18" s="34">
        <f t="shared" si="11"/>
        <v>33743.75</v>
      </c>
      <c r="AS18" s="34">
        <f t="shared" si="11"/>
        <v>24130.75</v>
      </c>
      <c r="AT18" s="34">
        <f t="shared" si="11"/>
        <v>22355.75</v>
      </c>
      <c r="AU18" s="34">
        <f t="shared" si="11"/>
        <v>22355.75</v>
      </c>
      <c r="AV18" s="34">
        <f t="shared" si="11"/>
        <v>22355.75</v>
      </c>
      <c r="AW18" s="34">
        <f t="shared" si="11"/>
        <v>22355.75</v>
      </c>
    </row>
    <row r="19" spans="1:49" x14ac:dyDescent="0.2">
      <c r="A19" s="33" t="s">
        <v>314</v>
      </c>
      <c r="B19" s="32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32"/>
      <c r="AI19" s="32"/>
      <c r="AJ19" s="32"/>
      <c r="AK19" s="32"/>
      <c r="AL19" s="32"/>
      <c r="AM19" s="32"/>
      <c r="AN19" s="32"/>
      <c r="AO19" s="32"/>
      <c r="AP19" s="32"/>
      <c r="AQ19" s="32"/>
      <c r="AR19" s="32"/>
      <c r="AS19" s="32"/>
      <c r="AT19" s="32"/>
      <c r="AU19" s="32"/>
      <c r="AV19" s="32"/>
      <c r="AW19" s="32"/>
    </row>
    <row r="20" spans="1:49" x14ac:dyDescent="0.2">
      <c r="A20" s="33" t="s">
        <v>313</v>
      </c>
      <c r="B20" s="32"/>
      <c r="C20" s="35">
        <f t="shared" ref="C20:AA20" si="12">B20</f>
        <v>0</v>
      </c>
      <c r="D20" s="35">
        <f t="shared" si="12"/>
        <v>0</v>
      </c>
      <c r="E20" s="35">
        <f t="shared" si="12"/>
        <v>0</v>
      </c>
      <c r="F20" s="35">
        <f t="shared" si="12"/>
        <v>0</v>
      </c>
      <c r="G20" s="35">
        <f t="shared" si="12"/>
        <v>0</v>
      </c>
      <c r="H20" s="35">
        <f t="shared" si="12"/>
        <v>0</v>
      </c>
      <c r="I20" s="35">
        <f t="shared" si="12"/>
        <v>0</v>
      </c>
      <c r="J20" s="35">
        <f t="shared" si="12"/>
        <v>0</v>
      </c>
      <c r="K20" s="35">
        <f t="shared" si="12"/>
        <v>0</v>
      </c>
      <c r="L20" s="35">
        <f t="shared" si="12"/>
        <v>0</v>
      </c>
      <c r="M20" s="35">
        <f t="shared" si="12"/>
        <v>0</v>
      </c>
      <c r="N20" s="35">
        <f t="shared" si="12"/>
        <v>0</v>
      </c>
      <c r="O20" s="35">
        <f t="shared" si="12"/>
        <v>0</v>
      </c>
      <c r="P20" s="35">
        <f t="shared" si="12"/>
        <v>0</v>
      </c>
      <c r="Q20" s="35">
        <f t="shared" si="12"/>
        <v>0</v>
      </c>
      <c r="R20" s="35">
        <f t="shared" si="12"/>
        <v>0</v>
      </c>
      <c r="S20" s="35">
        <f t="shared" si="12"/>
        <v>0</v>
      </c>
      <c r="T20" s="35">
        <f t="shared" si="12"/>
        <v>0</v>
      </c>
      <c r="U20" s="35">
        <f t="shared" si="12"/>
        <v>0</v>
      </c>
      <c r="V20" s="35">
        <f t="shared" si="12"/>
        <v>0</v>
      </c>
      <c r="W20" s="35">
        <f t="shared" si="12"/>
        <v>0</v>
      </c>
      <c r="X20" s="35">
        <f t="shared" si="12"/>
        <v>0</v>
      </c>
      <c r="Y20" s="35">
        <f t="shared" si="12"/>
        <v>0</v>
      </c>
      <c r="Z20" s="35">
        <f t="shared" si="12"/>
        <v>0</v>
      </c>
      <c r="AA20" s="35">
        <f t="shared" si="12"/>
        <v>0</v>
      </c>
      <c r="AB20" s="35">
        <f>17000</f>
        <v>17000</v>
      </c>
      <c r="AC20" s="35">
        <f>22000</f>
        <v>22000</v>
      </c>
      <c r="AD20" s="35">
        <f t="shared" ref="AD20:AQ20" si="13">AC20</f>
        <v>22000</v>
      </c>
      <c r="AE20" s="35">
        <f t="shared" si="13"/>
        <v>22000</v>
      </c>
      <c r="AF20" s="35">
        <f t="shared" si="13"/>
        <v>22000</v>
      </c>
      <c r="AG20" s="35">
        <f t="shared" si="13"/>
        <v>22000</v>
      </c>
      <c r="AH20" s="35">
        <f t="shared" si="13"/>
        <v>22000</v>
      </c>
      <c r="AI20" s="35">
        <f t="shared" si="13"/>
        <v>22000</v>
      </c>
      <c r="AJ20" s="35">
        <f t="shared" si="13"/>
        <v>22000</v>
      </c>
      <c r="AK20" s="35">
        <f t="shared" si="13"/>
        <v>22000</v>
      </c>
      <c r="AL20" s="35">
        <f t="shared" si="13"/>
        <v>22000</v>
      </c>
      <c r="AM20" s="35">
        <f t="shared" si="13"/>
        <v>22000</v>
      </c>
      <c r="AN20" s="35">
        <f t="shared" si="13"/>
        <v>22000</v>
      </c>
      <c r="AO20" s="35">
        <f t="shared" si="13"/>
        <v>22000</v>
      </c>
      <c r="AP20" s="35">
        <f t="shared" si="13"/>
        <v>22000</v>
      </c>
      <c r="AQ20" s="35">
        <f t="shared" si="13"/>
        <v>22000</v>
      </c>
      <c r="AR20" s="35">
        <f>53093</f>
        <v>53093</v>
      </c>
      <c r="AS20" s="35">
        <f>56093</f>
        <v>56093</v>
      </c>
      <c r="AT20" s="35">
        <f t="shared" ref="AT20:AW22" si="14">AS20</f>
        <v>56093</v>
      </c>
      <c r="AU20" s="35">
        <f t="shared" si="14"/>
        <v>56093</v>
      </c>
      <c r="AV20" s="35">
        <f t="shared" si="14"/>
        <v>56093</v>
      </c>
      <c r="AW20" s="35">
        <f t="shared" si="14"/>
        <v>56093</v>
      </c>
    </row>
    <row r="21" spans="1:49" x14ac:dyDescent="0.2">
      <c r="A21" s="33" t="s">
        <v>312</v>
      </c>
      <c r="B21" s="32"/>
      <c r="C21" s="35">
        <f t="shared" ref="C21:G22" si="15">B21</f>
        <v>0</v>
      </c>
      <c r="D21" s="35">
        <f t="shared" si="15"/>
        <v>0</v>
      </c>
      <c r="E21" s="35">
        <f t="shared" si="15"/>
        <v>0</v>
      </c>
      <c r="F21" s="35">
        <f t="shared" si="15"/>
        <v>0</v>
      </c>
      <c r="G21" s="35">
        <f t="shared" si="15"/>
        <v>0</v>
      </c>
      <c r="H21" s="35">
        <f>12300.11</f>
        <v>12300.11</v>
      </c>
      <c r="I21" s="35">
        <f>24700.11</f>
        <v>24700.11</v>
      </c>
      <c r="J21" s="35">
        <f>36350.11</f>
        <v>36350.11</v>
      </c>
      <c r="K21" s="35">
        <f>34350.11</f>
        <v>34350.11</v>
      </c>
      <c r="L21" s="35">
        <f>56120.11</f>
        <v>56120.11</v>
      </c>
      <c r="M21" s="35">
        <f>19570</f>
        <v>19570</v>
      </c>
      <c r="N21" s="35">
        <f>M21</f>
        <v>19570</v>
      </c>
      <c r="O21" s="35">
        <f>51870</f>
        <v>51870</v>
      </c>
      <c r="P21" s="35">
        <f>90195</f>
        <v>90195</v>
      </c>
      <c r="Q21" s="35">
        <f>115105</f>
        <v>115105</v>
      </c>
      <c r="R21" s="35">
        <f>139230</f>
        <v>139230</v>
      </c>
      <c r="S21" s="35">
        <f>175080</f>
        <v>175080</v>
      </c>
      <c r="T21" s="35">
        <f>182980</f>
        <v>182980</v>
      </c>
      <c r="U21" s="35">
        <f>200331.28</f>
        <v>200331.28</v>
      </c>
      <c r="V21" s="35">
        <f>239931.28</f>
        <v>239931.28</v>
      </c>
      <c r="W21" s="35">
        <f>252231.28</f>
        <v>252231.28</v>
      </c>
      <c r="X21" s="35">
        <f>257381.28</f>
        <v>257381.28</v>
      </c>
      <c r="Y21" s="35">
        <f>0</f>
        <v>0</v>
      </c>
      <c r="Z21" s="35">
        <f>5100</f>
        <v>5100</v>
      </c>
      <c r="AA21" s="35">
        <f>6300</f>
        <v>6300</v>
      </c>
      <c r="AB21" s="35">
        <f>1197.21</f>
        <v>1197.21</v>
      </c>
      <c r="AC21" s="35">
        <f>0</f>
        <v>0</v>
      </c>
      <c r="AD21" s="35">
        <f>400</f>
        <v>400</v>
      </c>
      <c r="AE21" s="35">
        <f>AD21</f>
        <v>400</v>
      </c>
      <c r="AF21" s="35">
        <f>0</f>
        <v>0</v>
      </c>
      <c r="AG21" s="35">
        <f>0</f>
        <v>0</v>
      </c>
      <c r="AH21" s="35">
        <f>6500</f>
        <v>6500</v>
      </c>
      <c r="AI21" s="35">
        <f>AH21</f>
        <v>6500</v>
      </c>
      <c r="AJ21" s="35">
        <f>AI21</f>
        <v>6500</v>
      </c>
      <c r="AK21" s="35">
        <f>2400</f>
        <v>2400</v>
      </c>
      <c r="AL21" s="35">
        <f>14400</f>
        <v>14400</v>
      </c>
      <c r="AM21" s="35">
        <f>39950</f>
        <v>39950</v>
      </c>
      <c r="AN21" s="35">
        <f>77600</f>
        <v>77600</v>
      </c>
      <c r="AO21" s="35">
        <f>AN21</f>
        <v>77600</v>
      </c>
      <c r="AP21" s="35">
        <f>121625</f>
        <v>121625</v>
      </c>
      <c r="AQ21" s="35">
        <f>147769.3</f>
        <v>147769.29999999999</v>
      </c>
      <c r="AR21" s="35">
        <f>204619.3</f>
        <v>204619.3</v>
      </c>
      <c r="AS21" s="35">
        <f>256669.3</f>
        <v>256669.3</v>
      </c>
      <c r="AT21" s="35">
        <f t="shared" si="14"/>
        <v>256669.3</v>
      </c>
      <c r="AU21" s="35">
        <f t="shared" si="14"/>
        <v>256669.3</v>
      </c>
      <c r="AV21" s="35">
        <f t="shared" si="14"/>
        <v>256669.3</v>
      </c>
      <c r="AW21" s="35">
        <f t="shared" si="14"/>
        <v>256669.3</v>
      </c>
    </row>
    <row r="22" spans="1:49" x14ac:dyDescent="0.2">
      <c r="A22" s="33" t="s">
        <v>311</v>
      </c>
      <c r="B22" s="32"/>
      <c r="C22" s="35">
        <f t="shared" si="15"/>
        <v>0</v>
      </c>
      <c r="D22" s="35">
        <f t="shared" si="15"/>
        <v>0</v>
      </c>
      <c r="E22" s="35">
        <f t="shared" si="15"/>
        <v>0</v>
      </c>
      <c r="F22" s="35">
        <f t="shared" si="15"/>
        <v>0</v>
      </c>
      <c r="G22" s="35">
        <f t="shared" si="15"/>
        <v>0</v>
      </c>
      <c r="H22" s="35">
        <f t="shared" ref="H22:M22" si="16">G22</f>
        <v>0</v>
      </c>
      <c r="I22" s="35">
        <f t="shared" si="16"/>
        <v>0</v>
      </c>
      <c r="J22" s="35">
        <f t="shared" si="16"/>
        <v>0</v>
      </c>
      <c r="K22" s="35">
        <f t="shared" si="16"/>
        <v>0</v>
      </c>
      <c r="L22" s="35">
        <f t="shared" si="16"/>
        <v>0</v>
      </c>
      <c r="M22" s="35">
        <f t="shared" si="16"/>
        <v>0</v>
      </c>
      <c r="N22" s="35">
        <f>M22</f>
        <v>0</v>
      </c>
      <c r="O22" s="35">
        <f t="shared" ref="O22:Y22" si="17">N22</f>
        <v>0</v>
      </c>
      <c r="P22" s="35">
        <f t="shared" si="17"/>
        <v>0</v>
      </c>
      <c r="Q22" s="35">
        <f t="shared" si="17"/>
        <v>0</v>
      </c>
      <c r="R22" s="35">
        <f t="shared" si="17"/>
        <v>0</v>
      </c>
      <c r="S22" s="35">
        <f t="shared" si="17"/>
        <v>0</v>
      </c>
      <c r="T22" s="35">
        <f t="shared" si="17"/>
        <v>0</v>
      </c>
      <c r="U22" s="35">
        <f t="shared" si="17"/>
        <v>0</v>
      </c>
      <c r="V22" s="35">
        <f t="shared" si="17"/>
        <v>0</v>
      </c>
      <c r="W22" s="35">
        <f t="shared" si="17"/>
        <v>0</v>
      </c>
      <c r="X22" s="35">
        <f t="shared" si="17"/>
        <v>0</v>
      </c>
      <c r="Y22" s="35">
        <f t="shared" si="17"/>
        <v>0</v>
      </c>
      <c r="Z22" s="35">
        <f>-44602.05</f>
        <v>-44602.05</v>
      </c>
      <c r="AA22" s="35">
        <f>-48602.05</f>
        <v>-48602.05</v>
      </c>
      <c r="AB22" s="35">
        <f>-42602.05</f>
        <v>-42602.05</v>
      </c>
      <c r="AC22" s="35">
        <f>-89902.05</f>
        <v>-89902.05</v>
      </c>
      <c r="AD22" s="35">
        <f>-79802.05</f>
        <v>-79802.05</v>
      </c>
      <c r="AE22" s="35">
        <f>-99667.05</f>
        <v>-99667.05</v>
      </c>
      <c r="AF22" s="35">
        <f>-91130.05</f>
        <v>-91130.05</v>
      </c>
      <c r="AG22" s="35">
        <f>-80380.05</f>
        <v>-80380.05</v>
      </c>
      <c r="AH22" s="35">
        <f>-85169.17</f>
        <v>-85169.17</v>
      </c>
      <c r="AI22" s="35">
        <f>-65369.17</f>
        <v>-65369.17</v>
      </c>
      <c r="AJ22" s="35">
        <f>-89499.17</f>
        <v>-89499.17</v>
      </c>
      <c r="AK22" s="35">
        <f>-9800</f>
        <v>-9800</v>
      </c>
      <c r="AL22" s="35">
        <f>AK22</f>
        <v>-9800</v>
      </c>
      <c r="AM22" s="35">
        <f>AL22</f>
        <v>-9800</v>
      </c>
      <c r="AN22" s="35">
        <f>AM22</f>
        <v>-9800</v>
      </c>
      <c r="AO22" s="35">
        <f>AN22</f>
        <v>-9800</v>
      </c>
      <c r="AP22" s="35">
        <f>AO22</f>
        <v>-9800</v>
      </c>
      <c r="AQ22" s="35">
        <f>AP22</f>
        <v>-9800</v>
      </c>
      <c r="AR22" s="35">
        <f>AQ22</f>
        <v>-9800</v>
      </c>
      <c r="AS22" s="35">
        <f>AR22</f>
        <v>-9800</v>
      </c>
      <c r="AT22" s="35">
        <f t="shared" si="14"/>
        <v>-9800</v>
      </c>
      <c r="AU22" s="35">
        <f t="shared" si="14"/>
        <v>-9800</v>
      </c>
      <c r="AV22" s="35">
        <f t="shared" si="14"/>
        <v>-9800</v>
      </c>
      <c r="AW22" s="35">
        <f t="shared" si="14"/>
        <v>-9800</v>
      </c>
    </row>
    <row r="23" spans="1:49" x14ac:dyDescent="0.2">
      <c r="A23" s="33" t="s">
        <v>310</v>
      </c>
      <c r="B23" s="34">
        <f t="shared" ref="B23:AW23" si="18">((B20)+(B21))+(B22)</f>
        <v>0</v>
      </c>
      <c r="C23" s="34">
        <f t="shared" si="18"/>
        <v>0</v>
      </c>
      <c r="D23" s="34">
        <f t="shared" si="18"/>
        <v>0</v>
      </c>
      <c r="E23" s="34">
        <f t="shared" si="18"/>
        <v>0</v>
      </c>
      <c r="F23" s="34">
        <f t="shared" si="18"/>
        <v>0</v>
      </c>
      <c r="G23" s="34">
        <f t="shared" si="18"/>
        <v>0</v>
      </c>
      <c r="H23" s="34">
        <f t="shared" si="18"/>
        <v>12300.11</v>
      </c>
      <c r="I23" s="34">
        <f t="shared" si="18"/>
        <v>24700.11</v>
      </c>
      <c r="J23" s="34">
        <f t="shared" si="18"/>
        <v>36350.11</v>
      </c>
      <c r="K23" s="34">
        <f t="shared" si="18"/>
        <v>34350.11</v>
      </c>
      <c r="L23" s="34">
        <f t="shared" si="18"/>
        <v>56120.11</v>
      </c>
      <c r="M23" s="34">
        <f t="shared" si="18"/>
        <v>19570</v>
      </c>
      <c r="N23" s="34">
        <f t="shared" si="18"/>
        <v>19570</v>
      </c>
      <c r="O23" s="34">
        <f t="shared" si="18"/>
        <v>51870</v>
      </c>
      <c r="P23" s="34">
        <f t="shared" si="18"/>
        <v>90195</v>
      </c>
      <c r="Q23" s="34">
        <f t="shared" si="18"/>
        <v>115105</v>
      </c>
      <c r="R23" s="34">
        <f t="shared" si="18"/>
        <v>139230</v>
      </c>
      <c r="S23" s="34">
        <f t="shared" si="18"/>
        <v>175080</v>
      </c>
      <c r="T23" s="34">
        <f t="shared" si="18"/>
        <v>182980</v>
      </c>
      <c r="U23" s="34">
        <f t="shared" si="18"/>
        <v>200331.28</v>
      </c>
      <c r="V23" s="34">
        <f t="shared" si="18"/>
        <v>239931.28</v>
      </c>
      <c r="W23" s="34">
        <f t="shared" si="18"/>
        <v>252231.28</v>
      </c>
      <c r="X23" s="34">
        <f t="shared" si="18"/>
        <v>257381.28</v>
      </c>
      <c r="Y23" s="34">
        <f t="shared" si="18"/>
        <v>0</v>
      </c>
      <c r="Z23" s="34">
        <f t="shared" si="18"/>
        <v>-39502.050000000003</v>
      </c>
      <c r="AA23" s="34">
        <f t="shared" si="18"/>
        <v>-42302.05</v>
      </c>
      <c r="AB23" s="34">
        <f t="shared" si="18"/>
        <v>-24404.840000000004</v>
      </c>
      <c r="AC23" s="34">
        <f t="shared" si="18"/>
        <v>-67902.05</v>
      </c>
      <c r="AD23" s="34">
        <f t="shared" si="18"/>
        <v>-57402.05</v>
      </c>
      <c r="AE23" s="34">
        <f t="shared" si="18"/>
        <v>-77267.05</v>
      </c>
      <c r="AF23" s="34">
        <f t="shared" si="18"/>
        <v>-69130.05</v>
      </c>
      <c r="AG23" s="34">
        <f t="shared" si="18"/>
        <v>-58380.05</v>
      </c>
      <c r="AH23" s="34">
        <f t="shared" si="18"/>
        <v>-56669.17</v>
      </c>
      <c r="AI23" s="34">
        <f t="shared" si="18"/>
        <v>-36869.17</v>
      </c>
      <c r="AJ23" s="34">
        <f t="shared" si="18"/>
        <v>-60999.17</v>
      </c>
      <c r="AK23" s="34">
        <f t="shared" si="18"/>
        <v>14600</v>
      </c>
      <c r="AL23" s="34">
        <f t="shared" si="18"/>
        <v>26600</v>
      </c>
      <c r="AM23" s="34">
        <f t="shared" si="18"/>
        <v>52150</v>
      </c>
      <c r="AN23" s="34">
        <f t="shared" si="18"/>
        <v>89800</v>
      </c>
      <c r="AO23" s="34">
        <f t="shared" si="18"/>
        <v>89800</v>
      </c>
      <c r="AP23" s="34">
        <f t="shared" si="18"/>
        <v>133825</v>
      </c>
      <c r="AQ23" s="34">
        <f t="shared" si="18"/>
        <v>159969.29999999999</v>
      </c>
      <c r="AR23" s="34">
        <f t="shared" si="18"/>
        <v>247912.3</v>
      </c>
      <c r="AS23" s="34">
        <f t="shared" si="18"/>
        <v>302962.3</v>
      </c>
      <c r="AT23" s="34">
        <f t="shared" si="18"/>
        <v>302962.3</v>
      </c>
      <c r="AU23" s="34">
        <f t="shared" si="18"/>
        <v>302962.3</v>
      </c>
      <c r="AV23" s="34">
        <f t="shared" si="18"/>
        <v>302962.3</v>
      </c>
      <c r="AW23" s="34">
        <f t="shared" si="18"/>
        <v>302962.3</v>
      </c>
    </row>
    <row r="24" spans="1:49" x14ac:dyDescent="0.2">
      <c r="A24" s="33" t="s">
        <v>309</v>
      </c>
      <c r="B24" s="34">
        <f t="shared" ref="B24:AW24" si="19">((B15)+(B18))+(B23)</f>
        <v>0</v>
      </c>
      <c r="C24" s="34">
        <f t="shared" si="19"/>
        <v>0</v>
      </c>
      <c r="D24" s="34">
        <f t="shared" si="19"/>
        <v>0</v>
      </c>
      <c r="E24" s="34">
        <f t="shared" si="19"/>
        <v>0</v>
      </c>
      <c r="F24" s="34">
        <f t="shared" si="19"/>
        <v>0</v>
      </c>
      <c r="G24" s="34">
        <f t="shared" si="19"/>
        <v>0</v>
      </c>
      <c r="H24" s="34">
        <f t="shared" si="19"/>
        <v>11526.48</v>
      </c>
      <c r="I24" s="34">
        <f t="shared" si="19"/>
        <v>34666.65</v>
      </c>
      <c r="J24" s="34">
        <f t="shared" si="19"/>
        <v>47958.119999999995</v>
      </c>
      <c r="K24" s="34">
        <f t="shared" si="19"/>
        <v>48996.240000000005</v>
      </c>
      <c r="L24" s="34">
        <f t="shared" si="19"/>
        <v>77640.739999999991</v>
      </c>
      <c r="M24" s="34">
        <f t="shared" si="19"/>
        <v>33102.49</v>
      </c>
      <c r="N24" s="34">
        <f t="shared" si="19"/>
        <v>39286.639999999999</v>
      </c>
      <c r="O24" s="34">
        <f t="shared" si="19"/>
        <v>64612.95</v>
      </c>
      <c r="P24" s="34">
        <f t="shared" si="19"/>
        <v>130682.94</v>
      </c>
      <c r="Q24" s="34">
        <f t="shared" si="19"/>
        <v>171388.05</v>
      </c>
      <c r="R24" s="34">
        <f t="shared" si="19"/>
        <v>199408.97</v>
      </c>
      <c r="S24" s="34">
        <f t="shared" si="19"/>
        <v>234154.69</v>
      </c>
      <c r="T24" s="34">
        <f t="shared" si="19"/>
        <v>254572.2</v>
      </c>
      <c r="U24" s="34">
        <f t="shared" si="19"/>
        <v>294029.01</v>
      </c>
      <c r="V24" s="34">
        <f t="shared" si="19"/>
        <v>346152.82</v>
      </c>
      <c r="W24" s="34">
        <f t="shared" si="19"/>
        <v>336442.11</v>
      </c>
      <c r="X24" s="34">
        <f t="shared" si="19"/>
        <v>346350.49</v>
      </c>
      <c r="Y24" s="34">
        <f t="shared" si="19"/>
        <v>38981.279999999999</v>
      </c>
      <c r="Z24" s="34">
        <f t="shared" si="19"/>
        <v>64389.840000000011</v>
      </c>
      <c r="AA24" s="34">
        <f t="shared" si="19"/>
        <v>92773.780000000013</v>
      </c>
      <c r="AB24" s="34">
        <f t="shared" si="19"/>
        <v>116520.19</v>
      </c>
      <c r="AC24" s="34">
        <f t="shared" si="19"/>
        <v>137967.65000000002</v>
      </c>
      <c r="AD24" s="34">
        <f t="shared" si="19"/>
        <v>157450.18</v>
      </c>
      <c r="AE24" s="34">
        <f t="shared" si="19"/>
        <v>110855.54999999997</v>
      </c>
      <c r="AF24" s="34">
        <f t="shared" si="19"/>
        <v>110141.89</v>
      </c>
      <c r="AG24" s="34">
        <f t="shared" si="19"/>
        <v>31840.910000000003</v>
      </c>
      <c r="AH24" s="34">
        <f t="shared" si="19"/>
        <v>6180.739999999998</v>
      </c>
      <c r="AI24" s="34">
        <f t="shared" si="19"/>
        <v>57266.990000000005</v>
      </c>
      <c r="AJ24" s="34">
        <f t="shared" si="19"/>
        <v>-15574.539999999994</v>
      </c>
      <c r="AK24" s="34">
        <f t="shared" si="19"/>
        <v>74264.399999999994</v>
      </c>
      <c r="AL24" s="34">
        <f t="shared" si="19"/>
        <v>84886.44</v>
      </c>
      <c r="AM24" s="34">
        <f t="shared" si="19"/>
        <v>126483.08</v>
      </c>
      <c r="AN24" s="34">
        <f t="shared" si="19"/>
        <v>132437.9</v>
      </c>
      <c r="AO24" s="34">
        <f t="shared" si="19"/>
        <v>139783.96000000002</v>
      </c>
      <c r="AP24" s="34">
        <f t="shared" si="19"/>
        <v>191655.63</v>
      </c>
      <c r="AQ24" s="34">
        <f t="shared" si="19"/>
        <v>189500.27</v>
      </c>
      <c r="AR24" s="34">
        <f t="shared" si="19"/>
        <v>204270.97999999998</v>
      </c>
      <c r="AS24" s="34">
        <f t="shared" si="19"/>
        <v>281195.98</v>
      </c>
      <c r="AT24" s="34">
        <f t="shared" si="19"/>
        <v>303195.98</v>
      </c>
      <c r="AU24" s="34">
        <f t="shared" si="19"/>
        <v>303195.98</v>
      </c>
      <c r="AV24" s="34">
        <f t="shared" si="19"/>
        <v>303195.98</v>
      </c>
      <c r="AW24" s="34">
        <f t="shared" si="19"/>
        <v>303195.98</v>
      </c>
    </row>
    <row r="25" spans="1:49" x14ac:dyDescent="0.2">
      <c r="A25" s="33" t="s">
        <v>308</v>
      </c>
      <c r="B25" s="32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  <c r="AH25" s="32"/>
      <c r="AI25" s="32"/>
      <c r="AJ25" s="32"/>
      <c r="AK25" s="32"/>
      <c r="AL25" s="32"/>
      <c r="AM25" s="32"/>
      <c r="AN25" s="32"/>
      <c r="AO25" s="32"/>
      <c r="AP25" s="32"/>
      <c r="AQ25" s="32"/>
      <c r="AR25" s="32"/>
      <c r="AS25" s="32"/>
      <c r="AT25" s="32"/>
      <c r="AU25" s="32"/>
      <c r="AV25" s="32"/>
      <c r="AW25" s="32"/>
    </row>
    <row r="26" spans="1:49" x14ac:dyDescent="0.2">
      <c r="A26" s="33" t="s">
        <v>307</v>
      </c>
      <c r="B26" s="32"/>
      <c r="C26" s="35">
        <f t="shared" ref="C26:AW26" si="20">B26</f>
        <v>0</v>
      </c>
      <c r="D26" s="35">
        <f t="shared" si="20"/>
        <v>0</v>
      </c>
      <c r="E26" s="35">
        <f t="shared" si="20"/>
        <v>0</v>
      </c>
      <c r="F26" s="35">
        <f t="shared" si="20"/>
        <v>0</v>
      </c>
      <c r="G26" s="35">
        <f t="shared" si="20"/>
        <v>0</v>
      </c>
      <c r="H26" s="35">
        <f t="shared" si="20"/>
        <v>0</v>
      </c>
      <c r="I26" s="35">
        <f t="shared" si="20"/>
        <v>0</v>
      </c>
      <c r="J26" s="35">
        <f t="shared" si="20"/>
        <v>0</v>
      </c>
      <c r="K26" s="35">
        <f t="shared" si="20"/>
        <v>0</v>
      </c>
      <c r="L26" s="35">
        <f t="shared" si="20"/>
        <v>0</v>
      </c>
      <c r="M26" s="35">
        <f t="shared" si="20"/>
        <v>0</v>
      </c>
      <c r="N26" s="35">
        <f t="shared" si="20"/>
        <v>0</v>
      </c>
      <c r="O26" s="35">
        <f t="shared" si="20"/>
        <v>0</v>
      </c>
      <c r="P26" s="35">
        <f t="shared" si="20"/>
        <v>0</v>
      </c>
      <c r="Q26" s="35">
        <f t="shared" si="20"/>
        <v>0</v>
      </c>
      <c r="R26" s="35">
        <f t="shared" si="20"/>
        <v>0</v>
      </c>
      <c r="S26" s="35">
        <f t="shared" si="20"/>
        <v>0</v>
      </c>
      <c r="T26" s="35">
        <f t="shared" si="20"/>
        <v>0</v>
      </c>
      <c r="U26" s="35">
        <f t="shared" si="20"/>
        <v>0</v>
      </c>
      <c r="V26" s="35">
        <f t="shared" si="20"/>
        <v>0</v>
      </c>
      <c r="W26" s="35">
        <f t="shared" si="20"/>
        <v>0</v>
      </c>
      <c r="X26" s="35">
        <f t="shared" si="20"/>
        <v>0</v>
      </c>
      <c r="Y26" s="35">
        <f t="shared" si="20"/>
        <v>0</v>
      </c>
      <c r="Z26" s="35">
        <f t="shared" si="20"/>
        <v>0</v>
      </c>
      <c r="AA26" s="35">
        <f t="shared" si="20"/>
        <v>0</v>
      </c>
      <c r="AB26" s="35">
        <f t="shared" si="20"/>
        <v>0</v>
      </c>
      <c r="AC26" s="35">
        <f t="shared" si="20"/>
        <v>0</v>
      </c>
      <c r="AD26" s="35">
        <f t="shared" si="20"/>
        <v>0</v>
      </c>
      <c r="AE26" s="35">
        <f t="shared" si="20"/>
        <v>0</v>
      </c>
      <c r="AF26" s="35">
        <f t="shared" si="20"/>
        <v>0</v>
      </c>
      <c r="AG26" s="35">
        <f t="shared" si="20"/>
        <v>0</v>
      </c>
      <c r="AH26" s="35">
        <f t="shared" si="20"/>
        <v>0</v>
      </c>
      <c r="AI26" s="35">
        <f t="shared" si="20"/>
        <v>0</v>
      </c>
      <c r="AJ26" s="35">
        <f t="shared" si="20"/>
        <v>0</v>
      </c>
      <c r="AK26" s="35">
        <f t="shared" si="20"/>
        <v>0</v>
      </c>
      <c r="AL26" s="35">
        <f t="shared" si="20"/>
        <v>0</v>
      </c>
      <c r="AM26" s="35">
        <f t="shared" si="20"/>
        <v>0</v>
      </c>
      <c r="AN26" s="35">
        <f t="shared" si="20"/>
        <v>0</v>
      </c>
      <c r="AO26" s="35">
        <f t="shared" si="20"/>
        <v>0</v>
      </c>
      <c r="AP26" s="35">
        <f t="shared" si="20"/>
        <v>0</v>
      </c>
      <c r="AQ26" s="35">
        <f t="shared" si="20"/>
        <v>0</v>
      </c>
      <c r="AR26" s="35">
        <f t="shared" si="20"/>
        <v>0</v>
      </c>
      <c r="AS26" s="35">
        <f t="shared" si="20"/>
        <v>0</v>
      </c>
      <c r="AT26" s="35">
        <f t="shared" si="20"/>
        <v>0</v>
      </c>
      <c r="AU26" s="35">
        <f t="shared" si="20"/>
        <v>0</v>
      </c>
      <c r="AV26" s="35">
        <f t="shared" si="20"/>
        <v>0</v>
      </c>
      <c r="AW26" s="35">
        <f t="shared" si="20"/>
        <v>0</v>
      </c>
    </row>
    <row r="27" spans="1:49" x14ac:dyDescent="0.2">
      <c r="A27" s="33" t="s">
        <v>306</v>
      </c>
      <c r="B27" s="32"/>
      <c r="C27" s="35">
        <f t="shared" ref="C27:AW27" si="21">B27</f>
        <v>0</v>
      </c>
      <c r="D27" s="35">
        <f t="shared" si="21"/>
        <v>0</v>
      </c>
      <c r="E27" s="35">
        <f t="shared" si="21"/>
        <v>0</v>
      </c>
      <c r="F27" s="35">
        <f t="shared" si="21"/>
        <v>0</v>
      </c>
      <c r="G27" s="35">
        <f t="shared" si="21"/>
        <v>0</v>
      </c>
      <c r="H27" s="35">
        <f t="shared" si="21"/>
        <v>0</v>
      </c>
      <c r="I27" s="35">
        <f t="shared" si="21"/>
        <v>0</v>
      </c>
      <c r="J27" s="35">
        <f t="shared" si="21"/>
        <v>0</v>
      </c>
      <c r="K27" s="35">
        <f t="shared" si="21"/>
        <v>0</v>
      </c>
      <c r="L27" s="35">
        <f t="shared" si="21"/>
        <v>0</v>
      </c>
      <c r="M27" s="35">
        <f t="shared" si="21"/>
        <v>0</v>
      </c>
      <c r="N27" s="35">
        <f t="shared" si="21"/>
        <v>0</v>
      </c>
      <c r="O27" s="35">
        <f t="shared" si="21"/>
        <v>0</v>
      </c>
      <c r="P27" s="35">
        <f t="shared" si="21"/>
        <v>0</v>
      </c>
      <c r="Q27" s="35">
        <f t="shared" si="21"/>
        <v>0</v>
      </c>
      <c r="R27" s="35">
        <f t="shared" si="21"/>
        <v>0</v>
      </c>
      <c r="S27" s="35">
        <f t="shared" si="21"/>
        <v>0</v>
      </c>
      <c r="T27" s="35">
        <f t="shared" si="21"/>
        <v>0</v>
      </c>
      <c r="U27" s="35">
        <f t="shared" si="21"/>
        <v>0</v>
      </c>
      <c r="V27" s="35">
        <f t="shared" si="21"/>
        <v>0</v>
      </c>
      <c r="W27" s="35">
        <f t="shared" si="21"/>
        <v>0</v>
      </c>
      <c r="X27" s="35">
        <f t="shared" si="21"/>
        <v>0</v>
      </c>
      <c r="Y27" s="35">
        <f t="shared" si="21"/>
        <v>0</v>
      </c>
      <c r="Z27" s="35">
        <f t="shared" si="21"/>
        <v>0</v>
      </c>
      <c r="AA27" s="35">
        <f t="shared" si="21"/>
        <v>0</v>
      </c>
      <c r="AB27" s="35">
        <f t="shared" si="21"/>
        <v>0</v>
      </c>
      <c r="AC27" s="35">
        <f t="shared" si="21"/>
        <v>0</v>
      </c>
      <c r="AD27" s="35">
        <f t="shared" si="21"/>
        <v>0</v>
      </c>
      <c r="AE27" s="35">
        <f t="shared" si="21"/>
        <v>0</v>
      </c>
      <c r="AF27" s="35">
        <f t="shared" si="21"/>
        <v>0</v>
      </c>
      <c r="AG27" s="35">
        <f t="shared" si="21"/>
        <v>0</v>
      </c>
      <c r="AH27" s="35">
        <f t="shared" si="21"/>
        <v>0</v>
      </c>
      <c r="AI27" s="35">
        <f t="shared" si="21"/>
        <v>0</v>
      </c>
      <c r="AJ27" s="35">
        <f t="shared" si="21"/>
        <v>0</v>
      </c>
      <c r="AK27" s="35">
        <f t="shared" si="21"/>
        <v>0</v>
      </c>
      <c r="AL27" s="35">
        <f t="shared" si="21"/>
        <v>0</v>
      </c>
      <c r="AM27" s="35">
        <f t="shared" si="21"/>
        <v>0</v>
      </c>
      <c r="AN27" s="35">
        <f t="shared" si="21"/>
        <v>0</v>
      </c>
      <c r="AO27" s="35">
        <f t="shared" si="21"/>
        <v>0</v>
      </c>
      <c r="AP27" s="35">
        <f t="shared" si="21"/>
        <v>0</v>
      </c>
      <c r="AQ27" s="35">
        <f t="shared" si="21"/>
        <v>0</v>
      </c>
      <c r="AR27" s="35">
        <f t="shared" si="21"/>
        <v>0</v>
      </c>
      <c r="AS27" s="35">
        <f t="shared" si="21"/>
        <v>0</v>
      </c>
      <c r="AT27" s="35">
        <f t="shared" si="21"/>
        <v>0</v>
      </c>
      <c r="AU27" s="35">
        <f t="shared" si="21"/>
        <v>0</v>
      </c>
      <c r="AV27" s="35">
        <f t="shared" si="21"/>
        <v>0</v>
      </c>
      <c r="AW27" s="35">
        <f t="shared" si="21"/>
        <v>0</v>
      </c>
    </row>
    <row r="28" spans="1:49" x14ac:dyDescent="0.2">
      <c r="A28" s="33" t="s">
        <v>305</v>
      </c>
      <c r="B28" s="32"/>
      <c r="C28" s="35">
        <f t="shared" ref="C28:AD28" si="22">B28</f>
        <v>0</v>
      </c>
      <c r="D28" s="35">
        <f t="shared" si="22"/>
        <v>0</v>
      </c>
      <c r="E28" s="35">
        <f t="shared" si="22"/>
        <v>0</v>
      </c>
      <c r="F28" s="35">
        <f t="shared" si="22"/>
        <v>0</v>
      </c>
      <c r="G28" s="35">
        <f t="shared" si="22"/>
        <v>0</v>
      </c>
      <c r="H28" s="35">
        <f t="shared" si="22"/>
        <v>0</v>
      </c>
      <c r="I28" s="35">
        <f t="shared" si="22"/>
        <v>0</v>
      </c>
      <c r="J28" s="35">
        <f t="shared" si="22"/>
        <v>0</v>
      </c>
      <c r="K28" s="35">
        <f t="shared" si="22"/>
        <v>0</v>
      </c>
      <c r="L28" s="35">
        <f t="shared" si="22"/>
        <v>0</v>
      </c>
      <c r="M28" s="35">
        <f t="shared" si="22"/>
        <v>0</v>
      </c>
      <c r="N28" s="35">
        <f t="shared" si="22"/>
        <v>0</v>
      </c>
      <c r="O28" s="35">
        <f t="shared" si="22"/>
        <v>0</v>
      </c>
      <c r="P28" s="35">
        <f t="shared" si="22"/>
        <v>0</v>
      </c>
      <c r="Q28" s="35">
        <f t="shared" si="22"/>
        <v>0</v>
      </c>
      <c r="R28" s="35">
        <f t="shared" si="22"/>
        <v>0</v>
      </c>
      <c r="S28" s="35">
        <f t="shared" si="22"/>
        <v>0</v>
      </c>
      <c r="T28" s="35">
        <f t="shared" si="22"/>
        <v>0</v>
      </c>
      <c r="U28" s="35">
        <f t="shared" si="22"/>
        <v>0</v>
      </c>
      <c r="V28" s="35">
        <f t="shared" si="22"/>
        <v>0</v>
      </c>
      <c r="W28" s="35">
        <f t="shared" si="22"/>
        <v>0</v>
      </c>
      <c r="X28" s="35">
        <f t="shared" si="22"/>
        <v>0</v>
      </c>
      <c r="Y28" s="35">
        <f t="shared" si="22"/>
        <v>0</v>
      </c>
      <c r="Z28" s="35">
        <f t="shared" si="22"/>
        <v>0</v>
      </c>
      <c r="AA28" s="35">
        <f t="shared" si="22"/>
        <v>0</v>
      </c>
      <c r="AB28" s="35">
        <f t="shared" si="22"/>
        <v>0</v>
      </c>
      <c r="AC28" s="35">
        <f t="shared" si="22"/>
        <v>0</v>
      </c>
      <c r="AD28" s="35">
        <f t="shared" si="22"/>
        <v>0</v>
      </c>
      <c r="AE28" s="35">
        <f>79595</f>
        <v>79595</v>
      </c>
      <c r="AF28" s="35">
        <f t="shared" ref="AF28:AW28" si="23">AE28</f>
        <v>79595</v>
      </c>
      <c r="AG28" s="35">
        <f t="shared" si="23"/>
        <v>79595</v>
      </c>
      <c r="AH28" s="35">
        <f t="shared" si="23"/>
        <v>79595</v>
      </c>
      <c r="AI28" s="35">
        <f t="shared" si="23"/>
        <v>79595</v>
      </c>
      <c r="AJ28" s="35">
        <f t="shared" si="23"/>
        <v>79595</v>
      </c>
      <c r="AK28" s="35">
        <f t="shared" si="23"/>
        <v>79595</v>
      </c>
      <c r="AL28" s="35">
        <f t="shared" si="23"/>
        <v>79595</v>
      </c>
      <c r="AM28" s="35">
        <f t="shared" si="23"/>
        <v>79595</v>
      </c>
      <c r="AN28" s="35">
        <f t="shared" si="23"/>
        <v>79595</v>
      </c>
      <c r="AO28" s="35">
        <f t="shared" si="23"/>
        <v>79595</v>
      </c>
      <c r="AP28" s="35">
        <f t="shared" si="23"/>
        <v>79595</v>
      </c>
      <c r="AQ28" s="35">
        <f t="shared" si="23"/>
        <v>79595</v>
      </c>
      <c r="AR28" s="35">
        <f t="shared" si="23"/>
        <v>79595</v>
      </c>
      <c r="AS28" s="35">
        <f t="shared" si="23"/>
        <v>79595</v>
      </c>
      <c r="AT28" s="35">
        <f t="shared" si="23"/>
        <v>79595</v>
      </c>
      <c r="AU28" s="35">
        <f t="shared" si="23"/>
        <v>79595</v>
      </c>
      <c r="AV28" s="35">
        <f t="shared" si="23"/>
        <v>79595</v>
      </c>
      <c r="AW28" s="35">
        <f t="shared" si="23"/>
        <v>79595</v>
      </c>
    </row>
    <row r="29" spans="1:49" x14ac:dyDescent="0.2">
      <c r="A29" s="33" t="s">
        <v>304</v>
      </c>
      <c r="B29" s="32"/>
      <c r="C29" s="35">
        <f t="shared" ref="C29:AA29" si="24">B29</f>
        <v>0</v>
      </c>
      <c r="D29" s="35">
        <f t="shared" si="24"/>
        <v>0</v>
      </c>
      <c r="E29" s="35">
        <f t="shared" si="24"/>
        <v>0</v>
      </c>
      <c r="F29" s="35">
        <f t="shared" si="24"/>
        <v>0</v>
      </c>
      <c r="G29" s="35">
        <f t="shared" si="24"/>
        <v>0</v>
      </c>
      <c r="H29" s="35">
        <f t="shared" si="24"/>
        <v>0</v>
      </c>
      <c r="I29" s="35">
        <f t="shared" si="24"/>
        <v>0</v>
      </c>
      <c r="J29" s="35">
        <f t="shared" si="24"/>
        <v>0</v>
      </c>
      <c r="K29" s="35">
        <f t="shared" si="24"/>
        <v>0</v>
      </c>
      <c r="L29" s="35">
        <f t="shared" si="24"/>
        <v>0</v>
      </c>
      <c r="M29" s="35">
        <f t="shared" si="24"/>
        <v>0</v>
      </c>
      <c r="N29" s="35">
        <f t="shared" si="24"/>
        <v>0</v>
      </c>
      <c r="O29" s="35">
        <f t="shared" si="24"/>
        <v>0</v>
      </c>
      <c r="P29" s="35">
        <f t="shared" si="24"/>
        <v>0</v>
      </c>
      <c r="Q29" s="35">
        <f t="shared" si="24"/>
        <v>0</v>
      </c>
      <c r="R29" s="35">
        <f t="shared" si="24"/>
        <v>0</v>
      </c>
      <c r="S29" s="35">
        <f t="shared" si="24"/>
        <v>0</v>
      </c>
      <c r="T29" s="35">
        <f t="shared" si="24"/>
        <v>0</v>
      </c>
      <c r="U29" s="35">
        <f t="shared" si="24"/>
        <v>0</v>
      </c>
      <c r="V29" s="35">
        <f t="shared" si="24"/>
        <v>0</v>
      </c>
      <c r="W29" s="35">
        <f t="shared" si="24"/>
        <v>0</v>
      </c>
      <c r="X29" s="35">
        <f t="shared" si="24"/>
        <v>0</v>
      </c>
      <c r="Y29" s="35">
        <f t="shared" si="24"/>
        <v>0</v>
      </c>
      <c r="Z29" s="35">
        <f t="shared" si="24"/>
        <v>0</v>
      </c>
      <c r="AA29" s="35">
        <f t="shared" si="24"/>
        <v>0</v>
      </c>
      <c r="AB29" s="35">
        <f>82250.89</f>
        <v>82250.89</v>
      </c>
      <c r="AC29" s="35">
        <f>AB29</f>
        <v>82250.89</v>
      </c>
      <c r="AD29" s="35">
        <f>AC29</f>
        <v>82250.89</v>
      </c>
      <c r="AE29" s="35">
        <f>AD29</f>
        <v>82250.89</v>
      </c>
      <c r="AF29" s="35">
        <f t="shared" ref="AF29:AW29" si="25">AE29</f>
        <v>82250.89</v>
      </c>
      <c r="AG29" s="35">
        <f t="shared" si="25"/>
        <v>82250.89</v>
      </c>
      <c r="AH29" s="35">
        <f t="shared" si="25"/>
        <v>82250.89</v>
      </c>
      <c r="AI29" s="35">
        <f t="shared" si="25"/>
        <v>82250.89</v>
      </c>
      <c r="AJ29" s="35">
        <f t="shared" si="25"/>
        <v>82250.89</v>
      </c>
      <c r="AK29" s="35">
        <f t="shared" si="25"/>
        <v>82250.89</v>
      </c>
      <c r="AL29" s="35">
        <f t="shared" si="25"/>
        <v>82250.89</v>
      </c>
      <c r="AM29" s="35">
        <f t="shared" si="25"/>
        <v>82250.89</v>
      </c>
      <c r="AN29" s="35">
        <f t="shared" si="25"/>
        <v>82250.89</v>
      </c>
      <c r="AO29" s="35">
        <f t="shared" si="25"/>
        <v>82250.89</v>
      </c>
      <c r="AP29" s="35">
        <f t="shared" si="25"/>
        <v>82250.89</v>
      </c>
      <c r="AQ29" s="35">
        <f t="shared" si="25"/>
        <v>82250.89</v>
      </c>
      <c r="AR29" s="35">
        <f t="shared" si="25"/>
        <v>82250.89</v>
      </c>
      <c r="AS29" s="35">
        <f t="shared" si="25"/>
        <v>82250.89</v>
      </c>
      <c r="AT29" s="35">
        <f t="shared" si="25"/>
        <v>82250.89</v>
      </c>
      <c r="AU29" s="35">
        <f t="shared" si="25"/>
        <v>82250.89</v>
      </c>
      <c r="AV29" s="35">
        <f t="shared" si="25"/>
        <v>82250.89</v>
      </c>
      <c r="AW29" s="35">
        <f t="shared" si="25"/>
        <v>82250.89</v>
      </c>
    </row>
    <row r="30" spans="1:49" x14ac:dyDescent="0.2">
      <c r="A30" s="33" t="s">
        <v>303</v>
      </c>
      <c r="B30" s="34">
        <f t="shared" ref="B30:AW30" si="26">((B27)+(B28))+(B29)</f>
        <v>0</v>
      </c>
      <c r="C30" s="34">
        <f t="shared" si="26"/>
        <v>0</v>
      </c>
      <c r="D30" s="34">
        <f t="shared" si="26"/>
        <v>0</v>
      </c>
      <c r="E30" s="34">
        <f t="shared" si="26"/>
        <v>0</v>
      </c>
      <c r="F30" s="34">
        <f t="shared" si="26"/>
        <v>0</v>
      </c>
      <c r="G30" s="34">
        <f t="shared" si="26"/>
        <v>0</v>
      </c>
      <c r="H30" s="34">
        <f t="shared" si="26"/>
        <v>0</v>
      </c>
      <c r="I30" s="34">
        <f t="shared" si="26"/>
        <v>0</v>
      </c>
      <c r="J30" s="34">
        <f t="shared" si="26"/>
        <v>0</v>
      </c>
      <c r="K30" s="34">
        <f t="shared" si="26"/>
        <v>0</v>
      </c>
      <c r="L30" s="34">
        <f t="shared" si="26"/>
        <v>0</v>
      </c>
      <c r="M30" s="34">
        <f t="shared" si="26"/>
        <v>0</v>
      </c>
      <c r="N30" s="34">
        <f t="shared" si="26"/>
        <v>0</v>
      </c>
      <c r="O30" s="34">
        <f t="shared" si="26"/>
        <v>0</v>
      </c>
      <c r="P30" s="34">
        <f t="shared" si="26"/>
        <v>0</v>
      </c>
      <c r="Q30" s="34">
        <f t="shared" si="26"/>
        <v>0</v>
      </c>
      <c r="R30" s="34">
        <f t="shared" si="26"/>
        <v>0</v>
      </c>
      <c r="S30" s="34">
        <f t="shared" si="26"/>
        <v>0</v>
      </c>
      <c r="T30" s="34">
        <f t="shared" si="26"/>
        <v>0</v>
      </c>
      <c r="U30" s="34">
        <f t="shared" si="26"/>
        <v>0</v>
      </c>
      <c r="V30" s="34">
        <f t="shared" si="26"/>
        <v>0</v>
      </c>
      <c r="W30" s="34">
        <f t="shared" si="26"/>
        <v>0</v>
      </c>
      <c r="X30" s="34">
        <f t="shared" si="26"/>
        <v>0</v>
      </c>
      <c r="Y30" s="34">
        <f t="shared" si="26"/>
        <v>0</v>
      </c>
      <c r="Z30" s="34">
        <f t="shared" si="26"/>
        <v>0</v>
      </c>
      <c r="AA30" s="34">
        <f t="shared" si="26"/>
        <v>0</v>
      </c>
      <c r="AB30" s="34">
        <f t="shared" si="26"/>
        <v>82250.89</v>
      </c>
      <c r="AC30" s="34">
        <f t="shared" si="26"/>
        <v>82250.89</v>
      </c>
      <c r="AD30" s="34">
        <f t="shared" si="26"/>
        <v>82250.89</v>
      </c>
      <c r="AE30" s="34">
        <f t="shared" si="26"/>
        <v>161845.89000000001</v>
      </c>
      <c r="AF30" s="34">
        <f t="shared" si="26"/>
        <v>161845.89000000001</v>
      </c>
      <c r="AG30" s="34">
        <f t="shared" si="26"/>
        <v>161845.89000000001</v>
      </c>
      <c r="AH30" s="34">
        <f t="shared" si="26"/>
        <v>161845.89000000001</v>
      </c>
      <c r="AI30" s="34">
        <f t="shared" si="26"/>
        <v>161845.89000000001</v>
      </c>
      <c r="AJ30" s="34">
        <f t="shared" si="26"/>
        <v>161845.89000000001</v>
      </c>
      <c r="AK30" s="34">
        <f t="shared" si="26"/>
        <v>161845.89000000001</v>
      </c>
      <c r="AL30" s="34">
        <f t="shared" si="26"/>
        <v>161845.89000000001</v>
      </c>
      <c r="AM30" s="34">
        <f t="shared" si="26"/>
        <v>161845.89000000001</v>
      </c>
      <c r="AN30" s="34">
        <f t="shared" si="26"/>
        <v>161845.89000000001</v>
      </c>
      <c r="AO30" s="34">
        <f t="shared" si="26"/>
        <v>161845.89000000001</v>
      </c>
      <c r="AP30" s="34">
        <f t="shared" si="26"/>
        <v>161845.89000000001</v>
      </c>
      <c r="AQ30" s="34">
        <f t="shared" si="26"/>
        <v>161845.89000000001</v>
      </c>
      <c r="AR30" s="34">
        <f t="shared" si="26"/>
        <v>161845.89000000001</v>
      </c>
      <c r="AS30" s="34">
        <f t="shared" si="26"/>
        <v>161845.89000000001</v>
      </c>
      <c r="AT30" s="34">
        <f t="shared" si="26"/>
        <v>161845.89000000001</v>
      </c>
      <c r="AU30" s="34">
        <f t="shared" si="26"/>
        <v>161845.89000000001</v>
      </c>
      <c r="AV30" s="34">
        <f t="shared" si="26"/>
        <v>161845.89000000001</v>
      </c>
      <c r="AW30" s="34">
        <f t="shared" si="26"/>
        <v>161845.89000000001</v>
      </c>
    </row>
    <row r="31" spans="1:49" x14ac:dyDescent="0.2">
      <c r="A31" s="33" t="s">
        <v>302</v>
      </c>
      <c r="B31" s="34">
        <f t="shared" ref="B31:AW31" si="27">(B26)+(B30)</f>
        <v>0</v>
      </c>
      <c r="C31" s="34">
        <f t="shared" si="27"/>
        <v>0</v>
      </c>
      <c r="D31" s="34">
        <f t="shared" si="27"/>
        <v>0</v>
      </c>
      <c r="E31" s="34">
        <f t="shared" si="27"/>
        <v>0</v>
      </c>
      <c r="F31" s="34">
        <f t="shared" si="27"/>
        <v>0</v>
      </c>
      <c r="G31" s="34">
        <f t="shared" si="27"/>
        <v>0</v>
      </c>
      <c r="H31" s="34">
        <f t="shared" si="27"/>
        <v>0</v>
      </c>
      <c r="I31" s="34">
        <f t="shared" si="27"/>
        <v>0</v>
      </c>
      <c r="J31" s="34">
        <f t="shared" si="27"/>
        <v>0</v>
      </c>
      <c r="K31" s="34">
        <f t="shared" si="27"/>
        <v>0</v>
      </c>
      <c r="L31" s="34">
        <f t="shared" si="27"/>
        <v>0</v>
      </c>
      <c r="M31" s="34">
        <f t="shared" si="27"/>
        <v>0</v>
      </c>
      <c r="N31" s="34">
        <f t="shared" si="27"/>
        <v>0</v>
      </c>
      <c r="O31" s="34">
        <f t="shared" si="27"/>
        <v>0</v>
      </c>
      <c r="P31" s="34">
        <f t="shared" si="27"/>
        <v>0</v>
      </c>
      <c r="Q31" s="34">
        <f t="shared" si="27"/>
        <v>0</v>
      </c>
      <c r="R31" s="34">
        <f t="shared" si="27"/>
        <v>0</v>
      </c>
      <c r="S31" s="34">
        <f t="shared" si="27"/>
        <v>0</v>
      </c>
      <c r="T31" s="34">
        <f t="shared" si="27"/>
        <v>0</v>
      </c>
      <c r="U31" s="34">
        <f t="shared" si="27"/>
        <v>0</v>
      </c>
      <c r="V31" s="34">
        <f t="shared" si="27"/>
        <v>0</v>
      </c>
      <c r="W31" s="34">
        <f t="shared" si="27"/>
        <v>0</v>
      </c>
      <c r="X31" s="34">
        <f t="shared" si="27"/>
        <v>0</v>
      </c>
      <c r="Y31" s="34">
        <f t="shared" si="27"/>
        <v>0</v>
      </c>
      <c r="Z31" s="34">
        <f t="shared" si="27"/>
        <v>0</v>
      </c>
      <c r="AA31" s="34">
        <f t="shared" si="27"/>
        <v>0</v>
      </c>
      <c r="AB31" s="34">
        <f t="shared" si="27"/>
        <v>82250.89</v>
      </c>
      <c r="AC31" s="34">
        <f t="shared" si="27"/>
        <v>82250.89</v>
      </c>
      <c r="AD31" s="34">
        <f t="shared" si="27"/>
        <v>82250.89</v>
      </c>
      <c r="AE31" s="34">
        <f t="shared" si="27"/>
        <v>161845.89000000001</v>
      </c>
      <c r="AF31" s="34">
        <f t="shared" si="27"/>
        <v>161845.89000000001</v>
      </c>
      <c r="AG31" s="34">
        <f t="shared" si="27"/>
        <v>161845.89000000001</v>
      </c>
      <c r="AH31" s="34">
        <f t="shared" si="27"/>
        <v>161845.89000000001</v>
      </c>
      <c r="AI31" s="34">
        <f t="shared" si="27"/>
        <v>161845.89000000001</v>
      </c>
      <c r="AJ31" s="34">
        <f t="shared" si="27"/>
        <v>161845.89000000001</v>
      </c>
      <c r="AK31" s="34">
        <f t="shared" si="27"/>
        <v>161845.89000000001</v>
      </c>
      <c r="AL31" s="34">
        <f t="shared" si="27"/>
        <v>161845.89000000001</v>
      </c>
      <c r="AM31" s="34">
        <f t="shared" si="27"/>
        <v>161845.89000000001</v>
      </c>
      <c r="AN31" s="34">
        <f t="shared" si="27"/>
        <v>161845.89000000001</v>
      </c>
      <c r="AO31" s="34">
        <f t="shared" si="27"/>
        <v>161845.89000000001</v>
      </c>
      <c r="AP31" s="34">
        <f t="shared" si="27"/>
        <v>161845.89000000001</v>
      </c>
      <c r="AQ31" s="34">
        <f t="shared" si="27"/>
        <v>161845.89000000001</v>
      </c>
      <c r="AR31" s="34">
        <f t="shared" si="27"/>
        <v>161845.89000000001</v>
      </c>
      <c r="AS31" s="34">
        <f t="shared" si="27"/>
        <v>161845.89000000001</v>
      </c>
      <c r="AT31" s="34">
        <f t="shared" si="27"/>
        <v>161845.89000000001</v>
      </c>
      <c r="AU31" s="34">
        <f t="shared" si="27"/>
        <v>161845.89000000001</v>
      </c>
      <c r="AV31" s="34">
        <f t="shared" si="27"/>
        <v>161845.89000000001</v>
      </c>
      <c r="AW31" s="34">
        <f t="shared" si="27"/>
        <v>161845.89000000001</v>
      </c>
    </row>
    <row r="32" spans="1:49" x14ac:dyDescent="0.2">
      <c r="A32" s="33" t="s">
        <v>301</v>
      </c>
      <c r="B32" s="34">
        <f t="shared" ref="B32:AW32" si="28">B31</f>
        <v>0</v>
      </c>
      <c r="C32" s="34">
        <f t="shared" si="28"/>
        <v>0</v>
      </c>
      <c r="D32" s="34">
        <f t="shared" si="28"/>
        <v>0</v>
      </c>
      <c r="E32" s="34">
        <f t="shared" si="28"/>
        <v>0</v>
      </c>
      <c r="F32" s="34">
        <f t="shared" si="28"/>
        <v>0</v>
      </c>
      <c r="G32" s="34">
        <f t="shared" si="28"/>
        <v>0</v>
      </c>
      <c r="H32" s="34">
        <f t="shared" si="28"/>
        <v>0</v>
      </c>
      <c r="I32" s="34">
        <f t="shared" si="28"/>
        <v>0</v>
      </c>
      <c r="J32" s="34">
        <f t="shared" si="28"/>
        <v>0</v>
      </c>
      <c r="K32" s="34">
        <f t="shared" si="28"/>
        <v>0</v>
      </c>
      <c r="L32" s="34">
        <f t="shared" si="28"/>
        <v>0</v>
      </c>
      <c r="M32" s="34">
        <f t="shared" si="28"/>
        <v>0</v>
      </c>
      <c r="N32" s="34">
        <f t="shared" si="28"/>
        <v>0</v>
      </c>
      <c r="O32" s="34">
        <f t="shared" si="28"/>
        <v>0</v>
      </c>
      <c r="P32" s="34">
        <f t="shared" si="28"/>
        <v>0</v>
      </c>
      <c r="Q32" s="34">
        <f t="shared" si="28"/>
        <v>0</v>
      </c>
      <c r="R32" s="34">
        <f t="shared" si="28"/>
        <v>0</v>
      </c>
      <c r="S32" s="34">
        <f t="shared" si="28"/>
        <v>0</v>
      </c>
      <c r="T32" s="34">
        <f t="shared" si="28"/>
        <v>0</v>
      </c>
      <c r="U32" s="34">
        <f t="shared" si="28"/>
        <v>0</v>
      </c>
      <c r="V32" s="34">
        <f t="shared" si="28"/>
        <v>0</v>
      </c>
      <c r="W32" s="34">
        <f t="shared" si="28"/>
        <v>0</v>
      </c>
      <c r="X32" s="34">
        <f t="shared" si="28"/>
        <v>0</v>
      </c>
      <c r="Y32" s="34">
        <f t="shared" si="28"/>
        <v>0</v>
      </c>
      <c r="Z32" s="34">
        <f t="shared" si="28"/>
        <v>0</v>
      </c>
      <c r="AA32" s="34">
        <f t="shared" si="28"/>
        <v>0</v>
      </c>
      <c r="AB32" s="34">
        <f t="shared" si="28"/>
        <v>82250.89</v>
      </c>
      <c r="AC32" s="34">
        <f t="shared" si="28"/>
        <v>82250.89</v>
      </c>
      <c r="AD32" s="34">
        <f t="shared" si="28"/>
        <v>82250.89</v>
      </c>
      <c r="AE32" s="34">
        <f t="shared" si="28"/>
        <v>161845.89000000001</v>
      </c>
      <c r="AF32" s="34">
        <f t="shared" si="28"/>
        <v>161845.89000000001</v>
      </c>
      <c r="AG32" s="34">
        <f t="shared" si="28"/>
        <v>161845.89000000001</v>
      </c>
      <c r="AH32" s="34">
        <f t="shared" si="28"/>
        <v>161845.89000000001</v>
      </c>
      <c r="AI32" s="34">
        <f t="shared" si="28"/>
        <v>161845.89000000001</v>
      </c>
      <c r="AJ32" s="34">
        <f t="shared" si="28"/>
        <v>161845.89000000001</v>
      </c>
      <c r="AK32" s="34">
        <f t="shared" si="28"/>
        <v>161845.89000000001</v>
      </c>
      <c r="AL32" s="34">
        <f t="shared" si="28"/>
        <v>161845.89000000001</v>
      </c>
      <c r="AM32" s="34">
        <f t="shared" si="28"/>
        <v>161845.89000000001</v>
      </c>
      <c r="AN32" s="34">
        <f t="shared" si="28"/>
        <v>161845.89000000001</v>
      </c>
      <c r="AO32" s="34">
        <f t="shared" si="28"/>
        <v>161845.89000000001</v>
      </c>
      <c r="AP32" s="34">
        <f t="shared" si="28"/>
        <v>161845.89000000001</v>
      </c>
      <c r="AQ32" s="34">
        <f t="shared" si="28"/>
        <v>161845.89000000001</v>
      </c>
      <c r="AR32" s="34">
        <f t="shared" si="28"/>
        <v>161845.89000000001</v>
      </c>
      <c r="AS32" s="34">
        <f t="shared" si="28"/>
        <v>161845.89000000001</v>
      </c>
      <c r="AT32" s="34">
        <f t="shared" si="28"/>
        <v>161845.89000000001</v>
      </c>
      <c r="AU32" s="34">
        <f t="shared" si="28"/>
        <v>161845.89000000001</v>
      </c>
      <c r="AV32" s="34">
        <f t="shared" si="28"/>
        <v>161845.89000000001</v>
      </c>
      <c r="AW32" s="34">
        <f t="shared" si="28"/>
        <v>161845.89000000001</v>
      </c>
    </row>
    <row r="33" spans="1:49" x14ac:dyDescent="0.2">
      <c r="A33" s="33" t="s">
        <v>300</v>
      </c>
      <c r="B33" s="34">
        <f t="shared" ref="B33:AW33" si="29">(B24)+(B32)</f>
        <v>0</v>
      </c>
      <c r="C33" s="34">
        <f t="shared" si="29"/>
        <v>0</v>
      </c>
      <c r="D33" s="34">
        <f t="shared" si="29"/>
        <v>0</v>
      </c>
      <c r="E33" s="34">
        <f t="shared" si="29"/>
        <v>0</v>
      </c>
      <c r="F33" s="34">
        <f t="shared" si="29"/>
        <v>0</v>
      </c>
      <c r="G33" s="34">
        <f t="shared" si="29"/>
        <v>0</v>
      </c>
      <c r="H33" s="34">
        <f t="shared" si="29"/>
        <v>11526.48</v>
      </c>
      <c r="I33" s="34">
        <f t="shared" si="29"/>
        <v>34666.65</v>
      </c>
      <c r="J33" s="34">
        <f t="shared" si="29"/>
        <v>47958.119999999995</v>
      </c>
      <c r="K33" s="34">
        <f t="shared" si="29"/>
        <v>48996.240000000005</v>
      </c>
      <c r="L33" s="34">
        <f t="shared" si="29"/>
        <v>77640.739999999991</v>
      </c>
      <c r="M33" s="34">
        <f t="shared" si="29"/>
        <v>33102.49</v>
      </c>
      <c r="N33" s="34">
        <f t="shared" si="29"/>
        <v>39286.639999999999</v>
      </c>
      <c r="O33" s="34">
        <f t="shared" si="29"/>
        <v>64612.95</v>
      </c>
      <c r="P33" s="34">
        <f t="shared" si="29"/>
        <v>130682.94</v>
      </c>
      <c r="Q33" s="34">
        <f t="shared" si="29"/>
        <v>171388.05</v>
      </c>
      <c r="R33" s="34">
        <f t="shared" si="29"/>
        <v>199408.97</v>
      </c>
      <c r="S33" s="34">
        <f t="shared" si="29"/>
        <v>234154.69</v>
      </c>
      <c r="T33" s="34">
        <f t="shared" si="29"/>
        <v>254572.2</v>
      </c>
      <c r="U33" s="34">
        <f t="shared" si="29"/>
        <v>294029.01</v>
      </c>
      <c r="V33" s="34">
        <f t="shared" si="29"/>
        <v>346152.82</v>
      </c>
      <c r="W33" s="34">
        <f t="shared" si="29"/>
        <v>336442.11</v>
      </c>
      <c r="X33" s="34">
        <f t="shared" si="29"/>
        <v>346350.49</v>
      </c>
      <c r="Y33" s="34">
        <f t="shared" si="29"/>
        <v>38981.279999999999</v>
      </c>
      <c r="Z33" s="34">
        <f t="shared" si="29"/>
        <v>64389.840000000011</v>
      </c>
      <c r="AA33" s="34">
        <f t="shared" si="29"/>
        <v>92773.780000000013</v>
      </c>
      <c r="AB33" s="34">
        <f t="shared" si="29"/>
        <v>198771.08000000002</v>
      </c>
      <c r="AC33" s="34">
        <f t="shared" si="29"/>
        <v>220218.54000000004</v>
      </c>
      <c r="AD33" s="34">
        <f t="shared" si="29"/>
        <v>239701.07</v>
      </c>
      <c r="AE33" s="34">
        <f t="shared" si="29"/>
        <v>272701.44</v>
      </c>
      <c r="AF33" s="34">
        <f t="shared" si="29"/>
        <v>271987.78000000003</v>
      </c>
      <c r="AG33" s="34">
        <f t="shared" si="29"/>
        <v>193686.80000000002</v>
      </c>
      <c r="AH33" s="34">
        <f t="shared" si="29"/>
        <v>168026.63</v>
      </c>
      <c r="AI33" s="34">
        <f t="shared" si="29"/>
        <v>219112.88</v>
      </c>
      <c r="AJ33" s="34">
        <f t="shared" si="29"/>
        <v>146271.35000000003</v>
      </c>
      <c r="AK33" s="34">
        <f t="shared" si="29"/>
        <v>236110.29</v>
      </c>
      <c r="AL33" s="34">
        <f t="shared" si="29"/>
        <v>246732.33000000002</v>
      </c>
      <c r="AM33" s="34">
        <f t="shared" si="29"/>
        <v>288328.97000000003</v>
      </c>
      <c r="AN33" s="34">
        <f t="shared" si="29"/>
        <v>294283.79000000004</v>
      </c>
      <c r="AO33" s="34">
        <f t="shared" si="29"/>
        <v>301629.85000000003</v>
      </c>
      <c r="AP33" s="34">
        <f t="shared" si="29"/>
        <v>353501.52</v>
      </c>
      <c r="AQ33" s="34">
        <f t="shared" si="29"/>
        <v>351346.16000000003</v>
      </c>
      <c r="AR33" s="34">
        <f t="shared" si="29"/>
        <v>366116.87</v>
      </c>
      <c r="AS33" s="34">
        <f t="shared" si="29"/>
        <v>443041.87</v>
      </c>
      <c r="AT33" s="34">
        <f t="shared" si="29"/>
        <v>465041.87</v>
      </c>
      <c r="AU33" s="34">
        <f t="shared" si="29"/>
        <v>465041.87</v>
      </c>
      <c r="AV33" s="34">
        <f t="shared" si="29"/>
        <v>465041.87</v>
      </c>
      <c r="AW33" s="34">
        <f t="shared" si="29"/>
        <v>465041.87</v>
      </c>
    </row>
    <row r="34" spans="1:49" x14ac:dyDescent="0.2">
      <c r="A34" s="33" t="s">
        <v>299</v>
      </c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  <c r="AG34" s="32"/>
      <c r="AH34" s="32"/>
      <c r="AI34" s="32"/>
      <c r="AJ34" s="32"/>
      <c r="AK34" s="32"/>
      <c r="AL34" s="32"/>
      <c r="AM34" s="32"/>
      <c r="AN34" s="32"/>
      <c r="AO34" s="32"/>
      <c r="AP34" s="32"/>
      <c r="AQ34" s="32"/>
      <c r="AR34" s="32"/>
      <c r="AS34" s="32"/>
      <c r="AT34" s="32"/>
      <c r="AU34" s="32"/>
      <c r="AV34" s="32"/>
      <c r="AW34" s="32"/>
    </row>
    <row r="35" spans="1:49" x14ac:dyDescent="0.2">
      <c r="A35" s="33" t="s">
        <v>298</v>
      </c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  <c r="AG35" s="32"/>
      <c r="AH35" s="32"/>
      <c r="AI35" s="32"/>
      <c r="AJ35" s="32"/>
      <c r="AK35" s="32"/>
      <c r="AL35" s="32"/>
      <c r="AM35" s="32"/>
      <c r="AN35" s="32"/>
      <c r="AO35" s="32"/>
      <c r="AP35" s="32"/>
      <c r="AQ35" s="32"/>
      <c r="AR35" s="32"/>
      <c r="AS35" s="32"/>
      <c r="AT35" s="32"/>
      <c r="AU35" s="32"/>
      <c r="AV35" s="32"/>
      <c r="AW35" s="32"/>
    </row>
    <row r="36" spans="1:49" x14ac:dyDescent="0.2">
      <c r="A36" s="33" t="s">
        <v>297</v>
      </c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  <c r="AG36" s="32"/>
      <c r="AH36" s="32"/>
      <c r="AI36" s="32"/>
      <c r="AJ36" s="32"/>
      <c r="AK36" s="32"/>
      <c r="AL36" s="32"/>
      <c r="AM36" s="32"/>
      <c r="AN36" s="32"/>
      <c r="AO36" s="32"/>
      <c r="AP36" s="32"/>
      <c r="AQ36" s="32"/>
      <c r="AR36" s="32"/>
      <c r="AS36" s="32"/>
      <c r="AT36" s="32"/>
      <c r="AU36" s="32"/>
      <c r="AV36" s="32"/>
      <c r="AW36" s="32"/>
    </row>
    <row r="37" spans="1:49" x14ac:dyDescent="0.2">
      <c r="A37" s="33" t="s">
        <v>296</v>
      </c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  <c r="AG37" s="32"/>
      <c r="AH37" s="32"/>
      <c r="AI37" s="32"/>
      <c r="AJ37" s="32"/>
      <c r="AK37" s="32"/>
      <c r="AL37" s="32"/>
      <c r="AM37" s="32"/>
      <c r="AN37" s="32"/>
      <c r="AO37" s="32"/>
      <c r="AP37" s="32"/>
      <c r="AQ37" s="32"/>
      <c r="AR37" s="32"/>
      <c r="AS37" s="32"/>
      <c r="AT37" s="32"/>
      <c r="AU37" s="32"/>
      <c r="AV37" s="32"/>
      <c r="AW37" s="32"/>
    </row>
    <row r="38" spans="1:49" x14ac:dyDescent="0.2">
      <c r="A38" s="33" t="s">
        <v>295</v>
      </c>
      <c r="B38" s="32"/>
      <c r="C38" s="35">
        <f t="shared" ref="C38:AW38" si="30">B38</f>
        <v>0</v>
      </c>
      <c r="D38" s="35">
        <f t="shared" si="30"/>
        <v>0</v>
      </c>
      <c r="E38" s="35">
        <f t="shared" si="30"/>
        <v>0</v>
      </c>
      <c r="F38" s="35">
        <f t="shared" si="30"/>
        <v>0</v>
      </c>
      <c r="G38" s="35">
        <f t="shared" si="30"/>
        <v>0</v>
      </c>
      <c r="H38" s="35">
        <f t="shared" si="30"/>
        <v>0</v>
      </c>
      <c r="I38" s="35">
        <f t="shared" si="30"/>
        <v>0</v>
      </c>
      <c r="J38" s="35">
        <f t="shared" si="30"/>
        <v>0</v>
      </c>
      <c r="K38" s="35">
        <f t="shared" si="30"/>
        <v>0</v>
      </c>
      <c r="L38" s="35">
        <f t="shared" si="30"/>
        <v>0</v>
      </c>
      <c r="M38" s="35">
        <f t="shared" si="30"/>
        <v>0</v>
      </c>
      <c r="N38" s="35">
        <f t="shared" si="30"/>
        <v>0</v>
      </c>
      <c r="O38" s="35">
        <f t="shared" si="30"/>
        <v>0</v>
      </c>
      <c r="P38" s="35">
        <f t="shared" si="30"/>
        <v>0</v>
      </c>
      <c r="Q38" s="35">
        <f t="shared" si="30"/>
        <v>0</v>
      </c>
      <c r="R38" s="35">
        <f t="shared" si="30"/>
        <v>0</v>
      </c>
      <c r="S38" s="35">
        <f t="shared" si="30"/>
        <v>0</v>
      </c>
      <c r="T38" s="35">
        <f t="shared" si="30"/>
        <v>0</v>
      </c>
      <c r="U38" s="35">
        <f t="shared" si="30"/>
        <v>0</v>
      </c>
      <c r="V38" s="35">
        <f t="shared" si="30"/>
        <v>0</v>
      </c>
      <c r="W38" s="35">
        <f t="shared" si="30"/>
        <v>0</v>
      </c>
      <c r="X38" s="35">
        <f t="shared" si="30"/>
        <v>0</v>
      </c>
      <c r="Y38" s="35">
        <f t="shared" si="30"/>
        <v>0</v>
      </c>
      <c r="Z38" s="35">
        <f t="shared" si="30"/>
        <v>0</v>
      </c>
      <c r="AA38" s="35">
        <f t="shared" si="30"/>
        <v>0</v>
      </c>
      <c r="AB38" s="35">
        <f t="shared" si="30"/>
        <v>0</v>
      </c>
      <c r="AC38" s="35">
        <f t="shared" si="30"/>
        <v>0</v>
      </c>
      <c r="AD38" s="35">
        <f t="shared" si="30"/>
        <v>0</v>
      </c>
      <c r="AE38" s="35">
        <f t="shared" si="30"/>
        <v>0</v>
      </c>
      <c r="AF38" s="35">
        <f t="shared" si="30"/>
        <v>0</v>
      </c>
      <c r="AG38" s="35">
        <f t="shared" si="30"/>
        <v>0</v>
      </c>
      <c r="AH38" s="35">
        <f t="shared" si="30"/>
        <v>0</v>
      </c>
      <c r="AI38" s="35">
        <f t="shared" si="30"/>
        <v>0</v>
      </c>
      <c r="AJ38" s="35">
        <f t="shared" si="30"/>
        <v>0</v>
      </c>
      <c r="AK38" s="35">
        <f t="shared" si="30"/>
        <v>0</v>
      </c>
      <c r="AL38" s="35">
        <f t="shared" si="30"/>
        <v>0</v>
      </c>
      <c r="AM38" s="35">
        <f t="shared" si="30"/>
        <v>0</v>
      </c>
      <c r="AN38" s="35">
        <f t="shared" si="30"/>
        <v>0</v>
      </c>
      <c r="AO38" s="35">
        <f t="shared" si="30"/>
        <v>0</v>
      </c>
      <c r="AP38" s="35">
        <f t="shared" si="30"/>
        <v>0</v>
      </c>
      <c r="AQ38" s="35">
        <f t="shared" si="30"/>
        <v>0</v>
      </c>
      <c r="AR38" s="35">
        <f t="shared" si="30"/>
        <v>0</v>
      </c>
      <c r="AS38" s="35">
        <f t="shared" si="30"/>
        <v>0</v>
      </c>
      <c r="AT38" s="35">
        <f t="shared" si="30"/>
        <v>0</v>
      </c>
      <c r="AU38" s="35">
        <f t="shared" si="30"/>
        <v>0</v>
      </c>
      <c r="AV38" s="35">
        <f t="shared" si="30"/>
        <v>0</v>
      </c>
      <c r="AW38" s="35">
        <f t="shared" si="30"/>
        <v>0</v>
      </c>
    </row>
    <row r="39" spans="1:49" x14ac:dyDescent="0.2">
      <c r="A39" s="33" t="s">
        <v>294</v>
      </c>
      <c r="B39" s="32"/>
      <c r="C39" s="35">
        <f t="shared" ref="C39:AB39" si="31">B39</f>
        <v>0</v>
      </c>
      <c r="D39" s="35">
        <f t="shared" si="31"/>
        <v>0</v>
      </c>
      <c r="E39" s="35">
        <f t="shared" si="31"/>
        <v>0</v>
      </c>
      <c r="F39" s="35">
        <f t="shared" si="31"/>
        <v>0</v>
      </c>
      <c r="G39" s="35">
        <f t="shared" si="31"/>
        <v>0</v>
      </c>
      <c r="H39" s="35">
        <f t="shared" si="31"/>
        <v>0</v>
      </c>
      <c r="I39" s="35">
        <f t="shared" si="31"/>
        <v>0</v>
      </c>
      <c r="J39" s="35">
        <f t="shared" si="31"/>
        <v>0</v>
      </c>
      <c r="K39" s="35">
        <f t="shared" si="31"/>
        <v>0</v>
      </c>
      <c r="L39" s="35">
        <f t="shared" si="31"/>
        <v>0</v>
      </c>
      <c r="M39" s="35">
        <f t="shared" si="31"/>
        <v>0</v>
      </c>
      <c r="N39" s="35">
        <f t="shared" si="31"/>
        <v>0</v>
      </c>
      <c r="O39" s="35">
        <f t="shared" si="31"/>
        <v>0</v>
      </c>
      <c r="P39" s="35">
        <f t="shared" si="31"/>
        <v>0</v>
      </c>
      <c r="Q39" s="35">
        <f t="shared" si="31"/>
        <v>0</v>
      </c>
      <c r="R39" s="35">
        <f t="shared" si="31"/>
        <v>0</v>
      </c>
      <c r="S39" s="35">
        <f t="shared" si="31"/>
        <v>0</v>
      </c>
      <c r="T39" s="35">
        <f t="shared" si="31"/>
        <v>0</v>
      </c>
      <c r="U39" s="35">
        <f t="shared" si="31"/>
        <v>0</v>
      </c>
      <c r="V39" s="35">
        <f t="shared" si="31"/>
        <v>0</v>
      </c>
      <c r="W39" s="35">
        <f t="shared" si="31"/>
        <v>0</v>
      </c>
      <c r="X39" s="35">
        <f t="shared" si="31"/>
        <v>0</v>
      </c>
      <c r="Y39" s="35">
        <f t="shared" si="31"/>
        <v>0</v>
      </c>
      <c r="Z39" s="35">
        <f t="shared" si="31"/>
        <v>0</v>
      </c>
      <c r="AA39" s="35">
        <f t="shared" si="31"/>
        <v>0</v>
      </c>
      <c r="AB39" s="35">
        <f t="shared" si="31"/>
        <v>0</v>
      </c>
      <c r="AC39" s="35">
        <f>1195.1</f>
        <v>1195.0999999999999</v>
      </c>
      <c r="AD39" s="35">
        <f>4844.93</f>
        <v>4844.93</v>
      </c>
      <c r="AE39" s="35">
        <f>3392.13</f>
        <v>3392.13</v>
      </c>
      <c r="AF39" s="35">
        <f>239.3</f>
        <v>239.3</v>
      </c>
      <c r="AG39" s="35">
        <f>12688.37</f>
        <v>12688.37</v>
      </c>
      <c r="AH39" s="35">
        <f>14045.11</f>
        <v>14045.11</v>
      </c>
      <c r="AI39" s="35">
        <f>32682.78</f>
        <v>32682.78</v>
      </c>
      <c r="AJ39" s="35">
        <f>18051.72</f>
        <v>18051.72</v>
      </c>
      <c r="AK39" s="35">
        <f>5369.35</f>
        <v>5369.35</v>
      </c>
      <c r="AL39" s="35">
        <f>18397.4</f>
        <v>18397.400000000001</v>
      </c>
      <c r="AM39" s="35">
        <f>3518.61</f>
        <v>3518.61</v>
      </c>
      <c r="AN39" s="35">
        <f>5937.05</f>
        <v>5937.05</v>
      </c>
      <c r="AO39" s="35">
        <f>24716.98</f>
        <v>24716.98</v>
      </c>
      <c r="AP39" s="35">
        <f>54308.59</f>
        <v>54308.59</v>
      </c>
      <c r="AQ39" s="35">
        <f>20971.06</f>
        <v>20971.060000000001</v>
      </c>
      <c r="AR39" s="35">
        <f>73407.49</f>
        <v>73407.490000000005</v>
      </c>
      <c r="AS39" s="35">
        <f>41031.35</f>
        <v>41031.35</v>
      </c>
      <c r="AT39" s="35">
        <f>AS39</f>
        <v>41031.35</v>
      </c>
      <c r="AU39" s="35">
        <f>AT39</f>
        <v>41031.35</v>
      </c>
      <c r="AV39" s="35">
        <f>AU39</f>
        <v>41031.35</v>
      </c>
      <c r="AW39" s="35">
        <f>AV39</f>
        <v>41031.35</v>
      </c>
    </row>
    <row r="40" spans="1:49" x14ac:dyDescent="0.2">
      <c r="A40" s="33" t="s">
        <v>293</v>
      </c>
      <c r="B40" s="34">
        <f t="shared" ref="B40:AW40" si="32">(B38)+(B39)</f>
        <v>0</v>
      </c>
      <c r="C40" s="34">
        <f t="shared" si="32"/>
        <v>0</v>
      </c>
      <c r="D40" s="34">
        <f t="shared" si="32"/>
        <v>0</v>
      </c>
      <c r="E40" s="34">
        <f t="shared" si="32"/>
        <v>0</v>
      </c>
      <c r="F40" s="34">
        <f t="shared" si="32"/>
        <v>0</v>
      </c>
      <c r="G40" s="34">
        <f t="shared" si="32"/>
        <v>0</v>
      </c>
      <c r="H40" s="34">
        <f t="shared" si="32"/>
        <v>0</v>
      </c>
      <c r="I40" s="34">
        <f t="shared" si="32"/>
        <v>0</v>
      </c>
      <c r="J40" s="34">
        <f t="shared" si="32"/>
        <v>0</v>
      </c>
      <c r="K40" s="34">
        <f t="shared" si="32"/>
        <v>0</v>
      </c>
      <c r="L40" s="34">
        <f t="shared" si="32"/>
        <v>0</v>
      </c>
      <c r="M40" s="34">
        <f t="shared" si="32"/>
        <v>0</v>
      </c>
      <c r="N40" s="34">
        <f t="shared" si="32"/>
        <v>0</v>
      </c>
      <c r="O40" s="34">
        <f t="shared" si="32"/>
        <v>0</v>
      </c>
      <c r="P40" s="34">
        <f t="shared" si="32"/>
        <v>0</v>
      </c>
      <c r="Q40" s="34">
        <f t="shared" si="32"/>
        <v>0</v>
      </c>
      <c r="R40" s="34">
        <f t="shared" si="32"/>
        <v>0</v>
      </c>
      <c r="S40" s="34">
        <f t="shared" si="32"/>
        <v>0</v>
      </c>
      <c r="T40" s="34">
        <f t="shared" si="32"/>
        <v>0</v>
      </c>
      <c r="U40" s="34">
        <f t="shared" si="32"/>
        <v>0</v>
      </c>
      <c r="V40" s="34">
        <f t="shared" si="32"/>
        <v>0</v>
      </c>
      <c r="W40" s="34">
        <f t="shared" si="32"/>
        <v>0</v>
      </c>
      <c r="X40" s="34">
        <f t="shared" si="32"/>
        <v>0</v>
      </c>
      <c r="Y40" s="34">
        <f t="shared" si="32"/>
        <v>0</v>
      </c>
      <c r="Z40" s="34">
        <f t="shared" si="32"/>
        <v>0</v>
      </c>
      <c r="AA40" s="34">
        <f t="shared" si="32"/>
        <v>0</v>
      </c>
      <c r="AB40" s="34">
        <f t="shared" si="32"/>
        <v>0</v>
      </c>
      <c r="AC40" s="34">
        <f t="shared" si="32"/>
        <v>1195.0999999999999</v>
      </c>
      <c r="AD40" s="34">
        <f t="shared" si="32"/>
        <v>4844.93</v>
      </c>
      <c r="AE40" s="34">
        <f t="shared" si="32"/>
        <v>3392.13</v>
      </c>
      <c r="AF40" s="34">
        <f t="shared" si="32"/>
        <v>239.3</v>
      </c>
      <c r="AG40" s="34">
        <f t="shared" si="32"/>
        <v>12688.37</v>
      </c>
      <c r="AH40" s="34">
        <f t="shared" si="32"/>
        <v>14045.11</v>
      </c>
      <c r="AI40" s="34">
        <f t="shared" si="32"/>
        <v>32682.78</v>
      </c>
      <c r="AJ40" s="34">
        <f t="shared" si="32"/>
        <v>18051.72</v>
      </c>
      <c r="AK40" s="34">
        <f t="shared" si="32"/>
        <v>5369.35</v>
      </c>
      <c r="AL40" s="34">
        <f t="shared" si="32"/>
        <v>18397.400000000001</v>
      </c>
      <c r="AM40" s="34">
        <f t="shared" si="32"/>
        <v>3518.61</v>
      </c>
      <c r="AN40" s="34">
        <f t="shared" si="32"/>
        <v>5937.05</v>
      </c>
      <c r="AO40" s="34">
        <f t="shared" si="32"/>
        <v>24716.98</v>
      </c>
      <c r="AP40" s="34">
        <f t="shared" si="32"/>
        <v>54308.59</v>
      </c>
      <c r="AQ40" s="34">
        <f t="shared" si="32"/>
        <v>20971.060000000001</v>
      </c>
      <c r="AR40" s="34">
        <f t="shared" si="32"/>
        <v>73407.490000000005</v>
      </c>
      <c r="AS40" s="34">
        <f t="shared" si="32"/>
        <v>41031.35</v>
      </c>
      <c r="AT40" s="34">
        <f t="shared" si="32"/>
        <v>41031.35</v>
      </c>
      <c r="AU40" s="34">
        <f t="shared" si="32"/>
        <v>41031.35</v>
      </c>
      <c r="AV40" s="34">
        <f t="shared" si="32"/>
        <v>41031.35</v>
      </c>
      <c r="AW40" s="34">
        <f t="shared" si="32"/>
        <v>41031.35</v>
      </c>
    </row>
    <row r="41" spans="1:49" x14ac:dyDescent="0.2">
      <c r="A41" s="33" t="s">
        <v>292</v>
      </c>
      <c r="B41" s="34">
        <f t="shared" ref="B41:AW41" si="33">B40</f>
        <v>0</v>
      </c>
      <c r="C41" s="34">
        <f t="shared" si="33"/>
        <v>0</v>
      </c>
      <c r="D41" s="34">
        <f t="shared" si="33"/>
        <v>0</v>
      </c>
      <c r="E41" s="34">
        <f t="shared" si="33"/>
        <v>0</v>
      </c>
      <c r="F41" s="34">
        <f t="shared" si="33"/>
        <v>0</v>
      </c>
      <c r="G41" s="34">
        <f t="shared" si="33"/>
        <v>0</v>
      </c>
      <c r="H41" s="34">
        <f t="shared" si="33"/>
        <v>0</v>
      </c>
      <c r="I41" s="34">
        <f t="shared" si="33"/>
        <v>0</v>
      </c>
      <c r="J41" s="34">
        <f t="shared" si="33"/>
        <v>0</v>
      </c>
      <c r="K41" s="34">
        <f t="shared" si="33"/>
        <v>0</v>
      </c>
      <c r="L41" s="34">
        <f t="shared" si="33"/>
        <v>0</v>
      </c>
      <c r="M41" s="34">
        <f t="shared" si="33"/>
        <v>0</v>
      </c>
      <c r="N41" s="34">
        <f t="shared" si="33"/>
        <v>0</v>
      </c>
      <c r="O41" s="34">
        <f t="shared" si="33"/>
        <v>0</v>
      </c>
      <c r="P41" s="34">
        <f t="shared" si="33"/>
        <v>0</v>
      </c>
      <c r="Q41" s="34">
        <f t="shared" si="33"/>
        <v>0</v>
      </c>
      <c r="R41" s="34">
        <f t="shared" si="33"/>
        <v>0</v>
      </c>
      <c r="S41" s="34">
        <f t="shared" si="33"/>
        <v>0</v>
      </c>
      <c r="T41" s="34">
        <f t="shared" si="33"/>
        <v>0</v>
      </c>
      <c r="U41" s="34">
        <f t="shared" si="33"/>
        <v>0</v>
      </c>
      <c r="V41" s="34">
        <f t="shared" si="33"/>
        <v>0</v>
      </c>
      <c r="W41" s="34">
        <f t="shared" si="33"/>
        <v>0</v>
      </c>
      <c r="X41" s="34">
        <f t="shared" si="33"/>
        <v>0</v>
      </c>
      <c r="Y41" s="34">
        <f t="shared" si="33"/>
        <v>0</v>
      </c>
      <c r="Z41" s="34">
        <f t="shared" si="33"/>
        <v>0</v>
      </c>
      <c r="AA41" s="34">
        <f t="shared" si="33"/>
        <v>0</v>
      </c>
      <c r="AB41" s="34">
        <f t="shared" si="33"/>
        <v>0</v>
      </c>
      <c r="AC41" s="34">
        <f t="shared" si="33"/>
        <v>1195.0999999999999</v>
      </c>
      <c r="AD41" s="34">
        <f t="shared" si="33"/>
        <v>4844.93</v>
      </c>
      <c r="AE41" s="34">
        <f t="shared" si="33"/>
        <v>3392.13</v>
      </c>
      <c r="AF41" s="34">
        <f t="shared" si="33"/>
        <v>239.3</v>
      </c>
      <c r="AG41" s="34">
        <f t="shared" si="33"/>
        <v>12688.37</v>
      </c>
      <c r="AH41" s="34">
        <f t="shared" si="33"/>
        <v>14045.11</v>
      </c>
      <c r="AI41" s="34">
        <f t="shared" si="33"/>
        <v>32682.78</v>
      </c>
      <c r="AJ41" s="34">
        <f t="shared" si="33"/>
        <v>18051.72</v>
      </c>
      <c r="AK41" s="34">
        <f t="shared" si="33"/>
        <v>5369.35</v>
      </c>
      <c r="AL41" s="34">
        <f t="shared" si="33"/>
        <v>18397.400000000001</v>
      </c>
      <c r="AM41" s="34">
        <f t="shared" si="33"/>
        <v>3518.61</v>
      </c>
      <c r="AN41" s="34">
        <f t="shared" si="33"/>
        <v>5937.05</v>
      </c>
      <c r="AO41" s="34">
        <f t="shared" si="33"/>
        <v>24716.98</v>
      </c>
      <c r="AP41" s="34">
        <f t="shared" si="33"/>
        <v>54308.59</v>
      </c>
      <c r="AQ41" s="34">
        <f t="shared" si="33"/>
        <v>20971.060000000001</v>
      </c>
      <c r="AR41" s="34">
        <f t="shared" si="33"/>
        <v>73407.490000000005</v>
      </c>
      <c r="AS41" s="34">
        <f t="shared" si="33"/>
        <v>41031.35</v>
      </c>
      <c r="AT41" s="34">
        <f t="shared" si="33"/>
        <v>41031.35</v>
      </c>
      <c r="AU41" s="34">
        <f t="shared" si="33"/>
        <v>41031.35</v>
      </c>
      <c r="AV41" s="34">
        <f t="shared" si="33"/>
        <v>41031.35</v>
      </c>
      <c r="AW41" s="34">
        <f t="shared" si="33"/>
        <v>41031.35</v>
      </c>
    </row>
    <row r="42" spans="1:49" x14ac:dyDescent="0.2">
      <c r="A42" s="33" t="s">
        <v>291</v>
      </c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  <c r="AG42" s="32"/>
      <c r="AH42" s="32"/>
      <c r="AI42" s="32"/>
      <c r="AJ42" s="32"/>
      <c r="AK42" s="32"/>
      <c r="AL42" s="32"/>
      <c r="AM42" s="32"/>
      <c r="AN42" s="32"/>
      <c r="AO42" s="32"/>
      <c r="AP42" s="32"/>
      <c r="AQ42" s="32"/>
      <c r="AR42" s="32"/>
      <c r="AS42" s="32"/>
      <c r="AT42" s="32"/>
      <c r="AU42" s="32"/>
      <c r="AV42" s="32"/>
      <c r="AW42" s="32"/>
    </row>
    <row r="43" spans="1:49" x14ac:dyDescent="0.2">
      <c r="A43" s="33" t="s">
        <v>290</v>
      </c>
      <c r="B43" s="32"/>
      <c r="C43" s="35">
        <f t="shared" ref="C43:AW43" si="34">B43</f>
        <v>0</v>
      </c>
      <c r="D43" s="35">
        <f t="shared" si="34"/>
        <v>0</v>
      </c>
      <c r="E43" s="35">
        <f t="shared" si="34"/>
        <v>0</v>
      </c>
      <c r="F43" s="35">
        <f t="shared" si="34"/>
        <v>0</v>
      </c>
      <c r="G43" s="35">
        <f t="shared" si="34"/>
        <v>0</v>
      </c>
      <c r="H43" s="35">
        <f t="shared" si="34"/>
        <v>0</v>
      </c>
      <c r="I43" s="35">
        <f t="shared" si="34"/>
        <v>0</v>
      </c>
      <c r="J43" s="35">
        <f t="shared" si="34"/>
        <v>0</v>
      </c>
      <c r="K43" s="35">
        <f t="shared" si="34"/>
        <v>0</v>
      </c>
      <c r="L43" s="35">
        <f t="shared" si="34"/>
        <v>0</v>
      </c>
      <c r="M43" s="35">
        <f t="shared" si="34"/>
        <v>0</v>
      </c>
      <c r="N43" s="35">
        <f t="shared" si="34"/>
        <v>0</v>
      </c>
      <c r="O43" s="35">
        <f t="shared" si="34"/>
        <v>0</v>
      </c>
      <c r="P43" s="35">
        <f t="shared" si="34"/>
        <v>0</v>
      </c>
      <c r="Q43" s="35">
        <f t="shared" si="34"/>
        <v>0</v>
      </c>
      <c r="R43" s="35">
        <f t="shared" si="34"/>
        <v>0</v>
      </c>
      <c r="S43" s="35">
        <f t="shared" si="34"/>
        <v>0</v>
      </c>
      <c r="T43" s="35">
        <f t="shared" si="34"/>
        <v>0</v>
      </c>
      <c r="U43" s="35">
        <f t="shared" si="34"/>
        <v>0</v>
      </c>
      <c r="V43" s="35">
        <f t="shared" si="34"/>
        <v>0</v>
      </c>
      <c r="W43" s="35">
        <f t="shared" si="34"/>
        <v>0</v>
      </c>
      <c r="X43" s="35">
        <f t="shared" si="34"/>
        <v>0</v>
      </c>
      <c r="Y43" s="35">
        <f t="shared" si="34"/>
        <v>0</v>
      </c>
      <c r="Z43" s="35">
        <f t="shared" si="34"/>
        <v>0</v>
      </c>
      <c r="AA43" s="35">
        <f t="shared" si="34"/>
        <v>0</v>
      </c>
      <c r="AB43" s="35">
        <f t="shared" si="34"/>
        <v>0</v>
      </c>
      <c r="AC43" s="35">
        <f t="shared" si="34"/>
        <v>0</v>
      </c>
      <c r="AD43" s="35">
        <f t="shared" si="34"/>
        <v>0</v>
      </c>
      <c r="AE43" s="35">
        <f t="shared" si="34"/>
        <v>0</v>
      </c>
      <c r="AF43" s="35">
        <f t="shared" si="34"/>
        <v>0</v>
      </c>
      <c r="AG43" s="35">
        <f t="shared" si="34"/>
        <v>0</v>
      </c>
      <c r="AH43" s="35">
        <f t="shared" si="34"/>
        <v>0</v>
      </c>
      <c r="AI43" s="35">
        <f t="shared" si="34"/>
        <v>0</v>
      </c>
      <c r="AJ43" s="35">
        <f t="shared" si="34"/>
        <v>0</v>
      </c>
      <c r="AK43" s="35">
        <f t="shared" si="34"/>
        <v>0</v>
      </c>
      <c r="AL43" s="35">
        <f t="shared" si="34"/>
        <v>0</v>
      </c>
      <c r="AM43" s="35">
        <f t="shared" si="34"/>
        <v>0</v>
      </c>
      <c r="AN43" s="35">
        <f t="shared" si="34"/>
        <v>0</v>
      </c>
      <c r="AO43" s="35">
        <f t="shared" si="34"/>
        <v>0</v>
      </c>
      <c r="AP43" s="35">
        <f t="shared" si="34"/>
        <v>0</v>
      </c>
      <c r="AQ43" s="35">
        <f t="shared" si="34"/>
        <v>0</v>
      </c>
      <c r="AR43" s="35">
        <f t="shared" si="34"/>
        <v>0</v>
      </c>
      <c r="AS43" s="35">
        <f t="shared" si="34"/>
        <v>0</v>
      </c>
      <c r="AT43" s="35">
        <f t="shared" si="34"/>
        <v>0</v>
      </c>
      <c r="AU43" s="35">
        <f t="shared" si="34"/>
        <v>0</v>
      </c>
      <c r="AV43" s="35">
        <f t="shared" si="34"/>
        <v>0</v>
      </c>
      <c r="AW43" s="35">
        <f t="shared" si="34"/>
        <v>0</v>
      </c>
    </row>
    <row r="44" spans="1:49" x14ac:dyDescent="0.2">
      <c r="A44" s="33" t="s">
        <v>289</v>
      </c>
      <c r="B44" s="32"/>
      <c r="C44" s="35">
        <f t="shared" ref="C44:K44" si="35">B44</f>
        <v>0</v>
      </c>
      <c r="D44" s="35">
        <f t="shared" si="35"/>
        <v>0</v>
      </c>
      <c r="E44" s="35">
        <f t="shared" si="35"/>
        <v>0</v>
      </c>
      <c r="F44" s="35">
        <f t="shared" si="35"/>
        <v>0</v>
      </c>
      <c r="G44" s="35">
        <f t="shared" si="35"/>
        <v>0</v>
      </c>
      <c r="H44" s="35">
        <f t="shared" si="35"/>
        <v>0</v>
      </c>
      <c r="I44" s="35">
        <f t="shared" si="35"/>
        <v>0</v>
      </c>
      <c r="J44" s="35">
        <f t="shared" si="35"/>
        <v>0</v>
      </c>
      <c r="K44" s="35">
        <f t="shared" si="35"/>
        <v>0</v>
      </c>
      <c r="L44" s="35">
        <f>48</f>
        <v>48</v>
      </c>
      <c r="M44" s="35">
        <f>L44</f>
        <v>48</v>
      </c>
      <c r="N44" s="35">
        <f>72</f>
        <v>72</v>
      </c>
      <c r="O44" s="35">
        <f t="shared" ref="O44:AB44" si="36">N44</f>
        <v>72</v>
      </c>
      <c r="P44" s="35">
        <f t="shared" si="36"/>
        <v>72</v>
      </c>
      <c r="Q44" s="35">
        <f t="shared" si="36"/>
        <v>72</v>
      </c>
      <c r="R44" s="35">
        <f t="shared" si="36"/>
        <v>72</v>
      </c>
      <c r="S44" s="35">
        <f t="shared" si="36"/>
        <v>72</v>
      </c>
      <c r="T44" s="35">
        <f t="shared" si="36"/>
        <v>72</v>
      </c>
      <c r="U44" s="35">
        <f t="shared" si="36"/>
        <v>72</v>
      </c>
      <c r="V44" s="35">
        <f t="shared" si="36"/>
        <v>72</v>
      </c>
      <c r="W44" s="35">
        <f t="shared" si="36"/>
        <v>72</v>
      </c>
      <c r="X44" s="35">
        <f t="shared" si="36"/>
        <v>72</v>
      </c>
      <c r="Y44" s="35">
        <f t="shared" si="36"/>
        <v>72</v>
      </c>
      <c r="Z44" s="35">
        <f t="shared" si="36"/>
        <v>72</v>
      </c>
      <c r="AA44" s="35">
        <f t="shared" si="36"/>
        <v>72</v>
      </c>
      <c r="AB44" s="35">
        <f t="shared" si="36"/>
        <v>72</v>
      </c>
      <c r="AC44" s="35">
        <f>161.42</f>
        <v>161.41999999999999</v>
      </c>
      <c r="AD44" s="35">
        <f>256.89</f>
        <v>256.89</v>
      </c>
      <c r="AE44" s="35">
        <f>296.71</f>
        <v>296.70999999999998</v>
      </c>
      <c r="AF44" s="35">
        <f>311.78</f>
        <v>311.77999999999997</v>
      </c>
      <c r="AG44" s="35">
        <f>322.48</f>
        <v>322.48</v>
      </c>
      <c r="AH44" s="35">
        <f>324</f>
        <v>324</v>
      </c>
      <c r="AI44" s="35">
        <f t="shared" ref="AI44:AW44" si="37">AH44</f>
        <v>324</v>
      </c>
      <c r="AJ44" s="35">
        <f t="shared" si="37"/>
        <v>324</v>
      </c>
      <c r="AK44" s="35">
        <f t="shared" si="37"/>
        <v>324</v>
      </c>
      <c r="AL44" s="35">
        <f t="shared" si="37"/>
        <v>324</v>
      </c>
      <c r="AM44" s="35">
        <f t="shared" si="37"/>
        <v>324</v>
      </c>
      <c r="AN44" s="35">
        <f t="shared" si="37"/>
        <v>324</v>
      </c>
      <c r="AO44" s="35">
        <f t="shared" si="37"/>
        <v>324</v>
      </c>
      <c r="AP44" s="35">
        <f t="shared" si="37"/>
        <v>324</v>
      </c>
      <c r="AQ44" s="35">
        <f t="shared" si="37"/>
        <v>324</v>
      </c>
      <c r="AR44" s="35">
        <f t="shared" si="37"/>
        <v>324</v>
      </c>
      <c r="AS44" s="35">
        <f t="shared" si="37"/>
        <v>324</v>
      </c>
      <c r="AT44" s="35">
        <f t="shared" si="37"/>
        <v>324</v>
      </c>
      <c r="AU44" s="35">
        <f t="shared" si="37"/>
        <v>324</v>
      </c>
      <c r="AV44" s="35">
        <f t="shared" si="37"/>
        <v>324</v>
      </c>
      <c r="AW44" s="35">
        <f t="shared" si="37"/>
        <v>324</v>
      </c>
    </row>
    <row r="45" spans="1:49" x14ac:dyDescent="0.2">
      <c r="A45" s="33" t="s">
        <v>288</v>
      </c>
      <c r="B45" s="32"/>
      <c r="C45" s="35">
        <f t="shared" ref="C45:K45" si="38">B45</f>
        <v>0</v>
      </c>
      <c r="D45" s="35">
        <f t="shared" si="38"/>
        <v>0</v>
      </c>
      <c r="E45" s="35">
        <f t="shared" si="38"/>
        <v>0</v>
      </c>
      <c r="F45" s="35">
        <f t="shared" si="38"/>
        <v>0</v>
      </c>
      <c r="G45" s="35">
        <f t="shared" si="38"/>
        <v>0</v>
      </c>
      <c r="H45" s="35">
        <f t="shared" si="38"/>
        <v>0</v>
      </c>
      <c r="I45" s="35">
        <f t="shared" si="38"/>
        <v>0</v>
      </c>
      <c r="J45" s="35">
        <f t="shared" si="38"/>
        <v>0</v>
      </c>
      <c r="K45" s="35">
        <f t="shared" si="38"/>
        <v>0</v>
      </c>
      <c r="L45" s="35">
        <f>1622.16</f>
        <v>1622.16</v>
      </c>
      <c r="M45" s="35">
        <f>L45</f>
        <v>1622.16</v>
      </c>
      <c r="N45" s="35">
        <f>2433.24</f>
        <v>2433.2399999999998</v>
      </c>
      <c r="O45" s="35">
        <f t="shared" ref="O45:AB45" si="39">N45</f>
        <v>2433.2399999999998</v>
      </c>
      <c r="P45" s="35">
        <f t="shared" si="39"/>
        <v>2433.2399999999998</v>
      </c>
      <c r="Q45" s="35">
        <f t="shared" si="39"/>
        <v>2433.2399999999998</v>
      </c>
      <c r="R45" s="35">
        <f t="shared" si="39"/>
        <v>2433.2399999999998</v>
      </c>
      <c r="S45" s="35">
        <f t="shared" si="39"/>
        <v>2433.2399999999998</v>
      </c>
      <c r="T45" s="35">
        <f t="shared" si="39"/>
        <v>2433.2399999999998</v>
      </c>
      <c r="U45" s="35">
        <f t="shared" si="39"/>
        <v>2433.2399999999998</v>
      </c>
      <c r="V45" s="35">
        <f t="shared" si="39"/>
        <v>2433.2399999999998</v>
      </c>
      <c r="W45" s="35">
        <f t="shared" si="39"/>
        <v>2433.2399999999998</v>
      </c>
      <c r="X45" s="35">
        <f t="shared" si="39"/>
        <v>2433.2399999999998</v>
      </c>
      <c r="Y45" s="35">
        <f t="shared" si="39"/>
        <v>2433.2399999999998</v>
      </c>
      <c r="Z45" s="35">
        <f t="shared" si="39"/>
        <v>2433.2399999999998</v>
      </c>
      <c r="AA45" s="35">
        <f t="shared" si="39"/>
        <v>2433.2399999999998</v>
      </c>
      <c r="AB45" s="35">
        <f t="shared" si="39"/>
        <v>2433.2399999999998</v>
      </c>
      <c r="AC45" s="35">
        <f>5423.8</f>
        <v>5423.8</v>
      </c>
      <c r="AD45" s="35">
        <f>8905.23</f>
        <v>8905.23</v>
      </c>
      <c r="AE45" s="35">
        <f>10807.73</f>
        <v>10807.73</v>
      </c>
      <c r="AF45" s="35">
        <f>AE45</f>
        <v>10807.73</v>
      </c>
      <c r="AG45" s="35">
        <f>AF45</f>
        <v>10807.73</v>
      </c>
      <c r="AH45" s="35">
        <f>AG45</f>
        <v>10807.73</v>
      </c>
      <c r="AI45" s="35">
        <f t="shared" ref="AI45:AW45" si="40">AH45</f>
        <v>10807.73</v>
      </c>
      <c r="AJ45" s="35">
        <f t="shared" si="40"/>
        <v>10807.73</v>
      </c>
      <c r="AK45" s="35">
        <f t="shared" si="40"/>
        <v>10807.73</v>
      </c>
      <c r="AL45" s="35">
        <f t="shared" si="40"/>
        <v>10807.73</v>
      </c>
      <c r="AM45" s="35">
        <f t="shared" si="40"/>
        <v>10807.73</v>
      </c>
      <c r="AN45" s="35">
        <f t="shared" si="40"/>
        <v>10807.73</v>
      </c>
      <c r="AO45" s="35">
        <f t="shared" si="40"/>
        <v>10807.73</v>
      </c>
      <c r="AP45" s="35">
        <f t="shared" si="40"/>
        <v>10807.73</v>
      </c>
      <c r="AQ45" s="35">
        <f t="shared" si="40"/>
        <v>10807.73</v>
      </c>
      <c r="AR45" s="35">
        <f t="shared" si="40"/>
        <v>10807.73</v>
      </c>
      <c r="AS45" s="35">
        <f t="shared" si="40"/>
        <v>10807.73</v>
      </c>
      <c r="AT45" s="35">
        <f t="shared" si="40"/>
        <v>10807.73</v>
      </c>
      <c r="AU45" s="35">
        <f t="shared" si="40"/>
        <v>10807.73</v>
      </c>
      <c r="AV45" s="35">
        <f t="shared" si="40"/>
        <v>10807.73</v>
      </c>
      <c r="AW45" s="35">
        <f t="shared" si="40"/>
        <v>10807.73</v>
      </c>
    </row>
    <row r="46" spans="1:49" x14ac:dyDescent="0.2">
      <c r="A46" s="33" t="s">
        <v>287</v>
      </c>
      <c r="B46" s="32"/>
      <c r="C46" s="35">
        <f t="shared" ref="C46:K46" si="41">B46</f>
        <v>0</v>
      </c>
      <c r="D46" s="35">
        <f t="shared" si="41"/>
        <v>0</v>
      </c>
      <c r="E46" s="35">
        <f t="shared" si="41"/>
        <v>0</v>
      </c>
      <c r="F46" s="35">
        <f t="shared" si="41"/>
        <v>0</v>
      </c>
      <c r="G46" s="35">
        <f t="shared" si="41"/>
        <v>0</v>
      </c>
      <c r="H46" s="35">
        <f t="shared" si="41"/>
        <v>0</v>
      </c>
      <c r="I46" s="35">
        <f t="shared" si="41"/>
        <v>0</v>
      </c>
      <c r="J46" s="35">
        <f t="shared" si="41"/>
        <v>0</v>
      </c>
      <c r="K46" s="35">
        <f t="shared" si="41"/>
        <v>0</v>
      </c>
      <c r="L46" s="35">
        <f>K46</f>
        <v>0</v>
      </c>
      <c r="M46" s="35">
        <f>L46</f>
        <v>0</v>
      </c>
      <c r="N46" s="35">
        <f>M46</f>
        <v>0</v>
      </c>
      <c r="O46" s="35">
        <f t="shared" ref="O46:AB46" si="42">N46</f>
        <v>0</v>
      </c>
      <c r="P46" s="35">
        <f t="shared" si="42"/>
        <v>0</v>
      </c>
      <c r="Q46" s="35">
        <f t="shared" si="42"/>
        <v>0</v>
      </c>
      <c r="R46" s="35">
        <f t="shared" si="42"/>
        <v>0</v>
      </c>
      <c r="S46" s="35">
        <f t="shared" si="42"/>
        <v>0</v>
      </c>
      <c r="T46" s="35">
        <f t="shared" si="42"/>
        <v>0</v>
      </c>
      <c r="U46" s="35">
        <f t="shared" si="42"/>
        <v>0</v>
      </c>
      <c r="V46" s="35">
        <f t="shared" si="42"/>
        <v>0</v>
      </c>
      <c r="W46" s="35">
        <f t="shared" si="42"/>
        <v>0</v>
      </c>
      <c r="X46" s="35">
        <f t="shared" si="42"/>
        <v>0</v>
      </c>
      <c r="Y46" s="35">
        <f t="shared" si="42"/>
        <v>0</v>
      </c>
      <c r="Z46" s="35">
        <f t="shared" si="42"/>
        <v>0</v>
      </c>
      <c r="AA46" s="35">
        <f t="shared" si="42"/>
        <v>0</v>
      </c>
      <c r="AB46" s="35">
        <f t="shared" si="42"/>
        <v>0</v>
      </c>
      <c r="AC46" s="35">
        <f>AB46</f>
        <v>0</v>
      </c>
      <c r="AD46" s="35">
        <f>AC46</f>
        <v>0</v>
      </c>
      <c r="AE46" s="35">
        <f>1940.92</f>
        <v>1940.92</v>
      </c>
      <c r="AF46" s="35">
        <f>4443.34</f>
        <v>4443.34</v>
      </c>
      <c r="AG46" s="35">
        <f>7485.94</f>
        <v>7485.94</v>
      </c>
      <c r="AH46" s="35">
        <f>10903.97</f>
        <v>10903.97</v>
      </c>
      <c r="AI46" s="35">
        <f t="shared" ref="AI46:AW46" si="43">AH46</f>
        <v>10903.97</v>
      </c>
      <c r="AJ46" s="35">
        <f t="shared" si="43"/>
        <v>10903.97</v>
      </c>
      <c r="AK46" s="35">
        <f t="shared" si="43"/>
        <v>10903.97</v>
      </c>
      <c r="AL46" s="35">
        <f t="shared" si="43"/>
        <v>10903.97</v>
      </c>
      <c r="AM46" s="35">
        <f t="shared" si="43"/>
        <v>10903.97</v>
      </c>
      <c r="AN46" s="35">
        <f t="shared" si="43"/>
        <v>10903.97</v>
      </c>
      <c r="AO46" s="35">
        <f t="shared" si="43"/>
        <v>10903.97</v>
      </c>
      <c r="AP46" s="35">
        <f t="shared" si="43"/>
        <v>10903.97</v>
      </c>
      <c r="AQ46" s="35">
        <f t="shared" si="43"/>
        <v>10903.97</v>
      </c>
      <c r="AR46" s="35">
        <f t="shared" si="43"/>
        <v>10903.97</v>
      </c>
      <c r="AS46" s="35">
        <f t="shared" si="43"/>
        <v>10903.97</v>
      </c>
      <c r="AT46" s="35">
        <f t="shared" si="43"/>
        <v>10903.97</v>
      </c>
      <c r="AU46" s="35">
        <f t="shared" si="43"/>
        <v>10903.97</v>
      </c>
      <c r="AV46" s="35">
        <f t="shared" si="43"/>
        <v>10903.97</v>
      </c>
      <c r="AW46" s="35">
        <f t="shared" si="43"/>
        <v>10903.97</v>
      </c>
    </row>
    <row r="47" spans="1:49" x14ac:dyDescent="0.2">
      <c r="A47" s="33" t="s">
        <v>286</v>
      </c>
      <c r="B47" s="32"/>
      <c r="C47" s="35">
        <f t="shared" ref="C47:K47" si="44">B47</f>
        <v>0</v>
      </c>
      <c r="D47" s="35">
        <f t="shared" si="44"/>
        <v>0</v>
      </c>
      <c r="E47" s="35">
        <f t="shared" si="44"/>
        <v>0</v>
      </c>
      <c r="F47" s="35">
        <f t="shared" si="44"/>
        <v>0</v>
      </c>
      <c r="G47" s="35">
        <f t="shared" si="44"/>
        <v>0</v>
      </c>
      <c r="H47" s="35">
        <f t="shared" si="44"/>
        <v>0</v>
      </c>
      <c r="I47" s="35">
        <f t="shared" si="44"/>
        <v>0</v>
      </c>
      <c r="J47" s="35">
        <f t="shared" si="44"/>
        <v>0</v>
      </c>
      <c r="K47" s="35">
        <f t="shared" si="44"/>
        <v>0</v>
      </c>
      <c r="L47" s="35">
        <f>568</f>
        <v>568</v>
      </c>
      <c r="M47" s="35">
        <f>L47</f>
        <v>568</v>
      </c>
      <c r="N47" s="35">
        <f>852</f>
        <v>852</v>
      </c>
      <c r="O47" s="35">
        <f t="shared" ref="O47:AB47" si="45">N47</f>
        <v>852</v>
      </c>
      <c r="P47" s="35">
        <f t="shared" si="45"/>
        <v>852</v>
      </c>
      <c r="Q47" s="35">
        <f t="shared" si="45"/>
        <v>852</v>
      </c>
      <c r="R47" s="35">
        <f t="shared" si="45"/>
        <v>852</v>
      </c>
      <c r="S47" s="35">
        <f t="shared" si="45"/>
        <v>852</v>
      </c>
      <c r="T47" s="35">
        <f t="shared" si="45"/>
        <v>852</v>
      </c>
      <c r="U47" s="35">
        <f t="shared" si="45"/>
        <v>852</v>
      </c>
      <c r="V47" s="35">
        <f t="shared" si="45"/>
        <v>852</v>
      </c>
      <c r="W47" s="35">
        <f t="shared" si="45"/>
        <v>852</v>
      </c>
      <c r="X47" s="35">
        <f t="shared" si="45"/>
        <v>852</v>
      </c>
      <c r="Y47" s="35">
        <f t="shared" si="45"/>
        <v>852</v>
      </c>
      <c r="Z47" s="35">
        <f t="shared" si="45"/>
        <v>852</v>
      </c>
      <c r="AA47" s="35">
        <f t="shared" si="45"/>
        <v>852</v>
      </c>
      <c r="AB47" s="35">
        <f t="shared" si="45"/>
        <v>852</v>
      </c>
      <c r="AC47" s="35">
        <f>1910.12</f>
        <v>1910.12</v>
      </c>
      <c r="AD47" s="35">
        <f>3199.51</f>
        <v>3199.51</v>
      </c>
      <c r="AE47" s="35">
        <f>4583.83</f>
        <v>4583.83</v>
      </c>
      <c r="AF47" s="35">
        <f>5382.63</f>
        <v>5382.63</v>
      </c>
      <c r="AG47" s="35">
        <f>6477.39</f>
        <v>6477.39</v>
      </c>
      <c r="AH47" s="35">
        <f>7699.82</f>
        <v>7699.82</v>
      </c>
      <c r="AI47" s="35">
        <f t="shared" ref="AI47:AW47" si="46">AH47</f>
        <v>7699.82</v>
      </c>
      <c r="AJ47" s="35">
        <f t="shared" si="46"/>
        <v>7699.82</v>
      </c>
      <c r="AK47" s="35">
        <f t="shared" si="46"/>
        <v>7699.82</v>
      </c>
      <c r="AL47" s="35">
        <f t="shared" si="46"/>
        <v>7699.82</v>
      </c>
      <c r="AM47" s="35">
        <f t="shared" si="46"/>
        <v>7699.82</v>
      </c>
      <c r="AN47" s="35">
        <f t="shared" si="46"/>
        <v>7699.82</v>
      </c>
      <c r="AO47" s="35">
        <f t="shared" si="46"/>
        <v>7699.82</v>
      </c>
      <c r="AP47" s="35">
        <f t="shared" si="46"/>
        <v>7699.82</v>
      </c>
      <c r="AQ47" s="35">
        <f t="shared" si="46"/>
        <v>7699.82</v>
      </c>
      <c r="AR47" s="35">
        <f t="shared" si="46"/>
        <v>7699.82</v>
      </c>
      <c r="AS47" s="35">
        <f t="shared" si="46"/>
        <v>7699.82</v>
      </c>
      <c r="AT47" s="35">
        <f t="shared" si="46"/>
        <v>7699.82</v>
      </c>
      <c r="AU47" s="35">
        <f t="shared" si="46"/>
        <v>7699.82</v>
      </c>
      <c r="AV47" s="35">
        <f t="shared" si="46"/>
        <v>7699.82</v>
      </c>
      <c r="AW47" s="35">
        <f t="shared" si="46"/>
        <v>7699.82</v>
      </c>
    </row>
    <row r="48" spans="1:49" x14ac:dyDescent="0.2">
      <c r="A48" s="33" t="s">
        <v>285</v>
      </c>
      <c r="B48" s="32"/>
      <c r="C48" s="35">
        <f t="shared" ref="C48:K48" si="47">B48</f>
        <v>0</v>
      </c>
      <c r="D48" s="35">
        <f t="shared" si="47"/>
        <v>0</v>
      </c>
      <c r="E48" s="35">
        <f t="shared" si="47"/>
        <v>0</v>
      </c>
      <c r="F48" s="35">
        <f t="shared" si="47"/>
        <v>0</v>
      </c>
      <c r="G48" s="35">
        <f t="shared" si="47"/>
        <v>0</v>
      </c>
      <c r="H48" s="35">
        <f t="shared" si="47"/>
        <v>0</v>
      </c>
      <c r="I48" s="35">
        <f t="shared" si="47"/>
        <v>0</v>
      </c>
      <c r="J48" s="35">
        <f t="shared" si="47"/>
        <v>0</v>
      </c>
      <c r="K48" s="35">
        <f t="shared" si="47"/>
        <v>0</v>
      </c>
      <c r="L48" s="35">
        <f>349.12</f>
        <v>349.12</v>
      </c>
      <c r="M48" s="35">
        <f>L48</f>
        <v>349.12</v>
      </c>
      <c r="N48" s="35">
        <f>523.68</f>
        <v>523.67999999999995</v>
      </c>
      <c r="O48" s="35">
        <f>N48</f>
        <v>523.67999999999995</v>
      </c>
      <c r="P48" s="35">
        <f>O48</f>
        <v>523.67999999999995</v>
      </c>
      <c r="Q48" s="35">
        <f>P48</f>
        <v>523.67999999999995</v>
      </c>
      <c r="R48" s="35">
        <f>Q48</f>
        <v>523.67999999999995</v>
      </c>
      <c r="S48" s="35">
        <f>38.68</f>
        <v>38.68</v>
      </c>
      <c r="T48" s="35">
        <f t="shared" ref="T48:AB48" si="48">S48</f>
        <v>38.68</v>
      </c>
      <c r="U48" s="35">
        <f t="shared" si="48"/>
        <v>38.68</v>
      </c>
      <c r="V48" s="35">
        <f t="shared" si="48"/>
        <v>38.68</v>
      </c>
      <c r="W48" s="35">
        <f t="shared" si="48"/>
        <v>38.68</v>
      </c>
      <c r="X48" s="35">
        <f t="shared" si="48"/>
        <v>38.68</v>
      </c>
      <c r="Y48" s="35">
        <f t="shared" si="48"/>
        <v>38.68</v>
      </c>
      <c r="Z48" s="35">
        <f t="shared" si="48"/>
        <v>38.68</v>
      </c>
      <c r="AA48" s="35">
        <f t="shared" si="48"/>
        <v>38.68</v>
      </c>
      <c r="AB48" s="35">
        <f t="shared" si="48"/>
        <v>38.68</v>
      </c>
      <c r="AC48" s="35">
        <f>654.88</f>
        <v>654.88</v>
      </c>
      <c r="AD48" s="35">
        <f>1407.08</f>
        <v>1407.08</v>
      </c>
      <c r="AE48" s="35">
        <f>2210.99</f>
        <v>2210.9899999999998</v>
      </c>
      <c r="AF48" s="35">
        <f>2722.75</f>
        <v>2722.75</v>
      </c>
      <c r="AG48" s="35">
        <f>3343.64</f>
        <v>3343.64</v>
      </c>
      <c r="AH48" s="35">
        <f>4073.33</f>
        <v>4073.33</v>
      </c>
      <c r="AI48" s="35">
        <f t="shared" ref="AI48:AW48" si="49">AH48</f>
        <v>4073.33</v>
      </c>
      <c r="AJ48" s="35">
        <f t="shared" si="49"/>
        <v>4073.33</v>
      </c>
      <c r="AK48" s="35">
        <f t="shared" si="49"/>
        <v>4073.33</v>
      </c>
      <c r="AL48" s="35">
        <f t="shared" si="49"/>
        <v>4073.33</v>
      </c>
      <c r="AM48" s="35">
        <f t="shared" si="49"/>
        <v>4073.33</v>
      </c>
      <c r="AN48" s="35">
        <f t="shared" si="49"/>
        <v>4073.33</v>
      </c>
      <c r="AO48" s="35">
        <f t="shared" si="49"/>
        <v>4073.33</v>
      </c>
      <c r="AP48" s="35">
        <f t="shared" si="49"/>
        <v>4073.33</v>
      </c>
      <c r="AQ48" s="35">
        <f t="shared" si="49"/>
        <v>4073.33</v>
      </c>
      <c r="AR48" s="35">
        <f t="shared" si="49"/>
        <v>4073.33</v>
      </c>
      <c r="AS48" s="35">
        <f t="shared" si="49"/>
        <v>4073.33</v>
      </c>
      <c r="AT48" s="35">
        <f t="shared" si="49"/>
        <v>4073.33</v>
      </c>
      <c r="AU48" s="35">
        <f t="shared" si="49"/>
        <v>4073.33</v>
      </c>
      <c r="AV48" s="35">
        <f t="shared" si="49"/>
        <v>4073.33</v>
      </c>
      <c r="AW48" s="35">
        <f t="shared" si="49"/>
        <v>4073.33</v>
      </c>
    </row>
    <row r="49" spans="1:49" x14ac:dyDescent="0.2">
      <c r="A49" s="33" t="s">
        <v>284</v>
      </c>
      <c r="B49" s="34">
        <f t="shared" ref="B49:AW49" si="50">(((((B43)+(B44))+(B45))+(B46))+(B47))+(B48)</f>
        <v>0</v>
      </c>
      <c r="C49" s="34">
        <f t="shared" si="50"/>
        <v>0</v>
      </c>
      <c r="D49" s="34">
        <f t="shared" si="50"/>
        <v>0</v>
      </c>
      <c r="E49" s="34">
        <f t="shared" si="50"/>
        <v>0</v>
      </c>
      <c r="F49" s="34">
        <f t="shared" si="50"/>
        <v>0</v>
      </c>
      <c r="G49" s="34">
        <f t="shared" si="50"/>
        <v>0</v>
      </c>
      <c r="H49" s="34">
        <f t="shared" si="50"/>
        <v>0</v>
      </c>
      <c r="I49" s="34">
        <f t="shared" si="50"/>
        <v>0</v>
      </c>
      <c r="J49" s="34">
        <f t="shared" si="50"/>
        <v>0</v>
      </c>
      <c r="K49" s="34">
        <f t="shared" si="50"/>
        <v>0</v>
      </c>
      <c r="L49" s="34">
        <f t="shared" si="50"/>
        <v>2587.2799999999997</v>
      </c>
      <c r="M49" s="34">
        <f t="shared" si="50"/>
        <v>2587.2799999999997</v>
      </c>
      <c r="N49" s="34">
        <f t="shared" si="50"/>
        <v>3880.9199999999996</v>
      </c>
      <c r="O49" s="34">
        <f t="shared" si="50"/>
        <v>3880.9199999999996</v>
      </c>
      <c r="P49" s="34">
        <f t="shared" si="50"/>
        <v>3880.9199999999996</v>
      </c>
      <c r="Q49" s="34">
        <f t="shared" si="50"/>
        <v>3880.9199999999996</v>
      </c>
      <c r="R49" s="34">
        <f t="shared" si="50"/>
        <v>3880.9199999999996</v>
      </c>
      <c r="S49" s="34">
        <f t="shared" si="50"/>
        <v>3395.9199999999996</v>
      </c>
      <c r="T49" s="34">
        <f t="shared" si="50"/>
        <v>3395.9199999999996</v>
      </c>
      <c r="U49" s="34">
        <f t="shared" si="50"/>
        <v>3395.9199999999996</v>
      </c>
      <c r="V49" s="34">
        <f t="shared" si="50"/>
        <v>3395.9199999999996</v>
      </c>
      <c r="W49" s="34">
        <f t="shared" si="50"/>
        <v>3395.9199999999996</v>
      </c>
      <c r="X49" s="34">
        <f t="shared" si="50"/>
        <v>3395.9199999999996</v>
      </c>
      <c r="Y49" s="34">
        <f t="shared" si="50"/>
        <v>3395.9199999999996</v>
      </c>
      <c r="Z49" s="34">
        <f t="shared" si="50"/>
        <v>3395.9199999999996</v>
      </c>
      <c r="AA49" s="34">
        <f t="shared" si="50"/>
        <v>3395.9199999999996</v>
      </c>
      <c r="AB49" s="34">
        <f t="shared" si="50"/>
        <v>3395.9199999999996</v>
      </c>
      <c r="AC49" s="34">
        <f t="shared" si="50"/>
        <v>8150.22</v>
      </c>
      <c r="AD49" s="34">
        <f t="shared" si="50"/>
        <v>13768.71</v>
      </c>
      <c r="AE49" s="34">
        <f t="shared" si="50"/>
        <v>19840.18</v>
      </c>
      <c r="AF49" s="34">
        <f t="shared" si="50"/>
        <v>23668.23</v>
      </c>
      <c r="AG49" s="34">
        <f t="shared" si="50"/>
        <v>28437.179999999997</v>
      </c>
      <c r="AH49" s="34">
        <f t="shared" si="50"/>
        <v>33808.85</v>
      </c>
      <c r="AI49" s="34">
        <f t="shared" si="50"/>
        <v>33808.85</v>
      </c>
      <c r="AJ49" s="34">
        <f t="shared" si="50"/>
        <v>33808.85</v>
      </c>
      <c r="AK49" s="34">
        <f t="shared" si="50"/>
        <v>33808.85</v>
      </c>
      <c r="AL49" s="34">
        <f t="shared" si="50"/>
        <v>33808.85</v>
      </c>
      <c r="AM49" s="34">
        <f t="shared" si="50"/>
        <v>33808.85</v>
      </c>
      <c r="AN49" s="34">
        <f t="shared" si="50"/>
        <v>33808.85</v>
      </c>
      <c r="AO49" s="34">
        <f t="shared" si="50"/>
        <v>33808.85</v>
      </c>
      <c r="AP49" s="34">
        <f t="shared" si="50"/>
        <v>33808.85</v>
      </c>
      <c r="AQ49" s="34">
        <f t="shared" si="50"/>
        <v>33808.85</v>
      </c>
      <c r="AR49" s="34">
        <f t="shared" si="50"/>
        <v>33808.85</v>
      </c>
      <c r="AS49" s="34">
        <f t="shared" si="50"/>
        <v>33808.85</v>
      </c>
      <c r="AT49" s="34">
        <f t="shared" si="50"/>
        <v>33808.85</v>
      </c>
      <c r="AU49" s="34">
        <f t="shared" si="50"/>
        <v>33808.85</v>
      </c>
      <c r="AV49" s="34">
        <f t="shared" si="50"/>
        <v>33808.85</v>
      </c>
      <c r="AW49" s="34">
        <f t="shared" si="50"/>
        <v>33808.85</v>
      </c>
    </row>
    <row r="50" spans="1:49" x14ac:dyDescent="0.2">
      <c r="A50" s="33" t="s">
        <v>283</v>
      </c>
      <c r="B50" s="32"/>
      <c r="C50" s="35">
        <f t="shared" ref="C50:AA50" si="51">B50</f>
        <v>0</v>
      </c>
      <c r="D50" s="35">
        <f t="shared" si="51"/>
        <v>0</v>
      </c>
      <c r="E50" s="35">
        <f t="shared" si="51"/>
        <v>0</v>
      </c>
      <c r="F50" s="35">
        <f t="shared" si="51"/>
        <v>0</v>
      </c>
      <c r="G50" s="35">
        <f t="shared" si="51"/>
        <v>0</v>
      </c>
      <c r="H50" s="35">
        <f t="shared" si="51"/>
        <v>0</v>
      </c>
      <c r="I50" s="35">
        <f t="shared" si="51"/>
        <v>0</v>
      </c>
      <c r="J50" s="35">
        <f t="shared" si="51"/>
        <v>0</v>
      </c>
      <c r="K50" s="35">
        <f t="shared" si="51"/>
        <v>0</v>
      </c>
      <c r="L50" s="35">
        <f t="shared" si="51"/>
        <v>0</v>
      </c>
      <c r="M50" s="35">
        <f t="shared" si="51"/>
        <v>0</v>
      </c>
      <c r="N50" s="35">
        <f t="shared" si="51"/>
        <v>0</v>
      </c>
      <c r="O50" s="35">
        <f t="shared" si="51"/>
        <v>0</v>
      </c>
      <c r="P50" s="35">
        <f t="shared" si="51"/>
        <v>0</v>
      </c>
      <c r="Q50" s="35">
        <f t="shared" si="51"/>
        <v>0</v>
      </c>
      <c r="R50" s="35">
        <f t="shared" si="51"/>
        <v>0</v>
      </c>
      <c r="S50" s="35">
        <f t="shared" si="51"/>
        <v>0</v>
      </c>
      <c r="T50" s="35">
        <f t="shared" si="51"/>
        <v>0</v>
      </c>
      <c r="U50" s="35">
        <f t="shared" si="51"/>
        <v>0</v>
      </c>
      <c r="V50" s="35">
        <f t="shared" si="51"/>
        <v>0</v>
      </c>
      <c r="W50" s="35">
        <f t="shared" si="51"/>
        <v>0</v>
      </c>
      <c r="X50" s="35">
        <f t="shared" si="51"/>
        <v>0</v>
      </c>
      <c r="Y50" s="35">
        <f t="shared" si="51"/>
        <v>0</v>
      </c>
      <c r="Z50" s="35">
        <f t="shared" si="51"/>
        <v>0</v>
      </c>
      <c r="AA50" s="35">
        <f t="shared" si="51"/>
        <v>0</v>
      </c>
      <c r="AB50" s="35">
        <f>200</f>
        <v>200</v>
      </c>
      <c r="AC50" s="35">
        <f>0</f>
        <v>0</v>
      </c>
      <c r="AD50" s="35">
        <f t="shared" ref="AD50:AW50" si="52">AC50</f>
        <v>0</v>
      </c>
      <c r="AE50" s="35">
        <f t="shared" si="52"/>
        <v>0</v>
      </c>
      <c r="AF50" s="35">
        <f t="shared" si="52"/>
        <v>0</v>
      </c>
      <c r="AG50" s="35">
        <f t="shared" si="52"/>
        <v>0</v>
      </c>
      <c r="AH50" s="35">
        <f t="shared" si="52"/>
        <v>0</v>
      </c>
      <c r="AI50" s="35">
        <f t="shared" si="52"/>
        <v>0</v>
      </c>
      <c r="AJ50" s="35">
        <f t="shared" si="52"/>
        <v>0</v>
      </c>
      <c r="AK50" s="35">
        <f t="shared" si="52"/>
        <v>0</v>
      </c>
      <c r="AL50" s="35">
        <f t="shared" si="52"/>
        <v>0</v>
      </c>
      <c r="AM50" s="35">
        <f t="shared" si="52"/>
        <v>0</v>
      </c>
      <c r="AN50" s="35">
        <f t="shared" si="52"/>
        <v>0</v>
      </c>
      <c r="AO50" s="35">
        <f t="shared" si="52"/>
        <v>0</v>
      </c>
      <c r="AP50" s="35">
        <f t="shared" si="52"/>
        <v>0</v>
      </c>
      <c r="AQ50" s="35">
        <f t="shared" si="52"/>
        <v>0</v>
      </c>
      <c r="AR50" s="35">
        <f t="shared" si="52"/>
        <v>0</v>
      </c>
      <c r="AS50" s="35">
        <f t="shared" si="52"/>
        <v>0</v>
      </c>
      <c r="AT50" s="35">
        <f t="shared" si="52"/>
        <v>0</v>
      </c>
      <c r="AU50" s="35">
        <f t="shared" si="52"/>
        <v>0</v>
      </c>
      <c r="AV50" s="35">
        <f t="shared" si="52"/>
        <v>0</v>
      </c>
      <c r="AW50" s="35">
        <f t="shared" si="52"/>
        <v>0</v>
      </c>
    </row>
    <row r="51" spans="1:49" x14ac:dyDescent="0.2">
      <c r="A51" s="33" t="s">
        <v>282</v>
      </c>
      <c r="B51" s="32"/>
      <c r="C51" s="35">
        <f t="shared" ref="C51:K51" si="53">B51</f>
        <v>0</v>
      </c>
      <c r="D51" s="35">
        <f t="shared" si="53"/>
        <v>0</v>
      </c>
      <c r="E51" s="35">
        <f t="shared" si="53"/>
        <v>0</v>
      </c>
      <c r="F51" s="35">
        <f t="shared" si="53"/>
        <v>0</v>
      </c>
      <c r="G51" s="35">
        <f t="shared" si="53"/>
        <v>0</v>
      </c>
      <c r="H51" s="35">
        <f t="shared" si="53"/>
        <v>0</v>
      </c>
      <c r="I51" s="35">
        <f t="shared" si="53"/>
        <v>0</v>
      </c>
      <c r="J51" s="35">
        <f t="shared" si="53"/>
        <v>0</v>
      </c>
      <c r="K51" s="35">
        <f t="shared" si="53"/>
        <v>0</v>
      </c>
      <c r="L51" s="35">
        <f>0</f>
        <v>0</v>
      </c>
      <c r="M51" s="35">
        <f>L51</f>
        <v>0</v>
      </c>
      <c r="N51" s="35">
        <f>0</f>
        <v>0</v>
      </c>
      <c r="O51" s="35">
        <f t="shared" ref="O51:AB51" si="54">N51</f>
        <v>0</v>
      </c>
      <c r="P51" s="35">
        <f t="shared" si="54"/>
        <v>0</v>
      </c>
      <c r="Q51" s="35">
        <f t="shared" si="54"/>
        <v>0</v>
      </c>
      <c r="R51" s="35">
        <f t="shared" si="54"/>
        <v>0</v>
      </c>
      <c r="S51" s="35">
        <f t="shared" si="54"/>
        <v>0</v>
      </c>
      <c r="T51" s="35">
        <f t="shared" si="54"/>
        <v>0</v>
      </c>
      <c r="U51" s="35">
        <f t="shared" si="54"/>
        <v>0</v>
      </c>
      <c r="V51" s="35">
        <f t="shared" si="54"/>
        <v>0</v>
      </c>
      <c r="W51" s="35">
        <f t="shared" si="54"/>
        <v>0</v>
      </c>
      <c r="X51" s="35">
        <f t="shared" si="54"/>
        <v>0</v>
      </c>
      <c r="Y51" s="35">
        <f t="shared" si="54"/>
        <v>0</v>
      </c>
      <c r="Z51" s="35">
        <f t="shared" si="54"/>
        <v>0</v>
      </c>
      <c r="AA51" s="35">
        <f t="shared" si="54"/>
        <v>0</v>
      </c>
      <c r="AB51" s="35">
        <f t="shared" si="54"/>
        <v>0</v>
      </c>
      <c r="AC51" s="35">
        <f>0</f>
        <v>0</v>
      </c>
      <c r="AD51" s="35">
        <f>0</f>
        <v>0</v>
      </c>
      <c r="AE51" s="35">
        <f>0</f>
        <v>0</v>
      </c>
      <c r="AF51" s="35">
        <f>0</f>
        <v>0</v>
      </c>
      <c r="AG51" s="35">
        <f>0</f>
        <v>0</v>
      </c>
      <c r="AH51" s="35">
        <f>0</f>
        <v>0</v>
      </c>
      <c r="AI51" s="35">
        <f t="shared" ref="AI51:AW51" si="55">AH51</f>
        <v>0</v>
      </c>
      <c r="AJ51" s="35">
        <f t="shared" si="55"/>
        <v>0</v>
      </c>
      <c r="AK51" s="35">
        <f t="shared" si="55"/>
        <v>0</v>
      </c>
      <c r="AL51" s="35">
        <f t="shared" si="55"/>
        <v>0</v>
      </c>
      <c r="AM51" s="35">
        <f t="shared" si="55"/>
        <v>0</v>
      </c>
      <c r="AN51" s="35">
        <f t="shared" si="55"/>
        <v>0</v>
      </c>
      <c r="AO51" s="35">
        <f t="shared" si="55"/>
        <v>0</v>
      </c>
      <c r="AP51" s="35">
        <f t="shared" si="55"/>
        <v>0</v>
      </c>
      <c r="AQ51" s="35">
        <f t="shared" si="55"/>
        <v>0</v>
      </c>
      <c r="AR51" s="35">
        <f t="shared" si="55"/>
        <v>0</v>
      </c>
      <c r="AS51" s="35">
        <f t="shared" si="55"/>
        <v>0</v>
      </c>
      <c r="AT51" s="35">
        <f t="shared" si="55"/>
        <v>0</v>
      </c>
      <c r="AU51" s="35">
        <f t="shared" si="55"/>
        <v>0</v>
      </c>
      <c r="AV51" s="35">
        <f t="shared" si="55"/>
        <v>0</v>
      </c>
      <c r="AW51" s="35">
        <f t="shared" si="55"/>
        <v>0</v>
      </c>
    </row>
    <row r="52" spans="1:49" x14ac:dyDescent="0.2">
      <c r="A52" s="33" t="s">
        <v>281</v>
      </c>
      <c r="B52" s="32"/>
      <c r="C52" s="35">
        <f t="shared" ref="C52:K52" si="56">B52</f>
        <v>0</v>
      </c>
      <c r="D52" s="35">
        <f t="shared" si="56"/>
        <v>0</v>
      </c>
      <c r="E52" s="35">
        <f t="shared" si="56"/>
        <v>0</v>
      </c>
      <c r="F52" s="35">
        <f t="shared" si="56"/>
        <v>0</v>
      </c>
      <c r="G52" s="35">
        <f t="shared" si="56"/>
        <v>0</v>
      </c>
      <c r="H52" s="35">
        <f t="shared" si="56"/>
        <v>0</v>
      </c>
      <c r="I52" s="35">
        <f t="shared" si="56"/>
        <v>0</v>
      </c>
      <c r="J52" s="35">
        <f t="shared" si="56"/>
        <v>0</v>
      </c>
      <c r="K52" s="35">
        <f t="shared" si="56"/>
        <v>0</v>
      </c>
      <c r="L52" s="35">
        <f>K52</f>
        <v>0</v>
      </c>
      <c r="M52" s="35">
        <f>L52</f>
        <v>0</v>
      </c>
      <c r="N52" s="35">
        <f>M52</f>
        <v>0</v>
      </c>
      <c r="O52" s="35">
        <f>N52</f>
        <v>0</v>
      </c>
      <c r="P52" s="35">
        <f>0</f>
        <v>0</v>
      </c>
      <c r="Q52" s="35">
        <f>0</f>
        <v>0</v>
      </c>
      <c r="R52" s="35">
        <f>0</f>
        <v>0</v>
      </c>
      <c r="S52" s="35">
        <f>0</f>
        <v>0</v>
      </c>
      <c r="T52" s="35">
        <f>S52</f>
        <v>0</v>
      </c>
      <c r="U52" s="35">
        <f>0</f>
        <v>0</v>
      </c>
      <c r="V52" s="35">
        <f>0</f>
        <v>0</v>
      </c>
      <c r="W52" s="35">
        <f>0</f>
        <v>0</v>
      </c>
      <c r="X52" s="35">
        <f>0</f>
        <v>0</v>
      </c>
      <c r="Y52" s="35">
        <f>0</f>
        <v>0</v>
      </c>
      <c r="Z52" s="35">
        <f>0</f>
        <v>0</v>
      </c>
      <c r="AA52" s="35">
        <f>0</f>
        <v>0</v>
      </c>
      <c r="AB52" s="35">
        <f>0</f>
        <v>0</v>
      </c>
      <c r="AC52" s="35">
        <f>0</f>
        <v>0</v>
      </c>
      <c r="AD52" s="35">
        <f>0</f>
        <v>0</v>
      </c>
      <c r="AE52" s="35">
        <f>0</f>
        <v>0</v>
      </c>
      <c r="AF52" s="35">
        <f>467.1</f>
        <v>467.1</v>
      </c>
      <c r="AG52" s="35">
        <f>467.1</f>
        <v>467.1</v>
      </c>
      <c r="AH52" s="35">
        <f>477.98</f>
        <v>477.98</v>
      </c>
      <c r="AI52" s="35">
        <f>477.98</f>
        <v>477.98</v>
      </c>
      <c r="AJ52" s="35">
        <f>477.98</f>
        <v>477.98</v>
      </c>
      <c r="AK52" s="35">
        <f t="shared" ref="AK52:AP52" si="57">499.43</f>
        <v>499.43</v>
      </c>
      <c r="AL52" s="35">
        <f t="shared" si="57"/>
        <v>499.43</v>
      </c>
      <c r="AM52" s="35">
        <f t="shared" si="57"/>
        <v>499.43</v>
      </c>
      <c r="AN52" s="35">
        <f t="shared" si="57"/>
        <v>499.43</v>
      </c>
      <c r="AO52" s="35">
        <f t="shared" si="57"/>
        <v>499.43</v>
      </c>
      <c r="AP52" s="35">
        <f t="shared" si="57"/>
        <v>499.43</v>
      </c>
      <c r="AQ52" s="35">
        <f>577.37</f>
        <v>577.37</v>
      </c>
      <c r="AR52" s="35">
        <f>577.37</f>
        <v>577.37</v>
      </c>
      <c r="AS52" s="35">
        <f>577.37</f>
        <v>577.37</v>
      </c>
      <c r="AT52" s="35">
        <f>577.37</f>
        <v>577.37</v>
      </c>
      <c r="AU52" s="35">
        <f>AT52</f>
        <v>577.37</v>
      </c>
      <c r="AV52" s="35">
        <f>AU52</f>
        <v>577.37</v>
      </c>
      <c r="AW52" s="35">
        <f>AV52</f>
        <v>577.37</v>
      </c>
    </row>
    <row r="53" spans="1:49" x14ac:dyDescent="0.2">
      <c r="A53" s="33" t="s">
        <v>280</v>
      </c>
      <c r="B53" s="34">
        <f t="shared" ref="B53:AW53" si="58">(((B49)+(B50))+(B51))+(B52)</f>
        <v>0</v>
      </c>
      <c r="C53" s="34">
        <f t="shared" si="58"/>
        <v>0</v>
      </c>
      <c r="D53" s="34">
        <f t="shared" si="58"/>
        <v>0</v>
      </c>
      <c r="E53" s="34">
        <f t="shared" si="58"/>
        <v>0</v>
      </c>
      <c r="F53" s="34">
        <f t="shared" si="58"/>
        <v>0</v>
      </c>
      <c r="G53" s="34">
        <f t="shared" si="58"/>
        <v>0</v>
      </c>
      <c r="H53" s="34">
        <f t="shared" si="58"/>
        <v>0</v>
      </c>
      <c r="I53" s="34">
        <f t="shared" si="58"/>
        <v>0</v>
      </c>
      <c r="J53" s="34">
        <f t="shared" si="58"/>
        <v>0</v>
      </c>
      <c r="K53" s="34">
        <f t="shared" si="58"/>
        <v>0</v>
      </c>
      <c r="L53" s="34">
        <f t="shared" si="58"/>
        <v>2587.2799999999997</v>
      </c>
      <c r="M53" s="34">
        <f t="shared" si="58"/>
        <v>2587.2799999999997</v>
      </c>
      <c r="N53" s="34">
        <f t="shared" si="58"/>
        <v>3880.9199999999996</v>
      </c>
      <c r="O53" s="34">
        <f t="shared" si="58"/>
        <v>3880.9199999999996</v>
      </c>
      <c r="P53" s="34">
        <f t="shared" si="58"/>
        <v>3880.9199999999996</v>
      </c>
      <c r="Q53" s="34">
        <f t="shared" si="58"/>
        <v>3880.9199999999996</v>
      </c>
      <c r="R53" s="34">
        <f t="shared" si="58"/>
        <v>3880.9199999999996</v>
      </c>
      <c r="S53" s="34">
        <f t="shared" si="58"/>
        <v>3395.9199999999996</v>
      </c>
      <c r="T53" s="34">
        <f t="shared" si="58"/>
        <v>3395.9199999999996</v>
      </c>
      <c r="U53" s="34">
        <f t="shared" si="58"/>
        <v>3395.9199999999996</v>
      </c>
      <c r="V53" s="34">
        <f t="shared" si="58"/>
        <v>3395.9199999999996</v>
      </c>
      <c r="W53" s="34">
        <f t="shared" si="58"/>
        <v>3395.9199999999996</v>
      </c>
      <c r="X53" s="34">
        <f t="shared" si="58"/>
        <v>3395.9199999999996</v>
      </c>
      <c r="Y53" s="34">
        <f t="shared" si="58"/>
        <v>3395.9199999999996</v>
      </c>
      <c r="Z53" s="34">
        <f t="shared" si="58"/>
        <v>3395.9199999999996</v>
      </c>
      <c r="AA53" s="34">
        <f t="shared" si="58"/>
        <v>3395.9199999999996</v>
      </c>
      <c r="AB53" s="34">
        <f t="shared" si="58"/>
        <v>3595.9199999999996</v>
      </c>
      <c r="AC53" s="34">
        <f t="shared" si="58"/>
        <v>8150.22</v>
      </c>
      <c r="AD53" s="34">
        <f t="shared" si="58"/>
        <v>13768.71</v>
      </c>
      <c r="AE53" s="34">
        <f t="shared" si="58"/>
        <v>19840.18</v>
      </c>
      <c r="AF53" s="34">
        <f t="shared" si="58"/>
        <v>24135.329999999998</v>
      </c>
      <c r="AG53" s="34">
        <f t="shared" si="58"/>
        <v>28904.279999999995</v>
      </c>
      <c r="AH53" s="34">
        <f t="shared" si="58"/>
        <v>34286.83</v>
      </c>
      <c r="AI53" s="34">
        <f t="shared" si="58"/>
        <v>34286.83</v>
      </c>
      <c r="AJ53" s="34">
        <f t="shared" si="58"/>
        <v>34286.83</v>
      </c>
      <c r="AK53" s="34">
        <f t="shared" si="58"/>
        <v>34308.28</v>
      </c>
      <c r="AL53" s="34">
        <f t="shared" si="58"/>
        <v>34308.28</v>
      </c>
      <c r="AM53" s="34">
        <f t="shared" si="58"/>
        <v>34308.28</v>
      </c>
      <c r="AN53" s="34">
        <f t="shared" si="58"/>
        <v>34308.28</v>
      </c>
      <c r="AO53" s="34">
        <f t="shared" si="58"/>
        <v>34308.28</v>
      </c>
      <c r="AP53" s="34">
        <f t="shared" si="58"/>
        <v>34308.28</v>
      </c>
      <c r="AQ53" s="34">
        <f t="shared" si="58"/>
        <v>34386.22</v>
      </c>
      <c r="AR53" s="34">
        <f t="shared" si="58"/>
        <v>34386.22</v>
      </c>
      <c r="AS53" s="34">
        <f t="shared" si="58"/>
        <v>34386.22</v>
      </c>
      <c r="AT53" s="34">
        <f t="shared" si="58"/>
        <v>34386.22</v>
      </c>
      <c r="AU53" s="34">
        <f t="shared" si="58"/>
        <v>34386.22</v>
      </c>
      <c r="AV53" s="34">
        <f t="shared" si="58"/>
        <v>34386.22</v>
      </c>
      <c r="AW53" s="34">
        <f t="shared" si="58"/>
        <v>34386.22</v>
      </c>
    </row>
    <row r="54" spans="1:49" x14ac:dyDescent="0.2">
      <c r="A54" s="33" t="s">
        <v>279</v>
      </c>
      <c r="B54" s="34">
        <f t="shared" ref="B54:AW54" si="59">(B41)+(B53)</f>
        <v>0</v>
      </c>
      <c r="C54" s="34">
        <f t="shared" si="59"/>
        <v>0</v>
      </c>
      <c r="D54" s="34">
        <f t="shared" si="59"/>
        <v>0</v>
      </c>
      <c r="E54" s="34">
        <f t="shared" si="59"/>
        <v>0</v>
      </c>
      <c r="F54" s="34">
        <f t="shared" si="59"/>
        <v>0</v>
      </c>
      <c r="G54" s="34">
        <f t="shared" si="59"/>
        <v>0</v>
      </c>
      <c r="H54" s="34">
        <f t="shared" si="59"/>
        <v>0</v>
      </c>
      <c r="I54" s="34">
        <f t="shared" si="59"/>
        <v>0</v>
      </c>
      <c r="J54" s="34">
        <f t="shared" si="59"/>
        <v>0</v>
      </c>
      <c r="K54" s="34">
        <f t="shared" si="59"/>
        <v>0</v>
      </c>
      <c r="L54" s="34">
        <f t="shared" si="59"/>
        <v>2587.2799999999997</v>
      </c>
      <c r="M54" s="34">
        <f t="shared" si="59"/>
        <v>2587.2799999999997</v>
      </c>
      <c r="N54" s="34">
        <f t="shared" si="59"/>
        <v>3880.9199999999996</v>
      </c>
      <c r="O54" s="34">
        <f t="shared" si="59"/>
        <v>3880.9199999999996</v>
      </c>
      <c r="P54" s="34">
        <f t="shared" si="59"/>
        <v>3880.9199999999996</v>
      </c>
      <c r="Q54" s="34">
        <f t="shared" si="59"/>
        <v>3880.9199999999996</v>
      </c>
      <c r="R54" s="34">
        <f t="shared" si="59"/>
        <v>3880.9199999999996</v>
      </c>
      <c r="S54" s="34">
        <f t="shared" si="59"/>
        <v>3395.9199999999996</v>
      </c>
      <c r="T54" s="34">
        <f t="shared" si="59"/>
        <v>3395.9199999999996</v>
      </c>
      <c r="U54" s="34">
        <f t="shared" si="59"/>
        <v>3395.9199999999996</v>
      </c>
      <c r="V54" s="34">
        <f t="shared" si="59"/>
        <v>3395.9199999999996</v>
      </c>
      <c r="W54" s="34">
        <f t="shared" si="59"/>
        <v>3395.9199999999996</v>
      </c>
      <c r="X54" s="34">
        <f t="shared" si="59"/>
        <v>3395.9199999999996</v>
      </c>
      <c r="Y54" s="34">
        <f t="shared" si="59"/>
        <v>3395.9199999999996</v>
      </c>
      <c r="Z54" s="34">
        <f t="shared" si="59"/>
        <v>3395.9199999999996</v>
      </c>
      <c r="AA54" s="34">
        <f t="shared" si="59"/>
        <v>3395.9199999999996</v>
      </c>
      <c r="AB54" s="34">
        <f t="shared" si="59"/>
        <v>3595.9199999999996</v>
      </c>
      <c r="AC54" s="34">
        <f t="shared" si="59"/>
        <v>9345.32</v>
      </c>
      <c r="AD54" s="34">
        <f t="shared" si="59"/>
        <v>18613.64</v>
      </c>
      <c r="AE54" s="34">
        <f t="shared" si="59"/>
        <v>23232.31</v>
      </c>
      <c r="AF54" s="34">
        <f t="shared" si="59"/>
        <v>24374.629999999997</v>
      </c>
      <c r="AG54" s="34">
        <f t="shared" si="59"/>
        <v>41592.649999999994</v>
      </c>
      <c r="AH54" s="34">
        <f t="shared" si="59"/>
        <v>48331.94</v>
      </c>
      <c r="AI54" s="34">
        <f t="shared" si="59"/>
        <v>66969.61</v>
      </c>
      <c r="AJ54" s="34">
        <f t="shared" si="59"/>
        <v>52338.55</v>
      </c>
      <c r="AK54" s="34">
        <f t="shared" si="59"/>
        <v>39677.629999999997</v>
      </c>
      <c r="AL54" s="34">
        <f t="shared" si="59"/>
        <v>52705.68</v>
      </c>
      <c r="AM54" s="34">
        <f t="shared" si="59"/>
        <v>37826.89</v>
      </c>
      <c r="AN54" s="34">
        <f t="shared" si="59"/>
        <v>40245.33</v>
      </c>
      <c r="AO54" s="34">
        <f t="shared" si="59"/>
        <v>59025.259999999995</v>
      </c>
      <c r="AP54" s="34">
        <f t="shared" si="59"/>
        <v>88616.87</v>
      </c>
      <c r="AQ54" s="34">
        <f t="shared" si="59"/>
        <v>55357.279999999999</v>
      </c>
      <c r="AR54" s="34">
        <f t="shared" si="59"/>
        <v>107793.71</v>
      </c>
      <c r="AS54" s="34">
        <f t="shared" si="59"/>
        <v>75417.570000000007</v>
      </c>
      <c r="AT54" s="34">
        <f t="shared" si="59"/>
        <v>75417.570000000007</v>
      </c>
      <c r="AU54" s="34">
        <f t="shared" si="59"/>
        <v>75417.570000000007</v>
      </c>
      <c r="AV54" s="34">
        <f t="shared" si="59"/>
        <v>75417.570000000007</v>
      </c>
      <c r="AW54" s="34">
        <f t="shared" si="59"/>
        <v>75417.570000000007</v>
      </c>
    </row>
    <row r="55" spans="1:49" x14ac:dyDescent="0.2">
      <c r="A55" s="33" t="s">
        <v>278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</row>
    <row r="56" spans="1:49" x14ac:dyDescent="0.2">
      <c r="A56" s="33" t="s">
        <v>277</v>
      </c>
      <c r="B56" s="32"/>
      <c r="C56" s="35">
        <f t="shared" ref="C56:AW56" si="60">B56</f>
        <v>0</v>
      </c>
      <c r="D56" s="35">
        <f t="shared" si="60"/>
        <v>0</v>
      </c>
      <c r="E56" s="35">
        <f t="shared" si="60"/>
        <v>0</v>
      </c>
      <c r="F56" s="35">
        <f t="shared" si="60"/>
        <v>0</v>
      </c>
      <c r="G56" s="35">
        <f t="shared" si="60"/>
        <v>0</v>
      </c>
      <c r="H56" s="35">
        <f t="shared" si="60"/>
        <v>0</v>
      </c>
      <c r="I56" s="35">
        <f t="shared" si="60"/>
        <v>0</v>
      </c>
      <c r="J56" s="35">
        <f t="shared" si="60"/>
        <v>0</v>
      </c>
      <c r="K56" s="35">
        <f t="shared" si="60"/>
        <v>0</v>
      </c>
      <c r="L56" s="35">
        <f t="shared" si="60"/>
        <v>0</v>
      </c>
      <c r="M56" s="35">
        <f t="shared" si="60"/>
        <v>0</v>
      </c>
      <c r="N56" s="35">
        <f t="shared" si="60"/>
        <v>0</v>
      </c>
      <c r="O56" s="35">
        <f t="shared" si="60"/>
        <v>0</v>
      </c>
      <c r="P56" s="35">
        <f t="shared" si="60"/>
        <v>0</v>
      </c>
      <c r="Q56" s="35">
        <f t="shared" si="60"/>
        <v>0</v>
      </c>
      <c r="R56" s="35">
        <f t="shared" si="60"/>
        <v>0</v>
      </c>
      <c r="S56" s="35">
        <f t="shared" si="60"/>
        <v>0</v>
      </c>
      <c r="T56" s="35">
        <f t="shared" si="60"/>
        <v>0</v>
      </c>
      <c r="U56" s="35">
        <f t="shared" si="60"/>
        <v>0</v>
      </c>
      <c r="V56" s="35">
        <f t="shared" si="60"/>
        <v>0</v>
      </c>
      <c r="W56" s="35">
        <f t="shared" si="60"/>
        <v>0</v>
      </c>
      <c r="X56" s="35">
        <f t="shared" si="60"/>
        <v>0</v>
      </c>
      <c r="Y56" s="35">
        <f t="shared" si="60"/>
        <v>0</v>
      </c>
      <c r="Z56" s="35">
        <f t="shared" si="60"/>
        <v>0</v>
      </c>
      <c r="AA56" s="35">
        <f t="shared" si="60"/>
        <v>0</v>
      </c>
      <c r="AB56" s="35">
        <f t="shared" si="60"/>
        <v>0</v>
      </c>
      <c r="AC56" s="35">
        <f t="shared" si="60"/>
        <v>0</v>
      </c>
      <c r="AD56" s="35">
        <f t="shared" si="60"/>
        <v>0</v>
      </c>
      <c r="AE56" s="35">
        <f t="shared" si="60"/>
        <v>0</v>
      </c>
      <c r="AF56" s="35">
        <f t="shared" si="60"/>
        <v>0</v>
      </c>
      <c r="AG56" s="35">
        <f t="shared" si="60"/>
        <v>0</v>
      </c>
      <c r="AH56" s="35">
        <f t="shared" si="60"/>
        <v>0</v>
      </c>
      <c r="AI56" s="35">
        <f t="shared" si="60"/>
        <v>0</v>
      </c>
      <c r="AJ56" s="35">
        <f t="shared" si="60"/>
        <v>0</v>
      </c>
      <c r="AK56" s="35">
        <f t="shared" si="60"/>
        <v>0</v>
      </c>
      <c r="AL56" s="35">
        <f t="shared" si="60"/>
        <v>0</v>
      </c>
      <c r="AM56" s="35">
        <f t="shared" si="60"/>
        <v>0</v>
      </c>
      <c r="AN56" s="35">
        <f t="shared" si="60"/>
        <v>0</v>
      </c>
      <c r="AO56" s="35">
        <f t="shared" si="60"/>
        <v>0</v>
      </c>
      <c r="AP56" s="35">
        <f t="shared" si="60"/>
        <v>0</v>
      </c>
      <c r="AQ56" s="35">
        <f t="shared" si="60"/>
        <v>0</v>
      </c>
      <c r="AR56" s="35">
        <f t="shared" si="60"/>
        <v>0</v>
      </c>
      <c r="AS56" s="35">
        <f t="shared" si="60"/>
        <v>0</v>
      </c>
      <c r="AT56" s="35">
        <f t="shared" si="60"/>
        <v>0</v>
      </c>
      <c r="AU56" s="35">
        <f t="shared" si="60"/>
        <v>0</v>
      </c>
      <c r="AV56" s="35">
        <f t="shared" si="60"/>
        <v>0</v>
      </c>
      <c r="AW56" s="35">
        <f t="shared" si="60"/>
        <v>0</v>
      </c>
    </row>
    <row r="57" spans="1:49" x14ac:dyDescent="0.2">
      <c r="A57" s="33" t="s">
        <v>276</v>
      </c>
      <c r="B57" s="32"/>
      <c r="C57" s="35">
        <f t="shared" ref="C57:AA57" si="61">B57</f>
        <v>0</v>
      </c>
      <c r="D57" s="35">
        <f t="shared" si="61"/>
        <v>0</v>
      </c>
      <c r="E57" s="35">
        <f t="shared" si="61"/>
        <v>0</v>
      </c>
      <c r="F57" s="35">
        <f t="shared" si="61"/>
        <v>0</v>
      </c>
      <c r="G57" s="35">
        <f t="shared" si="61"/>
        <v>0</v>
      </c>
      <c r="H57" s="35">
        <f t="shared" si="61"/>
        <v>0</v>
      </c>
      <c r="I57" s="35">
        <f t="shared" si="61"/>
        <v>0</v>
      </c>
      <c r="J57" s="35">
        <f t="shared" si="61"/>
        <v>0</v>
      </c>
      <c r="K57" s="35">
        <f t="shared" si="61"/>
        <v>0</v>
      </c>
      <c r="L57" s="35">
        <f t="shared" si="61"/>
        <v>0</v>
      </c>
      <c r="M57" s="35">
        <f t="shared" si="61"/>
        <v>0</v>
      </c>
      <c r="N57" s="35">
        <f t="shared" si="61"/>
        <v>0</v>
      </c>
      <c r="O57" s="35">
        <f t="shared" si="61"/>
        <v>0</v>
      </c>
      <c r="P57" s="35">
        <f t="shared" si="61"/>
        <v>0</v>
      </c>
      <c r="Q57" s="35">
        <f t="shared" si="61"/>
        <v>0</v>
      </c>
      <c r="R57" s="35">
        <f t="shared" si="61"/>
        <v>0</v>
      </c>
      <c r="S57" s="35">
        <f t="shared" si="61"/>
        <v>0</v>
      </c>
      <c r="T57" s="35">
        <f t="shared" si="61"/>
        <v>0</v>
      </c>
      <c r="U57" s="35">
        <f t="shared" si="61"/>
        <v>0</v>
      </c>
      <c r="V57" s="35">
        <f t="shared" si="61"/>
        <v>0</v>
      </c>
      <c r="W57" s="35">
        <f t="shared" si="61"/>
        <v>0</v>
      </c>
      <c r="X57" s="35">
        <f t="shared" si="61"/>
        <v>0</v>
      </c>
      <c r="Y57" s="35">
        <f t="shared" si="61"/>
        <v>0</v>
      </c>
      <c r="Z57" s="35">
        <f t="shared" si="61"/>
        <v>0</v>
      </c>
      <c r="AA57" s="35">
        <f t="shared" si="61"/>
        <v>0</v>
      </c>
      <c r="AB57" s="35">
        <f>72250.89</f>
        <v>72250.89</v>
      </c>
      <c r="AC57" s="35">
        <f>71166.55</f>
        <v>71166.55</v>
      </c>
      <c r="AD57" s="35">
        <f>70082.21</f>
        <v>70082.210000000006</v>
      </c>
      <c r="AE57" s="35">
        <f>68997.87</f>
        <v>68997.87</v>
      </c>
      <c r="AF57" s="35">
        <f>67913.53</f>
        <v>67913.53</v>
      </c>
      <c r="AG57" s="35">
        <f>66829.19</f>
        <v>66829.19</v>
      </c>
      <c r="AH57" s="35">
        <f>65744.85</f>
        <v>65744.850000000006</v>
      </c>
      <c r="AI57" s="35">
        <f>64660.51</f>
        <v>64660.51</v>
      </c>
      <c r="AJ57" s="35">
        <f>63576.17</f>
        <v>63576.17</v>
      </c>
      <c r="AK57" s="35">
        <f>62491.83</f>
        <v>62491.83</v>
      </c>
      <c r="AL57" s="35">
        <f>61407.49</f>
        <v>61407.49</v>
      </c>
      <c r="AM57" s="35">
        <f>60323.15</f>
        <v>60323.15</v>
      </c>
      <c r="AN57" s="35">
        <f>59238.81</f>
        <v>59238.81</v>
      </c>
      <c r="AO57" s="35">
        <f>58154.47</f>
        <v>58154.47</v>
      </c>
      <c r="AP57" s="35">
        <f>57070.13</f>
        <v>57070.13</v>
      </c>
      <c r="AQ57" s="35">
        <f>55985.79</f>
        <v>55985.79</v>
      </c>
      <c r="AR57" s="35">
        <f>54901.45</f>
        <v>54901.45</v>
      </c>
      <c r="AS57" s="35">
        <f>AR57</f>
        <v>54901.45</v>
      </c>
      <c r="AT57" s="35">
        <f>AS57</f>
        <v>54901.45</v>
      </c>
      <c r="AU57" s="35">
        <f>AT57</f>
        <v>54901.45</v>
      </c>
      <c r="AV57" s="35">
        <f>AU57</f>
        <v>54901.45</v>
      </c>
      <c r="AW57" s="35">
        <f>AV57</f>
        <v>54901.45</v>
      </c>
    </row>
    <row r="58" spans="1:49" x14ac:dyDescent="0.2">
      <c r="A58" s="33" t="s">
        <v>275</v>
      </c>
      <c r="B58" s="34">
        <f t="shared" ref="B58:AW58" si="62">(B56)+(B57)</f>
        <v>0</v>
      </c>
      <c r="C58" s="34">
        <f t="shared" si="62"/>
        <v>0</v>
      </c>
      <c r="D58" s="34">
        <f t="shared" si="62"/>
        <v>0</v>
      </c>
      <c r="E58" s="34">
        <f t="shared" si="62"/>
        <v>0</v>
      </c>
      <c r="F58" s="34">
        <f t="shared" si="62"/>
        <v>0</v>
      </c>
      <c r="G58" s="34">
        <f t="shared" si="62"/>
        <v>0</v>
      </c>
      <c r="H58" s="34">
        <f t="shared" si="62"/>
        <v>0</v>
      </c>
      <c r="I58" s="34">
        <f t="shared" si="62"/>
        <v>0</v>
      </c>
      <c r="J58" s="34">
        <f t="shared" si="62"/>
        <v>0</v>
      </c>
      <c r="K58" s="34">
        <f t="shared" si="62"/>
        <v>0</v>
      </c>
      <c r="L58" s="34">
        <f t="shared" si="62"/>
        <v>0</v>
      </c>
      <c r="M58" s="34">
        <f t="shared" si="62"/>
        <v>0</v>
      </c>
      <c r="N58" s="34">
        <f t="shared" si="62"/>
        <v>0</v>
      </c>
      <c r="O58" s="34">
        <f t="shared" si="62"/>
        <v>0</v>
      </c>
      <c r="P58" s="34">
        <f t="shared" si="62"/>
        <v>0</v>
      </c>
      <c r="Q58" s="34">
        <f t="shared" si="62"/>
        <v>0</v>
      </c>
      <c r="R58" s="34">
        <f t="shared" si="62"/>
        <v>0</v>
      </c>
      <c r="S58" s="34">
        <f t="shared" si="62"/>
        <v>0</v>
      </c>
      <c r="T58" s="34">
        <f t="shared" si="62"/>
        <v>0</v>
      </c>
      <c r="U58" s="34">
        <f t="shared" si="62"/>
        <v>0</v>
      </c>
      <c r="V58" s="34">
        <f t="shared" si="62"/>
        <v>0</v>
      </c>
      <c r="W58" s="34">
        <f t="shared" si="62"/>
        <v>0</v>
      </c>
      <c r="X58" s="34">
        <f t="shared" si="62"/>
        <v>0</v>
      </c>
      <c r="Y58" s="34">
        <f t="shared" si="62"/>
        <v>0</v>
      </c>
      <c r="Z58" s="34">
        <f t="shared" si="62"/>
        <v>0</v>
      </c>
      <c r="AA58" s="34">
        <f t="shared" si="62"/>
        <v>0</v>
      </c>
      <c r="AB58" s="34">
        <f t="shared" si="62"/>
        <v>72250.89</v>
      </c>
      <c r="AC58" s="34">
        <f t="shared" si="62"/>
        <v>71166.55</v>
      </c>
      <c r="AD58" s="34">
        <f t="shared" si="62"/>
        <v>70082.210000000006</v>
      </c>
      <c r="AE58" s="34">
        <f t="shared" si="62"/>
        <v>68997.87</v>
      </c>
      <c r="AF58" s="34">
        <f t="shared" si="62"/>
        <v>67913.53</v>
      </c>
      <c r="AG58" s="34">
        <f t="shared" si="62"/>
        <v>66829.19</v>
      </c>
      <c r="AH58" s="34">
        <f t="shared" si="62"/>
        <v>65744.850000000006</v>
      </c>
      <c r="AI58" s="34">
        <f t="shared" si="62"/>
        <v>64660.51</v>
      </c>
      <c r="AJ58" s="34">
        <f t="shared" si="62"/>
        <v>63576.17</v>
      </c>
      <c r="AK58" s="34">
        <f t="shared" si="62"/>
        <v>62491.83</v>
      </c>
      <c r="AL58" s="34">
        <f t="shared" si="62"/>
        <v>61407.49</v>
      </c>
      <c r="AM58" s="34">
        <f t="shared" si="62"/>
        <v>60323.15</v>
      </c>
      <c r="AN58" s="34">
        <f t="shared" si="62"/>
        <v>59238.81</v>
      </c>
      <c r="AO58" s="34">
        <f t="shared" si="62"/>
        <v>58154.47</v>
      </c>
      <c r="AP58" s="34">
        <f t="shared" si="62"/>
        <v>57070.13</v>
      </c>
      <c r="AQ58" s="34">
        <f t="shared" si="62"/>
        <v>55985.79</v>
      </c>
      <c r="AR58" s="34">
        <f t="shared" si="62"/>
        <v>54901.45</v>
      </c>
      <c r="AS58" s="34">
        <f t="shared" si="62"/>
        <v>54901.45</v>
      </c>
      <c r="AT58" s="34">
        <f t="shared" si="62"/>
        <v>54901.45</v>
      </c>
      <c r="AU58" s="34">
        <f t="shared" si="62"/>
        <v>54901.45</v>
      </c>
      <c r="AV58" s="34">
        <f t="shared" si="62"/>
        <v>54901.45</v>
      </c>
      <c r="AW58" s="34">
        <f t="shared" si="62"/>
        <v>54901.45</v>
      </c>
    </row>
    <row r="59" spans="1:49" x14ac:dyDescent="0.2">
      <c r="A59" s="33" t="s">
        <v>274</v>
      </c>
      <c r="B59" s="34">
        <f t="shared" ref="B59:AW59" si="63">B58</f>
        <v>0</v>
      </c>
      <c r="C59" s="34">
        <f t="shared" si="63"/>
        <v>0</v>
      </c>
      <c r="D59" s="34">
        <f t="shared" si="63"/>
        <v>0</v>
      </c>
      <c r="E59" s="34">
        <f t="shared" si="63"/>
        <v>0</v>
      </c>
      <c r="F59" s="34">
        <f t="shared" si="63"/>
        <v>0</v>
      </c>
      <c r="G59" s="34">
        <f t="shared" si="63"/>
        <v>0</v>
      </c>
      <c r="H59" s="34">
        <f t="shared" si="63"/>
        <v>0</v>
      </c>
      <c r="I59" s="34">
        <f t="shared" si="63"/>
        <v>0</v>
      </c>
      <c r="J59" s="34">
        <f t="shared" si="63"/>
        <v>0</v>
      </c>
      <c r="K59" s="34">
        <f t="shared" si="63"/>
        <v>0</v>
      </c>
      <c r="L59" s="34">
        <f t="shared" si="63"/>
        <v>0</v>
      </c>
      <c r="M59" s="34">
        <f t="shared" si="63"/>
        <v>0</v>
      </c>
      <c r="N59" s="34">
        <f t="shared" si="63"/>
        <v>0</v>
      </c>
      <c r="O59" s="34">
        <f t="shared" si="63"/>
        <v>0</v>
      </c>
      <c r="P59" s="34">
        <f t="shared" si="63"/>
        <v>0</v>
      </c>
      <c r="Q59" s="34">
        <f t="shared" si="63"/>
        <v>0</v>
      </c>
      <c r="R59" s="34">
        <f t="shared" si="63"/>
        <v>0</v>
      </c>
      <c r="S59" s="34">
        <f t="shared" si="63"/>
        <v>0</v>
      </c>
      <c r="T59" s="34">
        <f t="shared" si="63"/>
        <v>0</v>
      </c>
      <c r="U59" s="34">
        <f t="shared" si="63"/>
        <v>0</v>
      </c>
      <c r="V59" s="34">
        <f t="shared" si="63"/>
        <v>0</v>
      </c>
      <c r="W59" s="34">
        <f t="shared" si="63"/>
        <v>0</v>
      </c>
      <c r="X59" s="34">
        <f t="shared" si="63"/>
        <v>0</v>
      </c>
      <c r="Y59" s="34">
        <f t="shared" si="63"/>
        <v>0</v>
      </c>
      <c r="Z59" s="34">
        <f t="shared" si="63"/>
        <v>0</v>
      </c>
      <c r="AA59" s="34">
        <f t="shared" si="63"/>
        <v>0</v>
      </c>
      <c r="AB59" s="34">
        <f t="shared" si="63"/>
        <v>72250.89</v>
      </c>
      <c r="AC59" s="34">
        <f t="shared" si="63"/>
        <v>71166.55</v>
      </c>
      <c r="AD59" s="34">
        <f t="shared" si="63"/>
        <v>70082.210000000006</v>
      </c>
      <c r="AE59" s="34">
        <f t="shared" si="63"/>
        <v>68997.87</v>
      </c>
      <c r="AF59" s="34">
        <f t="shared" si="63"/>
        <v>67913.53</v>
      </c>
      <c r="AG59" s="34">
        <f t="shared" si="63"/>
        <v>66829.19</v>
      </c>
      <c r="AH59" s="34">
        <f t="shared" si="63"/>
        <v>65744.850000000006</v>
      </c>
      <c r="AI59" s="34">
        <f t="shared" si="63"/>
        <v>64660.51</v>
      </c>
      <c r="AJ59" s="34">
        <f t="shared" si="63"/>
        <v>63576.17</v>
      </c>
      <c r="AK59" s="34">
        <f t="shared" si="63"/>
        <v>62491.83</v>
      </c>
      <c r="AL59" s="34">
        <f t="shared" si="63"/>
        <v>61407.49</v>
      </c>
      <c r="AM59" s="34">
        <f t="shared" si="63"/>
        <v>60323.15</v>
      </c>
      <c r="AN59" s="34">
        <f t="shared" si="63"/>
        <v>59238.81</v>
      </c>
      <c r="AO59" s="34">
        <f t="shared" si="63"/>
        <v>58154.47</v>
      </c>
      <c r="AP59" s="34">
        <f t="shared" si="63"/>
        <v>57070.13</v>
      </c>
      <c r="AQ59" s="34">
        <f t="shared" si="63"/>
        <v>55985.79</v>
      </c>
      <c r="AR59" s="34">
        <f t="shared" si="63"/>
        <v>54901.45</v>
      </c>
      <c r="AS59" s="34">
        <f t="shared" si="63"/>
        <v>54901.45</v>
      </c>
      <c r="AT59" s="34">
        <f t="shared" si="63"/>
        <v>54901.45</v>
      </c>
      <c r="AU59" s="34">
        <f t="shared" si="63"/>
        <v>54901.45</v>
      </c>
      <c r="AV59" s="34">
        <f t="shared" si="63"/>
        <v>54901.45</v>
      </c>
      <c r="AW59" s="34">
        <f t="shared" si="63"/>
        <v>54901.45</v>
      </c>
    </row>
    <row r="60" spans="1:49" x14ac:dyDescent="0.2">
      <c r="A60" s="33" t="s">
        <v>273</v>
      </c>
      <c r="B60" s="34">
        <f t="shared" ref="B60:AW60" si="64">(B54)+(B59)</f>
        <v>0</v>
      </c>
      <c r="C60" s="34">
        <f t="shared" si="64"/>
        <v>0</v>
      </c>
      <c r="D60" s="34">
        <f t="shared" si="64"/>
        <v>0</v>
      </c>
      <c r="E60" s="34">
        <f t="shared" si="64"/>
        <v>0</v>
      </c>
      <c r="F60" s="34">
        <f t="shared" si="64"/>
        <v>0</v>
      </c>
      <c r="G60" s="34">
        <f t="shared" si="64"/>
        <v>0</v>
      </c>
      <c r="H60" s="34">
        <f t="shared" si="64"/>
        <v>0</v>
      </c>
      <c r="I60" s="34">
        <f t="shared" si="64"/>
        <v>0</v>
      </c>
      <c r="J60" s="34">
        <f t="shared" si="64"/>
        <v>0</v>
      </c>
      <c r="K60" s="34">
        <f t="shared" si="64"/>
        <v>0</v>
      </c>
      <c r="L60" s="34">
        <f t="shared" si="64"/>
        <v>2587.2799999999997</v>
      </c>
      <c r="M60" s="34">
        <f t="shared" si="64"/>
        <v>2587.2799999999997</v>
      </c>
      <c r="N60" s="34">
        <f t="shared" si="64"/>
        <v>3880.9199999999996</v>
      </c>
      <c r="O60" s="34">
        <f t="shared" si="64"/>
        <v>3880.9199999999996</v>
      </c>
      <c r="P60" s="34">
        <f t="shared" si="64"/>
        <v>3880.9199999999996</v>
      </c>
      <c r="Q60" s="34">
        <f t="shared" si="64"/>
        <v>3880.9199999999996</v>
      </c>
      <c r="R60" s="34">
        <f t="shared" si="64"/>
        <v>3880.9199999999996</v>
      </c>
      <c r="S60" s="34">
        <f t="shared" si="64"/>
        <v>3395.9199999999996</v>
      </c>
      <c r="T60" s="34">
        <f t="shared" si="64"/>
        <v>3395.9199999999996</v>
      </c>
      <c r="U60" s="34">
        <f t="shared" si="64"/>
        <v>3395.9199999999996</v>
      </c>
      <c r="V60" s="34">
        <f t="shared" si="64"/>
        <v>3395.9199999999996</v>
      </c>
      <c r="W60" s="34">
        <f t="shared" si="64"/>
        <v>3395.9199999999996</v>
      </c>
      <c r="X60" s="34">
        <f t="shared" si="64"/>
        <v>3395.9199999999996</v>
      </c>
      <c r="Y60" s="34">
        <f t="shared" si="64"/>
        <v>3395.9199999999996</v>
      </c>
      <c r="Z60" s="34">
        <f t="shared" si="64"/>
        <v>3395.9199999999996</v>
      </c>
      <c r="AA60" s="34">
        <f t="shared" si="64"/>
        <v>3395.9199999999996</v>
      </c>
      <c r="AB60" s="34">
        <f t="shared" si="64"/>
        <v>75846.81</v>
      </c>
      <c r="AC60" s="34">
        <f t="shared" si="64"/>
        <v>80511.87</v>
      </c>
      <c r="AD60" s="34">
        <f t="shared" si="64"/>
        <v>88695.85</v>
      </c>
      <c r="AE60" s="34">
        <f t="shared" si="64"/>
        <v>92230.18</v>
      </c>
      <c r="AF60" s="34">
        <f t="shared" si="64"/>
        <v>92288.16</v>
      </c>
      <c r="AG60" s="34">
        <f t="shared" si="64"/>
        <v>108421.84</v>
      </c>
      <c r="AH60" s="34">
        <f t="shared" si="64"/>
        <v>114076.79000000001</v>
      </c>
      <c r="AI60" s="34">
        <f t="shared" si="64"/>
        <v>131630.12</v>
      </c>
      <c r="AJ60" s="34">
        <f t="shared" si="64"/>
        <v>115914.72</v>
      </c>
      <c r="AK60" s="34">
        <f t="shared" si="64"/>
        <v>102169.45999999999</v>
      </c>
      <c r="AL60" s="34">
        <f t="shared" si="64"/>
        <v>114113.17</v>
      </c>
      <c r="AM60" s="34">
        <f t="shared" si="64"/>
        <v>98150.040000000008</v>
      </c>
      <c r="AN60" s="34">
        <f t="shared" si="64"/>
        <v>99484.14</v>
      </c>
      <c r="AO60" s="34">
        <f t="shared" si="64"/>
        <v>117179.73</v>
      </c>
      <c r="AP60" s="34">
        <f t="shared" si="64"/>
        <v>145687</v>
      </c>
      <c r="AQ60" s="34">
        <f t="shared" si="64"/>
        <v>111343.07</v>
      </c>
      <c r="AR60" s="34">
        <f t="shared" si="64"/>
        <v>162695.16</v>
      </c>
      <c r="AS60" s="34">
        <f t="shared" si="64"/>
        <v>130319.02</v>
      </c>
      <c r="AT60" s="34">
        <f t="shared" si="64"/>
        <v>130319.02</v>
      </c>
      <c r="AU60" s="34">
        <f t="shared" si="64"/>
        <v>130319.02</v>
      </c>
      <c r="AV60" s="34">
        <f t="shared" si="64"/>
        <v>130319.02</v>
      </c>
      <c r="AW60" s="34">
        <f t="shared" si="64"/>
        <v>130319.02</v>
      </c>
    </row>
    <row r="61" spans="1:49" x14ac:dyDescent="0.2">
      <c r="A61" s="33" t="s">
        <v>272</v>
      </c>
      <c r="B61" s="32"/>
      <c r="C61" s="32"/>
      <c r="D61" s="32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2"/>
      <c r="AG61" s="32"/>
      <c r="AH61" s="32"/>
      <c r="AI61" s="32"/>
      <c r="AJ61" s="32"/>
      <c r="AK61" s="32"/>
      <c r="AL61" s="32"/>
      <c r="AM61" s="32"/>
      <c r="AN61" s="32"/>
      <c r="AO61" s="32"/>
      <c r="AP61" s="32"/>
      <c r="AQ61" s="32"/>
      <c r="AR61" s="32"/>
      <c r="AS61" s="32"/>
      <c r="AT61" s="32"/>
      <c r="AU61" s="32"/>
      <c r="AV61" s="32"/>
      <c r="AW61" s="32"/>
    </row>
    <row r="62" spans="1:49" x14ac:dyDescent="0.2">
      <c r="A62" s="33" t="s">
        <v>271</v>
      </c>
      <c r="B62" s="32"/>
      <c r="C62" s="35">
        <f t="shared" ref="C62:AW62" si="65">B62</f>
        <v>0</v>
      </c>
      <c r="D62" s="35">
        <f t="shared" si="65"/>
        <v>0</v>
      </c>
      <c r="E62" s="35">
        <f t="shared" si="65"/>
        <v>0</v>
      </c>
      <c r="F62" s="35">
        <f t="shared" si="65"/>
        <v>0</v>
      </c>
      <c r="G62" s="35">
        <f t="shared" si="65"/>
        <v>0</v>
      </c>
      <c r="H62" s="35">
        <f t="shared" si="65"/>
        <v>0</v>
      </c>
      <c r="I62" s="35">
        <f t="shared" si="65"/>
        <v>0</v>
      </c>
      <c r="J62" s="35">
        <f t="shared" si="65"/>
        <v>0</v>
      </c>
      <c r="K62" s="35">
        <f t="shared" si="65"/>
        <v>0</v>
      </c>
      <c r="L62" s="35">
        <f t="shared" si="65"/>
        <v>0</v>
      </c>
      <c r="M62" s="35">
        <f t="shared" si="65"/>
        <v>0</v>
      </c>
      <c r="N62" s="35">
        <f t="shared" si="65"/>
        <v>0</v>
      </c>
      <c r="O62" s="35">
        <f t="shared" si="65"/>
        <v>0</v>
      </c>
      <c r="P62" s="35">
        <f t="shared" si="65"/>
        <v>0</v>
      </c>
      <c r="Q62" s="35">
        <f t="shared" si="65"/>
        <v>0</v>
      </c>
      <c r="R62" s="35">
        <f t="shared" si="65"/>
        <v>0</v>
      </c>
      <c r="S62" s="35">
        <f t="shared" si="65"/>
        <v>0</v>
      </c>
      <c r="T62" s="35">
        <f t="shared" si="65"/>
        <v>0</v>
      </c>
      <c r="U62" s="35">
        <f t="shared" si="65"/>
        <v>0</v>
      </c>
      <c r="V62" s="35">
        <f t="shared" si="65"/>
        <v>0</v>
      </c>
      <c r="W62" s="35">
        <f t="shared" si="65"/>
        <v>0</v>
      </c>
      <c r="X62" s="35">
        <f t="shared" si="65"/>
        <v>0</v>
      </c>
      <c r="Y62" s="35">
        <f t="shared" si="65"/>
        <v>0</v>
      </c>
      <c r="Z62" s="35">
        <f t="shared" si="65"/>
        <v>0</v>
      </c>
      <c r="AA62" s="35">
        <f t="shared" si="65"/>
        <v>0</v>
      </c>
      <c r="AB62" s="35">
        <f t="shared" si="65"/>
        <v>0</v>
      </c>
      <c r="AC62" s="35">
        <f t="shared" si="65"/>
        <v>0</v>
      </c>
      <c r="AD62" s="35">
        <f t="shared" si="65"/>
        <v>0</v>
      </c>
      <c r="AE62" s="35">
        <f t="shared" si="65"/>
        <v>0</v>
      </c>
      <c r="AF62" s="35">
        <f t="shared" si="65"/>
        <v>0</v>
      </c>
      <c r="AG62" s="35">
        <f t="shared" si="65"/>
        <v>0</v>
      </c>
      <c r="AH62" s="35">
        <f t="shared" si="65"/>
        <v>0</v>
      </c>
      <c r="AI62" s="35">
        <f t="shared" si="65"/>
        <v>0</v>
      </c>
      <c r="AJ62" s="35">
        <f t="shared" si="65"/>
        <v>0</v>
      </c>
      <c r="AK62" s="35">
        <f t="shared" si="65"/>
        <v>0</v>
      </c>
      <c r="AL62" s="35">
        <f t="shared" si="65"/>
        <v>0</v>
      </c>
      <c r="AM62" s="35">
        <f t="shared" si="65"/>
        <v>0</v>
      </c>
      <c r="AN62" s="35">
        <f t="shared" si="65"/>
        <v>0</v>
      </c>
      <c r="AO62" s="35">
        <f t="shared" si="65"/>
        <v>0</v>
      </c>
      <c r="AP62" s="35">
        <f t="shared" si="65"/>
        <v>0</v>
      </c>
      <c r="AQ62" s="35">
        <f t="shared" si="65"/>
        <v>0</v>
      </c>
      <c r="AR62" s="35">
        <f t="shared" si="65"/>
        <v>0</v>
      </c>
      <c r="AS62" s="35">
        <f t="shared" si="65"/>
        <v>0</v>
      </c>
      <c r="AT62" s="35">
        <f t="shared" si="65"/>
        <v>0</v>
      </c>
      <c r="AU62" s="35">
        <f t="shared" si="65"/>
        <v>0</v>
      </c>
      <c r="AV62" s="35">
        <f t="shared" si="65"/>
        <v>0</v>
      </c>
      <c r="AW62" s="35">
        <f t="shared" si="65"/>
        <v>0</v>
      </c>
    </row>
    <row r="63" spans="1:49" x14ac:dyDescent="0.2">
      <c r="A63" s="33" t="s">
        <v>270</v>
      </c>
      <c r="B63" s="32"/>
      <c r="C63" s="35">
        <f t="shared" ref="C63:AW63" si="66">B63</f>
        <v>0</v>
      </c>
      <c r="D63" s="35">
        <f t="shared" si="66"/>
        <v>0</v>
      </c>
      <c r="E63" s="35">
        <f t="shared" si="66"/>
        <v>0</v>
      </c>
      <c r="F63" s="35">
        <f t="shared" si="66"/>
        <v>0</v>
      </c>
      <c r="G63" s="35">
        <f t="shared" si="66"/>
        <v>0</v>
      </c>
      <c r="H63" s="35">
        <f t="shared" si="66"/>
        <v>0</v>
      </c>
      <c r="I63" s="35">
        <f t="shared" si="66"/>
        <v>0</v>
      </c>
      <c r="J63" s="35">
        <f t="shared" si="66"/>
        <v>0</v>
      </c>
      <c r="K63" s="35">
        <f t="shared" si="66"/>
        <v>0</v>
      </c>
      <c r="L63" s="35">
        <f t="shared" si="66"/>
        <v>0</v>
      </c>
      <c r="M63" s="35">
        <f t="shared" si="66"/>
        <v>0</v>
      </c>
      <c r="N63" s="35">
        <f t="shared" si="66"/>
        <v>0</v>
      </c>
      <c r="O63" s="35">
        <f t="shared" si="66"/>
        <v>0</v>
      </c>
      <c r="P63" s="35">
        <f t="shared" si="66"/>
        <v>0</v>
      </c>
      <c r="Q63" s="35">
        <f t="shared" si="66"/>
        <v>0</v>
      </c>
      <c r="R63" s="35">
        <f t="shared" si="66"/>
        <v>0</v>
      </c>
      <c r="S63" s="35">
        <f t="shared" si="66"/>
        <v>0</v>
      </c>
      <c r="T63" s="35">
        <f t="shared" si="66"/>
        <v>0</v>
      </c>
      <c r="U63" s="35">
        <f t="shared" si="66"/>
        <v>0</v>
      </c>
      <c r="V63" s="35">
        <f t="shared" si="66"/>
        <v>0</v>
      </c>
      <c r="W63" s="35">
        <f t="shared" si="66"/>
        <v>0</v>
      </c>
      <c r="X63" s="35">
        <f t="shared" si="66"/>
        <v>0</v>
      </c>
      <c r="Y63" s="35">
        <f t="shared" si="66"/>
        <v>0</v>
      </c>
      <c r="Z63" s="35">
        <f t="shared" si="66"/>
        <v>0</v>
      </c>
      <c r="AA63" s="35">
        <f t="shared" si="66"/>
        <v>0</v>
      </c>
      <c r="AB63" s="35">
        <f t="shared" si="66"/>
        <v>0</v>
      </c>
      <c r="AC63" s="35">
        <f t="shared" si="66"/>
        <v>0</v>
      </c>
      <c r="AD63" s="35">
        <f t="shared" si="66"/>
        <v>0</v>
      </c>
      <c r="AE63" s="35">
        <f t="shared" si="66"/>
        <v>0</v>
      </c>
      <c r="AF63" s="35">
        <f t="shared" si="66"/>
        <v>0</v>
      </c>
      <c r="AG63" s="35">
        <f t="shared" si="66"/>
        <v>0</v>
      </c>
      <c r="AH63" s="35">
        <f t="shared" si="66"/>
        <v>0</v>
      </c>
      <c r="AI63" s="35">
        <f t="shared" si="66"/>
        <v>0</v>
      </c>
      <c r="AJ63" s="35">
        <f t="shared" si="66"/>
        <v>0</v>
      </c>
      <c r="AK63" s="35">
        <f t="shared" si="66"/>
        <v>0</v>
      </c>
      <c r="AL63" s="35">
        <f t="shared" si="66"/>
        <v>0</v>
      </c>
      <c r="AM63" s="35">
        <f t="shared" si="66"/>
        <v>0</v>
      </c>
      <c r="AN63" s="35">
        <f t="shared" si="66"/>
        <v>0</v>
      </c>
      <c r="AO63" s="35">
        <f t="shared" si="66"/>
        <v>0</v>
      </c>
      <c r="AP63" s="35">
        <f t="shared" si="66"/>
        <v>0</v>
      </c>
      <c r="AQ63" s="35">
        <f t="shared" si="66"/>
        <v>0</v>
      </c>
      <c r="AR63" s="35">
        <f t="shared" si="66"/>
        <v>0</v>
      </c>
      <c r="AS63" s="35">
        <f t="shared" si="66"/>
        <v>0</v>
      </c>
      <c r="AT63" s="35">
        <f t="shared" si="66"/>
        <v>0</v>
      </c>
      <c r="AU63" s="35">
        <f t="shared" si="66"/>
        <v>0</v>
      </c>
      <c r="AV63" s="35">
        <f t="shared" si="66"/>
        <v>0</v>
      </c>
      <c r="AW63" s="35">
        <f t="shared" si="66"/>
        <v>0</v>
      </c>
    </row>
    <row r="64" spans="1:49" x14ac:dyDescent="0.2">
      <c r="A64" s="33" t="s">
        <v>269</v>
      </c>
      <c r="B64" s="32"/>
      <c r="C64" s="35">
        <f t="shared" ref="C64:Q64" si="67">B64</f>
        <v>0</v>
      </c>
      <c r="D64" s="35">
        <f t="shared" si="67"/>
        <v>0</v>
      </c>
      <c r="E64" s="35">
        <f t="shared" si="67"/>
        <v>0</v>
      </c>
      <c r="F64" s="35">
        <f t="shared" si="67"/>
        <v>0</v>
      </c>
      <c r="G64" s="35">
        <f t="shared" si="67"/>
        <v>0</v>
      </c>
      <c r="H64" s="35">
        <f t="shared" si="67"/>
        <v>0</v>
      </c>
      <c r="I64" s="35">
        <f t="shared" si="67"/>
        <v>0</v>
      </c>
      <c r="J64" s="35">
        <f t="shared" si="67"/>
        <v>0</v>
      </c>
      <c r="K64" s="35">
        <f t="shared" si="67"/>
        <v>0</v>
      </c>
      <c r="L64" s="35">
        <f t="shared" si="67"/>
        <v>0</v>
      </c>
      <c r="M64" s="35">
        <f t="shared" si="67"/>
        <v>0</v>
      </c>
      <c r="N64" s="35">
        <f t="shared" si="67"/>
        <v>0</v>
      </c>
      <c r="O64" s="35">
        <f t="shared" si="67"/>
        <v>0</v>
      </c>
      <c r="P64" s="35">
        <f t="shared" si="67"/>
        <v>0</v>
      </c>
      <c r="Q64" s="35">
        <f t="shared" si="67"/>
        <v>0</v>
      </c>
      <c r="R64" s="35">
        <f>-425</f>
        <v>-425</v>
      </c>
      <c r="S64" s="35">
        <f>-850</f>
        <v>-850</v>
      </c>
      <c r="T64" s="35">
        <f>-1275</f>
        <v>-1275</v>
      </c>
      <c r="U64" s="35">
        <f>-1700</f>
        <v>-1700</v>
      </c>
      <c r="V64" s="35">
        <f>-2125</f>
        <v>-2125</v>
      </c>
      <c r="W64" s="35">
        <f>-2550</f>
        <v>-2550</v>
      </c>
      <c r="X64" s="35">
        <f>-2975</f>
        <v>-2975</v>
      </c>
      <c r="Y64" s="35">
        <f>-3400</f>
        <v>-3400</v>
      </c>
      <c r="Z64" s="35">
        <f>-3825</f>
        <v>-3825</v>
      </c>
      <c r="AA64" s="35">
        <f>-4250</f>
        <v>-4250</v>
      </c>
      <c r="AB64" s="35">
        <f>-4675</f>
        <v>-4675</v>
      </c>
      <c r="AC64" s="35">
        <f>-10100</f>
        <v>-10100</v>
      </c>
      <c r="AD64" s="35">
        <f>-10525</f>
        <v>-10525</v>
      </c>
      <c r="AE64" s="35">
        <f>-10950</f>
        <v>-10950</v>
      </c>
      <c r="AF64" s="35">
        <f>-11915.38</f>
        <v>-11915.38</v>
      </c>
      <c r="AG64" s="35">
        <f>-78387.19</f>
        <v>-78387.19</v>
      </c>
      <c r="AH64" s="35">
        <f>-80126.14</f>
        <v>-80126.14</v>
      </c>
      <c r="AI64" s="35">
        <f>-80797.95</f>
        <v>-80797.95</v>
      </c>
      <c r="AJ64" s="35">
        <f>-246469.76</f>
        <v>-246469.76000000001</v>
      </c>
      <c r="AK64" s="35">
        <f>-247308.73</f>
        <v>-247308.73</v>
      </c>
      <c r="AL64" s="35">
        <f>-247980.54</f>
        <v>-247980.54</v>
      </c>
      <c r="AM64" s="35">
        <f>-248652.35</f>
        <v>-248652.35</v>
      </c>
      <c r="AN64" s="35">
        <f>-249324.16</f>
        <v>-249324.16</v>
      </c>
      <c r="AO64" s="35">
        <f>-249995.97</f>
        <v>-249995.97</v>
      </c>
      <c r="AP64" s="35">
        <f>-250667.78</f>
        <v>-250667.78</v>
      </c>
      <c r="AQ64" s="35">
        <f>-251339.59</f>
        <v>-251339.59</v>
      </c>
      <c r="AR64" s="35">
        <f>-252011.4</f>
        <v>-252011.4</v>
      </c>
      <c r="AS64" s="35">
        <f>AR64</f>
        <v>-252011.4</v>
      </c>
      <c r="AT64" s="35">
        <f>AS64</f>
        <v>-252011.4</v>
      </c>
      <c r="AU64" s="35">
        <f>AT64</f>
        <v>-252011.4</v>
      </c>
      <c r="AV64" s="35">
        <f>AU64</f>
        <v>-252011.4</v>
      </c>
      <c r="AW64" s="35">
        <f>AV64</f>
        <v>-252011.4</v>
      </c>
    </row>
    <row r="65" spans="1:49" x14ac:dyDescent="0.2">
      <c r="A65" s="33" t="s">
        <v>268</v>
      </c>
      <c r="B65" s="34">
        <f t="shared" ref="B65:AW65" si="68">(B63)+(B64)</f>
        <v>0</v>
      </c>
      <c r="C65" s="34">
        <f t="shared" si="68"/>
        <v>0</v>
      </c>
      <c r="D65" s="34">
        <f t="shared" si="68"/>
        <v>0</v>
      </c>
      <c r="E65" s="34">
        <f t="shared" si="68"/>
        <v>0</v>
      </c>
      <c r="F65" s="34">
        <f t="shared" si="68"/>
        <v>0</v>
      </c>
      <c r="G65" s="34">
        <f t="shared" si="68"/>
        <v>0</v>
      </c>
      <c r="H65" s="34">
        <f t="shared" si="68"/>
        <v>0</v>
      </c>
      <c r="I65" s="34">
        <f t="shared" si="68"/>
        <v>0</v>
      </c>
      <c r="J65" s="34">
        <f t="shared" si="68"/>
        <v>0</v>
      </c>
      <c r="K65" s="34">
        <f t="shared" si="68"/>
        <v>0</v>
      </c>
      <c r="L65" s="34">
        <f t="shared" si="68"/>
        <v>0</v>
      </c>
      <c r="M65" s="34">
        <f t="shared" si="68"/>
        <v>0</v>
      </c>
      <c r="N65" s="34">
        <f t="shared" si="68"/>
        <v>0</v>
      </c>
      <c r="O65" s="34">
        <f t="shared" si="68"/>
        <v>0</v>
      </c>
      <c r="P65" s="34">
        <f t="shared" si="68"/>
        <v>0</v>
      </c>
      <c r="Q65" s="34">
        <f t="shared" si="68"/>
        <v>0</v>
      </c>
      <c r="R65" s="34">
        <f t="shared" si="68"/>
        <v>-425</v>
      </c>
      <c r="S65" s="34">
        <f t="shared" si="68"/>
        <v>-850</v>
      </c>
      <c r="T65" s="34">
        <f t="shared" si="68"/>
        <v>-1275</v>
      </c>
      <c r="U65" s="34">
        <f t="shared" si="68"/>
        <v>-1700</v>
      </c>
      <c r="V65" s="34">
        <f t="shared" si="68"/>
        <v>-2125</v>
      </c>
      <c r="W65" s="34">
        <f t="shared" si="68"/>
        <v>-2550</v>
      </c>
      <c r="X65" s="34">
        <f t="shared" si="68"/>
        <v>-2975</v>
      </c>
      <c r="Y65" s="34">
        <f t="shared" si="68"/>
        <v>-3400</v>
      </c>
      <c r="Z65" s="34">
        <f t="shared" si="68"/>
        <v>-3825</v>
      </c>
      <c r="AA65" s="34">
        <f t="shared" si="68"/>
        <v>-4250</v>
      </c>
      <c r="AB65" s="34">
        <f t="shared" si="68"/>
        <v>-4675</v>
      </c>
      <c r="AC65" s="34">
        <f t="shared" si="68"/>
        <v>-10100</v>
      </c>
      <c r="AD65" s="34">
        <f t="shared" si="68"/>
        <v>-10525</v>
      </c>
      <c r="AE65" s="34">
        <f t="shared" si="68"/>
        <v>-10950</v>
      </c>
      <c r="AF65" s="34">
        <f t="shared" si="68"/>
        <v>-11915.38</v>
      </c>
      <c r="AG65" s="34">
        <f t="shared" si="68"/>
        <v>-78387.19</v>
      </c>
      <c r="AH65" s="34">
        <f t="shared" si="68"/>
        <v>-80126.14</v>
      </c>
      <c r="AI65" s="34">
        <f t="shared" si="68"/>
        <v>-80797.95</v>
      </c>
      <c r="AJ65" s="34">
        <f t="shared" si="68"/>
        <v>-246469.76000000001</v>
      </c>
      <c r="AK65" s="34">
        <f t="shared" si="68"/>
        <v>-247308.73</v>
      </c>
      <c r="AL65" s="34">
        <f t="shared" si="68"/>
        <v>-247980.54</v>
      </c>
      <c r="AM65" s="34">
        <f t="shared" si="68"/>
        <v>-248652.35</v>
      </c>
      <c r="AN65" s="34">
        <f t="shared" si="68"/>
        <v>-249324.16</v>
      </c>
      <c r="AO65" s="34">
        <f t="shared" si="68"/>
        <v>-249995.97</v>
      </c>
      <c r="AP65" s="34">
        <f t="shared" si="68"/>
        <v>-250667.78</v>
      </c>
      <c r="AQ65" s="34">
        <f t="shared" si="68"/>
        <v>-251339.59</v>
      </c>
      <c r="AR65" s="34">
        <f t="shared" si="68"/>
        <v>-252011.4</v>
      </c>
      <c r="AS65" s="34">
        <f t="shared" si="68"/>
        <v>-252011.4</v>
      </c>
      <c r="AT65" s="34">
        <f t="shared" si="68"/>
        <v>-252011.4</v>
      </c>
      <c r="AU65" s="34">
        <f t="shared" si="68"/>
        <v>-252011.4</v>
      </c>
      <c r="AV65" s="34">
        <f t="shared" si="68"/>
        <v>-252011.4</v>
      </c>
      <c r="AW65" s="34">
        <f t="shared" si="68"/>
        <v>-252011.4</v>
      </c>
    </row>
    <row r="66" spans="1:49" x14ac:dyDescent="0.2">
      <c r="A66" s="33" t="s">
        <v>267</v>
      </c>
      <c r="B66" s="32"/>
      <c r="C66" s="35">
        <f t="shared" ref="C66:AW66" si="69">B66</f>
        <v>0</v>
      </c>
      <c r="D66" s="35">
        <f t="shared" si="69"/>
        <v>0</v>
      </c>
      <c r="E66" s="35">
        <f t="shared" si="69"/>
        <v>0</v>
      </c>
      <c r="F66" s="35">
        <f t="shared" si="69"/>
        <v>0</v>
      </c>
      <c r="G66" s="35">
        <f t="shared" si="69"/>
        <v>0</v>
      </c>
      <c r="H66" s="35">
        <f t="shared" si="69"/>
        <v>0</v>
      </c>
      <c r="I66" s="35">
        <f t="shared" si="69"/>
        <v>0</v>
      </c>
      <c r="J66" s="35">
        <f t="shared" si="69"/>
        <v>0</v>
      </c>
      <c r="K66" s="35">
        <f t="shared" si="69"/>
        <v>0</v>
      </c>
      <c r="L66" s="35">
        <f t="shared" si="69"/>
        <v>0</v>
      </c>
      <c r="M66" s="35">
        <f t="shared" si="69"/>
        <v>0</v>
      </c>
      <c r="N66" s="35">
        <f t="shared" si="69"/>
        <v>0</v>
      </c>
      <c r="O66" s="35">
        <f t="shared" si="69"/>
        <v>0</v>
      </c>
      <c r="P66" s="35">
        <f t="shared" si="69"/>
        <v>0</v>
      </c>
      <c r="Q66" s="35">
        <f t="shared" si="69"/>
        <v>0</v>
      </c>
      <c r="R66" s="35">
        <f t="shared" si="69"/>
        <v>0</v>
      </c>
      <c r="S66" s="35">
        <f t="shared" si="69"/>
        <v>0</v>
      </c>
      <c r="T66" s="35">
        <f t="shared" si="69"/>
        <v>0</v>
      </c>
      <c r="U66" s="35">
        <f t="shared" si="69"/>
        <v>0</v>
      </c>
      <c r="V66" s="35">
        <f t="shared" si="69"/>
        <v>0</v>
      </c>
      <c r="W66" s="35">
        <f t="shared" si="69"/>
        <v>0</v>
      </c>
      <c r="X66" s="35">
        <f t="shared" si="69"/>
        <v>0</v>
      </c>
      <c r="Y66" s="35">
        <f t="shared" si="69"/>
        <v>0</v>
      </c>
      <c r="Z66" s="35">
        <f t="shared" si="69"/>
        <v>0</v>
      </c>
      <c r="AA66" s="35">
        <f t="shared" si="69"/>
        <v>0</v>
      </c>
      <c r="AB66" s="35">
        <f t="shared" si="69"/>
        <v>0</v>
      </c>
      <c r="AC66" s="35">
        <f t="shared" si="69"/>
        <v>0</v>
      </c>
      <c r="AD66" s="35">
        <f t="shared" si="69"/>
        <v>0</v>
      </c>
      <c r="AE66" s="35">
        <f t="shared" si="69"/>
        <v>0</v>
      </c>
      <c r="AF66" s="35">
        <f t="shared" si="69"/>
        <v>0</v>
      </c>
      <c r="AG66" s="35">
        <f t="shared" si="69"/>
        <v>0</v>
      </c>
      <c r="AH66" s="35">
        <f t="shared" si="69"/>
        <v>0</v>
      </c>
      <c r="AI66" s="35">
        <f t="shared" si="69"/>
        <v>0</v>
      </c>
      <c r="AJ66" s="35">
        <f t="shared" si="69"/>
        <v>0</v>
      </c>
      <c r="AK66" s="35">
        <f t="shared" si="69"/>
        <v>0</v>
      </c>
      <c r="AL66" s="35">
        <f t="shared" si="69"/>
        <v>0</v>
      </c>
      <c r="AM66" s="35">
        <f t="shared" si="69"/>
        <v>0</v>
      </c>
      <c r="AN66" s="35">
        <f t="shared" si="69"/>
        <v>0</v>
      </c>
      <c r="AO66" s="35">
        <f t="shared" si="69"/>
        <v>0</v>
      </c>
      <c r="AP66" s="35">
        <f t="shared" si="69"/>
        <v>0</v>
      </c>
      <c r="AQ66" s="35">
        <f t="shared" si="69"/>
        <v>0</v>
      </c>
      <c r="AR66" s="35">
        <f t="shared" si="69"/>
        <v>0</v>
      </c>
      <c r="AS66" s="35">
        <f t="shared" si="69"/>
        <v>0</v>
      </c>
      <c r="AT66" s="35">
        <f t="shared" si="69"/>
        <v>0</v>
      </c>
      <c r="AU66" s="35">
        <f t="shared" si="69"/>
        <v>0</v>
      </c>
      <c r="AV66" s="35">
        <f t="shared" si="69"/>
        <v>0</v>
      </c>
      <c r="AW66" s="35">
        <f t="shared" si="69"/>
        <v>0</v>
      </c>
    </row>
    <row r="67" spans="1:49" x14ac:dyDescent="0.2">
      <c r="A67" s="33" t="s">
        <v>266</v>
      </c>
      <c r="B67" s="32"/>
      <c r="C67" s="35">
        <f t="shared" ref="C67:AF67" si="70">B67</f>
        <v>0</v>
      </c>
      <c r="D67" s="35">
        <f t="shared" si="70"/>
        <v>0</v>
      </c>
      <c r="E67" s="35">
        <f t="shared" si="70"/>
        <v>0</v>
      </c>
      <c r="F67" s="35">
        <f t="shared" si="70"/>
        <v>0</v>
      </c>
      <c r="G67" s="35">
        <f t="shared" si="70"/>
        <v>0</v>
      </c>
      <c r="H67" s="35">
        <f t="shared" si="70"/>
        <v>0</v>
      </c>
      <c r="I67" s="35">
        <f t="shared" si="70"/>
        <v>0</v>
      </c>
      <c r="J67" s="35">
        <f t="shared" si="70"/>
        <v>0</v>
      </c>
      <c r="K67" s="35">
        <f t="shared" si="70"/>
        <v>0</v>
      </c>
      <c r="L67" s="35">
        <f t="shared" si="70"/>
        <v>0</v>
      </c>
      <c r="M67" s="35">
        <f t="shared" si="70"/>
        <v>0</v>
      </c>
      <c r="N67" s="35">
        <f t="shared" si="70"/>
        <v>0</v>
      </c>
      <c r="O67" s="35">
        <f t="shared" si="70"/>
        <v>0</v>
      </c>
      <c r="P67" s="35">
        <f t="shared" si="70"/>
        <v>0</v>
      </c>
      <c r="Q67" s="35">
        <f t="shared" si="70"/>
        <v>0</v>
      </c>
      <c r="R67" s="35">
        <f t="shared" si="70"/>
        <v>0</v>
      </c>
      <c r="S67" s="35">
        <f t="shared" si="70"/>
        <v>0</v>
      </c>
      <c r="T67" s="35">
        <f t="shared" si="70"/>
        <v>0</v>
      </c>
      <c r="U67" s="35">
        <f t="shared" si="70"/>
        <v>0</v>
      </c>
      <c r="V67" s="35">
        <f t="shared" si="70"/>
        <v>0</v>
      </c>
      <c r="W67" s="35">
        <f t="shared" si="70"/>
        <v>0</v>
      </c>
      <c r="X67" s="35">
        <f t="shared" si="70"/>
        <v>0</v>
      </c>
      <c r="Y67" s="35">
        <f t="shared" si="70"/>
        <v>0</v>
      </c>
      <c r="Z67" s="35">
        <f t="shared" si="70"/>
        <v>0</v>
      </c>
      <c r="AA67" s="35">
        <f t="shared" si="70"/>
        <v>0</v>
      </c>
      <c r="AB67" s="35">
        <f t="shared" si="70"/>
        <v>0</v>
      </c>
      <c r="AC67" s="35">
        <f t="shared" si="70"/>
        <v>0</v>
      </c>
      <c r="AD67" s="35">
        <f t="shared" si="70"/>
        <v>0</v>
      </c>
      <c r="AE67" s="35">
        <f t="shared" si="70"/>
        <v>0</v>
      </c>
      <c r="AF67" s="35">
        <f t="shared" si="70"/>
        <v>0</v>
      </c>
      <c r="AG67" s="35">
        <f>-65800</f>
        <v>-65800</v>
      </c>
      <c r="AH67" s="35">
        <f>-67500</f>
        <v>-67500</v>
      </c>
      <c r="AI67" s="35">
        <f>-71100</f>
        <v>-71100</v>
      </c>
      <c r="AJ67" s="35">
        <f>-236100</f>
        <v>-236100</v>
      </c>
      <c r="AK67" s="35">
        <f t="shared" ref="AK67:AW67" si="71">AJ67</f>
        <v>-236100</v>
      </c>
      <c r="AL67" s="35">
        <f t="shared" si="71"/>
        <v>-236100</v>
      </c>
      <c r="AM67" s="35">
        <f t="shared" si="71"/>
        <v>-236100</v>
      </c>
      <c r="AN67" s="35">
        <f t="shared" si="71"/>
        <v>-236100</v>
      </c>
      <c r="AO67" s="35">
        <f t="shared" si="71"/>
        <v>-236100</v>
      </c>
      <c r="AP67" s="35">
        <f t="shared" si="71"/>
        <v>-236100</v>
      </c>
      <c r="AQ67" s="35">
        <f t="shared" si="71"/>
        <v>-236100</v>
      </c>
      <c r="AR67" s="35">
        <f t="shared" si="71"/>
        <v>-236100</v>
      </c>
      <c r="AS67" s="35">
        <f t="shared" si="71"/>
        <v>-236100</v>
      </c>
      <c r="AT67" s="35">
        <f t="shared" si="71"/>
        <v>-236100</v>
      </c>
      <c r="AU67" s="35">
        <f t="shared" si="71"/>
        <v>-236100</v>
      </c>
      <c r="AV67" s="35">
        <f t="shared" si="71"/>
        <v>-236100</v>
      </c>
      <c r="AW67" s="35">
        <f t="shared" si="71"/>
        <v>-236100</v>
      </c>
    </row>
    <row r="68" spans="1:49" x14ac:dyDescent="0.2">
      <c r="A68" s="33" t="s">
        <v>265</v>
      </c>
      <c r="B68" s="32"/>
      <c r="C68" s="35">
        <f t="shared" ref="C68:AA68" si="72">B68</f>
        <v>0</v>
      </c>
      <c r="D68" s="35">
        <f t="shared" si="72"/>
        <v>0</v>
      </c>
      <c r="E68" s="35">
        <f t="shared" si="72"/>
        <v>0</v>
      </c>
      <c r="F68" s="35">
        <f t="shared" si="72"/>
        <v>0</v>
      </c>
      <c r="G68" s="35">
        <f t="shared" si="72"/>
        <v>0</v>
      </c>
      <c r="H68" s="35">
        <f t="shared" si="72"/>
        <v>0</v>
      </c>
      <c r="I68" s="35">
        <f t="shared" si="72"/>
        <v>0</v>
      </c>
      <c r="J68" s="35">
        <f t="shared" si="72"/>
        <v>0</v>
      </c>
      <c r="K68" s="35">
        <f t="shared" si="72"/>
        <v>0</v>
      </c>
      <c r="L68" s="35">
        <f t="shared" si="72"/>
        <v>0</v>
      </c>
      <c r="M68" s="35">
        <f t="shared" si="72"/>
        <v>0</v>
      </c>
      <c r="N68" s="35">
        <f t="shared" si="72"/>
        <v>0</v>
      </c>
      <c r="O68" s="35">
        <f t="shared" si="72"/>
        <v>0</v>
      </c>
      <c r="P68" s="35">
        <f t="shared" si="72"/>
        <v>0</v>
      </c>
      <c r="Q68" s="35">
        <f t="shared" si="72"/>
        <v>0</v>
      </c>
      <c r="R68" s="35">
        <f t="shared" si="72"/>
        <v>0</v>
      </c>
      <c r="S68" s="35">
        <f t="shared" si="72"/>
        <v>0</v>
      </c>
      <c r="T68" s="35">
        <f t="shared" si="72"/>
        <v>0</v>
      </c>
      <c r="U68" s="35">
        <f t="shared" si="72"/>
        <v>0</v>
      </c>
      <c r="V68" s="35">
        <f t="shared" si="72"/>
        <v>0</v>
      </c>
      <c r="W68" s="35">
        <f t="shared" si="72"/>
        <v>0</v>
      </c>
      <c r="X68" s="35">
        <f t="shared" si="72"/>
        <v>0</v>
      </c>
      <c r="Y68" s="35">
        <f t="shared" si="72"/>
        <v>0</v>
      </c>
      <c r="Z68" s="35">
        <f t="shared" si="72"/>
        <v>0</v>
      </c>
      <c r="AA68" s="35">
        <f t="shared" si="72"/>
        <v>0</v>
      </c>
      <c r="AB68" s="35">
        <f>405</f>
        <v>405</v>
      </c>
      <c r="AC68" s="35">
        <f t="shared" ref="AC68:AJ68" si="73">AB68</f>
        <v>405</v>
      </c>
      <c r="AD68" s="35">
        <f t="shared" si="73"/>
        <v>405</v>
      </c>
      <c r="AE68" s="35">
        <f t="shared" si="73"/>
        <v>405</v>
      </c>
      <c r="AF68" s="35">
        <f t="shared" si="73"/>
        <v>405</v>
      </c>
      <c r="AG68" s="35">
        <f t="shared" si="73"/>
        <v>405</v>
      </c>
      <c r="AH68" s="35">
        <f t="shared" si="73"/>
        <v>405</v>
      </c>
      <c r="AI68" s="35">
        <f t="shared" si="73"/>
        <v>405</v>
      </c>
      <c r="AJ68" s="35">
        <f t="shared" si="73"/>
        <v>405</v>
      </c>
      <c r="AK68" s="35">
        <f t="shared" ref="AK68:AW68" si="74">AJ68</f>
        <v>405</v>
      </c>
      <c r="AL68" s="35">
        <f t="shared" si="74"/>
        <v>405</v>
      </c>
      <c r="AM68" s="35">
        <f t="shared" si="74"/>
        <v>405</v>
      </c>
      <c r="AN68" s="35">
        <f t="shared" si="74"/>
        <v>405</v>
      </c>
      <c r="AO68" s="35">
        <f t="shared" si="74"/>
        <v>405</v>
      </c>
      <c r="AP68" s="35">
        <f t="shared" si="74"/>
        <v>405</v>
      </c>
      <c r="AQ68" s="35">
        <f t="shared" si="74"/>
        <v>405</v>
      </c>
      <c r="AR68" s="35">
        <f t="shared" si="74"/>
        <v>405</v>
      </c>
      <c r="AS68" s="35">
        <f t="shared" si="74"/>
        <v>405</v>
      </c>
      <c r="AT68" s="35">
        <f t="shared" si="74"/>
        <v>405</v>
      </c>
      <c r="AU68" s="35">
        <f t="shared" si="74"/>
        <v>405</v>
      </c>
      <c r="AV68" s="35">
        <f t="shared" si="74"/>
        <v>405</v>
      </c>
      <c r="AW68" s="35">
        <f t="shared" si="74"/>
        <v>405</v>
      </c>
    </row>
    <row r="69" spans="1:49" x14ac:dyDescent="0.2">
      <c r="A69" s="33" t="s">
        <v>264</v>
      </c>
      <c r="B69" s="34">
        <f t="shared" ref="B69:AW69" si="75">((B66)+(B67))+(B68)</f>
        <v>0</v>
      </c>
      <c r="C69" s="34">
        <f t="shared" si="75"/>
        <v>0</v>
      </c>
      <c r="D69" s="34">
        <f t="shared" si="75"/>
        <v>0</v>
      </c>
      <c r="E69" s="34">
        <f t="shared" si="75"/>
        <v>0</v>
      </c>
      <c r="F69" s="34">
        <f t="shared" si="75"/>
        <v>0</v>
      </c>
      <c r="G69" s="34">
        <f t="shared" si="75"/>
        <v>0</v>
      </c>
      <c r="H69" s="34">
        <f t="shared" si="75"/>
        <v>0</v>
      </c>
      <c r="I69" s="34">
        <f t="shared" si="75"/>
        <v>0</v>
      </c>
      <c r="J69" s="34">
        <f t="shared" si="75"/>
        <v>0</v>
      </c>
      <c r="K69" s="34">
        <f t="shared" si="75"/>
        <v>0</v>
      </c>
      <c r="L69" s="34">
        <f t="shared" si="75"/>
        <v>0</v>
      </c>
      <c r="M69" s="34">
        <f t="shared" si="75"/>
        <v>0</v>
      </c>
      <c r="N69" s="34">
        <f t="shared" si="75"/>
        <v>0</v>
      </c>
      <c r="O69" s="34">
        <f t="shared" si="75"/>
        <v>0</v>
      </c>
      <c r="P69" s="34">
        <f t="shared" si="75"/>
        <v>0</v>
      </c>
      <c r="Q69" s="34">
        <f t="shared" si="75"/>
        <v>0</v>
      </c>
      <c r="R69" s="34">
        <f t="shared" si="75"/>
        <v>0</v>
      </c>
      <c r="S69" s="34">
        <f t="shared" si="75"/>
        <v>0</v>
      </c>
      <c r="T69" s="34">
        <f t="shared" si="75"/>
        <v>0</v>
      </c>
      <c r="U69" s="34">
        <f t="shared" si="75"/>
        <v>0</v>
      </c>
      <c r="V69" s="34">
        <f t="shared" si="75"/>
        <v>0</v>
      </c>
      <c r="W69" s="34">
        <f t="shared" si="75"/>
        <v>0</v>
      </c>
      <c r="X69" s="34">
        <f t="shared" si="75"/>
        <v>0</v>
      </c>
      <c r="Y69" s="34">
        <f t="shared" si="75"/>
        <v>0</v>
      </c>
      <c r="Z69" s="34">
        <f t="shared" si="75"/>
        <v>0</v>
      </c>
      <c r="AA69" s="34">
        <f t="shared" si="75"/>
        <v>0</v>
      </c>
      <c r="AB69" s="34">
        <f t="shared" si="75"/>
        <v>405</v>
      </c>
      <c r="AC69" s="34">
        <f t="shared" si="75"/>
        <v>405</v>
      </c>
      <c r="AD69" s="34">
        <f t="shared" si="75"/>
        <v>405</v>
      </c>
      <c r="AE69" s="34">
        <f t="shared" si="75"/>
        <v>405</v>
      </c>
      <c r="AF69" s="34">
        <f t="shared" si="75"/>
        <v>405</v>
      </c>
      <c r="AG69" s="34">
        <f t="shared" si="75"/>
        <v>-65395</v>
      </c>
      <c r="AH69" s="34">
        <f t="shared" si="75"/>
        <v>-67095</v>
      </c>
      <c r="AI69" s="34">
        <f t="shared" si="75"/>
        <v>-70695</v>
      </c>
      <c r="AJ69" s="34">
        <f t="shared" si="75"/>
        <v>-235695</v>
      </c>
      <c r="AK69" s="34">
        <f t="shared" si="75"/>
        <v>-235695</v>
      </c>
      <c r="AL69" s="34">
        <f t="shared" si="75"/>
        <v>-235695</v>
      </c>
      <c r="AM69" s="34">
        <f t="shared" si="75"/>
        <v>-235695</v>
      </c>
      <c r="AN69" s="34">
        <f t="shared" si="75"/>
        <v>-235695</v>
      </c>
      <c r="AO69" s="34">
        <f t="shared" si="75"/>
        <v>-235695</v>
      </c>
      <c r="AP69" s="34">
        <f t="shared" si="75"/>
        <v>-235695</v>
      </c>
      <c r="AQ69" s="34">
        <f t="shared" si="75"/>
        <v>-235695</v>
      </c>
      <c r="AR69" s="34">
        <f t="shared" si="75"/>
        <v>-235695</v>
      </c>
      <c r="AS69" s="34">
        <f t="shared" si="75"/>
        <v>-235695</v>
      </c>
      <c r="AT69" s="34">
        <f t="shared" si="75"/>
        <v>-235695</v>
      </c>
      <c r="AU69" s="34">
        <f t="shared" si="75"/>
        <v>-235695</v>
      </c>
      <c r="AV69" s="34">
        <f t="shared" si="75"/>
        <v>-235695</v>
      </c>
      <c r="AW69" s="34">
        <f t="shared" si="75"/>
        <v>-235695</v>
      </c>
    </row>
    <row r="70" spans="1:49" x14ac:dyDescent="0.2">
      <c r="A70" s="33" t="s">
        <v>263</v>
      </c>
      <c r="B70" s="32"/>
      <c r="C70" s="35">
        <f t="shared" ref="C70:AW70" si="76">B70</f>
        <v>0</v>
      </c>
      <c r="D70" s="35">
        <f t="shared" si="76"/>
        <v>0</v>
      </c>
      <c r="E70" s="35">
        <f t="shared" si="76"/>
        <v>0</v>
      </c>
      <c r="F70" s="35">
        <f t="shared" si="76"/>
        <v>0</v>
      </c>
      <c r="G70" s="35">
        <f t="shared" si="76"/>
        <v>0</v>
      </c>
      <c r="H70" s="35">
        <f t="shared" si="76"/>
        <v>0</v>
      </c>
      <c r="I70" s="35">
        <f t="shared" si="76"/>
        <v>0</v>
      </c>
      <c r="J70" s="35">
        <f t="shared" si="76"/>
        <v>0</v>
      </c>
      <c r="K70" s="35">
        <f t="shared" si="76"/>
        <v>0</v>
      </c>
      <c r="L70" s="35">
        <f t="shared" si="76"/>
        <v>0</v>
      </c>
      <c r="M70" s="35">
        <f t="shared" si="76"/>
        <v>0</v>
      </c>
      <c r="N70" s="35">
        <f t="shared" si="76"/>
        <v>0</v>
      </c>
      <c r="O70" s="35">
        <f t="shared" si="76"/>
        <v>0</v>
      </c>
      <c r="P70" s="35">
        <f t="shared" si="76"/>
        <v>0</v>
      </c>
      <c r="Q70" s="35">
        <f t="shared" si="76"/>
        <v>0</v>
      </c>
      <c r="R70" s="35">
        <f t="shared" si="76"/>
        <v>0</v>
      </c>
      <c r="S70" s="35">
        <f t="shared" si="76"/>
        <v>0</v>
      </c>
      <c r="T70" s="35">
        <f t="shared" si="76"/>
        <v>0</v>
      </c>
      <c r="U70" s="35">
        <f t="shared" si="76"/>
        <v>0</v>
      </c>
      <c r="V70" s="35">
        <f t="shared" si="76"/>
        <v>0</v>
      </c>
      <c r="W70" s="35">
        <f t="shared" si="76"/>
        <v>0</v>
      </c>
      <c r="X70" s="35">
        <f t="shared" si="76"/>
        <v>0</v>
      </c>
      <c r="Y70" s="35">
        <f t="shared" si="76"/>
        <v>0</v>
      </c>
      <c r="Z70" s="35">
        <f t="shared" si="76"/>
        <v>0</v>
      </c>
      <c r="AA70" s="35">
        <f t="shared" si="76"/>
        <v>0</v>
      </c>
      <c r="AB70" s="35">
        <f t="shared" si="76"/>
        <v>0</v>
      </c>
      <c r="AC70" s="35">
        <f t="shared" si="76"/>
        <v>0</v>
      </c>
      <c r="AD70" s="35">
        <f t="shared" si="76"/>
        <v>0</v>
      </c>
      <c r="AE70" s="35">
        <f t="shared" si="76"/>
        <v>0</v>
      </c>
      <c r="AF70" s="35">
        <f t="shared" si="76"/>
        <v>0</v>
      </c>
      <c r="AG70" s="35">
        <f t="shared" si="76"/>
        <v>0</v>
      </c>
      <c r="AH70" s="35">
        <f t="shared" si="76"/>
        <v>0</v>
      </c>
      <c r="AI70" s="35">
        <f t="shared" si="76"/>
        <v>0</v>
      </c>
      <c r="AJ70" s="35">
        <f t="shared" si="76"/>
        <v>0</v>
      </c>
      <c r="AK70" s="35">
        <f t="shared" si="76"/>
        <v>0</v>
      </c>
      <c r="AL70" s="35">
        <f t="shared" si="76"/>
        <v>0</v>
      </c>
      <c r="AM70" s="35">
        <f t="shared" si="76"/>
        <v>0</v>
      </c>
      <c r="AN70" s="35">
        <f t="shared" si="76"/>
        <v>0</v>
      </c>
      <c r="AO70" s="35">
        <f t="shared" si="76"/>
        <v>0</v>
      </c>
      <c r="AP70" s="35">
        <f t="shared" si="76"/>
        <v>0</v>
      </c>
      <c r="AQ70" s="35">
        <f t="shared" si="76"/>
        <v>0</v>
      </c>
      <c r="AR70" s="35">
        <f t="shared" si="76"/>
        <v>0</v>
      </c>
      <c r="AS70" s="35">
        <f t="shared" si="76"/>
        <v>0</v>
      </c>
      <c r="AT70" s="35">
        <f t="shared" si="76"/>
        <v>0</v>
      </c>
      <c r="AU70" s="35">
        <f t="shared" si="76"/>
        <v>0</v>
      </c>
      <c r="AV70" s="35">
        <f t="shared" si="76"/>
        <v>0</v>
      </c>
      <c r="AW70" s="35">
        <f t="shared" si="76"/>
        <v>0</v>
      </c>
    </row>
    <row r="71" spans="1:49" x14ac:dyDescent="0.2">
      <c r="A71" s="33" t="s">
        <v>262</v>
      </c>
      <c r="B71" s="32"/>
      <c r="C71" s="35">
        <f t="shared" ref="C71:AI71" si="77">B71</f>
        <v>0</v>
      </c>
      <c r="D71" s="35">
        <f t="shared" si="77"/>
        <v>0</v>
      </c>
      <c r="E71" s="35">
        <f t="shared" si="77"/>
        <v>0</v>
      </c>
      <c r="F71" s="35">
        <f t="shared" si="77"/>
        <v>0</v>
      </c>
      <c r="G71" s="35">
        <f t="shared" si="77"/>
        <v>0</v>
      </c>
      <c r="H71" s="35">
        <f t="shared" si="77"/>
        <v>0</v>
      </c>
      <c r="I71" s="35">
        <f t="shared" si="77"/>
        <v>0</v>
      </c>
      <c r="J71" s="35">
        <f t="shared" si="77"/>
        <v>0</v>
      </c>
      <c r="K71" s="35">
        <f t="shared" si="77"/>
        <v>0</v>
      </c>
      <c r="L71" s="35">
        <f t="shared" si="77"/>
        <v>0</v>
      </c>
      <c r="M71" s="35">
        <f t="shared" si="77"/>
        <v>0</v>
      </c>
      <c r="N71" s="35">
        <f t="shared" si="77"/>
        <v>0</v>
      </c>
      <c r="O71" s="35">
        <f t="shared" si="77"/>
        <v>0</v>
      </c>
      <c r="P71" s="35">
        <f t="shared" si="77"/>
        <v>0</v>
      </c>
      <c r="Q71" s="35">
        <f t="shared" si="77"/>
        <v>0</v>
      </c>
      <c r="R71" s="35">
        <f t="shared" si="77"/>
        <v>0</v>
      </c>
      <c r="S71" s="35">
        <f t="shared" si="77"/>
        <v>0</v>
      </c>
      <c r="T71" s="35">
        <f t="shared" si="77"/>
        <v>0</v>
      </c>
      <c r="U71" s="35">
        <f t="shared" si="77"/>
        <v>0</v>
      </c>
      <c r="V71" s="35">
        <f t="shared" si="77"/>
        <v>0</v>
      </c>
      <c r="W71" s="35">
        <f t="shared" si="77"/>
        <v>0</v>
      </c>
      <c r="X71" s="35">
        <f t="shared" si="77"/>
        <v>0</v>
      </c>
      <c r="Y71" s="35">
        <f t="shared" si="77"/>
        <v>0</v>
      </c>
      <c r="Z71" s="35">
        <f t="shared" si="77"/>
        <v>0</v>
      </c>
      <c r="AA71" s="35">
        <f t="shared" si="77"/>
        <v>0</v>
      </c>
      <c r="AB71" s="35">
        <f t="shared" si="77"/>
        <v>0</v>
      </c>
      <c r="AC71" s="35">
        <f t="shared" si="77"/>
        <v>0</v>
      </c>
      <c r="AD71" s="35">
        <f t="shared" si="77"/>
        <v>0</v>
      </c>
      <c r="AE71" s="35">
        <f t="shared" si="77"/>
        <v>0</v>
      </c>
      <c r="AF71" s="35">
        <f t="shared" si="77"/>
        <v>0</v>
      </c>
      <c r="AG71" s="35">
        <f t="shared" si="77"/>
        <v>0</v>
      </c>
      <c r="AH71" s="35">
        <f t="shared" si="77"/>
        <v>0</v>
      </c>
      <c r="AI71" s="35">
        <f t="shared" si="77"/>
        <v>0</v>
      </c>
      <c r="AJ71" s="35">
        <f>330000</f>
        <v>330000</v>
      </c>
      <c r="AK71" s="35">
        <f t="shared" ref="AK71:AW71" si="78">AJ71</f>
        <v>330000</v>
      </c>
      <c r="AL71" s="35">
        <f t="shared" si="78"/>
        <v>330000</v>
      </c>
      <c r="AM71" s="35">
        <f t="shared" si="78"/>
        <v>330000</v>
      </c>
      <c r="AN71" s="35">
        <f t="shared" si="78"/>
        <v>330000</v>
      </c>
      <c r="AO71" s="35">
        <f t="shared" si="78"/>
        <v>330000</v>
      </c>
      <c r="AP71" s="35">
        <f t="shared" si="78"/>
        <v>330000</v>
      </c>
      <c r="AQ71" s="35">
        <f t="shared" si="78"/>
        <v>330000</v>
      </c>
      <c r="AR71" s="35">
        <f t="shared" si="78"/>
        <v>330000</v>
      </c>
      <c r="AS71" s="35">
        <f t="shared" si="78"/>
        <v>330000</v>
      </c>
      <c r="AT71" s="35">
        <f t="shared" si="78"/>
        <v>330000</v>
      </c>
      <c r="AU71" s="35">
        <f t="shared" si="78"/>
        <v>330000</v>
      </c>
      <c r="AV71" s="35">
        <f t="shared" si="78"/>
        <v>330000</v>
      </c>
      <c r="AW71" s="35">
        <f t="shared" si="78"/>
        <v>330000</v>
      </c>
    </row>
    <row r="72" spans="1:49" x14ac:dyDescent="0.2">
      <c r="A72" s="33" t="s">
        <v>261</v>
      </c>
      <c r="B72" s="34">
        <f t="shared" ref="B72:AW72" si="79">(B70)+(B71)</f>
        <v>0</v>
      </c>
      <c r="C72" s="34">
        <f t="shared" si="79"/>
        <v>0</v>
      </c>
      <c r="D72" s="34">
        <f t="shared" si="79"/>
        <v>0</v>
      </c>
      <c r="E72" s="34">
        <f t="shared" si="79"/>
        <v>0</v>
      </c>
      <c r="F72" s="34">
        <f t="shared" si="79"/>
        <v>0</v>
      </c>
      <c r="G72" s="34">
        <f t="shared" si="79"/>
        <v>0</v>
      </c>
      <c r="H72" s="34">
        <f t="shared" si="79"/>
        <v>0</v>
      </c>
      <c r="I72" s="34">
        <f t="shared" si="79"/>
        <v>0</v>
      </c>
      <c r="J72" s="34">
        <f t="shared" si="79"/>
        <v>0</v>
      </c>
      <c r="K72" s="34">
        <f t="shared" si="79"/>
        <v>0</v>
      </c>
      <c r="L72" s="34">
        <f t="shared" si="79"/>
        <v>0</v>
      </c>
      <c r="M72" s="34">
        <f t="shared" si="79"/>
        <v>0</v>
      </c>
      <c r="N72" s="34">
        <f t="shared" si="79"/>
        <v>0</v>
      </c>
      <c r="O72" s="34">
        <f t="shared" si="79"/>
        <v>0</v>
      </c>
      <c r="P72" s="34">
        <f t="shared" si="79"/>
        <v>0</v>
      </c>
      <c r="Q72" s="34">
        <f t="shared" si="79"/>
        <v>0</v>
      </c>
      <c r="R72" s="34">
        <f t="shared" si="79"/>
        <v>0</v>
      </c>
      <c r="S72" s="34">
        <f t="shared" si="79"/>
        <v>0</v>
      </c>
      <c r="T72" s="34">
        <f t="shared" si="79"/>
        <v>0</v>
      </c>
      <c r="U72" s="34">
        <f t="shared" si="79"/>
        <v>0</v>
      </c>
      <c r="V72" s="34">
        <f t="shared" si="79"/>
        <v>0</v>
      </c>
      <c r="W72" s="34">
        <f t="shared" si="79"/>
        <v>0</v>
      </c>
      <c r="X72" s="34">
        <f t="shared" si="79"/>
        <v>0</v>
      </c>
      <c r="Y72" s="34">
        <f t="shared" si="79"/>
        <v>0</v>
      </c>
      <c r="Z72" s="34">
        <f t="shared" si="79"/>
        <v>0</v>
      </c>
      <c r="AA72" s="34">
        <f t="shared" si="79"/>
        <v>0</v>
      </c>
      <c r="AB72" s="34">
        <f t="shared" si="79"/>
        <v>0</v>
      </c>
      <c r="AC72" s="34">
        <f t="shared" si="79"/>
        <v>0</v>
      </c>
      <c r="AD72" s="34">
        <f t="shared" si="79"/>
        <v>0</v>
      </c>
      <c r="AE72" s="34">
        <f t="shared" si="79"/>
        <v>0</v>
      </c>
      <c r="AF72" s="34">
        <f t="shared" si="79"/>
        <v>0</v>
      </c>
      <c r="AG72" s="34">
        <f t="shared" si="79"/>
        <v>0</v>
      </c>
      <c r="AH72" s="34">
        <f t="shared" si="79"/>
        <v>0</v>
      </c>
      <c r="AI72" s="34">
        <f t="shared" si="79"/>
        <v>0</v>
      </c>
      <c r="AJ72" s="34">
        <f t="shared" si="79"/>
        <v>330000</v>
      </c>
      <c r="AK72" s="34">
        <f t="shared" si="79"/>
        <v>330000</v>
      </c>
      <c r="AL72" s="34">
        <f t="shared" si="79"/>
        <v>330000</v>
      </c>
      <c r="AM72" s="34">
        <f t="shared" si="79"/>
        <v>330000</v>
      </c>
      <c r="AN72" s="34">
        <f t="shared" si="79"/>
        <v>330000</v>
      </c>
      <c r="AO72" s="34">
        <f t="shared" si="79"/>
        <v>330000</v>
      </c>
      <c r="AP72" s="34">
        <f t="shared" si="79"/>
        <v>330000</v>
      </c>
      <c r="AQ72" s="34">
        <f t="shared" si="79"/>
        <v>330000</v>
      </c>
      <c r="AR72" s="34">
        <f t="shared" si="79"/>
        <v>330000</v>
      </c>
      <c r="AS72" s="34">
        <f t="shared" si="79"/>
        <v>330000</v>
      </c>
      <c r="AT72" s="34">
        <f t="shared" si="79"/>
        <v>330000</v>
      </c>
      <c r="AU72" s="34">
        <f t="shared" si="79"/>
        <v>330000</v>
      </c>
      <c r="AV72" s="34">
        <f t="shared" si="79"/>
        <v>330000</v>
      </c>
      <c r="AW72" s="34">
        <f t="shared" si="79"/>
        <v>330000</v>
      </c>
    </row>
    <row r="73" spans="1:49" x14ac:dyDescent="0.2">
      <c r="A73" s="33" t="s">
        <v>260</v>
      </c>
      <c r="B73" s="34">
        <f t="shared" ref="B73:AW73" si="80">(((B62)+(B65))+(B69))+(B72)</f>
        <v>0</v>
      </c>
      <c r="C73" s="34">
        <f t="shared" si="80"/>
        <v>0</v>
      </c>
      <c r="D73" s="34">
        <f t="shared" si="80"/>
        <v>0</v>
      </c>
      <c r="E73" s="34">
        <f t="shared" si="80"/>
        <v>0</v>
      </c>
      <c r="F73" s="34">
        <f t="shared" si="80"/>
        <v>0</v>
      </c>
      <c r="G73" s="34">
        <f t="shared" si="80"/>
        <v>0</v>
      </c>
      <c r="H73" s="34">
        <f t="shared" si="80"/>
        <v>0</v>
      </c>
      <c r="I73" s="34">
        <f t="shared" si="80"/>
        <v>0</v>
      </c>
      <c r="J73" s="34">
        <f t="shared" si="80"/>
        <v>0</v>
      </c>
      <c r="K73" s="34">
        <f t="shared" si="80"/>
        <v>0</v>
      </c>
      <c r="L73" s="34">
        <f t="shared" si="80"/>
        <v>0</v>
      </c>
      <c r="M73" s="34">
        <f t="shared" si="80"/>
        <v>0</v>
      </c>
      <c r="N73" s="34">
        <f t="shared" si="80"/>
        <v>0</v>
      </c>
      <c r="O73" s="34">
        <f t="shared" si="80"/>
        <v>0</v>
      </c>
      <c r="P73" s="34">
        <f t="shared" si="80"/>
        <v>0</v>
      </c>
      <c r="Q73" s="34">
        <f t="shared" si="80"/>
        <v>0</v>
      </c>
      <c r="R73" s="34">
        <f t="shared" si="80"/>
        <v>-425</v>
      </c>
      <c r="S73" s="34">
        <f t="shared" si="80"/>
        <v>-850</v>
      </c>
      <c r="T73" s="34">
        <f t="shared" si="80"/>
        <v>-1275</v>
      </c>
      <c r="U73" s="34">
        <f t="shared" si="80"/>
        <v>-1700</v>
      </c>
      <c r="V73" s="34">
        <f t="shared" si="80"/>
        <v>-2125</v>
      </c>
      <c r="W73" s="34">
        <f t="shared" si="80"/>
        <v>-2550</v>
      </c>
      <c r="X73" s="34">
        <f t="shared" si="80"/>
        <v>-2975</v>
      </c>
      <c r="Y73" s="34">
        <f t="shared" si="80"/>
        <v>-3400</v>
      </c>
      <c r="Z73" s="34">
        <f t="shared" si="80"/>
        <v>-3825</v>
      </c>
      <c r="AA73" s="34">
        <f t="shared" si="80"/>
        <v>-4250</v>
      </c>
      <c r="AB73" s="34">
        <f t="shared" si="80"/>
        <v>-4270</v>
      </c>
      <c r="AC73" s="34">
        <f t="shared" si="80"/>
        <v>-9695</v>
      </c>
      <c r="AD73" s="34">
        <f t="shared" si="80"/>
        <v>-10120</v>
      </c>
      <c r="AE73" s="34">
        <f t="shared" si="80"/>
        <v>-10545</v>
      </c>
      <c r="AF73" s="34">
        <f t="shared" si="80"/>
        <v>-11510.38</v>
      </c>
      <c r="AG73" s="34">
        <f t="shared" si="80"/>
        <v>-143782.19</v>
      </c>
      <c r="AH73" s="34">
        <f t="shared" si="80"/>
        <v>-147221.14000000001</v>
      </c>
      <c r="AI73" s="34">
        <f t="shared" si="80"/>
        <v>-151492.95000000001</v>
      </c>
      <c r="AJ73" s="34">
        <f t="shared" si="80"/>
        <v>-152164.76</v>
      </c>
      <c r="AK73" s="34">
        <f t="shared" si="80"/>
        <v>-153003.72999999998</v>
      </c>
      <c r="AL73" s="34">
        <f t="shared" si="80"/>
        <v>-153675.54000000004</v>
      </c>
      <c r="AM73" s="34">
        <f t="shared" si="80"/>
        <v>-154347.34999999998</v>
      </c>
      <c r="AN73" s="34">
        <f t="shared" si="80"/>
        <v>-155019.16000000003</v>
      </c>
      <c r="AO73" s="34">
        <f t="shared" si="80"/>
        <v>-155690.96999999997</v>
      </c>
      <c r="AP73" s="34">
        <f t="shared" si="80"/>
        <v>-156362.78000000003</v>
      </c>
      <c r="AQ73" s="34">
        <f t="shared" si="80"/>
        <v>-157034.58999999997</v>
      </c>
      <c r="AR73" s="34">
        <f t="shared" si="80"/>
        <v>-157706.40000000002</v>
      </c>
      <c r="AS73" s="34">
        <f t="shared" si="80"/>
        <v>-157706.40000000002</v>
      </c>
      <c r="AT73" s="34">
        <f t="shared" si="80"/>
        <v>-157706.40000000002</v>
      </c>
      <c r="AU73" s="34">
        <f t="shared" si="80"/>
        <v>-157706.40000000002</v>
      </c>
      <c r="AV73" s="34">
        <f t="shared" si="80"/>
        <v>-157706.40000000002</v>
      </c>
      <c r="AW73" s="34">
        <f t="shared" si="80"/>
        <v>-157706.40000000002</v>
      </c>
    </row>
    <row r="74" spans="1:49" x14ac:dyDescent="0.2">
      <c r="A74" s="33" t="s">
        <v>259</v>
      </c>
      <c r="B74" s="32"/>
      <c r="C74" s="35">
        <f t="shared" ref="C74:H77" si="81">B74</f>
        <v>0</v>
      </c>
      <c r="D74" s="35">
        <f t="shared" si="81"/>
        <v>0</v>
      </c>
      <c r="E74" s="35">
        <f t="shared" si="81"/>
        <v>0</v>
      </c>
      <c r="F74" s="35">
        <f t="shared" si="81"/>
        <v>0</v>
      </c>
      <c r="G74" s="35">
        <f t="shared" si="81"/>
        <v>0</v>
      </c>
      <c r="H74" s="35">
        <f t="shared" si="81"/>
        <v>0</v>
      </c>
      <c r="I74" s="35">
        <f>0</f>
        <v>0</v>
      </c>
      <c r="J74" s="35">
        <f>I74</f>
        <v>0</v>
      </c>
      <c r="K74" s="35">
        <f>J74</f>
        <v>0</v>
      </c>
      <c r="L74" s="35">
        <f>K74</f>
        <v>0</v>
      </c>
      <c r="M74" s="35">
        <f>L74</f>
        <v>0</v>
      </c>
      <c r="N74" s="35">
        <f>1</f>
        <v>1</v>
      </c>
      <c r="O74" s="35">
        <f t="shared" ref="O74:AW74" si="82">N74</f>
        <v>1</v>
      </c>
      <c r="P74" s="35">
        <f t="shared" si="82"/>
        <v>1</v>
      </c>
      <c r="Q74" s="35">
        <f t="shared" si="82"/>
        <v>1</v>
      </c>
      <c r="R74" s="35">
        <f t="shared" si="82"/>
        <v>1</v>
      </c>
      <c r="S74" s="35">
        <f t="shared" si="82"/>
        <v>1</v>
      </c>
      <c r="T74" s="35">
        <f t="shared" si="82"/>
        <v>1</v>
      </c>
      <c r="U74" s="35">
        <f t="shared" si="82"/>
        <v>1</v>
      </c>
      <c r="V74" s="35">
        <f t="shared" si="82"/>
        <v>1</v>
      </c>
      <c r="W74" s="35">
        <f t="shared" si="82"/>
        <v>1</v>
      </c>
      <c r="X74" s="35">
        <f t="shared" si="82"/>
        <v>1</v>
      </c>
      <c r="Y74" s="35">
        <f t="shared" si="82"/>
        <v>1</v>
      </c>
      <c r="Z74" s="35">
        <f t="shared" si="82"/>
        <v>1</v>
      </c>
      <c r="AA74" s="35">
        <f t="shared" si="82"/>
        <v>1</v>
      </c>
      <c r="AB74" s="35">
        <f t="shared" si="82"/>
        <v>1</v>
      </c>
      <c r="AC74" s="35">
        <f t="shared" si="82"/>
        <v>1</v>
      </c>
      <c r="AD74" s="35">
        <f t="shared" si="82"/>
        <v>1</v>
      </c>
      <c r="AE74" s="35">
        <f t="shared" si="82"/>
        <v>1</v>
      </c>
      <c r="AF74" s="35">
        <f t="shared" si="82"/>
        <v>1</v>
      </c>
      <c r="AG74" s="35">
        <f t="shared" si="82"/>
        <v>1</v>
      </c>
      <c r="AH74" s="35">
        <f t="shared" si="82"/>
        <v>1</v>
      </c>
      <c r="AI74" s="35">
        <f t="shared" si="82"/>
        <v>1</v>
      </c>
      <c r="AJ74" s="35">
        <f t="shared" si="82"/>
        <v>1</v>
      </c>
      <c r="AK74" s="35">
        <f t="shared" si="82"/>
        <v>1</v>
      </c>
      <c r="AL74" s="35">
        <f t="shared" si="82"/>
        <v>1</v>
      </c>
      <c r="AM74" s="35">
        <f t="shared" si="82"/>
        <v>1</v>
      </c>
      <c r="AN74" s="35">
        <f t="shared" si="82"/>
        <v>1</v>
      </c>
      <c r="AO74" s="35">
        <f t="shared" si="82"/>
        <v>1</v>
      </c>
      <c r="AP74" s="35">
        <f t="shared" si="82"/>
        <v>1</v>
      </c>
      <c r="AQ74" s="35">
        <f t="shared" si="82"/>
        <v>1</v>
      </c>
      <c r="AR74" s="35">
        <f t="shared" si="82"/>
        <v>1</v>
      </c>
      <c r="AS74" s="35">
        <f t="shared" si="82"/>
        <v>1</v>
      </c>
      <c r="AT74" s="35">
        <f t="shared" si="82"/>
        <v>1</v>
      </c>
      <c r="AU74" s="35">
        <f t="shared" si="82"/>
        <v>1</v>
      </c>
      <c r="AV74" s="35">
        <f t="shared" si="82"/>
        <v>1</v>
      </c>
      <c r="AW74" s="35">
        <f t="shared" si="82"/>
        <v>1</v>
      </c>
    </row>
    <row r="75" spans="1:49" x14ac:dyDescent="0.2">
      <c r="A75" s="33" t="s">
        <v>258</v>
      </c>
      <c r="B75" s="32"/>
      <c r="C75" s="35">
        <f t="shared" si="81"/>
        <v>0</v>
      </c>
      <c r="D75" s="35">
        <f t="shared" si="81"/>
        <v>0</v>
      </c>
      <c r="E75" s="35">
        <f t="shared" si="81"/>
        <v>0</v>
      </c>
      <c r="F75" s="35">
        <f t="shared" si="81"/>
        <v>0</v>
      </c>
      <c r="G75" s="35">
        <f t="shared" si="81"/>
        <v>0</v>
      </c>
      <c r="H75" s="35">
        <f t="shared" si="81"/>
        <v>0</v>
      </c>
      <c r="I75" s="35">
        <f>-2000</f>
        <v>-2000</v>
      </c>
      <c r="J75" s="35">
        <f>-4500</f>
        <v>-4500</v>
      </c>
      <c r="K75" s="35">
        <f>-4651.75</f>
        <v>-4651.75</v>
      </c>
      <c r="L75" s="35">
        <f>-4695.75</f>
        <v>-4695.75</v>
      </c>
      <c r="M75" s="35">
        <f>-30995.47</f>
        <v>-30995.47</v>
      </c>
      <c r="N75" s="35">
        <f>-31195.47</f>
        <v>-31195.47</v>
      </c>
      <c r="O75" s="35">
        <f>-36295.47</f>
        <v>-36295.47</v>
      </c>
      <c r="P75" s="35">
        <f>-43718.32</f>
        <v>-43718.32</v>
      </c>
      <c r="Q75" s="35">
        <f>-50626.53</f>
        <v>-50626.53</v>
      </c>
      <c r="R75" s="35">
        <f>-62423.97</f>
        <v>-62423.97</v>
      </c>
      <c r="S75" s="35">
        <f>-93888.17</f>
        <v>-93888.17</v>
      </c>
      <c r="T75" s="35">
        <f>-98607.04</f>
        <v>-98607.039999999994</v>
      </c>
      <c r="U75" s="35">
        <f>-104937.39</f>
        <v>-104937.39</v>
      </c>
      <c r="V75" s="35">
        <f>-115386.14</f>
        <v>-115386.14</v>
      </c>
      <c r="W75" s="35">
        <f>-150413.99</f>
        <v>-150413.99</v>
      </c>
      <c r="X75" s="35">
        <f>-155295.08</f>
        <v>-155295.07999999999</v>
      </c>
      <c r="Y75" s="35">
        <f>-185077.08</f>
        <v>-185077.08</v>
      </c>
      <c r="Z75" s="35">
        <f>-190337.08</f>
        <v>-190337.08</v>
      </c>
      <c r="AA75" s="35">
        <f>-200837.08</f>
        <v>-200837.08</v>
      </c>
      <c r="AB75" s="35">
        <f>-208071.02</f>
        <v>-208071.02</v>
      </c>
      <c r="AC75" s="35">
        <f t="shared" ref="AC75:AW75" si="83">AB75</f>
        <v>-208071.02</v>
      </c>
      <c r="AD75" s="35">
        <f t="shared" si="83"/>
        <v>-208071.02</v>
      </c>
      <c r="AE75" s="35">
        <f t="shared" si="83"/>
        <v>-208071.02</v>
      </c>
      <c r="AF75" s="35">
        <f t="shared" si="83"/>
        <v>-208071.02</v>
      </c>
      <c r="AG75" s="35">
        <f t="shared" si="83"/>
        <v>-208071.02</v>
      </c>
      <c r="AH75" s="35">
        <f t="shared" si="83"/>
        <v>-208071.02</v>
      </c>
      <c r="AI75" s="35">
        <f t="shared" si="83"/>
        <v>-208071.02</v>
      </c>
      <c r="AJ75" s="35">
        <f t="shared" si="83"/>
        <v>-208071.02</v>
      </c>
      <c r="AK75" s="35">
        <f t="shared" si="83"/>
        <v>-208071.02</v>
      </c>
      <c r="AL75" s="35">
        <f t="shared" si="83"/>
        <v>-208071.02</v>
      </c>
      <c r="AM75" s="35">
        <f t="shared" si="83"/>
        <v>-208071.02</v>
      </c>
      <c r="AN75" s="35">
        <f t="shared" si="83"/>
        <v>-208071.02</v>
      </c>
      <c r="AO75" s="35">
        <f t="shared" si="83"/>
        <v>-208071.02</v>
      </c>
      <c r="AP75" s="35">
        <f t="shared" si="83"/>
        <v>-208071.02</v>
      </c>
      <c r="AQ75" s="35">
        <f t="shared" si="83"/>
        <v>-208071.02</v>
      </c>
      <c r="AR75" s="35">
        <f t="shared" si="83"/>
        <v>-208071.02</v>
      </c>
      <c r="AS75" s="35">
        <f t="shared" si="83"/>
        <v>-208071.02</v>
      </c>
      <c r="AT75" s="35">
        <f t="shared" si="83"/>
        <v>-208071.02</v>
      </c>
      <c r="AU75" s="35">
        <f t="shared" si="83"/>
        <v>-208071.02</v>
      </c>
      <c r="AV75" s="35">
        <f t="shared" si="83"/>
        <v>-208071.02</v>
      </c>
      <c r="AW75" s="35">
        <f t="shared" si="83"/>
        <v>-208071.02</v>
      </c>
    </row>
    <row r="76" spans="1:49" x14ac:dyDescent="0.2">
      <c r="A76" s="33" t="s">
        <v>257</v>
      </c>
      <c r="B76" s="32"/>
      <c r="C76" s="35">
        <f t="shared" si="81"/>
        <v>0</v>
      </c>
      <c r="D76" s="35">
        <f t="shared" si="81"/>
        <v>0</v>
      </c>
      <c r="E76" s="35">
        <f t="shared" si="81"/>
        <v>0</v>
      </c>
      <c r="F76" s="35">
        <f t="shared" si="81"/>
        <v>0</v>
      </c>
      <c r="G76" s="35">
        <f t="shared" si="81"/>
        <v>0</v>
      </c>
      <c r="H76" s="35">
        <f t="shared" si="81"/>
        <v>0</v>
      </c>
      <c r="I76" s="35">
        <f>3989.93</f>
        <v>3989.93</v>
      </c>
      <c r="J76" s="35">
        <f>I76</f>
        <v>3989.93</v>
      </c>
      <c r="K76" s="35">
        <f>J76</f>
        <v>3989.93</v>
      </c>
      <c r="L76" s="35">
        <f>13204.28</f>
        <v>13204.28</v>
      </c>
      <c r="M76" s="35">
        <f>15809.91</f>
        <v>15809.91</v>
      </c>
      <c r="N76" s="35">
        <f>19130.27</f>
        <v>19130.27</v>
      </c>
      <c r="O76" s="35">
        <f t="shared" ref="O76:AB76" si="84">N76</f>
        <v>19130.27</v>
      </c>
      <c r="P76" s="35">
        <f t="shared" si="84"/>
        <v>19130.27</v>
      </c>
      <c r="Q76" s="35">
        <f t="shared" si="84"/>
        <v>19130.27</v>
      </c>
      <c r="R76" s="35">
        <f t="shared" si="84"/>
        <v>19130.27</v>
      </c>
      <c r="S76" s="35">
        <f t="shared" si="84"/>
        <v>19130.27</v>
      </c>
      <c r="T76" s="35">
        <f t="shared" si="84"/>
        <v>19130.27</v>
      </c>
      <c r="U76" s="35">
        <f t="shared" si="84"/>
        <v>19130.27</v>
      </c>
      <c r="V76" s="35">
        <f t="shared" si="84"/>
        <v>19130.27</v>
      </c>
      <c r="W76" s="35">
        <f t="shared" si="84"/>
        <v>19130.27</v>
      </c>
      <c r="X76" s="35">
        <f t="shared" si="84"/>
        <v>19130.27</v>
      </c>
      <c r="Y76" s="35">
        <f t="shared" si="84"/>
        <v>19130.27</v>
      </c>
      <c r="Z76" s="35">
        <f t="shared" si="84"/>
        <v>19130.27</v>
      </c>
      <c r="AA76" s="35">
        <f t="shared" si="84"/>
        <v>19130.27</v>
      </c>
      <c r="AB76" s="35">
        <f t="shared" si="84"/>
        <v>19130.27</v>
      </c>
      <c r="AC76" s="35">
        <f t="shared" ref="AC76:AW76" si="85">AB76</f>
        <v>19130.27</v>
      </c>
      <c r="AD76" s="35">
        <f t="shared" si="85"/>
        <v>19130.27</v>
      </c>
      <c r="AE76" s="35">
        <f t="shared" si="85"/>
        <v>19130.27</v>
      </c>
      <c r="AF76" s="35">
        <f t="shared" si="85"/>
        <v>19130.27</v>
      </c>
      <c r="AG76" s="35">
        <f t="shared" si="85"/>
        <v>19130.27</v>
      </c>
      <c r="AH76" s="35">
        <f t="shared" si="85"/>
        <v>19130.27</v>
      </c>
      <c r="AI76" s="35">
        <f t="shared" si="85"/>
        <v>19130.27</v>
      </c>
      <c r="AJ76" s="35">
        <f t="shared" si="85"/>
        <v>19130.27</v>
      </c>
      <c r="AK76" s="35">
        <f t="shared" si="85"/>
        <v>19130.27</v>
      </c>
      <c r="AL76" s="35">
        <f t="shared" si="85"/>
        <v>19130.27</v>
      </c>
      <c r="AM76" s="35">
        <f t="shared" si="85"/>
        <v>19130.27</v>
      </c>
      <c r="AN76" s="35">
        <f t="shared" si="85"/>
        <v>19130.27</v>
      </c>
      <c r="AO76" s="35">
        <f t="shared" si="85"/>
        <v>19130.27</v>
      </c>
      <c r="AP76" s="35">
        <f t="shared" si="85"/>
        <v>19130.27</v>
      </c>
      <c r="AQ76" s="35">
        <f t="shared" si="85"/>
        <v>19130.27</v>
      </c>
      <c r="AR76" s="35">
        <f t="shared" si="85"/>
        <v>19130.27</v>
      </c>
      <c r="AS76" s="35">
        <f t="shared" si="85"/>
        <v>19130.27</v>
      </c>
      <c r="AT76" s="35">
        <f t="shared" si="85"/>
        <v>19130.27</v>
      </c>
      <c r="AU76" s="35">
        <f t="shared" si="85"/>
        <v>19130.27</v>
      </c>
      <c r="AV76" s="35">
        <f t="shared" si="85"/>
        <v>19130.27</v>
      </c>
      <c r="AW76" s="35">
        <f t="shared" si="85"/>
        <v>19130.27</v>
      </c>
    </row>
    <row r="77" spans="1:49" x14ac:dyDescent="0.2">
      <c r="A77" s="33" t="s">
        <v>256</v>
      </c>
      <c r="B77" s="32"/>
      <c r="C77" s="35">
        <f t="shared" si="81"/>
        <v>0</v>
      </c>
      <c r="D77" s="35">
        <f t="shared" si="81"/>
        <v>0</v>
      </c>
      <c r="E77" s="35">
        <f t="shared" si="81"/>
        <v>0</v>
      </c>
      <c r="F77" s="35">
        <f t="shared" si="81"/>
        <v>0</v>
      </c>
      <c r="G77" s="35">
        <f t="shared" si="81"/>
        <v>0</v>
      </c>
      <c r="H77" s="35">
        <f t="shared" si="81"/>
        <v>0</v>
      </c>
      <c r="I77" s="35">
        <f>H77</f>
        <v>0</v>
      </c>
      <c r="J77" s="35">
        <f>I77</f>
        <v>0</v>
      </c>
      <c r="K77" s="35">
        <f>J77</f>
        <v>0</v>
      </c>
      <c r="L77" s="35">
        <f>K77</f>
        <v>0</v>
      </c>
      <c r="M77" s="35">
        <f>L77</f>
        <v>0</v>
      </c>
      <c r="N77" s="35">
        <f>(M77)+(M78)</f>
        <v>45700.77</v>
      </c>
      <c r="O77" s="35">
        <f t="shared" ref="O77:Y77" si="86">N77</f>
        <v>45700.77</v>
      </c>
      <c r="P77" s="35">
        <f t="shared" si="86"/>
        <v>45700.77</v>
      </c>
      <c r="Q77" s="35">
        <f t="shared" si="86"/>
        <v>45700.77</v>
      </c>
      <c r="R77" s="35">
        <f t="shared" si="86"/>
        <v>45700.77</v>
      </c>
      <c r="S77" s="35">
        <f t="shared" si="86"/>
        <v>45700.77</v>
      </c>
      <c r="T77" s="35">
        <f t="shared" si="86"/>
        <v>45700.77</v>
      </c>
      <c r="U77" s="35">
        <f t="shared" si="86"/>
        <v>45700.77</v>
      </c>
      <c r="V77" s="35">
        <f t="shared" si="86"/>
        <v>45700.77</v>
      </c>
      <c r="W77" s="35">
        <f t="shared" si="86"/>
        <v>45700.77</v>
      </c>
      <c r="X77" s="35">
        <f t="shared" si="86"/>
        <v>45700.77</v>
      </c>
      <c r="Y77" s="35">
        <f t="shared" si="86"/>
        <v>45700.77</v>
      </c>
      <c r="Z77" s="35">
        <f>(Y77)+(Y78)</f>
        <v>204931.16999999998</v>
      </c>
      <c r="AA77" s="35">
        <f t="shared" ref="AA77:AK77" si="87">Z77</f>
        <v>204931.16999999998</v>
      </c>
      <c r="AB77" s="35">
        <f t="shared" si="87"/>
        <v>204931.16999999998</v>
      </c>
      <c r="AC77" s="35">
        <f t="shared" si="87"/>
        <v>204931.16999999998</v>
      </c>
      <c r="AD77" s="35">
        <f t="shared" si="87"/>
        <v>204931.16999999998</v>
      </c>
      <c r="AE77" s="35">
        <f t="shared" si="87"/>
        <v>204931.16999999998</v>
      </c>
      <c r="AF77" s="35">
        <f t="shared" si="87"/>
        <v>204931.16999999998</v>
      </c>
      <c r="AG77" s="35">
        <f t="shared" si="87"/>
        <v>204931.16999999998</v>
      </c>
      <c r="AH77" s="35">
        <f t="shared" si="87"/>
        <v>204931.16999999998</v>
      </c>
      <c r="AI77" s="35">
        <f t="shared" si="87"/>
        <v>204931.16999999998</v>
      </c>
      <c r="AJ77" s="35">
        <f t="shared" si="87"/>
        <v>204931.16999999998</v>
      </c>
      <c r="AK77" s="35">
        <f t="shared" si="87"/>
        <v>204931.16999999998</v>
      </c>
      <c r="AL77" s="35">
        <f>(AK77)+(AK78)</f>
        <v>475884.31</v>
      </c>
      <c r="AM77" s="35">
        <f t="shared" ref="AM77:AW77" si="88">AL77</f>
        <v>475884.31</v>
      </c>
      <c r="AN77" s="35">
        <f t="shared" si="88"/>
        <v>475884.31</v>
      </c>
      <c r="AO77" s="35">
        <f t="shared" si="88"/>
        <v>475884.31</v>
      </c>
      <c r="AP77" s="35">
        <f t="shared" si="88"/>
        <v>475884.31</v>
      </c>
      <c r="AQ77" s="35">
        <f t="shared" si="88"/>
        <v>475884.31</v>
      </c>
      <c r="AR77" s="35">
        <f t="shared" si="88"/>
        <v>475884.31</v>
      </c>
      <c r="AS77" s="35">
        <f t="shared" si="88"/>
        <v>475884.31</v>
      </c>
      <c r="AT77" s="35">
        <f t="shared" si="88"/>
        <v>475884.31</v>
      </c>
      <c r="AU77" s="35">
        <f t="shared" si="88"/>
        <v>475884.31</v>
      </c>
      <c r="AV77" s="35">
        <f t="shared" si="88"/>
        <v>475884.31</v>
      </c>
      <c r="AW77" s="35">
        <f t="shared" si="88"/>
        <v>475884.31</v>
      </c>
    </row>
    <row r="78" spans="1:49" x14ac:dyDescent="0.2">
      <c r="A78" s="33" t="s">
        <v>255</v>
      </c>
      <c r="B78" s="32"/>
      <c r="C78" s="35">
        <f>B78</f>
        <v>0</v>
      </c>
      <c r="D78" s="35">
        <f>C78</f>
        <v>0</v>
      </c>
      <c r="E78" s="35">
        <f>D78</f>
        <v>0</v>
      </c>
      <c r="F78" s="35">
        <f>E78</f>
        <v>0</v>
      </c>
      <c r="G78" s="35">
        <f>F78</f>
        <v>0</v>
      </c>
      <c r="H78" s="35">
        <f>11526.48</f>
        <v>11526.48</v>
      </c>
      <c r="I78" s="35">
        <f>32676.72</f>
        <v>32676.720000000001</v>
      </c>
      <c r="J78" s="35">
        <f>48468.19</f>
        <v>48468.19</v>
      </c>
      <c r="K78" s="35">
        <f>49658.06</f>
        <v>49658.06</v>
      </c>
      <c r="L78" s="35">
        <f>66544.93</f>
        <v>66544.929999999993</v>
      </c>
      <c r="M78" s="35">
        <f>45700.77</f>
        <v>45700.77</v>
      </c>
      <c r="N78" s="35">
        <f>1769.15</f>
        <v>1769.15</v>
      </c>
      <c r="O78" s="35">
        <f>32195.46</f>
        <v>32195.46</v>
      </c>
      <c r="P78" s="35">
        <f>105688.3</f>
        <v>105688.3</v>
      </c>
      <c r="Q78" s="35">
        <f>153301.62</f>
        <v>153301.62</v>
      </c>
      <c r="R78" s="35">
        <f>193544.98</f>
        <v>193544.98</v>
      </c>
      <c r="S78" s="35">
        <f>260664.9</f>
        <v>260664.9</v>
      </c>
      <c r="T78" s="35">
        <f>286226.28</f>
        <v>286226.28000000003</v>
      </c>
      <c r="U78" s="35">
        <f>332438.44</f>
        <v>332438.44</v>
      </c>
      <c r="V78" s="35">
        <f>395436</f>
        <v>395436</v>
      </c>
      <c r="W78" s="35">
        <f>421178.14</f>
        <v>421178.14</v>
      </c>
      <c r="X78" s="35">
        <f>436392.61</f>
        <v>436392.61</v>
      </c>
      <c r="Y78" s="35">
        <f>159230.4</f>
        <v>159230.39999999999</v>
      </c>
      <c r="Z78" s="35">
        <f>31093.56</f>
        <v>31093.56</v>
      </c>
      <c r="AA78" s="35">
        <f>70402.5</f>
        <v>70402.5</v>
      </c>
      <c r="AB78" s="35">
        <f>111202.85</f>
        <v>111202.85</v>
      </c>
      <c r="AC78" s="35">
        <f>133410.25</f>
        <v>133410.25</v>
      </c>
      <c r="AD78" s="35">
        <f>145133.8</f>
        <v>145133.79999999999</v>
      </c>
      <c r="AE78" s="35">
        <f>175024.84</f>
        <v>175024.84</v>
      </c>
      <c r="AF78" s="35">
        <f>175218.58</f>
        <v>175218.58</v>
      </c>
      <c r="AG78" s="35">
        <f>213055.73</f>
        <v>213055.73</v>
      </c>
      <c r="AH78" s="35">
        <f>185179.56</f>
        <v>185179.56</v>
      </c>
      <c r="AI78" s="35">
        <f>222984.29</f>
        <v>222984.29</v>
      </c>
      <c r="AJ78" s="35">
        <f>166529.97</f>
        <v>166529.97</v>
      </c>
      <c r="AK78" s="35">
        <f>270953.14</f>
        <v>270953.14</v>
      </c>
      <c r="AL78" s="35">
        <f>-649.86</f>
        <v>-649.86</v>
      </c>
      <c r="AM78" s="35">
        <f>57581.72</f>
        <v>57581.72</v>
      </c>
      <c r="AN78" s="35">
        <f>62874.25</f>
        <v>62874.25</v>
      </c>
      <c r="AO78" s="35">
        <f>53196.53</f>
        <v>53196.53</v>
      </c>
      <c r="AP78" s="35">
        <f>77232.74</f>
        <v>77232.740000000005</v>
      </c>
      <c r="AQ78" s="35">
        <f>110093.12</f>
        <v>110093.12</v>
      </c>
      <c r="AR78" s="35">
        <f>74183.55</f>
        <v>74183.55</v>
      </c>
      <c r="AS78" s="35">
        <f>183484.69</f>
        <v>183484.69</v>
      </c>
      <c r="AT78" s="35">
        <f>205484.69</f>
        <v>205484.69</v>
      </c>
      <c r="AU78" s="35">
        <f>AT78</f>
        <v>205484.69</v>
      </c>
      <c r="AV78" s="35">
        <f>AU78</f>
        <v>205484.69</v>
      </c>
      <c r="AW78" s="35">
        <f>AV78</f>
        <v>205484.69</v>
      </c>
    </row>
    <row r="79" spans="1:49" x14ac:dyDescent="0.2">
      <c r="A79" s="33" t="s">
        <v>254</v>
      </c>
      <c r="B79" s="34">
        <f t="shared" ref="B79:AW79" si="89">(((((B73)+(B74))+(B75))+(B76))+(B77))+(B78)</f>
        <v>0</v>
      </c>
      <c r="C79" s="34">
        <f t="shared" si="89"/>
        <v>0</v>
      </c>
      <c r="D79" s="34">
        <f t="shared" si="89"/>
        <v>0</v>
      </c>
      <c r="E79" s="34">
        <f t="shared" si="89"/>
        <v>0</v>
      </c>
      <c r="F79" s="34">
        <f t="shared" si="89"/>
        <v>0</v>
      </c>
      <c r="G79" s="34">
        <f t="shared" si="89"/>
        <v>0</v>
      </c>
      <c r="H79" s="34">
        <f t="shared" si="89"/>
        <v>11526.48</v>
      </c>
      <c r="I79" s="34">
        <f t="shared" si="89"/>
        <v>34666.65</v>
      </c>
      <c r="J79" s="34">
        <f t="shared" si="89"/>
        <v>47958.12</v>
      </c>
      <c r="K79" s="34">
        <f t="shared" si="89"/>
        <v>48996.24</v>
      </c>
      <c r="L79" s="34">
        <f t="shared" si="89"/>
        <v>75053.459999999992</v>
      </c>
      <c r="M79" s="34">
        <f t="shared" si="89"/>
        <v>30515.209999999995</v>
      </c>
      <c r="N79" s="34">
        <f t="shared" si="89"/>
        <v>35405.719999999994</v>
      </c>
      <c r="O79" s="34">
        <f t="shared" si="89"/>
        <v>60732.03</v>
      </c>
      <c r="P79" s="34">
        <f t="shared" si="89"/>
        <v>126802.02</v>
      </c>
      <c r="Q79" s="34">
        <f t="shared" si="89"/>
        <v>167507.13</v>
      </c>
      <c r="R79" s="34">
        <f t="shared" si="89"/>
        <v>195528.05000000002</v>
      </c>
      <c r="S79" s="34">
        <f t="shared" si="89"/>
        <v>230758.77</v>
      </c>
      <c r="T79" s="34">
        <f t="shared" si="89"/>
        <v>251176.28000000003</v>
      </c>
      <c r="U79" s="34">
        <f t="shared" si="89"/>
        <v>290633.09000000003</v>
      </c>
      <c r="V79" s="34">
        <f t="shared" si="89"/>
        <v>342756.9</v>
      </c>
      <c r="W79" s="34">
        <f t="shared" si="89"/>
        <v>333046.19</v>
      </c>
      <c r="X79" s="34">
        <f t="shared" si="89"/>
        <v>342954.56999999995</v>
      </c>
      <c r="Y79" s="34">
        <f t="shared" si="89"/>
        <v>35585.359999999986</v>
      </c>
      <c r="Z79" s="34">
        <f t="shared" si="89"/>
        <v>60993.919999999984</v>
      </c>
      <c r="AA79" s="34">
        <f t="shared" si="89"/>
        <v>89377.859999999986</v>
      </c>
      <c r="AB79" s="34">
        <f t="shared" si="89"/>
        <v>122924.26999999999</v>
      </c>
      <c r="AC79" s="34">
        <f t="shared" si="89"/>
        <v>139706.66999999998</v>
      </c>
      <c r="AD79" s="34">
        <f t="shared" si="89"/>
        <v>151005.21999999997</v>
      </c>
      <c r="AE79" s="34">
        <f t="shared" si="89"/>
        <v>180471.25999999998</v>
      </c>
      <c r="AF79" s="34">
        <f t="shared" si="89"/>
        <v>179699.61999999997</v>
      </c>
      <c r="AG79" s="34">
        <f t="shared" si="89"/>
        <v>85264.96000000005</v>
      </c>
      <c r="AH79" s="34">
        <f t="shared" si="89"/>
        <v>53949.839999999967</v>
      </c>
      <c r="AI79" s="34">
        <f t="shared" si="89"/>
        <v>87482.760000000038</v>
      </c>
      <c r="AJ79" s="34">
        <f t="shared" si="89"/>
        <v>30356.629999999976</v>
      </c>
      <c r="AK79" s="34">
        <f t="shared" si="89"/>
        <v>133940.83000000002</v>
      </c>
      <c r="AL79" s="34">
        <f t="shared" si="89"/>
        <v>132619.15999999997</v>
      </c>
      <c r="AM79" s="34">
        <f t="shared" si="89"/>
        <v>190178.93000000002</v>
      </c>
      <c r="AN79" s="34">
        <f t="shared" si="89"/>
        <v>194799.64999999997</v>
      </c>
      <c r="AO79" s="34">
        <f t="shared" si="89"/>
        <v>184450.12000000002</v>
      </c>
      <c r="AP79" s="34">
        <f t="shared" si="89"/>
        <v>207814.51999999996</v>
      </c>
      <c r="AQ79" s="34">
        <f t="shared" si="89"/>
        <v>240003.09000000003</v>
      </c>
      <c r="AR79" s="34">
        <f t="shared" si="89"/>
        <v>203421.70999999996</v>
      </c>
      <c r="AS79" s="34">
        <f t="shared" si="89"/>
        <v>312722.84999999998</v>
      </c>
      <c r="AT79" s="34">
        <f t="shared" si="89"/>
        <v>334722.84999999998</v>
      </c>
      <c r="AU79" s="34">
        <f t="shared" si="89"/>
        <v>334722.84999999998</v>
      </c>
      <c r="AV79" s="34">
        <f t="shared" si="89"/>
        <v>334722.84999999998</v>
      </c>
      <c r="AW79" s="34">
        <f t="shared" si="89"/>
        <v>334722.84999999998</v>
      </c>
    </row>
    <row r="80" spans="1:49" x14ac:dyDescent="0.2">
      <c r="A80" s="33" t="s">
        <v>253</v>
      </c>
      <c r="B80" s="34">
        <f t="shared" ref="B80:AW80" si="90">(B60)+(B79)</f>
        <v>0</v>
      </c>
      <c r="C80" s="34">
        <f t="shared" si="90"/>
        <v>0</v>
      </c>
      <c r="D80" s="34">
        <f t="shared" si="90"/>
        <v>0</v>
      </c>
      <c r="E80" s="34">
        <f t="shared" si="90"/>
        <v>0</v>
      </c>
      <c r="F80" s="34">
        <f t="shared" si="90"/>
        <v>0</v>
      </c>
      <c r="G80" s="34">
        <f t="shared" si="90"/>
        <v>0</v>
      </c>
      <c r="H80" s="34">
        <f t="shared" si="90"/>
        <v>11526.48</v>
      </c>
      <c r="I80" s="34">
        <f t="shared" si="90"/>
        <v>34666.65</v>
      </c>
      <c r="J80" s="34">
        <f t="shared" si="90"/>
        <v>47958.12</v>
      </c>
      <c r="K80" s="34">
        <f t="shared" si="90"/>
        <v>48996.24</v>
      </c>
      <c r="L80" s="34">
        <f t="shared" si="90"/>
        <v>77640.739999999991</v>
      </c>
      <c r="M80" s="34">
        <f t="shared" si="90"/>
        <v>33102.49</v>
      </c>
      <c r="N80" s="34">
        <f t="shared" si="90"/>
        <v>39286.639999999992</v>
      </c>
      <c r="O80" s="34">
        <f t="shared" si="90"/>
        <v>64612.95</v>
      </c>
      <c r="P80" s="34">
        <f t="shared" si="90"/>
        <v>130682.94</v>
      </c>
      <c r="Q80" s="34">
        <f t="shared" si="90"/>
        <v>171388.05000000002</v>
      </c>
      <c r="R80" s="34">
        <f t="shared" si="90"/>
        <v>199408.97000000003</v>
      </c>
      <c r="S80" s="34">
        <f t="shared" si="90"/>
        <v>234154.69</v>
      </c>
      <c r="T80" s="34">
        <f t="shared" si="90"/>
        <v>254572.20000000004</v>
      </c>
      <c r="U80" s="34">
        <f t="shared" si="90"/>
        <v>294029.01</v>
      </c>
      <c r="V80" s="34">
        <f t="shared" si="90"/>
        <v>346152.82</v>
      </c>
      <c r="W80" s="34">
        <f t="shared" si="90"/>
        <v>336442.11</v>
      </c>
      <c r="X80" s="34">
        <f t="shared" si="90"/>
        <v>346350.48999999993</v>
      </c>
      <c r="Y80" s="34">
        <f t="shared" si="90"/>
        <v>38981.279999999984</v>
      </c>
      <c r="Z80" s="34">
        <f t="shared" si="90"/>
        <v>64389.839999999982</v>
      </c>
      <c r="AA80" s="34">
        <f t="shared" si="90"/>
        <v>92773.779999999984</v>
      </c>
      <c r="AB80" s="34">
        <f t="shared" si="90"/>
        <v>198771.08</v>
      </c>
      <c r="AC80" s="34">
        <f t="shared" si="90"/>
        <v>220218.53999999998</v>
      </c>
      <c r="AD80" s="34">
        <f t="shared" si="90"/>
        <v>239701.06999999998</v>
      </c>
      <c r="AE80" s="34">
        <f t="shared" si="90"/>
        <v>272701.43999999994</v>
      </c>
      <c r="AF80" s="34">
        <f t="shared" si="90"/>
        <v>271987.77999999997</v>
      </c>
      <c r="AG80" s="34">
        <f t="shared" si="90"/>
        <v>193686.80000000005</v>
      </c>
      <c r="AH80" s="34">
        <f t="shared" si="90"/>
        <v>168026.62999999998</v>
      </c>
      <c r="AI80" s="34">
        <f t="shared" si="90"/>
        <v>219112.88000000003</v>
      </c>
      <c r="AJ80" s="34">
        <f t="shared" si="90"/>
        <v>146271.34999999998</v>
      </c>
      <c r="AK80" s="34">
        <f t="shared" si="90"/>
        <v>236110.29</v>
      </c>
      <c r="AL80" s="34">
        <f t="shared" si="90"/>
        <v>246732.32999999996</v>
      </c>
      <c r="AM80" s="34">
        <f t="shared" si="90"/>
        <v>288328.97000000003</v>
      </c>
      <c r="AN80" s="34">
        <f t="shared" si="90"/>
        <v>294283.78999999998</v>
      </c>
      <c r="AO80" s="34">
        <f t="shared" si="90"/>
        <v>301629.85000000003</v>
      </c>
      <c r="AP80" s="34">
        <f t="shared" si="90"/>
        <v>353501.51999999996</v>
      </c>
      <c r="AQ80" s="34">
        <f t="shared" si="90"/>
        <v>351346.16000000003</v>
      </c>
      <c r="AR80" s="34">
        <f t="shared" si="90"/>
        <v>366116.87</v>
      </c>
      <c r="AS80" s="34">
        <f t="shared" si="90"/>
        <v>443041.87</v>
      </c>
      <c r="AT80" s="34">
        <f t="shared" si="90"/>
        <v>465041.87</v>
      </c>
      <c r="AU80" s="34">
        <f t="shared" si="90"/>
        <v>465041.87</v>
      </c>
      <c r="AV80" s="34">
        <f t="shared" si="90"/>
        <v>465041.87</v>
      </c>
      <c r="AW80" s="34">
        <f t="shared" si="90"/>
        <v>465041.87</v>
      </c>
    </row>
    <row r="81" spans="1:49" x14ac:dyDescent="0.2">
      <c r="A81" s="33"/>
      <c r="B81" s="32"/>
      <c r="C81" s="32"/>
      <c r="D81" s="32"/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2"/>
      <c r="AF81" s="32"/>
      <c r="AG81" s="32"/>
      <c r="AH81" s="32"/>
      <c r="AI81" s="32"/>
      <c r="AJ81" s="32"/>
      <c r="AK81" s="32"/>
      <c r="AL81" s="32"/>
      <c r="AM81" s="32"/>
      <c r="AN81" s="32"/>
      <c r="AO81" s="32"/>
      <c r="AP81" s="32"/>
      <c r="AQ81" s="32"/>
      <c r="AR81" s="32"/>
      <c r="AS81" s="32"/>
      <c r="AT81" s="32"/>
      <c r="AU81" s="32"/>
      <c r="AV81" s="32"/>
      <c r="AW81" s="32"/>
    </row>
    <row r="84" spans="1:49" x14ac:dyDescent="0.2">
      <c r="A84" s="64" t="s">
        <v>252</v>
      </c>
      <c r="B84" s="65"/>
      <c r="C84" s="65"/>
      <c r="D84" s="65"/>
      <c r="E84" s="65"/>
      <c r="F84" s="65"/>
      <c r="G84" s="65"/>
      <c r="H84" s="65"/>
      <c r="I84" s="65"/>
      <c r="J84" s="65"/>
      <c r="K84" s="65"/>
      <c r="L84" s="65"/>
      <c r="M84" s="65"/>
      <c r="N84" s="65"/>
      <c r="O84" s="65"/>
      <c r="P84" s="65"/>
      <c r="Q84" s="65"/>
      <c r="R84" s="65"/>
      <c r="S84" s="65"/>
      <c r="T84" s="65"/>
      <c r="U84" s="65"/>
      <c r="V84" s="65"/>
      <c r="W84" s="65"/>
      <c r="X84" s="65"/>
      <c r="Y84" s="65"/>
      <c r="Z84" s="65"/>
      <c r="AA84" s="65"/>
      <c r="AB84" s="65"/>
      <c r="AC84" s="65"/>
      <c r="AD84" s="65"/>
      <c r="AE84" s="65"/>
      <c r="AF84" s="65"/>
      <c r="AG84" s="65"/>
      <c r="AH84" s="65"/>
      <c r="AI84" s="65"/>
      <c r="AJ84" s="65"/>
      <c r="AK84" s="65"/>
      <c r="AL84" s="65"/>
      <c r="AM84" s="65"/>
      <c r="AN84" s="65"/>
      <c r="AO84" s="65"/>
      <c r="AP84" s="65"/>
      <c r="AQ84" s="65"/>
      <c r="AR84" s="65"/>
      <c r="AS84" s="65"/>
      <c r="AT84" s="65"/>
      <c r="AU84" s="65"/>
      <c r="AV84" s="65"/>
      <c r="AW84" s="65"/>
    </row>
  </sheetData>
  <mergeCells count="4">
    <mergeCell ref="A84:AW84"/>
    <mergeCell ref="A1:AW1"/>
    <mergeCell ref="A2:AW2"/>
    <mergeCell ref="A3:AW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4</vt:i4>
      </vt:variant>
    </vt:vector>
  </HeadingPairs>
  <TitlesOfParts>
    <vt:vector size="16" baseType="lpstr">
      <vt:lpstr>PnL_data</vt:lpstr>
      <vt:lpstr>Sheet6</vt:lpstr>
      <vt:lpstr>Sheet7</vt:lpstr>
      <vt:lpstr>PnlClean</vt:lpstr>
      <vt:lpstr>Sheet5</vt:lpstr>
      <vt:lpstr>Dashboard</vt:lpstr>
      <vt:lpstr>Econ</vt:lpstr>
      <vt:lpstr>Profit and Loss</vt:lpstr>
      <vt:lpstr>Balance Sheet</vt:lpstr>
      <vt:lpstr>Statement of Cash Flows</vt:lpstr>
      <vt:lpstr>pnl_flat</vt:lpstr>
      <vt:lpstr>Sheet9</vt:lpstr>
      <vt:lpstr>DD</vt:lpstr>
      <vt:lpstr>pnl_fullarea</vt:lpstr>
      <vt:lpstr>pnl_index</vt:lpstr>
      <vt:lpstr>pnlData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Marshall</dc:creator>
  <cp:lastModifiedBy>Matthew Marshall</cp:lastModifiedBy>
  <dcterms:created xsi:type="dcterms:W3CDTF">2023-09-14T18:24:19Z</dcterms:created>
  <dcterms:modified xsi:type="dcterms:W3CDTF">2023-09-15T15:43:58Z</dcterms:modified>
</cp:coreProperties>
</file>