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hang/Documents/gryder/"/>
    </mc:Choice>
  </mc:AlternateContent>
  <xr:revisionPtr revIDLastSave="0" documentId="13_ncr:1_{77C2D608-17FD-7640-BB25-CC5EDCD6FE1B}" xr6:coauthVersionLast="47" xr6:coauthVersionMax="47" xr10:uidLastSave="{00000000-0000-0000-0000-000000000000}"/>
  <bookViews>
    <workbookView xWindow="780" yWindow="1000" windowWidth="27640" windowHeight="16440" xr2:uid="{04B81DB4-D0AD-C74D-A24A-09A11CEE03E0}"/>
  </bookViews>
  <sheets>
    <sheet name="Directory" sheetId="1" r:id="rId1"/>
    <sheet name="Protocol" sheetId="2" r:id="rId2"/>
    <sheet name="BCA" sheetId="3" r:id="rId3"/>
    <sheet name="Quantification" sheetId="4" r:id="rId4"/>
    <sheet name="ImageLab_Softwar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3" l="1"/>
  <c r="K29" i="3"/>
  <c r="K30" i="3"/>
  <c r="K31" i="3"/>
  <c r="K32" i="3"/>
  <c r="K33" i="3"/>
  <c r="K34" i="3"/>
  <c r="K28" i="3"/>
  <c r="D34" i="3"/>
  <c r="D137" i="2"/>
  <c r="E147" i="2"/>
  <c r="D147" i="2"/>
  <c r="H147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Q39" i="2" l="1"/>
  <c r="A15" i="2" l="1"/>
  <c r="D33" i="3"/>
  <c r="D32" i="3"/>
  <c r="D31" i="3"/>
  <c r="D30" i="3"/>
  <c r="D29" i="3"/>
  <c r="D28" i="3"/>
  <c r="D17" i="3"/>
  <c r="G10" i="3" s="1"/>
  <c r="D15" i="3"/>
  <c r="G9" i="3" s="1"/>
  <c r="D13" i="3"/>
  <c r="G8" i="3" s="1"/>
  <c r="D11" i="3"/>
  <c r="G7" i="3" s="1"/>
  <c r="F10" i="3"/>
  <c r="F9" i="3"/>
  <c r="D9" i="3"/>
  <c r="G6" i="3" s="1"/>
  <c r="F8" i="3"/>
  <c r="F7" i="3"/>
  <c r="D7" i="3"/>
  <c r="G5" i="3" s="1"/>
  <c r="F6" i="3"/>
  <c r="F5" i="3"/>
  <c r="D5" i="3"/>
  <c r="G4" i="3" s="1"/>
  <c r="F4" i="3"/>
  <c r="F3" i="3"/>
  <c r="D3" i="3"/>
  <c r="G3" i="3" s="1"/>
  <c r="E162" i="2"/>
  <c r="D162" i="2"/>
  <c r="E137" i="2"/>
  <c r="H137" i="2"/>
  <c r="E130" i="2"/>
  <c r="G103" i="2"/>
  <c r="E88" i="2"/>
  <c r="E73" i="2"/>
  <c r="C4" i="2"/>
  <c r="F34" i="2" l="1"/>
  <c r="D55" i="2"/>
  <c r="F55" i="2" s="1"/>
  <c r="E34" i="2"/>
  <c r="D34" i="2" s="1"/>
  <c r="F26" i="2"/>
  <c r="D26" i="2" s="1"/>
  <c r="E26" i="2" s="1"/>
  <c r="C21" i="3"/>
  <c r="C20" i="3"/>
  <c r="E103" i="2"/>
  <c r="F103" i="2" s="1"/>
  <c r="G43" i="2"/>
  <c r="G55" i="2" l="1"/>
  <c r="H55" i="2" s="1"/>
  <c r="E34" i="3"/>
  <c r="F34" i="3" s="1"/>
  <c r="G34" i="3" s="1"/>
  <c r="E32" i="3"/>
  <c r="F32" i="3" s="1"/>
  <c r="G32" i="3" s="1"/>
  <c r="J32" i="3" s="1"/>
  <c r="E30" i="3"/>
  <c r="F30" i="3" s="1"/>
  <c r="G30" i="3" s="1"/>
  <c r="J30" i="3" s="1"/>
  <c r="E33" i="3"/>
  <c r="F33" i="3" s="1"/>
  <c r="G33" i="3" s="1"/>
  <c r="J33" i="3" s="1"/>
  <c r="E29" i="3"/>
  <c r="F29" i="3" s="1"/>
  <c r="G29" i="3" s="1"/>
  <c r="J29" i="3" s="1"/>
  <c r="E28" i="3"/>
  <c r="F28" i="3" s="1"/>
  <c r="J28" i="3" s="1"/>
  <c r="E31" i="3"/>
  <c r="F31" i="3" s="1"/>
  <c r="G31" i="3" s="1"/>
  <c r="J31" i="3" s="1"/>
  <c r="F43" i="2"/>
  <c r="E43" i="2"/>
  <c r="D43" i="2" s="1"/>
  <c r="H34" i="3" l="1"/>
  <c r="J34" i="3"/>
  <c r="H30" i="3"/>
  <c r="H29" i="3"/>
  <c r="H28" i="3"/>
  <c r="H32" i="3"/>
  <c r="H33" i="3"/>
  <c r="H31" i="3"/>
</calcChain>
</file>

<file path=xl/sharedStrings.xml><?xml version="1.0" encoding="utf-8"?>
<sst xmlns="http://schemas.openxmlformats.org/spreadsheetml/2006/main" count="297" uniqueCount="239">
  <si>
    <t>Protocol</t>
  </si>
  <si>
    <t>BCA</t>
  </si>
  <si>
    <t>Quantification</t>
  </si>
  <si>
    <t>Calculations and step-by-step instructions</t>
  </si>
  <si>
    <t>Protein/histone conc</t>
  </si>
  <si>
    <t>Results from Image Lab</t>
  </si>
  <si>
    <t>ImageLab_Software</t>
  </si>
  <si>
    <t>Images from ImageLab software used to quantify Western blots</t>
  </si>
  <si>
    <t>Cells:</t>
  </si>
  <si>
    <t>RH4</t>
  </si>
  <si>
    <t>RH41</t>
  </si>
  <si>
    <t>RH5</t>
  </si>
  <si>
    <t>RD</t>
  </si>
  <si>
    <t>SMS-CTR</t>
  </si>
  <si>
    <t>C2C12</t>
  </si>
  <si>
    <t>HSMM</t>
  </si>
  <si>
    <t>Conditions:</t>
  </si>
  <si>
    <t>Total samples:</t>
  </si>
  <si>
    <t>Antibody:</t>
  </si>
  <si>
    <t>Target</t>
  </si>
  <si>
    <t>Size (kDa)</t>
  </si>
  <si>
    <t>Dilution</t>
  </si>
  <si>
    <t>Secondary</t>
  </si>
  <si>
    <t>Supplier</t>
  </si>
  <si>
    <t>H2B</t>
  </si>
  <si>
    <t>1:2000</t>
  </si>
  <si>
    <t>Active motif</t>
  </si>
  <si>
    <t>H2BK16ac</t>
  </si>
  <si>
    <t>rabbit</t>
  </si>
  <si>
    <t>abcam</t>
  </si>
  <si>
    <t>H2BK20ac</t>
  </si>
  <si>
    <t>H3</t>
  </si>
  <si>
    <t>Abcam</t>
  </si>
  <si>
    <t>H3K27ac</t>
  </si>
  <si>
    <t>1. Plate cells (1 h)</t>
  </si>
  <si>
    <t>Plate 5M cells per 10cm dish (or 10M cells per 15cm dish)</t>
  </si>
  <si>
    <t>2. Histone extraction (2 h)</t>
  </si>
  <si>
    <t>Centrifuge at 1000rpm for 5 min at 4C. Remove supernatant</t>
  </si>
  <si>
    <t>Resuspend in 1 mL of 1x pre-lysis buffer. Transfer to 1.5 mL tube. Incubate on ice with gentle stirring for 10 min</t>
  </si>
  <si>
    <t>Note: Rotate on shaker in cold room. A precipitate should crash out</t>
  </si>
  <si>
    <t>1x Pre-lysis buffer</t>
  </si>
  <si>
    <t>10x pre-lysis buffer (uL)</t>
  </si>
  <si>
    <t>dH2O (uL)</t>
  </si>
  <si>
    <t>total vol (uL)</t>
  </si>
  <si>
    <t>Centrifuge at 3000rpm for 5 min at 4C. Remove supernatant</t>
  </si>
  <si>
    <t>Resuspend in 200 uL of lysis buffer. Add 1x HALT protease inhibitors (2uL). Incubate on ice for 30 min</t>
  </si>
  <si>
    <t>Note: A precipitate should crash out</t>
  </si>
  <si>
    <t>Lysis buffer</t>
  </si>
  <si>
    <t>lysis buffer (uL)</t>
  </si>
  <si>
    <t>100x protease inhibitor (uL)</t>
  </si>
  <si>
    <t>Centrifuge at 12000rpm for 5 min at 4C. Transfer supernatant (your histones) to a new 1.5 mL tube</t>
  </si>
  <si>
    <t>Add 60uL of balance-DTT buffer. Add 1x HALT protease inhibitors (0.6 uL). Mix well (final vol ~260 uL)</t>
  </si>
  <si>
    <t>Note: Balance buffer is slushy/icy at 4C. Spin down DTT buffer before pipetting</t>
  </si>
  <si>
    <t>Note: Keep samples on ice</t>
  </si>
  <si>
    <t>Balance-DTT buffer</t>
  </si>
  <si>
    <t>DTT (uL)</t>
  </si>
  <si>
    <t>balance buffer (uL)</t>
  </si>
  <si>
    <t>3. SDS-PAGE (1.5 - 2 h)</t>
  </si>
  <si>
    <t>Note: extra DTT is stored in -20C Hulk</t>
  </si>
  <si>
    <t>LD buffer</t>
  </si>
  <si>
    <t>NuPAGE LDS Sample Buffer (4x)</t>
  </si>
  <si>
    <t>1M DTT</t>
  </si>
  <si>
    <t>Total vol (uL)</t>
  </si>
  <si>
    <t xml:space="preserve">Heat samples on rotation at 1,250rpm at 70C for 10 min </t>
  </si>
  <si>
    <t>Note: 5 min instead of 10 min</t>
  </si>
  <si>
    <t>Assemble casette</t>
  </si>
  <si>
    <t>Note: line the rubber on the casette holder with some running buffer so the gel slides in easily</t>
  </si>
  <si>
    <t>Note: gently pour distilled water (can use the nanodrop one) over wells (no air bubbles in the wells) when taking out the comb with your thumbs</t>
  </si>
  <si>
    <t>Pour running buffer into cassette</t>
  </si>
  <si>
    <t>Note: overfill inside, fill outside to half</t>
  </si>
  <si>
    <t>Note: for super clean bands, run the gel for 5 min at 100 V with nothing loaded (dirt and stuff will fall off the gel), and then begin your protocol</t>
  </si>
  <si>
    <t>Running buffer</t>
  </si>
  <si>
    <t>MES Running Buffer (20x)</t>
  </si>
  <si>
    <t>H2O</t>
  </si>
  <si>
    <t>Total vol (mL)</t>
  </si>
  <si>
    <t>ladder</t>
  </si>
  <si>
    <t>-</t>
  </si>
  <si>
    <t>Note: check for bubbles</t>
  </si>
  <si>
    <t>4. Transfer (2 h)</t>
  </si>
  <si>
    <t>Soak 5 sponges and 4 filter papers in transfer buffer</t>
  </si>
  <si>
    <t>Transfer buffer</t>
  </si>
  <si>
    <t>Transfer buffer (20x)</t>
  </si>
  <si>
    <t>Methanol</t>
  </si>
  <si>
    <t>Total Vol (mL)</t>
  </si>
  <si>
    <t>Cut out membrane using the filter paper as a template</t>
  </si>
  <si>
    <t>Move 2 filter paper to basin</t>
  </si>
  <si>
    <t>Crack open gel. Cut off the wells and the thicker part</t>
  </si>
  <si>
    <t>Note: chop, don't slice</t>
  </si>
  <si>
    <t>Place gel on filter paper (remember orientation facing up)</t>
  </si>
  <si>
    <t>Using forceps, place membrane on top of the gel</t>
  </si>
  <si>
    <t>Note: handle the membrane from the corners</t>
  </si>
  <si>
    <t>Note: pour extra cold transfer buffer to keep things wet</t>
  </si>
  <si>
    <t>Add the last two filter paper on top</t>
  </si>
  <si>
    <t>Roll out remaining air bubbles in one direction both (only up or only down and only right or only left)</t>
  </si>
  <si>
    <t>Place 3 sponges in the casette, followed by the sandwich, followed by the last 2 sponges</t>
  </si>
  <si>
    <t>Note: the sponges + sandwich should be slightly taller than the casette</t>
  </si>
  <si>
    <t>Note: order of sandwich &lt;bottom&gt; 3 sponges, 2 filter papers, gel, membrane, 2 filter papers, 2 sponges &lt;top&gt;</t>
  </si>
  <si>
    <t>Pour transfer buffer to casette</t>
  </si>
  <si>
    <t>Run at 200 mA (0.200 A) for 90-120 min. Don't fix voltage, fix current instead</t>
  </si>
  <si>
    <t>5. Blocking (30 min)</t>
  </si>
  <si>
    <t>1x TBST</t>
  </si>
  <si>
    <t>20x TBST</t>
  </si>
  <si>
    <t>dH2O</t>
  </si>
  <si>
    <t>Note: milk can settle, always invert a few times before use</t>
  </si>
  <si>
    <t>Milk buffer</t>
  </si>
  <si>
    <t>Dry milk (g)</t>
  </si>
  <si>
    <t>Milk conc.</t>
  </si>
  <si>
    <t>Cut membrane appropriately</t>
  </si>
  <si>
    <t>Note: cut membrane on top of parafilm</t>
  </si>
  <si>
    <t>Note: always label plastic trays before putting on the rotator</t>
  </si>
  <si>
    <t>6. Wash, secondary antibody, wash (2 h)</t>
  </si>
  <si>
    <t>Incubate in HRP-conjugated secondary (1:5000 dilution in 2.5% milk) for 1 hour at RT on rotation</t>
  </si>
  <si>
    <t>7. Imaging (30 min)</t>
  </si>
  <si>
    <t>Prepare ECL substrate</t>
  </si>
  <si>
    <t>Note: Pierce ECL substrate box located in large 4C bottom shelf</t>
  </si>
  <si>
    <t>Note: Pierce ECL substrate can be thrown down the sink</t>
  </si>
  <si>
    <t>ECL substrate</t>
  </si>
  <si>
    <t>Peroxide</t>
  </si>
  <si>
    <t>Luminol</t>
  </si>
  <si>
    <t>Go downstairs to the Bio-Rad ChemiDoc Imager between the Salz and Buchner labs</t>
  </si>
  <si>
    <t>Note: we use the Scacheri lab's account</t>
  </si>
  <si>
    <t>Change settings to Chemiluminesence</t>
  </si>
  <si>
    <t>Note: change Application Category to Chemiluminescence</t>
  </si>
  <si>
    <t>Note: change Exposure settings to Rapid Auto-exposure and set it to the second-highest resolution</t>
  </si>
  <si>
    <t>Note: under the Exposure settings, click Manual, click Configure Signal Accumulation Mode, and change the number of Images to 10</t>
  </si>
  <si>
    <t>Place plastic film on top of imaging board and secure it in the mouth of the machine</t>
  </si>
  <si>
    <t>Note: plastic film located on top of the ChemiDoc machine</t>
  </si>
  <si>
    <t>Indirectly dab the membrane of excess TBS by the corners with a paper towel</t>
  </si>
  <si>
    <t>Transfer blot into ECL substrate and gently shake for 2 min</t>
  </si>
  <si>
    <t>Transfer blot to plastic film</t>
  </si>
  <si>
    <t>Press run</t>
  </si>
  <si>
    <t>Note: if cannot capture any images, the memory is probably full, so navigate to the library and delete old files</t>
  </si>
  <si>
    <t>Change settings to Colorimetric (Rapid)</t>
  </si>
  <si>
    <t>Transfer blot back to TBS. Repeat for other blots if have</t>
  </si>
  <si>
    <t>Merge the best Colorimetric and Chemiluminescence images into the Composite image</t>
  </si>
  <si>
    <t>When finished, take out the tray, spray the plastic film and imaging board with dH2O and wipe down with Kimwipes</t>
  </si>
  <si>
    <t>9. OPTIONAL: stripping and reblotting (1 h)</t>
  </si>
  <si>
    <t>Wash 1x with TBST</t>
  </si>
  <si>
    <t>Incubate in stripping buffer for 20 min at RT on rotation</t>
  </si>
  <si>
    <t>Incubate in milk buffer for 20 min at RT on rotation</t>
  </si>
  <si>
    <t>Add next primary antibody overnight at 4C on rotation</t>
  </si>
  <si>
    <t>Note: you want to always blot for the protein that is the most lowly expressed first</t>
  </si>
  <si>
    <t>10. Analysis</t>
  </si>
  <si>
    <t>Standards</t>
  </si>
  <si>
    <t>Scatter Plot</t>
  </si>
  <si>
    <t>A560</t>
  </si>
  <si>
    <t>Average</t>
  </si>
  <si>
    <t>Conc</t>
  </si>
  <si>
    <t>Mean Abs</t>
  </si>
  <si>
    <t>Slope</t>
  </si>
  <si>
    <t>Intercept</t>
  </si>
  <si>
    <t>Dilution Factor</t>
  </si>
  <si>
    <t>ug protein</t>
  </si>
  <si>
    <t>gel load vol</t>
  </si>
  <si>
    <t>Absorbance</t>
  </si>
  <si>
    <t>Sample Name</t>
  </si>
  <si>
    <t>Rep 1</t>
  </si>
  <si>
    <t>Rep 2</t>
  </si>
  <si>
    <t>Dil Conc (ug/uL)</t>
  </si>
  <si>
    <t>Real Conc (ug/uL)</t>
  </si>
  <si>
    <t>uL protein</t>
  </si>
  <si>
    <t>uL water</t>
  </si>
  <si>
    <t>uL dH2O</t>
  </si>
  <si>
    <t>Follow histone extraction kit protocol</t>
  </si>
  <si>
    <t>Note: Abcam, #ab113476</t>
  </si>
  <si>
    <t>Matt/Jordyn</t>
  </si>
  <si>
    <t>Note: can store at -20C, avoid freeze-thaw cycles</t>
  </si>
  <si>
    <t>Aliquot samples (see BCA subsheet)</t>
  </si>
  <si>
    <t>Quantify protein using BCA assay (see BCA subsheet)</t>
  </si>
  <si>
    <t>Note: two choices of running buffer for 4-12% Bis-Tris gel (MES = better for smaller proteins, MOPS = better for larger proteins)</t>
  </si>
  <si>
    <t>Load 20 uL of sample to each well, 5 uL of ladder, and 5 uL sample buffer to empty wells</t>
  </si>
  <si>
    <t>2. Protein extraction (3 h)</t>
  </si>
  <si>
    <t>Collect in a 15 mL tube by trypsinization</t>
  </si>
  <si>
    <t>Centrifuge at 300xg for 5 min at 4C. Remove supernatant</t>
  </si>
  <si>
    <t>Resuspend in 1 mL of PBS</t>
  </si>
  <si>
    <t>Transfer to a 1.5 mL Eppendorf tube</t>
  </si>
  <si>
    <t>Resuspend pellet in 200 uL of RIPA (whole-cell extract) lysis buffer and 2 uL of 100X HALT protease and phosphotase inhibitor cocktail</t>
  </si>
  <si>
    <t>Note: pellet breaks up easily</t>
  </si>
  <si>
    <t>Note: RIPA buffer stored at 4C</t>
  </si>
  <si>
    <t>RIPA lysis buffer</t>
  </si>
  <si>
    <t>Reagent</t>
  </si>
  <si>
    <t>Stock conc</t>
  </si>
  <si>
    <t>Final Conc</t>
  </si>
  <si>
    <t>Fold dilution</t>
  </si>
  <si>
    <t>Final vol (to 10 mL)</t>
  </si>
  <si>
    <t>Tris-HCl pH 7.4</t>
  </si>
  <si>
    <t>1 M</t>
  </si>
  <si>
    <t>50 mM</t>
  </si>
  <si>
    <t>NaCl</t>
  </si>
  <si>
    <t>5 M</t>
  </si>
  <si>
    <t>150 mM</t>
  </si>
  <si>
    <t>NP-40</t>
  </si>
  <si>
    <t>NaDoc</t>
  </si>
  <si>
    <t>SDS</t>
  </si>
  <si>
    <t>EGTA</t>
  </si>
  <si>
    <t>0.5 M</t>
  </si>
  <si>
    <t>1 mM</t>
  </si>
  <si>
    <t>EDTA</t>
  </si>
  <si>
    <t>NaF</t>
  </si>
  <si>
    <t>X</t>
  </si>
  <si>
    <t>Na3VO4</t>
  </si>
  <si>
    <t>Sodium beta-glycerolphosphate</t>
  </si>
  <si>
    <t>10 mM</t>
  </si>
  <si>
    <t>Sodium pyrophosphate</t>
  </si>
  <si>
    <t>5 mM</t>
  </si>
  <si>
    <t>Incubate on shaker at 1,250rpm at 4C for 75 min</t>
  </si>
  <si>
    <t>Note: white lysate (DNA) will form. Sticky</t>
  </si>
  <si>
    <t>Pellet at 16,000xg at 4C for 10 min. Transfer supernatant (your protein) to a new 1.5 mL tube</t>
  </si>
  <si>
    <t>Collect in a 50 mL tube by trypsinization</t>
  </si>
  <si>
    <t>Add 6 uL LDS buffer to each sample</t>
  </si>
  <si>
    <t>Note: it is more stable to store samples in LDS buffer at -20C rather than by itself and adding LDS buffer the next day</t>
  </si>
  <si>
    <t>Note: for 3-8% Tris-Acetate gel, need to use a different running buffer suitable to the gel integrity</t>
  </si>
  <si>
    <t>Run gel at 80 V for 15 min, then 200 V for 90 min for histones (for proteins, run 80V for 15 min, then 100 V for 60 min)</t>
  </si>
  <si>
    <t>Note: very little difference b/w nitrocellulose and PVDF membrane. PVDF membrane requires activating the membrane w/MeOH before usage</t>
  </si>
  <si>
    <t>Note: for large proteins, can also run transfer O/N in cold room</t>
  </si>
  <si>
    <t>Transfer membrane to 1x TBST. Rotate at RT for 5 min</t>
  </si>
  <si>
    <t>Transfer membrane to 5% milk buffer. Rotate at RT for 20 min</t>
  </si>
  <si>
    <t>Place membrane in primary antibody (new container) in 2.5% milk. Rotate overnight in 4C</t>
  </si>
  <si>
    <t>Wash 3x with 1x TBST. Rotate at RT for 10 min each</t>
  </si>
  <si>
    <t>Note: for hard-to-detect proteins, can use the fempto substrate (it is highly concentrated)</t>
  </si>
  <si>
    <t>no drug tx</t>
  </si>
  <si>
    <t>Catalog #</t>
  </si>
  <si>
    <t>Concentration</t>
  </si>
  <si>
    <t>conc (mg/mL)</t>
  </si>
  <si>
    <t>Scale Factor</t>
  </si>
  <si>
    <t>Sample (02.21.2025)</t>
  </si>
  <si>
    <t>Sample (02.23.2025)</t>
  </si>
  <si>
    <t>BCA assay protocol:</t>
  </si>
  <si>
    <t>BioRad dye</t>
  </si>
  <si>
    <t># replicates</t>
  </si>
  <si>
    <t># samples</t>
  </si>
  <si>
    <t>Vol dH2O (uL)</t>
  </si>
  <si>
    <t>Dilute samples 1:10 (5uL sample + 45uL dH2O) in 1.5mL tubes</t>
  </si>
  <si>
    <t>Dilute BioRad dye (1:5) in 15mL tube</t>
  </si>
  <si>
    <t>In a 96-well plate, pipette 10uL of diluted sample</t>
  </si>
  <si>
    <t>Vol 1x BioRad (uL)</t>
  </si>
  <si>
    <t>Note: 5x BioRad dye in large 4C</t>
  </si>
  <si>
    <t>Add 300uL of 1x dye, mix well</t>
  </si>
  <si>
    <t>Take downstairs to 6th floor (room_num) by the dry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</si>
</sst>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49" fontId="5" fillId="0" borderId="0" xfId="0" applyNumberFormat="1" applyFont="1"/>
    <xf numFmtId="0" fontId="6" fillId="0" borderId="0" xfId="0" applyFont="1"/>
    <xf numFmtId="0" fontId="5" fillId="0" borderId="0" xfId="0" applyFont="1"/>
    <xf numFmtId="14" fontId="2" fillId="0" borderId="0" xfId="0" applyNumberFormat="1" applyFont="1"/>
    <xf numFmtId="0" fontId="7" fillId="0" borderId="0" xfId="0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/>
    <xf numFmtId="0" fontId="3" fillId="0" borderId="3" xfId="0" applyFont="1" applyBorder="1"/>
    <xf numFmtId="10" fontId="2" fillId="0" borderId="8" xfId="0" applyNumberFormat="1" applyFont="1" applyBorder="1"/>
    <xf numFmtId="10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2" fontId="2" fillId="0" borderId="0" xfId="0" applyNumberFormat="1" applyFont="1"/>
    <xf numFmtId="2" fontId="2" fillId="2" borderId="0" xfId="0" applyNumberFormat="1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Fill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0" fontId="8" fillId="0" borderId="0" xfId="0" applyFont="1" applyBorder="1"/>
    <xf numFmtId="0" fontId="2" fillId="0" borderId="16" xfId="0" applyFont="1" applyBorder="1"/>
    <xf numFmtId="0" fontId="2" fillId="0" borderId="17" xfId="0" applyFont="1" applyBorder="1"/>
    <xf numFmtId="0" fontId="7" fillId="0" borderId="13" xfId="0" applyFont="1" applyBorder="1"/>
    <xf numFmtId="0" fontId="2" fillId="0" borderId="15" xfId="0" applyFont="1" applyBorder="1"/>
    <xf numFmtId="0" fontId="2" fillId="0" borderId="0" xfId="0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2" fillId="0" borderId="9" xfId="0" applyFont="1" applyBorder="1" applyAlignment="1">
      <alignment horizontal="center"/>
    </xf>
    <xf numFmtId="0" fontId="3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6" xfId="0" applyFont="1" applyBorder="1"/>
    <xf numFmtId="0" fontId="3" fillId="0" borderId="17" xfId="0" applyFont="1" applyBorder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7520-09B2-0B42-996B-FFBD9B38B858}">
  <dimension ref="A1:C5"/>
  <sheetViews>
    <sheetView tabSelected="1" workbookViewId="0">
      <selection activeCell="C6" sqref="C6"/>
    </sheetView>
  </sheetViews>
  <sheetFormatPr baseColWidth="10" defaultRowHeight="16" x14ac:dyDescent="0.2"/>
  <cols>
    <col min="2" max="2" width="17" bestFit="1" customWidth="1"/>
  </cols>
  <sheetData>
    <row r="1" spans="1:3" x14ac:dyDescent="0.2">
      <c r="A1" s="1"/>
    </row>
    <row r="2" spans="1:3" x14ac:dyDescent="0.2">
      <c r="B2" t="s">
        <v>0</v>
      </c>
      <c r="C2" t="s">
        <v>3</v>
      </c>
    </row>
    <row r="3" spans="1:3" x14ac:dyDescent="0.2">
      <c r="B3" t="s">
        <v>1</v>
      </c>
      <c r="C3" t="s">
        <v>4</v>
      </c>
    </row>
    <row r="4" spans="1:3" x14ac:dyDescent="0.2">
      <c r="B4" t="s">
        <v>2</v>
      </c>
      <c r="C4" t="s">
        <v>5</v>
      </c>
    </row>
    <row r="5" spans="1:3" x14ac:dyDescent="0.2">
      <c r="B5" t="s">
        <v>6</v>
      </c>
      <c r="C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DF88-2922-1541-90A7-0DFA92755C6A}">
  <dimension ref="A1:Z1025"/>
  <sheetViews>
    <sheetView topLeftCell="A84" zoomScale="139" workbookViewId="0">
      <selection activeCell="C60" sqref="C60"/>
    </sheetView>
  </sheetViews>
  <sheetFormatPr baseColWidth="10" defaultColWidth="11.1640625" defaultRowHeight="16" x14ac:dyDescent="0.2"/>
  <cols>
    <col min="1" max="18" width="10.83203125" customWidth="1"/>
    <col min="19" max="26" width="10.5" customWidth="1"/>
  </cols>
  <sheetData>
    <row r="1" spans="1:26" ht="12.75" customHeight="1" x14ac:dyDescent="0.2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3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2"/>
      <c r="B3" s="3" t="s">
        <v>16</v>
      </c>
      <c r="C3" s="2" t="s">
        <v>220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2"/>
      <c r="B4" s="3" t="s">
        <v>17</v>
      </c>
      <c r="C4" s="2">
        <f>COUNTA(C2:I2)</f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2"/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3" t="s">
        <v>221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2"/>
      <c r="B6" s="4"/>
      <c r="C6" s="2" t="s">
        <v>24</v>
      </c>
      <c r="D6" s="2">
        <v>17</v>
      </c>
      <c r="E6" s="5" t="s">
        <v>25</v>
      </c>
      <c r="F6" s="2" t="s">
        <v>28</v>
      </c>
      <c r="G6" s="2" t="s">
        <v>26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2"/>
      <c r="B7" s="3"/>
      <c r="C7" s="2" t="s">
        <v>27</v>
      </c>
      <c r="D7" s="2">
        <v>17</v>
      </c>
      <c r="E7" s="5" t="s">
        <v>25</v>
      </c>
      <c r="F7" s="2" t="s">
        <v>28</v>
      </c>
      <c r="G7" s="2" t="s">
        <v>29</v>
      </c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2"/>
      <c r="B8" s="3"/>
      <c r="C8" s="2" t="s">
        <v>30</v>
      </c>
      <c r="D8" s="2">
        <v>17</v>
      </c>
      <c r="E8" s="5" t="s">
        <v>25</v>
      </c>
      <c r="F8" s="2" t="s">
        <v>28</v>
      </c>
      <c r="G8" s="2" t="s">
        <v>29</v>
      </c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3"/>
      <c r="C9" s="2" t="s">
        <v>31</v>
      </c>
      <c r="D9" s="2">
        <v>17</v>
      </c>
      <c r="E9" s="5" t="s">
        <v>25</v>
      </c>
      <c r="F9" s="2" t="s">
        <v>28</v>
      </c>
      <c r="G9" s="2" t="s">
        <v>32</v>
      </c>
      <c r="H9" s="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2"/>
      <c r="B10" s="3"/>
      <c r="C10" s="2" t="s">
        <v>33</v>
      </c>
      <c r="D10" s="2">
        <v>17</v>
      </c>
      <c r="E10" s="5" t="s">
        <v>25</v>
      </c>
      <c r="F10" s="2" t="s">
        <v>28</v>
      </c>
      <c r="G10" s="2" t="s">
        <v>26</v>
      </c>
      <c r="H10" s="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2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>
        <v>45690</v>
      </c>
      <c r="B12" s="3" t="s">
        <v>34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2"/>
      <c r="B13" s="2"/>
      <c r="C13" s="2" t="s">
        <v>35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8">
        <f>A12+1</f>
        <v>45691</v>
      </c>
      <c r="B15" s="3" t="s">
        <v>36</v>
      </c>
      <c r="C15" s="2"/>
      <c r="D15" s="2"/>
      <c r="E15" s="2"/>
      <c r="F15" s="2"/>
      <c r="G15" s="2"/>
      <c r="H15" s="2"/>
      <c r="I15" s="2"/>
      <c r="J15" s="2"/>
      <c r="K15" s="2"/>
      <c r="L15" s="3" t="s">
        <v>171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 t="s">
        <v>208</v>
      </c>
      <c r="D16" s="2"/>
      <c r="E16" s="2"/>
      <c r="F16" s="2"/>
      <c r="G16" s="2"/>
      <c r="H16" s="2"/>
      <c r="I16" s="2"/>
      <c r="J16" s="2"/>
      <c r="K16" s="2"/>
      <c r="L16" s="2" t="s">
        <v>172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 t="s">
        <v>37</v>
      </c>
      <c r="D17" s="2"/>
      <c r="E17" s="2"/>
      <c r="F17" s="2"/>
      <c r="G17" s="2"/>
      <c r="H17" s="2"/>
      <c r="I17" s="2"/>
      <c r="J17" s="2"/>
      <c r="K17" s="2"/>
      <c r="L17" s="2" t="s">
        <v>173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D18" s="2"/>
      <c r="E18" s="2"/>
      <c r="F18" s="2"/>
      <c r="G18" s="2"/>
      <c r="H18" s="2"/>
      <c r="I18" s="2"/>
      <c r="J18" s="2"/>
      <c r="K18" s="2"/>
      <c r="L18" s="2" t="s">
        <v>174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 t="s">
        <v>163</v>
      </c>
      <c r="D19" s="2"/>
      <c r="E19" s="2"/>
      <c r="F19" s="2"/>
      <c r="G19" s="2"/>
      <c r="H19" s="2"/>
      <c r="I19" s="2"/>
      <c r="J19" s="2"/>
      <c r="K19" s="2"/>
      <c r="L19" s="2" t="s">
        <v>175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9" t="s">
        <v>164</v>
      </c>
      <c r="E20" s="2"/>
      <c r="F20" s="2"/>
      <c r="G20" s="2"/>
      <c r="H20" s="2"/>
      <c r="I20" s="2"/>
      <c r="J20" s="2"/>
      <c r="K20" s="2"/>
      <c r="L20" s="2" t="s">
        <v>173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 t="s">
        <v>38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9" t="s">
        <v>39</v>
      </c>
      <c r="E22" s="2"/>
      <c r="F22" s="2"/>
      <c r="G22" s="2"/>
      <c r="H22" s="2"/>
      <c r="I22" s="2"/>
      <c r="J22" s="2"/>
      <c r="K22" s="2"/>
      <c r="L22" s="2" t="s">
        <v>176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9" t="s">
        <v>177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10" t="s">
        <v>40</v>
      </c>
      <c r="E24" s="11"/>
      <c r="F24" s="12"/>
      <c r="G24" s="2"/>
      <c r="H24" s="2"/>
      <c r="I24" s="2"/>
      <c r="J24" s="2"/>
      <c r="K24" s="2"/>
      <c r="L24" s="2"/>
      <c r="M24" s="9" t="s">
        <v>178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13" t="s">
        <v>41</v>
      </c>
      <c r="E25" s="3" t="s">
        <v>42</v>
      </c>
      <c r="F25" s="14" t="s">
        <v>43</v>
      </c>
      <c r="G25" s="2"/>
      <c r="H25" s="2"/>
      <c r="I25" s="2"/>
      <c r="J25" s="2"/>
      <c r="K25" s="2"/>
      <c r="L25" s="2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15">
        <f>F26/10</f>
        <v>800</v>
      </c>
      <c r="E26" s="16">
        <f>F26-D26</f>
        <v>7200</v>
      </c>
      <c r="F26" s="17">
        <f>(C4+1)*1000</f>
        <v>8000</v>
      </c>
      <c r="G26" s="2"/>
      <c r="H26" s="2"/>
      <c r="I26" s="2"/>
      <c r="J26" s="2"/>
      <c r="K26" s="2"/>
      <c r="L26" s="2"/>
      <c r="M26" s="3" t="s">
        <v>179</v>
      </c>
      <c r="N26" s="3"/>
      <c r="O26" s="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6" t="s">
        <v>180</v>
      </c>
      <c r="N27" s="27" t="s">
        <v>181</v>
      </c>
      <c r="O27" s="27" t="s">
        <v>182</v>
      </c>
      <c r="P27" s="27" t="s">
        <v>183</v>
      </c>
      <c r="Q27" s="28" t="s">
        <v>184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 t="s">
        <v>44</v>
      </c>
      <c r="D28" s="2"/>
      <c r="E28" s="2"/>
      <c r="F28" s="2"/>
      <c r="G28" s="2"/>
      <c r="H28" s="2"/>
      <c r="I28" s="2"/>
      <c r="J28" s="2"/>
      <c r="K28" s="2"/>
      <c r="L28" s="2"/>
      <c r="M28" s="36" t="s">
        <v>185</v>
      </c>
      <c r="N28" s="2" t="s">
        <v>186</v>
      </c>
      <c r="O28" s="2" t="s">
        <v>187</v>
      </c>
      <c r="P28" s="2">
        <f>1000/50</f>
        <v>20</v>
      </c>
      <c r="Q28" s="37">
        <f>$H$46/P28</f>
        <v>0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 t="s">
        <v>45</v>
      </c>
      <c r="D29" s="2"/>
      <c r="E29" s="2"/>
      <c r="F29" s="2"/>
      <c r="G29" s="2"/>
      <c r="H29" s="2"/>
      <c r="I29" s="2"/>
      <c r="J29" s="2"/>
      <c r="K29" s="2"/>
      <c r="L29" s="2"/>
      <c r="M29" s="36" t="s">
        <v>188</v>
      </c>
      <c r="N29" s="2" t="s">
        <v>189</v>
      </c>
      <c r="O29" s="2" t="s">
        <v>190</v>
      </c>
      <c r="P29" s="24">
        <f>5000/150</f>
        <v>33.333333333333336</v>
      </c>
      <c r="Q29" s="37">
        <f t="shared" ref="Q29:Q34" si="0">$H$46/P29</f>
        <v>0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9" t="s">
        <v>46</v>
      </c>
      <c r="E30" s="2"/>
      <c r="F30" s="2"/>
      <c r="G30" s="2"/>
      <c r="H30" s="2"/>
      <c r="I30" s="2"/>
      <c r="J30" s="2"/>
      <c r="K30" s="2"/>
      <c r="L30" s="2"/>
      <c r="M30" s="36" t="s">
        <v>191</v>
      </c>
      <c r="N30" s="2">
        <v>0.1</v>
      </c>
      <c r="O30" s="2">
        <v>0.01</v>
      </c>
      <c r="P30" s="2">
        <f>100/10</f>
        <v>10</v>
      </c>
      <c r="Q30" s="37">
        <f t="shared" si="0"/>
        <v>0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6" t="s">
        <v>192</v>
      </c>
      <c r="N31" s="2">
        <v>0.1</v>
      </c>
      <c r="O31" s="2">
        <v>5.0000000000000001E-3</v>
      </c>
      <c r="P31" s="2">
        <f>100/5</f>
        <v>20</v>
      </c>
      <c r="Q31" s="37">
        <f t="shared" si="0"/>
        <v>0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10" t="s">
        <v>47</v>
      </c>
      <c r="E32" s="11"/>
      <c r="F32" s="12"/>
      <c r="G32" s="2"/>
      <c r="H32" s="2"/>
      <c r="I32" s="2"/>
      <c r="J32" s="2"/>
      <c r="K32" s="2"/>
      <c r="L32" s="2"/>
      <c r="M32" s="36" t="s">
        <v>193</v>
      </c>
      <c r="N32" s="2">
        <v>0.1</v>
      </c>
      <c r="O32" s="2">
        <v>1E-3</v>
      </c>
      <c r="P32" s="2">
        <f>100/1</f>
        <v>100</v>
      </c>
      <c r="Q32" s="37">
        <f t="shared" si="0"/>
        <v>0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13" t="s">
        <v>48</v>
      </c>
      <c r="E33" s="3" t="s">
        <v>49</v>
      </c>
      <c r="F33" s="14" t="s">
        <v>43</v>
      </c>
      <c r="G33" s="2"/>
      <c r="H33" s="2"/>
      <c r="I33" s="2"/>
      <c r="J33" s="2"/>
      <c r="K33" s="2"/>
      <c r="L33" s="2"/>
      <c r="M33" s="36" t="s">
        <v>194</v>
      </c>
      <c r="N33" s="2" t="s">
        <v>195</v>
      </c>
      <c r="O33" s="2" t="s">
        <v>196</v>
      </c>
      <c r="P33" s="2">
        <f>500/1</f>
        <v>500</v>
      </c>
      <c r="Q33" s="37">
        <f t="shared" si="0"/>
        <v>0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15">
        <f>F34-E34</f>
        <v>1584</v>
      </c>
      <c r="E34" s="16">
        <f>F34/100</f>
        <v>16</v>
      </c>
      <c r="F34" s="17">
        <f>(C4+1)*200</f>
        <v>1600</v>
      </c>
      <c r="G34" s="2"/>
      <c r="H34" s="2"/>
      <c r="I34" s="2"/>
      <c r="J34" s="2"/>
      <c r="K34" s="2"/>
      <c r="L34" s="2"/>
      <c r="M34" s="36" t="s">
        <v>197</v>
      </c>
      <c r="N34" s="2" t="s">
        <v>195</v>
      </c>
      <c r="O34" s="2" t="s">
        <v>196</v>
      </c>
      <c r="P34" s="2">
        <f>500/1</f>
        <v>500</v>
      </c>
      <c r="Q34" s="37">
        <f t="shared" si="0"/>
        <v>0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6" t="s">
        <v>198</v>
      </c>
      <c r="N35" s="2"/>
      <c r="O35" s="2" t="s">
        <v>187</v>
      </c>
      <c r="P35" s="2"/>
      <c r="Q35" s="37" t="s">
        <v>199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 t="s">
        <v>50</v>
      </c>
      <c r="D36" s="2"/>
      <c r="E36" s="2"/>
      <c r="F36" s="2"/>
      <c r="G36" s="2"/>
      <c r="H36" s="2"/>
      <c r="I36" s="2"/>
      <c r="J36" s="2"/>
      <c r="K36" s="2"/>
      <c r="L36" s="2"/>
      <c r="M36" s="36" t="s">
        <v>200</v>
      </c>
      <c r="N36" s="2"/>
      <c r="O36" s="2" t="s">
        <v>196</v>
      </c>
      <c r="P36" s="2"/>
      <c r="Q36" s="37" t="s">
        <v>199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 t="s">
        <v>51</v>
      </c>
      <c r="D37" s="2"/>
      <c r="E37" s="2"/>
      <c r="F37" s="2"/>
      <c r="G37" s="2"/>
      <c r="H37" s="2"/>
      <c r="I37" s="2"/>
      <c r="J37" s="2"/>
      <c r="K37" s="2"/>
      <c r="L37" s="2"/>
      <c r="M37" s="36" t="s">
        <v>201</v>
      </c>
      <c r="N37" s="2"/>
      <c r="O37" s="2" t="s">
        <v>202</v>
      </c>
      <c r="P37" s="2"/>
      <c r="Q37" s="37" t="s">
        <v>199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9" t="s">
        <v>52</v>
      </c>
      <c r="E38" s="2"/>
      <c r="F38" s="2"/>
      <c r="G38" s="2"/>
      <c r="H38" s="2"/>
      <c r="I38" s="2"/>
      <c r="J38" s="2"/>
      <c r="K38" s="2"/>
      <c r="L38" s="2"/>
      <c r="M38" s="36" t="s">
        <v>203</v>
      </c>
      <c r="N38" s="2"/>
      <c r="O38" s="2" t="s">
        <v>204</v>
      </c>
      <c r="P38" s="2"/>
      <c r="Q38" s="37" t="s">
        <v>199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9" t="s">
        <v>53</v>
      </c>
      <c r="E39" s="2"/>
      <c r="F39" s="2"/>
      <c r="G39" s="2"/>
      <c r="H39" s="2"/>
      <c r="I39" s="2"/>
      <c r="J39" s="2"/>
      <c r="K39" s="2"/>
      <c r="L39" s="2"/>
      <c r="M39" s="36" t="s">
        <v>73</v>
      </c>
      <c r="N39" s="2"/>
      <c r="O39" s="2"/>
      <c r="P39" s="2"/>
      <c r="Q39" s="37">
        <f>Q40-SUM(Q28:Q34)</f>
        <v>10000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8"/>
      <c r="N40" s="30"/>
      <c r="O40" s="30"/>
      <c r="P40" s="30"/>
      <c r="Q40" s="39">
        <v>10000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10" t="s">
        <v>54</v>
      </c>
      <c r="E41" s="11"/>
      <c r="F41" s="11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13" t="s">
        <v>55</v>
      </c>
      <c r="E42" s="3" t="s">
        <v>56</v>
      </c>
      <c r="F42" s="3" t="s">
        <v>49</v>
      </c>
      <c r="G42" s="14" t="s">
        <v>43</v>
      </c>
      <c r="H42" s="2"/>
      <c r="I42" s="2"/>
      <c r="J42" s="2"/>
      <c r="K42" s="2"/>
      <c r="L42" s="2" t="s">
        <v>205</v>
      </c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15">
        <f>E43/500</f>
        <v>1.6</v>
      </c>
      <c r="E43" s="16">
        <f>G43</f>
        <v>800</v>
      </c>
      <c r="F43" s="16">
        <f>G43/100</f>
        <v>8</v>
      </c>
      <c r="G43" s="17">
        <f>(C4+1)*100</f>
        <v>800</v>
      </c>
      <c r="H43" s="2"/>
      <c r="I43" s="2"/>
      <c r="J43" s="2"/>
      <c r="K43" s="2"/>
      <c r="L43" s="2"/>
      <c r="M43" s="9" t="s">
        <v>206</v>
      </c>
      <c r="N43" s="3"/>
      <c r="O43" s="3"/>
      <c r="P43" s="3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 t="s">
        <v>207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 t="s">
        <v>168</v>
      </c>
      <c r="D45" s="2"/>
      <c r="E45" s="2"/>
      <c r="F45" s="2"/>
      <c r="G45" s="2"/>
      <c r="H45" s="2"/>
      <c r="I45" s="2"/>
      <c r="J45" s="2"/>
      <c r="K45" s="2"/>
      <c r="L45" s="2" t="s">
        <v>168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9" t="s">
        <v>166</v>
      </c>
      <c r="E46" s="2"/>
      <c r="F46" s="2"/>
      <c r="G46" s="2"/>
      <c r="H46" s="2"/>
      <c r="I46" s="2"/>
      <c r="J46" s="2"/>
      <c r="K46" s="2"/>
      <c r="L46" s="2"/>
      <c r="M46" s="9" t="s">
        <v>166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9"/>
      <c r="E47" s="2"/>
      <c r="F47" s="2"/>
      <c r="G47" s="2"/>
      <c r="H47" s="2"/>
      <c r="I47" s="2"/>
      <c r="J47" s="2"/>
      <c r="K47" s="2"/>
      <c r="L47" s="2"/>
      <c r="M47" s="9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3" t="s">
        <v>227</v>
      </c>
      <c r="D48" s="9"/>
      <c r="E48" s="2"/>
      <c r="F48" s="2"/>
      <c r="G48" s="2"/>
      <c r="H48" s="2"/>
      <c r="I48" s="2"/>
      <c r="J48" s="2"/>
      <c r="K48" s="2"/>
      <c r="L48" s="2"/>
      <c r="M48" s="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 t="s">
        <v>232</v>
      </c>
      <c r="D49" s="9"/>
      <c r="E49" s="2"/>
      <c r="F49" s="2"/>
      <c r="G49" s="2"/>
      <c r="H49" s="2"/>
      <c r="I49" s="2"/>
      <c r="J49" s="2"/>
      <c r="K49" s="2"/>
      <c r="L49" s="2"/>
      <c r="M49" s="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 t="s">
        <v>233</v>
      </c>
      <c r="D50" s="9"/>
      <c r="E50" s="2"/>
      <c r="F50" s="2"/>
      <c r="G50" s="2"/>
      <c r="H50" s="2"/>
      <c r="I50" s="2"/>
      <c r="J50" s="2"/>
      <c r="K50" s="2"/>
      <c r="L50" s="2"/>
      <c r="M50" s="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9" t="s">
        <v>236</v>
      </c>
      <c r="E51" s="2"/>
      <c r="F51" s="2"/>
      <c r="G51" s="2"/>
      <c r="H51" s="2"/>
      <c r="I51" s="2"/>
      <c r="J51" s="2"/>
      <c r="K51" s="2"/>
      <c r="L51" s="2"/>
      <c r="M51" s="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9"/>
      <c r="E52" s="2"/>
      <c r="F52" s="2"/>
      <c r="G52" s="2"/>
      <c r="H52" s="2"/>
      <c r="I52" s="2"/>
      <c r="J52" s="2"/>
      <c r="K52" s="2"/>
      <c r="L52" s="2"/>
      <c r="M52" s="9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6" t="s">
        <v>228</v>
      </c>
      <c r="E53" s="47"/>
      <c r="F53" s="47"/>
      <c r="G53" s="47"/>
      <c r="H53" s="48"/>
      <c r="I53" s="2"/>
      <c r="J53" s="2"/>
      <c r="K53" s="2"/>
      <c r="L53" s="2"/>
      <c r="M53" s="9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49" t="s">
        <v>230</v>
      </c>
      <c r="E54" s="32" t="s">
        <v>229</v>
      </c>
      <c r="F54" s="32" t="s">
        <v>62</v>
      </c>
      <c r="G54" s="32" t="s">
        <v>235</v>
      </c>
      <c r="H54" s="50" t="s">
        <v>231</v>
      </c>
      <c r="I54" s="2"/>
      <c r="J54" s="2"/>
      <c r="K54" s="2"/>
      <c r="L54" s="2"/>
      <c r="M54" s="9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38">
        <f>C4</f>
        <v>7</v>
      </c>
      <c r="E55" s="30">
        <v>2</v>
      </c>
      <c r="F55" s="30">
        <f>D55*E55*1.5*300</f>
        <v>6300</v>
      </c>
      <c r="G55" s="30">
        <f>F55/5</f>
        <v>1260</v>
      </c>
      <c r="H55" s="39">
        <f>F55-G55</f>
        <v>5040</v>
      </c>
      <c r="I55" s="2"/>
      <c r="J55" s="2"/>
      <c r="K55" s="2"/>
      <c r="L55" s="2"/>
      <c r="M55" s="9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9"/>
      <c r="E56" s="2"/>
      <c r="F56" s="2"/>
      <c r="G56" s="2"/>
      <c r="H56" s="2"/>
      <c r="I56" s="2"/>
      <c r="J56" s="2"/>
      <c r="K56" s="2"/>
      <c r="L56" s="2"/>
      <c r="M56" s="9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 t="s">
        <v>234</v>
      </c>
      <c r="D57" s="9"/>
      <c r="E57" s="2"/>
      <c r="F57" s="2"/>
      <c r="G57" s="2"/>
      <c r="H57" s="2"/>
      <c r="I57" s="2"/>
      <c r="J57" s="2"/>
      <c r="K57" s="2"/>
      <c r="L57" s="2"/>
      <c r="M57" s="9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 t="s">
        <v>237</v>
      </c>
      <c r="D58" s="9"/>
      <c r="E58" s="2"/>
      <c r="F58" s="2"/>
      <c r="G58" s="2"/>
      <c r="H58" s="2"/>
      <c r="I58" s="2"/>
      <c r="J58" s="2"/>
      <c r="K58" s="2"/>
      <c r="L58" s="2"/>
      <c r="M58" s="9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 t="s">
        <v>238</v>
      </c>
      <c r="D59" s="9"/>
      <c r="E59" s="2"/>
      <c r="F59" s="2"/>
      <c r="G59" s="2"/>
      <c r="H59" s="2"/>
      <c r="I59" s="2"/>
      <c r="J59" s="2"/>
      <c r="K59" s="2"/>
      <c r="L59" s="2"/>
      <c r="M59" s="9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9"/>
      <c r="E60" s="2"/>
      <c r="F60" s="2"/>
      <c r="G60" s="2"/>
      <c r="H60" s="2"/>
      <c r="I60" s="2"/>
      <c r="J60" s="2"/>
      <c r="K60" s="2"/>
      <c r="L60" s="2"/>
      <c r="M60" s="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9"/>
      <c r="E61" s="2"/>
      <c r="F61" s="2"/>
      <c r="G61" s="2"/>
      <c r="H61" s="2"/>
      <c r="I61" s="2"/>
      <c r="J61" s="2"/>
      <c r="K61" s="2"/>
      <c r="L61" s="2"/>
      <c r="M61" s="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9"/>
      <c r="E62" s="2"/>
      <c r="F62" s="2"/>
      <c r="G62" s="2"/>
      <c r="H62" s="2"/>
      <c r="I62" s="2"/>
      <c r="J62" s="2"/>
      <c r="K62" s="2"/>
      <c r="L62" s="2"/>
      <c r="M62" s="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9"/>
      <c r="E63" s="2"/>
      <c r="F63" s="2"/>
      <c r="G63" s="2"/>
      <c r="H63" s="2"/>
      <c r="I63" s="2"/>
      <c r="J63" s="2"/>
      <c r="K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8">
        <v>45692</v>
      </c>
      <c r="B64" s="3" t="s">
        <v>57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8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8"/>
      <c r="B66" s="3"/>
      <c r="C66" s="2" t="s">
        <v>167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 t="s">
        <v>209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9" t="s">
        <v>210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9" t="s">
        <v>58</v>
      </c>
      <c r="E69" s="2"/>
      <c r="F69" s="2"/>
      <c r="G69" s="2"/>
      <c r="H69" s="2"/>
      <c r="I69" s="2"/>
      <c r="J69" s="9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9"/>
      <c r="E70" s="2"/>
      <c r="F70" s="2"/>
      <c r="G70" s="2"/>
      <c r="H70" s="2"/>
      <c r="I70" s="2"/>
      <c r="J70" s="9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10" t="s">
        <v>59</v>
      </c>
      <c r="E71" s="11"/>
      <c r="F71" s="12"/>
      <c r="G71" s="2"/>
      <c r="H71" s="2"/>
      <c r="I71" s="2"/>
      <c r="J71" s="9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13" t="s">
        <v>60</v>
      </c>
      <c r="E72" s="3" t="s">
        <v>61</v>
      </c>
      <c r="F72" s="14" t="s">
        <v>62</v>
      </c>
      <c r="G72" s="2"/>
      <c r="H72" s="2"/>
      <c r="I72" s="2"/>
      <c r="J72" s="9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15">
        <v>320</v>
      </c>
      <c r="E73" s="16">
        <f>F73-D73</f>
        <v>180</v>
      </c>
      <c r="F73" s="17">
        <v>500</v>
      </c>
      <c r="G73" s="2"/>
      <c r="H73" s="2"/>
      <c r="I73" s="2"/>
      <c r="J73" s="9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9"/>
      <c r="E74" s="2"/>
      <c r="F74" s="2"/>
      <c r="G74" s="2"/>
      <c r="H74" s="2"/>
      <c r="I74" s="2"/>
      <c r="J74" s="9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 t="s">
        <v>63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9" t="s">
        <v>64</v>
      </c>
      <c r="E76" s="2"/>
      <c r="F76" s="2"/>
      <c r="G76" s="2"/>
      <c r="H76" s="2"/>
      <c r="I76" s="2"/>
      <c r="J76" s="9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 t="s">
        <v>65</v>
      </c>
      <c r="D77" s="9"/>
      <c r="E77" s="2"/>
      <c r="F77" s="2"/>
      <c r="G77" s="2"/>
      <c r="H77" s="2"/>
      <c r="I77" s="2"/>
      <c r="J77" s="9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9" t="s">
        <v>66</v>
      </c>
      <c r="E78" s="2"/>
      <c r="F78" s="2"/>
      <c r="G78" s="2"/>
      <c r="H78" s="2"/>
      <c r="I78" s="2"/>
      <c r="J78" s="9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9" t="s">
        <v>67</v>
      </c>
      <c r="E79" s="2"/>
      <c r="F79" s="2"/>
      <c r="G79" s="2"/>
      <c r="H79" s="2"/>
      <c r="I79" s="2"/>
      <c r="J79" s="9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 t="s">
        <v>68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9" t="s">
        <v>69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9" t="s">
        <v>169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9" t="s">
        <v>211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9" t="s">
        <v>70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10" t="s">
        <v>71</v>
      </c>
      <c r="E86" s="11"/>
      <c r="F86" s="1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13" t="s">
        <v>72</v>
      </c>
      <c r="E87" s="3" t="s">
        <v>73</v>
      </c>
      <c r="F87" s="14" t="s">
        <v>74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15">
        <v>50</v>
      </c>
      <c r="E88" s="16">
        <f>F88-D88</f>
        <v>950</v>
      </c>
      <c r="F88" s="17">
        <v>1000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 t="s">
        <v>170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6">
        <v>1</v>
      </c>
      <c r="E92" s="27">
        <v>2</v>
      </c>
      <c r="F92" s="27">
        <v>3</v>
      </c>
      <c r="G92" s="27">
        <v>4</v>
      </c>
      <c r="H92" s="27">
        <v>5</v>
      </c>
      <c r="I92" s="27">
        <v>6</v>
      </c>
      <c r="J92" s="27">
        <v>7</v>
      </c>
      <c r="K92" s="27">
        <v>8</v>
      </c>
      <c r="L92" s="27">
        <v>9</v>
      </c>
      <c r="M92" s="28">
        <v>10</v>
      </c>
      <c r="N92" s="32"/>
      <c r="O92" s="32"/>
      <c r="P92" s="32"/>
      <c r="Q92" s="32"/>
      <c r="R92" s="3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9" t="s">
        <v>75</v>
      </c>
      <c r="E93" s="30" t="s">
        <v>9</v>
      </c>
      <c r="F93" s="30" t="s">
        <v>10</v>
      </c>
      <c r="G93" s="30" t="s">
        <v>11</v>
      </c>
      <c r="H93" s="30" t="s">
        <v>12</v>
      </c>
      <c r="I93" s="30" t="s">
        <v>13</v>
      </c>
      <c r="J93" s="30" t="s">
        <v>15</v>
      </c>
      <c r="K93" s="30" t="s">
        <v>14</v>
      </c>
      <c r="L93" s="30" t="s">
        <v>75</v>
      </c>
      <c r="M93" s="31" t="s">
        <v>76</v>
      </c>
      <c r="N93" s="33"/>
      <c r="O93" s="34"/>
      <c r="P93" s="35"/>
      <c r="Q93" s="34"/>
      <c r="R93" s="34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 t="s">
        <v>212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9" t="s">
        <v>77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3" t="s">
        <v>78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 t="s">
        <v>79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10" t="s">
        <v>80</v>
      </c>
      <c r="E101" s="11"/>
      <c r="F101" s="11"/>
      <c r="G101" s="1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13" t="s">
        <v>81</v>
      </c>
      <c r="E102" s="3" t="s">
        <v>82</v>
      </c>
      <c r="F102" s="3" t="s">
        <v>73</v>
      </c>
      <c r="G102" s="14" t="s">
        <v>83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15">
        <v>50</v>
      </c>
      <c r="E103" s="16">
        <f>G103/10</f>
        <v>100</v>
      </c>
      <c r="F103" s="16">
        <f>G103-D103-E103</f>
        <v>850</v>
      </c>
      <c r="G103" s="17">
        <f>1000</f>
        <v>1000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 t="s">
        <v>84</v>
      </c>
      <c r="D105" s="2"/>
      <c r="E105" s="2"/>
      <c r="F105" s="2"/>
      <c r="G105" s="2"/>
      <c r="H105" s="2"/>
      <c r="I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 t="s">
        <v>85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 t="s">
        <v>86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9" t="s">
        <v>87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 t="s">
        <v>88</v>
      </c>
      <c r="D109" s="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 t="s">
        <v>89</v>
      </c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D111" s="9" t="s">
        <v>213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D112" s="9" t="s">
        <v>90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9" t="s">
        <v>91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 t="s">
        <v>92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 t="s">
        <v>93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 t="s">
        <v>94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9" t="s">
        <v>95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9" t="s">
        <v>96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 t="s">
        <v>97</v>
      </c>
      <c r="D119" s="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9" t="s">
        <v>69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 t="s">
        <v>98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9" t="s">
        <v>77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9" t="s">
        <v>214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3" t="s">
        <v>99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 t="s">
        <v>215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10" t="s">
        <v>100</v>
      </c>
      <c r="E128" s="18"/>
      <c r="F128" s="1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13" t="s">
        <v>101</v>
      </c>
      <c r="E129" s="3" t="s">
        <v>102</v>
      </c>
      <c r="F129" s="14" t="s">
        <v>83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15">
        <v>50</v>
      </c>
      <c r="E130" s="16">
        <f>F130-D130</f>
        <v>950</v>
      </c>
      <c r="F130" s="17">
        <v>1000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 t="s">
        <v>216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9" t="s">
        <v>103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10" t="s">
        <v>104</v>
      </c>
      <c r="E135" s="18"/>
      <c r="F135" s="18"/>
      <c r="G135" s="11"/>
      <c r="H135" s="1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13" t="s">
        <v>105</v>
      </c>
      <c r="E136" s="3" t="s">
        <v>100</v>
      </c>
      <c r="F136" s="3" t="s">
        <v>83</v>
      </c>
      <c r="G136" s="2"/>
      <c r="H136" s="14" t="s">
        <v>106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15">
        <f>0.05*F137</f>
        <v>25</v>
      </c>
      <c r="E137" s="16">
        <f>F137</f>
        <v>500</v>
      </c>
      <c r="F137" s="16">
        <v>500</v>
      </c>
      <c r="G137" s="16"/>
      <c r="H137" s="20">
        <f>D137/F137</f>
        <v>0.05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 t="s">
        <v>215</v>
      </c>
      <c r="D139" s="2"/>
      <c r="E139" s="2"/>
      <c r="F139" s="2"/>
      <c r="G139" s="2"/>
      <c r="H139" s="2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 t="s">
        <v>107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9" t="s">
        <v>108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 t="s">
        <v>217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9" t="s">
        <v>109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10" t="s">
        <v>104</v>
      </c>
      <c r="E145" s="18"/>
      <c r="F145" s="18"/>
      <c r="G145" s="11"/>
      <c r="H145" s="1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13" t="s">
        <v>105</v>
      </c>
      <c r="E146" s="3" t="s">
        <v>100</v>
      </c>
      <c r="F146" s="3" t="s">
        <v>83</v>
      </c>
      <c r="G146" s="2"/>
      <c r="H146" s="14" t="s">
        <v>106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15">
        <f>0.025*F147</f>
        <v>12.5</v>
      </c>
      <c r="E147" s="16">
        <f>F147</f>
        <v>500</v>
      </c>
      <c r="F147" s="16">
        <v>500</v>
      </c>
      <c r="G147" s="16"/>
      <c r="H147" s="20">
        <f>D147/F147</f>
        <v>2.5000000000000001E-2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8"/>
      <c r="B149" s="3" t="s">
        <v>110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 t="s">
        <v>218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 t="s">
        <v>111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 t="s">
        <v>218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3" t="s">
        <v>112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 t="s">
        <v>113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9" t="s">
        <v>114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9" t="s">
        <v>115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9" t="s">
        <v>219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10" t="s">
        <v>116</v>
      </c>
      <c r="E160" s="11"/>
      <c r="F160" s="1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13" t="s">
        <v>117</v>
      </c>
      <c r="E161" s="3" t="s">
        <v>118</v>
      </c>
      <c r="F161" s="14" t="s">
        <v>74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15">
        <f>F162/2</f>
        <v>1</v>
      </c>
      <c r="E162" s="16">
        <f>F162/2</f>
        <v>1</v>
      </c>
      <c r="F162" s="17">
        <v>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 t="s">
        <v>119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9" t="s">
        <v>120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 t="s">
        <v>121</v>
      </c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9" t="s">
        <v>122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9" t="s">
        <v>123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9" t="s">
        <v>124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 t="s">
        <v>125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9" t="s">
        <v>126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 t="s">
        <v>127</v>
      </c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 t="s">
        <v>128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 t="s">
        <v>129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 t="s">
        <v>130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9" t="s">
        <v>131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7" t="s">
        <v>132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 t="s">
        <v>130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7" t="s">
        <v>133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7" t="s">
        <v>134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7" t="s">
        <v>135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3" t="s">
        <v>136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 t="s">
        <v>137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 t="s">
        <v>138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 t="s">
        <v>137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 t="s">
        <v>139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 t="s">
        <v>140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9" t="s">
        <v>141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3" t="s">
        <v>142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E2D3-DABB-6145-AE99-90FAC1D6E902}">
  <dimension ref="A1:K942"/>
  <sheetViews>
    <sheetView topLeftCell="A16" zoomScale="150" workbookViewId="0">
      <selection activeCell="E20" sqref="E20"/>
    </sheetView>
  </sheetViews>
  <sheetFormatPr baseColWidth="10" defaultColWidth="11.1640625" defaultRowHeight="13" x14ac:dyDescent="0.15"/>
  <cols>
    <col min="1" max="1" width="28.5" style="2" customWidth="1"/>
    <col min="2" max="3" width="10.83203125" style="2" customWidth="1"/>
    <col min="4" max="4" width="11.33203125" style="2" customWidth="1"/>
    <col min="5" max="5" width="14" style="2" customWidth="1"/>
    <col min="6" max="6" width="13.1640625" style="2" customWidth="1"/>
    <col min="7" max="7" width="11.6640625" style="2" customWidth="1"/>
    <col min="8" max="26" width="10.83203125" style="2" customWidth="1"/>
    <col min="27" max="16384" width="11.1640625" style="2"/>
  </cols>
  <sheetData>
    <row r="1" spans="2:7" ht="12.75" customHeight="1" x14ac:dyDescent="0.15">
      <c r="B1" s="2" t="s">
        <v>143</v>
      </c>
      <c r="F1" s="2" t="s">
        <v>144</v>
      </c>
    </row>
    <row r="2" spans="2:7" ht="12.75" customHeight="1" x14ac:dyDescent="0.15">
      <c r="B2" s="2" t="s">
        <v>223</v>
      </c>
      <c r="C2" s="2" t="s">
        <v>145</v>
      </c>
      <c r="D2" s="2" t="s">
        <v>146</v>
      </c>
      <c r="F2" s="2" t="s">
        <v>147</v>
      </c>
      <c r="G2" s="2" t="s">
        <v>148</v>
      </c>
    </row>
    <row r="3" spans="2:7" ht="12.75" customHeight="1" x14ac:dyDescent="0.15">
      <c r="B3" s="2">
        <v>1</v>
      </c>
      <c r="C3" s="2">
        <v>1.431</v>
      </c>
      <c r="D3" s="2">
        <f>AVERAGE(C3:C4)</f>
        <v>1.397</v>
      </c>
      <c r="F3" s="2">
        <f>B3</f>
        <v>1</v>
      </c>
      <c r="G3" s="2">
        <f>D3</f>
        <v>1.397</v>
      </c>
    </row>
    <row r="4" spans="2:7" ht="12.75" customHeight="1" x14ac:dyDescent="0.15">
      <c r="C4" s="2">
        <v>1.363</v>
      </c>
      <c r="F4" s="2">
        <f>B5</f>
        <v>0.7</v>
      </c>
      <c r="G4" s="2">
        <f>D5</f>
        <v>1.222</v>
      </c>
    </row>
    <row r="5" spans="2:7" ht="12.75" customHeight="1" x14ac:dyDescent="0.15">
      <c r="B5" s="2">
        <v>0.7</v>
      </c>
      <c r="C5" s="2">
        <v>1.194</v>
      </c>
      <c r="D5" s="2">
        <f>AVERAGE(C5:C6)</f>
        <v>1.222</v>
      </c>
      <c r="F5" s="2">
        <f>B7</f>
        <v>0.5</v>
      </c>
      <c r="G5" s="2">
        <f>D7</f>
        <v>0.997</v>
      </c>
    </row>
    <row r="6" spans="2:7" ht="12.75" customHeight="1" x14ac:dyDescent="0.15">
      <c r="C6" s="2">
        <v>1.25</v>
      </c>
      <c r="F6" s="2">
        <f>B9</f>
        <v>0.3</v>
      </c>
      <c r="G6" s="2">
        <f>D9</f>
        <v>0.82799999999999996</v>
      </c>
    </row>
    <row r="7" spans="2:7" ht="12.75" customHeight="1" x14ac:dyDescent="0.15">
      <c r="B7" s="2">
        <v>0.5</v>
      </c>
      <c r="C7" s="2">
        <v>0.995</v>
      </c>
      <c r="D7" s="2">
        <f>AVERAGE(C7:C8)</f>
        <v>0.997</v>
      </c>
      <c r="F7" s="2">
        <f>B11</f>
        <v>0.2</v>
      </c>
      <c r="G7" s="2">
        <f>D11</f>
        <v>0.74249999999999994</v>
      </c>
    </row>
    <row r="8" spans="2:7" ht="12.75" customHeight="1" x14ac:dyDescent="0.15">
      <c r="C8" s="2">
        <v>0.999</v>
      </c>
      <c r="F8" s="2">
        <f>B13</f>
        <v>0.1</v>
      </c>
      <c r="G8" s="2">
        <f>D13</f>
        <v>0.60299999999999998</v>
      </c>
    </row>
    <row r="9" spans="2:7" ht="12.75" customHeight="1" x14ac:dyDescent="0.15">
      <c r="B9" s="2">
        <v>0.3</v>
      </c>
      <c r="C9" s="2">
        <v>0.82799999999999996</v>
      </c>
      <c r="D9" s="2">
        <f>AVERAGE(C9:C10)</f>
        <v>0.82799999999999996</v>
      </c>
      <c r="F9" s="2">
        <f>B15</f>
        <v>0.05</v>
      </c>
      <c r="G9" s="2">
        <f>D15</f>
        <v>0.55049999999999999</v>
      </c>
    </row>
    <row r="10" spans="2:7" ht="12.75" customHeight="1" x14ac:dyDescent="0.15">
      <c r="C10" s="2">
        <v>0.82799999999999996</v>
      </c>
      <c r="F10" s="2">
        <f>B17</f>
        <v>0</v>
      </c>
      <c r="G10" s="2">
        <f>D17</f>
        <v>0.50049999999999994</v>
      </c>
    </row>
    <row r="11" spans="2:7" ht="12.75" customHeight="1" x14ac:dyDescent="0.15">
      <c r="B11" s="2">
        <v>0.2</v>
      </c>
      <c r="C11" s="2">
        <v>0.72699999999999998</v>
      </c>
      <c r="D11" s="2">
        <f>AVERAGE(C11:C12)</f>
        <v>0.74249999999999994</v>
      </c>
    </row>
    <row r="12" spans="2:7" ht="12.75" customHeight="1" x14ac:dyDescent="0.15">
      <c r="C12" s="2">
        <v>0.75800000000000001</v>
      </c>
    </row>
    <row r="13" spans="2:7" ht="12.75" customHeight="1" x14ac:dyDescent="0.15">
      <c r="B13" s="2">
        <v>0.1</v>
      </c>
      <c r="C13" s="2">
        <v>0.60599999999999998</v>
      </c>
      <c r="D13" s="2">
        <f>AVERAGE(C13:C14)</f>
        <v>0.60299999999999998</v>
      </c>
    </row>
    <row r="14" spans="2:7" ht="12.75" customHeight="1" x14ac:dyDescent="0.15">
      <c r="C14" s="2">
        <v>0.6</v>
      </c>
    </row>
    <row r="15" spans="2:7" ht="12.75" customHeight="1" x14ac:dyDescent="0.15">
      <c r="B15" s="2">
        <v>0.05</v>
      </c>
      <c r="C15" s="2">
        <v>0.54500000000000004</v>
      </c>
      <c r="D15" s="2">
        <f>AVERAGE(C15:C16)</f>
        <v>0.55049999999999999</v>
      </c>
    </row>
    <row r="16" spans="2:7" ht="12.75" customHeight="1" x14ac:dyDescent="0.15">
      <c r="C16" s="2">
        <v>0.55600000000000005</v>
      </c>
    </row>
    <row r="17" spans="1:11" ht="12.75" customHeight="1" x14ac:dyDescent="0.15">
      <c r="B17" s="2">
        <v>0</v>
      </c>
      <c r="C17" s="2">
        <v>0.499</v>
      </c>
      <c r="D17" s="2">
        <f>AVERAGE(C17:C18)</f>
        <v>0.50049999999999994</v>
      </c>
    </row>
    <row r="18" spans="1:11" ht="12.75" customHeight="1" x14ac:dyDescent="0.15">
      <c r="C18" s="2">
        <v>0.502</v>
      </c>
    </row>
    <row r="19" spans="1:11" ht="12.75" customHeight="1" x14ac:dyDescent="0.15"/>
    <row r="20" spans="1:11" ht="12.75" customHeight="1" x14ac:dyDescent="0.15">
      <c r="B20" s="22" t="s">
        <v>149</v>
      </c>
      <c r="C20" s="23">
        <f>SLOPE(G3:G10,F3:F10)</f>
        <v>0.92101981981981995</v>
      </c>
    </row>
    <row r="21" spans="1:11" ht="12.75" customHeight="1" x14ac:dyDescent="0.15">
      <c r="B21" s="22" t="s">
        <v>150</v>
      </c>
      <c r="C21" s="23">
        <f>INTERCEPT(G3:G10,F3:F10)</f>
        <v>0.52694918918918909</v>
      </c>
    </row>
    <row r="22" spans="1:11" ht="12.75" customHeight="1" x14ac:dyDescent="0.15">
      <c r="B22" s="22" t="s">
        <v>151</v>
      </c>
      <c r="C22" s="2">
        <v>10</v>
      </c>
    </row>
    <row r="23" spans="1:11" ht="12.75" customHeight="1" x14ac:dyDescent="0.15">
      <c r="B23" s="22" t="s">
        <v>152</v>
      </c>
      <c r="C23" s="2">
        <v>5</v>
      </c>
    </row>
    <row r="24" spans="1:11" ht="12.75" customHeight="1" x14ac:dyDescent="0.15">
      <c r="B24" s="22" t="s">
        <v>153</v>
      </c>
      <c r="C24" s="2">
        <v>20</v>
      </c>
    </row>
    <row r="25" spans="1:11" ht="12.75" customHeight="1" x14ac:dyDescent="0.15"/>
    <row r="26" spans="1:11" ht="12.75" customHeight="1" x14ac:dyDescent="0.15">
      <c r="B26" s="43" t="s">
        <v>154</v>
      </c>
      <c r="C26" s="44"/>
      <c r="D26" s="44"/>
      <c r="E26" s="43" t="s">
        <v>222</v>
      </c>
      <c r="F26" s="43"/>
      <c r="G26" s="43" t="s">
        <v>225</v>
      </c>
      <c r="H26" s="45"/>
      <c r="I26" s="43" t="s">
        <v>226</v>
      </c>
      <c r="J26" s="43"/>
      <c r="K26" s="43"/>
    </row>
    <row r="27" spans="1:11" ht="12.75" customHeight="1" x14ac:dyDescent="0.15">
      <c r="A27" s="3" t="s">
        <v>155</v>
      </c>
      <c r="B27" s="46" t="s">
        <v>156</v>
      </c>
      <c r="C27" s="46" t="s">
        <v>157</v>
      </c>
      <c r="D27" s="46" t="s">
        <v>146</v>
      </c>
      <c r="E27" s="46" t="s">
        <v>158</v>
      </c>
      <c r="F27" s="46" t="s">
        <v>159</v>
      </c>
      <c r="G27" s="46" t="s">
        <v>160</v>
      </c>
      <c r="H27" s="46" t="s">
        <v>161</v>
      </c>
      <c r="I27" s="46" t="s">
        <v>224</v>
      </c>
      <c r="J27" s="46" t="s">
        <v>160</v>
      </c>
      <c r="K27" s="46" t="s">
        <v>162</v>
      </c>
    </row>
    <row r="28" spans="1:11" ht="12.75" customHeight="1" x14ac:dyDescent="0.15">
      <c r="A28" s="2" t="s">
        <v>9</v>
      </c>
      <c r="B28" s="23">
        <v>0.755</v>
      </c>
      <c r="C28" s="23">
        <v>0.77</v>
      </c>
      <c r="D28" s="23">
        <f t="shared" ref="D28:D39" si="0">AVERAGE(B28:C28)</f>
        <v>0.76249999999999996</v>
      </c>
      <c r="E28" s="24">
        <f t="shared" ref="E28:E39" si="1">(D28-$C$21)/$C$20</f>
        <v>0.25574999119659758</v>
      </c>
      <c r="F28" s="24">
        <f t="shared" ref="F28:F39" si="2">E28*$C$22</f>
        <v>2.5574999119659756</v>
      </c>
      <c r="G28" s="51">
        <f>$C$23/F28</f>
        <v>1.9550342803947354</v>
      </c>
      <c r="H28" s="51">
        <f t="shared" ref="H28:H39" si="3">$C$24-G28</f>
        <v>18.044965719605266</v>
      </c>
      <c r="I28" s="24">
        <v>1.3</v>
      </c>
      <c r="J28" s="25">
        <f>I28*G28</f>
        <v>2.5415445645131562</v>
      </c>
      <c r="K28" s="25">
        <f>$C$24-J28</f>
        <v>17.458455435486844</v>
      </c>
    </row>
    <row r="29" spans="1:11" ht="12.75" customHeight="1" x14ac:dyDescent="0.15">
      <c r="A29" s="2" t="s">
        <v>10</v>
      </c>
      <c r="B29" s="23">
        <v>0.68300000000000005</v>
      </c>
      <c r="C29" s="23">
        <v>0.69099999999999995</v>
      </c>
      <c r="D29" s="23">
        <f t="shared" si="0"/>
        <v>0.68700000000000006</v>
      </c>
      <c r="E29" s="24">
        <f t="shared" si="1"/>
        <v>0.17377564235492984</v>
      </c>
      <c r="F29" s="24">
        <f t="shared" si="2"/>
        <v>1.7377564235492984</v>
      </c>
      <c r="G29" s="51">
        <f t="shared" ref="G28:G39" si="4">$C$23/F29</f>
        <v>2.8772732082829529</v>
      </c>
      <c r="H29" s="51">
        <f t="shared" si="3"/>
        <v>17.122726791717046</v>
      </c>
      <c r="I29" s="24">
        <v>1</v>
      </c>
      <c r="J29" s="25">
        <f t="shared" ref="J29:J34" si="5">I29*G29</f>
        <v>2.8772732082829529</v>
      </c>
      <c r="K29" s="25">
        <f t="shared" ref="K29:K34" si="6">$C$24-J29</f>
        <v>17.122726791717046</v>
      </c>
    </row>
    <row r="30" spans="1:11" ht="12.75" customHeight="1" x14ac:dyDescent="0.15">
      <c r="A30" s="2" t="s">
        <v>11</v>
      </c>
      <c r="B30" s="23">
        <v>0.66</v>
      </c>
      <c r="C30" s="23">
        <v>0.68799999999999994</v>
      </c>
      <c r="D30" s="23">
        <f t="shared" si="0"/>
        <v>0.67399999999999993</v>
      </c>
      <c r="E30" s="24">
        <f t="shared" si="1"/>
        <v>0.15966085381265577</v>
      </c>
      <c r="F30" s="24">
        <f t="shared" si="2"/>
        <v>1.5966085381265578</v>
      </c>
      <c r="G30" s="51">
        <f>$C$23/F30</f>
        <v>3.1316380193400084</v>
      </c>
      <c r="H30" s="51">
        <f t="shared" si="3"/>
        <v>16.868361980659991</v>
      </c>
      <c r="I30" s="24">
        <v>0.67</v>
      </c>
      <c r="J30" s="25">
        <f t="shared" si="5"/>
        <v>2.0981974729578057</v>
      </c>
      <c r="K30" s="25">
        <f t="shared" si="6"/>
        <v>17.901802527042193</v>
      </c>
    </row>
    <row r="31" spans="1:11" ht="12.75" customHeight="1" x14ac:dyDescent="0.15">
      <c r="A31" s="2" t="s">
        <v>12</v>
      </c>
      <c r="B31" s="23">
        <v>0.70899999999999996</v>
      </c>
      <c r="C31" s="23">
        <v>0.747</v>
      </c>
      <c r="D31" s="23">
        <f t="shared" si="0"/>
        <v>0.72799999999999998</v>
      </c>
      <c r="E31" s="24">
        <f t="shared" si="1"/>
        <v>0.21829151391133217</v>
      </c>
      <c r="F31" s="24">
        <f t="shared" si="2"/>
        <v>2.1829151391133217</v>
      </c>
      <c r="G31" s="51">
        <f t="shared" si="4"/>
        <v>2.2905150596147088</v>
      </c>
      <c r="H31" s="51">
        <f t="shared" si="3"/>
        <v>17.709484940385291</v>
      </c>
      <c r="I31" s="24">
        <v>0.97</v>
      </c>
      <c r="J31" s="25">
        <f t="shared" si="5"/>
        <v>2.2217996078262674</v>
      </c>
      <c r="K31" s="25">
        <f t="shared" si="6"/>
        <v>17.778200392173733</v>
      </c>
    </row>
    <row r="32" spans="1:11" ht="12.75" customHeight="1" x14ac:dyDescent="0.15">
      <c r="A32" s="2" t="s">
        <v>13</v>
      </c>
      <c r="B32" s="2">
        <v>0.66900000000000004</v>
      </c>
      <c r="C32" s="2">
        <v>0.70499999999999996</v>
      </c>
      <c r="D32" s="23">
        <f t="shared" si="0"/>
        <v>0.68700000000000006</v>
      </c>
      <c r="E32" s="24">
        <f t="shared" si="1"/>
        <v>0.17377564235492984</v>
      </c>
      <c r="F32" s="24">
        <f t="shared" si="2"/>
        <v>1.7377564235492984</v>
      </c>
      <c r="G32" s="51">
        <f t="shared" si="4"/>
        <v>2.8772732082829529</v>
      </c>
      <c r="H32" s="51">
        <f t="shared" si="3"/>
        <v>17.122726791717046</v>
      </c>
      <c r="I32" s="24">
        <v>1.45</v>
      </c>
      <c r="J32" s="25">
        <f t="shared" si="5"/>
        <v>4.1720461520102816</v>
      </c>
      <c r="K32" s="25">
        <f t="shared" si="6"/>
        <v>15.827953847989718</v>
      </c>
    </row>
    <row r="33" spans="1:11" ht="12.75" customHeight="1" x14ac:dyDescent="0.15">
      <c r="A33" s="2" t="s">
        <v>15</v>
      </c>
      <c r="B33" s="23">
        <v>0.64900000000000002</v>
      </c>
      <c r="C33" s="23">
        <v>0.68100000000000005</v>
      </c>
      <c r="D33" s="23">
        <f t="shared" si="0"/>
        <v>0.66500000000000004</v>
      </c>
      <c r="E33" s="24">
        <f t="shared" si="1"/>
        <v>0.14988907712954316</v>
      </c>
      <c r="F33" s="24">
        <f t="shared" si="2"/>
        <v>1.4988907712954316</v>
      </c>
      <c r="G33" s="51">
        <f t="shared" si="4"/>
        <v>3.3358001101565922</v>
      </c>
      <c r="H33" s="51">
        <f t="shared" si="3"/>
        <v>16.66419988984341</v>
      </c>
      <c r="I33" s="24">
        <v>0.77</v>
      </c>
      <c r="J33" s="25">
        <f t="shared" si="5"/>
        <v>2.568566084820576</v>
      </c>
      <c r="K33" s="25">
        <f t="shared" si="6"/>
        <v>17.431433915179426</v>
      </c>
    </row>
    <row r="34" spans="1:11" ht="12.75" customHeight="1" x14ac:dyDescent="0.15">
      <c r="A34" s="40" t="s">
        <v>14</v>
      </c>
      <c r="B34" s="42">
        <v>0.79300000000000004</v>
      </c>
      <c r="C34" s="42">
        <v>0.76500000000000001</v>
      </c>
      <c r="D34" s="42">
        <f t="shared" si="0"/>
        <v>0.77900000000000003</v>
      </c>
      <c r="E34" s="41">
        <f t="shared" si="1"/>
        <v>0.27366491511563767</v>
      </c>
      <c r="F34" s="41">
        <f t="shared" si="2"/>
        <v>2.7366491511563766</v>
      </c>
      <c r="G34" s="51">
        <f t="shared" si="4"/>
        <v>1.8270518885795937</v>
      </c>
      <c r="H34" s="51">
        <f t="shared" si="3"/>
        <v>18.172948111420407</v>
      </c>
      <c r="I34" s="24">
        <v>1.5</v>
      </c>
      <c r="J34" s="25">
        <f t="shared" si="5"/>
        <v>2.7405778328693904</v>
      </c>
      <c r="K34" s="25">
        <f t="shared" si="6"/>
        <v>17.259422167130609</v>
      </c>
    </row>
    <row r="35" spans="1:11" ht="12.75" customHeight="1" x14ac:dyDescent="0.15">
      <c r="B35" s="23"/>
      <c r="C35" s="23"/>
      <c r="D35" s="23"/>
      <c r="E35" s="24"/>
      <c r="F35" s="24"/>
      <c r="G35" s="24"/>
      <c r="H35" s="24"/>
      <c r="I35" s="24"/>
    </row>
    <row r="36" spans="1:11" ht="12.75" customHeight="1" x14ac:dyDescent="0.15">
      <c r="B36" s="23"/>
      <c r="C36" s="23"/>
      <c r="D36" s="23"/>
      <c r="E36" s="24"/>
      <c r="F36" s="24"/>
      <c r="G36" s="24"/>
      <c r="H36" s="24"/>
      <c r="I36" s="24"/>
      <c r="J36" s="24"/>
    </row>
    <row r="37" spans="1:11" ht="12.75" customHeight="1" x14ac:dyDescent="0.15">
      <c r="E37" s="24"/>
      <c r="F37" s="24"/>
      <c r="G37" s="24"/>
      <c r="H37" s="24"/>
    </row>
    <row r="38" spans="1:11" ht="12.75" customHeight="1" x14ac:dyDescent="0.15">
      <c r="E38" s="24"/>
      <c r="F38" s="24"/>
      <c r="G38" s="24"/>
      <c r="H38" s="24"/>
    </row>
    <row r="39" spans="1:11" ht="12.75" customHeight="1" x14ac:dyDescent="0.15">
      <c r="E39" s="24"/>
      <c r="F39" s="24"/>
      <c r="G39" s="24"/>
      <c r="H39" s="24"/>
    </row>
    <row r="40" spans="1:11" ht="12.75" customHeight="1" x14ac:dyDescent="0.15">
      <c r="E40" s="24"/>
      <c r="F40" s="24"/>
      <c r="G40" s="24"/>
      <c r="H40" s="24"/>
    </row>
    <row r="41" spans="1:11" ht="12.75" customHeight="1" x14ac:dyDescent="0.15">
      <c r="E41" s="24"/>
      <c r="F41" s="24"/>
      <c r="G41" s="24"/>
      <c r="H41" s="24"/>
      <c r="I41" s="24"/>
      <c r="J41" s="24"/>
    </row>
    <row r="42" spans="1:11" ht="12.75" customHeight="1" x14ac:dyDescent="0.15">
      <c r="E42" s="24"/>
      <c r="F42" s="24"/>
      <c r="G42" s="24"/>
      <c r="H42" s="24"/>
      <c r="I42" s="24"/>
      <c r="J42" s="24"/>
    </row>
    <row r="43" spans="1:11" ht="12.75" customHeight="1" x14ac:dyDescent="0.15"/>
    <row r="44" spans="1:11" ht="12.75" customHeight="1" x14ac:dyDescent="0.15"/>
    <row r="45" spans="1:11" ht="12.75" customHeight="1" x14ac:dyDescent="0.15"/>
    <row r="46" spans="1:11" ht="12.75" customHeight="1" x14ac:dyDescent="0.15"/>
    <row r="47" spans="1:11" ht="12.75" customHeight="1" x14ac:dyDescent="0.15"/>
    <row r="48" spans="1:11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</sheetData>
  <mergeCells count="4">
    <mergeCell ref="B26:D26"/>
    <mergeCell ref="E26:F26"/>
    <mergeCell ref="G26:H26"/>
    <mergeCell ref="I26:K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F325-1AA0-534A-B9E5-308BC573C721}">
  <dimension ref="A1"/>
  <sheetViews>
    <sheetView workbookViewId="0"/>
  </sheetViews>
  <sheetFormatPr baseColWidth="10" defaultRowHeight="16" x14ac:dyDescent="0.2"/>
  <sheetData>
    <row r="1" spans="1:1" x14ac:dyDescent="0.2">
      <c r="A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6040-6B49-274D-948C-FDBB8E3AE9BB}">
  <dimension ref="A1"/>
  <sheetViews>
    <sheetView workbookViewId="0"/>
  </sheetViews>
  <sheetFormatPr baseColWidth="10" defaultRowHeight="16" x14ac:dyDescent="0.2"/>
  <sheetData>
    <row r="1" spans="1:1" x14ac:dyDescent="0.2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Directory</vt:lpstr>
      <vt:lpstr>Protocol</vt:lpstr>
      <vt:lpstr>BCA</vt:lpstr>
      <vt:lpstr>Quantification</vt:lpstr>
      <vt:lpstr>ImageLab_Software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Chang</dc:creator>
  <cp:lastModifiedBy>Matt Chang</cp:lastModifiedBy>
  <dcterms:created xsi:type="dcterms:W3CDTF">2025-04-26T17:36:30Z</dcterms:created>
  <dcterms:modified xsi:type="dcterms:W3CDTF">2025-04-26T18:13:21Z</dcterms:modified>
</cp:coreProperties>
</file>