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5\OneDrive\Documents\qualms\client\public\"/>
    </mc:Choice>
  </mc:AlternateContent>
  <xr:revisionPtr revIDLastSave="0" documentId="13_ncr:1_{7A7C8B1B-B5FF-4FC7-AF34-CE060083A922}" xr6:coauthVersionLast="47" xr6:coauthVersionMax="47" xr10:uidLastSave="{00000000-0000-0000-0000-000000000000}"/>
  <bookViews>
    <workbookView xWindow="1100" yWindow="147" windowWidth="16267" windowHeight="13533" xr2:uid="{00000000-000D-0000-FFFF-FFFF00000000}"/>
  </bookViews>
  <sheets>
    <sheet name="Growth Forecast" sheetId="4" r:id="rId1"/>
    <sheet name="Cost Analysis" sheetId="3" r:id="rId2"/>
    <sheet name="P&amp;L Statement" sheetId="1" r:id="rId3"/>
    <sheet name="Qualms-forecast-summary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4" l="1"/>
  <c r="B19" i="4"/>
  <c r="AI9" i="1"/>
  <c r="AJ9" i="1"/>
  <c r="AL9" i="1" s="1"/>
  <c r="AK9" i="1"/>
  <c r="AH9" i="1"/>
  <c r="AD9" i="1"/>
  <c r="AE9" i="1"/>
  <c r="AF9" i="1"/>
  <c r="AC9" i="1"/>
  <c r="Z9" i="1"/>
  <c r="AA9" i="1"/>
  <c r="Y9" i="1"/>
  <c r="B20" i="4"/>
  <c r="A3" i="5"/>
  <c r="B3" i="5"/>
  <c r="D3" i="5"/>
  <c r="A4" i="5"/>
  <c r="B4" i="5"/>
  <c r="D4" i="5"/>
  <c r="F4" i="5"/>
  <c r="H4" i="5"/>
  <c r="J4" i="5"/>
  <c r="A5" i="5"/>
  <c r="B5" i="5"/>
  <c r="D5" i="5"/>
  <c r="A6" i="5"/>
  <c r="B6" i="5"/>
  <c r="D6" i="5"/>
  <c r="A7" i="5"/>
  <c r="B7" i="5"/>
  <c r="D7" i="5"/>
  <c r="B8" i="5"/>
  <c r="D8" i="5"/>
  <c r="A11" i="5"/>
  <c r="B11" i="5"/>
  <c r="G11" i="5"/>
  <c r="I11" i="5"/>
  <c r="A12" i="5"/>
  <c r="I12" i="5"/>
  <c r="A13" i="5"/>
  <c r="B13" i="5"/>
  <c r="D13" i="5"/>
  <c r="A14" i="5"/>
  <c r="I14" i="5"/>
  <c r="Y26" i="1"/>
  <c r="AB26" i="1" s="1"/>
  <c r="D22" i="3" s="1"/>
  <c r="X26" i="1"/>
  <c r="AD23" i="1"/>
  <c r="AC23" i="1"/>
  <c r="AH26" i="1"/>
  <c r="AI26" i="1"/>
  <c r="AJ26" i="1"/>
  <c r="AK26" i="1"/>
  <c r="AE23" i="1"/>
  <c r="AF23" i="1"/>
  <c r="AA24" i="1"/>
  <c r="AA25" i="1"/>
  <c r="AA23" i="1"/>
  <c r="X23" i="1"/>
  <c r="Y23" i="1"/>
  <c r="Z23" i="1"/>
  <c r="X24" i="1"/>
  <c r="Y24" i="1"/>
  <c r="Z24" i="1"/>
  <c r="X25" i="1"/>
  <c r="Y25" i="1"/>
  <c r="Z25" i="1"/>
  <c r="AF24" i="1"/>
  <c r="AI24" i="1"/>
  <c r="AJ24" i="1"/>
  <c r="AK24" i="1"/>
  <c r="AH24" i="1"/>
  <c r="C3" i="3"/>
  <c r="C4" i="3"/>
  <c r="B4" i="3"/>
  <c r="AG27" i="1"/>
  <c r="E22" i="3"/>
  <c r="C22" i="3"/>
  <c r="B22" i="3"/>
  <c r="B42" i="3" s="1"/>
  <c r="AD26" i="1"/>
  <c r="AE26" i="1"/>
  <c r="AC26" i="1"/>
  <c r="AG26" i="1"/>
  <c r="AF26" i="1"/>
  <c r="Z26" i="1"/>
  <c r="AA26" i="1"/>
  <c r="W26" i="1"/>
  <c r="T26" i="1"/>
  <c r="U26" i="1"/>
  <c r="V26" i="1"/>
  <c r="S26" i="1"/>
  <c r="AI23" i="1"/>
  <c r="AJ23" i="1"/>
  <c r="AK23" i="1"/>
  <c r="AH23" i="1"/>
  <c r="AA22" i="1"/>
  <c r="Z22" i="1"/>
  <c r="Y22" i="1"/>
  <c r="X22" i="1"/>
  <c r="AL27" i="1"/>
  <c r="F23" i="3" s="1"/>
  <c r="C43" i="3" s="1"/>
  <c r="AI25" i="1"/>
  <c r="AJ25" i="1"/>
  <c r="AK25" i="1"/>
  <c r="AD22" i="1"/>
  <c r="AE22" i="1"/>
  <c r="AF22" i="1"/>
  <c r="AC22" i="1"/>
  <c r="AI22" i="1"/>
  <c r="AJ22" i="1"/>
  <c r="AK22" i="1"/>
  <c r="AH22" i="1"/>
  <c r="AF25" i="1"/>
  <c r="A14" i="3"/>
  <c r="A15" i="3"/>
  <c r="A16" i="3"/>
  <c r="A17" i="3"/>
  <c r="A13" i="3"/>
  <c r="A34" i="3"/>
  <c r="A33" i="3"/>
  <c r="A32" i="3"/>
  <c r="A31" i="3"/>
  <c r="E23" i="3"/>
  <c r="D23" i="3"/>
  <c r="C28" i="3"/>
  <c r="F12" i="3"/>
  <c r="E12" i="3"/>
  <c r="D12" i="3"/>
  <c r="C12" i="3"/>
  <c r="B12" i="3"/>
  <c r="E44" i="4"/>
  <c r="AL37" i="1"/>
  <c r="F30" i="3" s="1"/>
  <c r="C50" i="3" s="1"/>
  <c r="AK36" i="1"/>
  <c r="AJ36" i="1"/>
  <c r="AI36" i="1"/>
  <c r="AH36" i="1"/>
  <c r="AL33" i="1"/>
  <c r="F27" i="3" s="1"/>
  <c r="C47" i="3" s="1"/>
  <c r="AL32" i="1"/>
  <c r="F26" i="3" s="1"/>
  <c r="AL30" i="1"/>
  <c r="F25" i="3" s="1"/>
  <c r="C45" i="3" s="1"/>
  <c r="AL29" i="1"/>
  <c r="F24" i="3" s="1"/>
  <c r="C44" i="3" s="1"/>
  <c r="AB9" i="1"/>
  <c r="AG37" i="1"/>
  <c r="E30" i="3" s="1"/>
  <c r="AF36" i="1"/>
  <c r="AE36" i="1"/>
  <c r="AD36" i="1"/>
  <c r="AC36" i="1"/>
  <c r="AG33" i="1"/>
  <c r="E27" i="3" s="1"/>
  <c r="AG32" i="1"/>
  <c r="E26" i="3" s="1"/>
  <c r="AG30" i="1"/>
  <c r="E25" i="3" s="1"/>
  <c r="AG29" i="1"/>
  <c r="E24" i="3" s="1"/>
  <c r="AA36" i="1"/>
  <c r="Z36" i="1"/>
  <c r="Y36" i="1"/>
  <c r="X36" i="1"/>
  <c r="AB37" i="1"/>
  <c r="D30" i="3" s="1"/>
  <c r="AB33" i="1"/>
  <c r="D27" i="3" s="1"/>
  <c r="AB32" i="1"/>
  <c r="D26" i="3" s="1"/>
  <c r="AB30" i="1"/>
  <c r="D25" i="3" s="1"/>
  <c r="AB29" i="1"/>
  <c r="D24" i="3" s="1"/>
  <c r="V36" i="1"/>
  <c r="U36" i="1"/>
  <c r="T36" i="1"/>
  <c r="S36" i="1"/>
  <c r="V22" i="1"/>
  <c r="U22" i="1"/>
  <c r="T22" i="1"/>
  <c r="S22" i="1"/>
  <c r="V23" i="1"/>
  <c r="H22" i="1"/>
  <c r="W24" i="1"/>
  <c r="C20" i="3" s="1"/>
  <c r="S25" i="1"/>
  <c r="T25" i="1"/>
  <c r="U25" i="1"/>
  <c r="V25" i="1"/>
  <c r="H36" i="1"/>
  <c r="I36" i="1"/>
  <c r="J36" i="1"/>
  <c r="K36" i="1"/>
  <c r="L36" i="1"/>
  <c r="M36" i="1"/>
  <c r="N36" i="1"/>
  <c r="O36" i="1"/>
  <c r="P36" i="1"/>
  <c r="Q36" i="1"/>
  <c r="G36" i="1"/>
  <c r="L29" i="1"/>
  <c r="M29" i="1"/>
  <c r="N29" i="1"/>
  <c r="O29" i="1"/>
  <c r="P29" i="1"/>
  <c r="Q29" i="1"/>
  <c r="L30" i="1"/>
  <c r="M30" i="1"/>
  <c r="N30" i="1"/>
  <c r="O30" i="1"/>
  <c r="P30" i="1"/>
  <c r="Q30" i="1"/>
  <c r="K30" i="1"/>
  <c r="K25" i="1"/>
  <c r="L25" i="1"/>
  <c r="G23" i="1"/>
  <c r="W37" i="1"/>
  <c r="C30" i="3" s="1"/>
  <c r="W33" i="1"/>
  <c r="C27" i="3" s="1"/>
  <c r="W32" i="1"/>
  <c r="C26" i="3" s="1"/>
  <c r="W30" i="1"/>
  <c r="C25" i="3" s="1"/>
  <c r="W29" i="1"/>
  <c r="C24" i="3" s="1"/>
  <c r="W27" i="1"/>
  <c r="C23" i="3" s="1"/>
  <c r="C38" i="1"/>
  <c r="D38" i="1"/>
  <c r="B38" i="1"/>
  <c r="H30" i="1"/>
  <c r="I30" i="1"/>
  <c r="G30" i="1"/>
  <c r="H29" i="1"/>
  <c r="I29" i="1"/>
  <c r="G29" i="1"/>
  <c r="H25" i="1"/>
  <c r="G25" i="1"/>
  <c r="R24" i="1"/>
  <c r="B20" i="3" s="1"/>
  <c r="B40" i="3" s="1"/>
  <c r="R27" i="1"/>
  <c r="B23" i="3" s="1"/>
  <c r="B43" i="3" s="1"/>
  <c r="R32" i="1"/>
  <c r="B26" i="3" s="1"/>
  <c r="B46" i="3" s="1"/>
  <c r="R33" i="1"/>
  <c r="B27" i="3" s="1"/>
  <c r="B47" i="3" s="1"/>
  <c r="R37" i="1"/>
  <c r="B30" i="3" s="1"/>
  <c r="B50" i="3" s="1"/>
  <c r="J23" i="1"/>
  <c r="L23" i="1"/>
  <c r="M23" i="1"/>
  <c r="O23" i="1"/>
  <c r="P23" i="1"/>
  <c r="E37" i="1"/>
  <c r="E36" i="1"/>
  <c r="E35" i="1"/>
  <c r="E33" i="1"/>
  <c r="E32" i="1"/>
  <c r="E30" i="1"/>
  <c r="E29" i="1"/>
  <c r="E23" i="1"/>
  <c r="E24" i="1"/>
  <c r="E25" i="1"/>
  <c r="E27" i="1"/>
  <c r="E22" i="1"/>
  <c r="D17" i="1"/>
  <c r="C17" i="1"/>
  <c r="R10" i="1"/>
  <c r="B66" i="1"/>
  <c r="B65" i="1"/>
  <c r="AL13" i="1"/>
  <c r="AG13" i="1"/>
  <c r="AB13" i="1"/>
  <c r="W13" i="1"/>
  <c r="E6" i="1"/>
  <c r="E7" i="1"/>
  <c r="E10" i="1"/>
  <c r="E14" i="1"/>
  <c r="E16" i="1"/>
  <c r="R13" i="1"/>
  <c r="B17" i="1"/>
  <c r="B62" i="1"/>
  <c r="R6" i="1"/>
  <c r="O6" i="1" s="1"/>
  <c r="P51" i="1"/>
  <c r="B61" i="1"/>
  <c r="W7" i="1"/>
  <c r="G7" i="1"/>
  <c r="G11" i="1" s="1"/>
  <c r="G12" i="1" s="1"/>
  <c r="G35" i="1" s="1"/>
  <c r="H7" i="1"/>
  <c r="I7" i="1"/>
  <c r="I11" i="1" s="1"/>
  <c r="I12" i="1" s="1"/>
  <c r="I35" i="1" s="1"/>
  <c r="J7" i="1"/>
  <c r="J11" i="1" s="1"/>
  <c r="J12" i="1" s="1"/>
  <c r="J35" i="1" s="1"/>
  <c r="K7" i="1"/>
  <c r="K11" i="1" s="1"/>
  <c r="K12" i="1" s="1"/>
  <c r="K35" i="1" s="1"/>
  <c r="L7" i="1"/>
  <c r="M7" i="1"/>
  <c r="N7" i="1"/>
  <c r="O7" i="1"/>
  <c r="O11" i="1" s="1"/>
  <c r="O12" i="1" s="1"/>
  <c r="O35" i="1" s="1"/>
  <c r="P7" i="1"/>
  <c r="P11" i="1" s="1"/>
  <c r="P12" i="1" s="1"/>
  <c r="P35" i="1" s="1"/>
  <c r="Q7" i="1"/>
  <c r="Q11" i="1" s="1"/>
  <c r="Q12" i="1" s="1"/>
  <c r="Q35" i="1" s="1"/>
  <c r="F7" i="1"/>
  <c r="F11" i="1" s="1"/>
  <c r="F12" i="1" s="1"/>
  <c r="F35" i="1" s="1"/>
  <c r="F38" i="1" s="1"/>
  <c r="C11" i="1"/>
  <c r="C12" i="1" s="1"/>
  <c r="D11" i="1"/>
  <c r="D12" i="1" s="1"/>
  <c r="B11" i="1"/>
  <c r="B12" i="1" s="1"/>
  <c r="C15" i="1"/>
  <c r="D15" i="1"/>
  <c r="B15" i="1"/>
  <c r="AG9" i="1" l="1"/>
  <c r="AL26" i="1"/>
  <c r="F22" i="3" s="1"/>
  <c r="C42" i="3" s="1"/>
  <c r="C18" i="1"/>
  <c r="Q46" i="1"/>
  <c r="P46" i="1"/>
  <c r="F46" i="1"/>
  <c r="B12" i="5" s="1"/>
  <c r="O46" i="1"/>
  <c r="G46" i="1"/>
  <c r="K46" i="1"/>
  <c r="J46" i="1"/>
  <c r="B18" i="1"/>
  <c r="B39" i="1" s="1"/>
  <c r="I46" i="1"/>
  <c r="AL23" i="1"/>
  <c r="F19" i="3" s="1"/>
  <c r="C39" i="3" s="1"/>
  <c r="D18" i="1"/>
  <c r="D39" i="1" s="1"/>
  <c r="D40" i="1" s="1"/>
  <c r="D41" i="1" s="1"/>
  <c r="AG36" i="1"/>
  <c r="E29" i="3" s="1"/>
  <c r="AL25" i="1"/>
  <c r="F21" i="3" s="1"/>
  <c r="AL22" i="1"/>
  <c r="F18" i="3" s="1"/>
  <c r="AL36" i="1"/>
  <c r="F29" i="3" s="1"/>
  <c r="C49" i="3" s="1"/>
  <c r="AL24" i="1"/>
  <c r="F20" i="3" s="1"/>
  <c r="C46" i="3"/>
  <c r="AB23" i="1"/>
  <c r="D19" i="3" s="1"/>
  <c r="AB36" i="1"/>
  <c r="D29" i="3" s="1"/>
  <c r="B26" i="4"/>
  <c r="AB24" i="1"/>
  <c r="D20" i="3" s="1"/>
  <c r="D4" i="3" s="1"/>
  <c r="AG24" i="1"/>
  <c r="E20" i="3" s="1"/>
  <c r="E4" i="3" s="1"/>
  <c r="W36" i="1"/>
  <c r="C29" i="3" s="1"/>
  <c r="AG25" i="1"/>
  <c r="E21" i="3" s="1"/>
  <c r="AB22" i="1"/>
  <c r="D18" i="3" s="1"/>
  <c r="W25" i="1"/>
  <c r="C21" i="3" s="1"/>
  <c r="O16" i="1"/>
  <c r="O15" i="1"/>
  <c r="AB25" i="1"/>
  <c r="D21" i="3" s="1"/>
  <c r="AG23" i="1"/>
  <c r="E19" i="3" s="1"/>
  <c r="C39" i="1"/>
  <c r="C40" i="1" s="1"/>
  <c r="C41" i="1" s="1"/>
  <c r="E17" i="1"/>
  <c r="E38" i="1"/>
  <c r="O14" i="1"/>
  <c r="R29" i="1"/>
  <c r="B24" i="3" s="1"/>
  <c r="B44" i="3" s="1"/>
  <c r="AG22" i="1"/>
  <c r="E18" i="3" s="1"/>
  <c r="N11" i="1"/>
  <c r="N12" i="1" s="1"/>
  <c r="L11" i="1"/>
  <c r="L12" i="1" s="1"/>
  <c r="W22" i="1"/>
  <c r="R36" i="1"/>
  <c r="B29" i="3" s="1"/>
  <c r="B49" i="3" s="1"/>
  <c r="R30" i="1"/>
  <c r="B25" i="3" s="1"/>
  <c r="B45" i="3" s="1"/>
  <c r="R25" i="1"/>
  <c r="B21" i="3" s="1"/>
  <c r="W23" i="1"/>
  <c r="C19" i="3" s="1"/>
  <c r="Q23" i="1"/>
  <c r="N23" i="1"/>
  <c r="K23" i="1"/>
  <c r="H23" i="1"/>
  <c r="I23" i="1"/>
  <c r="M11" i="1"/>
  <c r="M12" i="1" s="1"/>
  <c r="M46" i="1" s="1"/>
  <c r="N6" i="1"/>
  <c r="M6" i="1"/>
  <c r="K6" i="1"/>
  <c r="H11" i="1"/>
  <c r="H12" i="1" s="1"/>
  <c r="E11" i="1"/>
  <c r="E15" i="1"/>
  <c r="E12" i="1"/>
  <c r="G6" i="1"/>
  <c r="T7" i="1"/>
  <c r="T11" i="1" s="1"/>
  <c r="F6" i="1"/>
  <c r="L6" i="1"/>
  <c r="S7" i="1"/>
  <c r="S11" i="1" s="1"/>
  <c r="V7" i="1"/>
  <c r="U7" i="1"/>
  <c r="W6" i="1"/>
  <c r="Q6" i="1"/>
  <c r="P6" i="1"/>
  <c r="J6" i="1"/>
  <c r="I6" i="1"/>
  <c r="H6" i="1"/>
  <c r="AB7" i="1"/>
  <c r="AG7" i="1" s="1"/>
  <c r="AL7" i="1" s="1"/>
  <c r="B19" i="1"/>
  <c r="C19" i="1"/>
  <c r="B41" i="3" l="1"/>
  <c r="B3" i="3"/>
  <c r="C41" i="3"/>
  <c r="C40" i="3"/>
  <c r="F4" i="3"/>
  <c r="C38" i="3"/>
  <c r="N35" i="1"/>
  <c r="N46" i="1"/>
  <c r="H35" i="1"/>
  <c r="H46" i="1"/>
  <c r="L35" i="1"/>
  <c r="L46" i="1"/>
  <c r="D19" i="1"/>
  <c r="E19" i="1" s="1"/>
  <c r="E18" i="1"/>
  <c r="B25" i="4"/>
  <c r="B27" i="4" s="1"/>
  <c r="C18" i="3"/>
  <c r="I15" i="1"/>
  <c r="I16" i="1"/>
  <c r="I14" i="1"/>
  <c r="P17" i="1"/>
  <c r="P16" i="1"/>
  <c r="P14" i="1"/>
  <c r="P15" i="1"/>
  <c r="J17" i="1"/>
  <c r="J15" i="1"/>
  <c r="J16" i="1"/>
  <c r="J14" i="1"/>
  <c r="L17" i="1"/>
  <c r="L15" i="1"/>
  <c r="L16" i="1"/>
  <c r="L14" i="1"/>
  <c r="M16" i="1"/>
  <c r="M14" i="1"/>
  <c r="M15" i="1"/>
  <c r="Q16" i="1"/>
  <c r="Q14" i="1"/>
  <c r="Q15" i="1"/>
  <c r="K15" i="1"/>
  <c r="K14" i="1"/>
  <c r="K16" i="1"/>
  <c r="N16" i="1"/>
  <c r="N15" i="1"/>
  <c r="N14" i="1"/>
  <c r="F17" i="1"/>
  <c r="F14" i="1"/>
  <c r="F15" i="1"/>
  <c r="F16" i="1"/>
  <c r="G14" i="1"/>
  <c r="G15" i="1"/>
  <c r="G16" i="1"/>
  <c r="H15" i="1"/>
  <c r="H16" i="1"/>
  <c r="H14" i="1"/>
  <c r="Q17" i="1"/>
  <c r="B40" i="1"/>
  <c r="B41" i="1" s="1"/>
  <c r="B42" i="1" s="1"/>
  <c r="C42" i="1" s="1"/>
  <c r="D42" i="1" s="1"/>
  <c r="M17" i="1"/>
  <c r="K17" i="1"/>
  <c r="G17" i="1"/>
  <c r="N17" i="1"/>
  <c r="O17" i="1"/>
  <c r="O18" i="1" s="1"/>
  <c r="O19" i="1" s="1"/>
  <c r="R12" i="1"/>
  <c r="M35" i="1"/>
  <c r="H17" i="1"/>
  <c r="E39" i="1"/>
  <c r="I17" i="1"/>
  <c r="W38" i="1"/>
  <c r="R23" i="1"/>
  <c r="B19" i="3" s="1"/>
  <c r="B39" i="3" s="1"/>
  <c r="R11" i="1"/>
  <c r="V11" i="1"/>
  <c r="U11" i="1"/>
  <c r="AB6" i="1"/>
  <c r="Y7" i="1"/>
  <c r="Z7" i="1"/>
  <c r="AA7" i="1"/>
  <c r="X7" i="1"/>
  <c r="U6" i="1"/>
  <c r="T6" i="1"/>
  <c r="V6" i="1"/>
  <c r="S6" i="1"/>
  <c r="R35" i="1" l="1"/>
  <c r="B28" i="3" s="1"/>
  <c r="N18" i="1"/>
  <c r="N19" i="1" s="1"/>
  <c r="C31" i="3"/>
  <c r="H18" i="1"/>
  <c r="H19" i="1" s="1"/>
  <c r="B2" i="4"/>
  <c r="R16" i="1"/>
  <c r="B16" i="3" s="1"/>
  <c r="G18" i="1"/>
  <c r="G19" i="1" s="1"/>
  <c r="S16" i="1"/>
  <c r="S14" i="1"/>
  <c r="S15" i="1"/>
  <c r="V14" i="1"/>
  <c r="V15" i="1"/>
  <c r="V16" i="1"/>
  <c r="T14" i="1"/>
  <c r="T15" i="1"/>
  <c r="T16" i="1"/>
  <c r="U14" i="1"/>
  <c r="U15" i="1"/>
  <c r="U16" i="1"/>
  <c r="R17" i="1"/>
  <c r="U10" i="1"/>
  <c r="U12" i="1" s="1"/>
  <c r="U17" i="1"/>
  <c r="E40" i="1"/>
  <c r="E41" i="1" s="1"/>
  <c r="E42" i="1" s="1"/>
  <c r="W11" i="1"/>
  <c r="S17" i="1"/>
  <c r="S10" i="1"/>
  <c r="V10" i="1"/>
  <c r="V12" i="1" s="1"/>
  <c r="V17" i="1"/>
  <c r="M18" i="1"/>
  <c r="M19" i="1" s="1"/>
  <c r="P18" i="1"/>
  <c r="P19" i="1" s="1"/>
  <c r="AD7" i="1"/>
  <c r="AE7" i="1"/>
  <c r="AF7" i="1"/>
  <c r="AC7" i="1"/>
  <c r="T10" i="1"/>
  <c r="T12" i="1" s="1"/>
  <c r="T17" i="1"/>
  <c r="L18" i="1"/>
  <c r="L19" i="1" s="1"/>
  <c r="Z11" i="1"/>
  <c r="Y11" i="1"/>
  <c r="Q18" i="1"/>
  <c r="Q19" i="1" s="1"/>
  <c r="X11" i="1"/>
  <c r="AA11" i="1"/>
  <c r="J18" i="1"/>
  <c r="J19" i="1" s="1"/>
  <c r="I18" i="1"/>
  <c r="I19" i="1" s="1"/>
  <c r="K18" i="1"/>
  <c r="K19" i="1" s="1"/>
  <c r="R14" i="1"/>
  <c r="B14" i="3" s="1"/>
  <c r="F18" i="1"/>
  <c r="F47" i="1" s="1"/>
  <c r="R15" i="1"/>
  <c r="B15" i="3" s="1"/>
  <c r="Y6" i="1"/>
  <c r="Z6" i="1"/>
  <c r="AA6" i="1"/>
  <c r="X6" i="1"/>
  <c r="AG6" i="1"/>
  <c r="B48" i="3" l="1"/>
  <c r="T35" i="1"/>
  <c r="T38" i="1" s="1"/>
  <c r="T46" i="1"/>
  <c r="V35" i="1"/>
  <c r="V38" i="1" s="1"/>
  <c r="V46" i="1"/>
  <c r="U35" i="1"/>
  <c r="U38" i="1" s="1"/>
  <c r="U46" i="1"/>
  <c r="F48" i="1"/>
  <c r="G45" i="1" s="1"/>
  <c r="T18" i="1"/>
  <c r="T19" i="1" s="1"/>
  <c r="B2" i="3"/>
  <c r="W16" i="1"/>
  <c r="C16" i="3" s="1"/>
  <c r="AA16" i="1"/>
  <c r="AA15" i="1"/>
  <c r="AA14" i="1"/>
  <c r="Y14" i="1"/>
  <c r="Y15" i="1"/>
  <c r="Y16" i="1"/>
  <c r="X16" i="1"/>
  <c r="X15" i="1"/>
  <c r="X14" i="1"/>
  <c r="Z14" i="1"/>
  <c r="Z15" i="1"/>
  <c r="Z16" i="1"/>
  <c r="Y10" i="1"/>
  <c r="Y12" i="1" s="1"/>
  <c r="Y17" i="1"/>
  <c r="W10" i="1"/>
  <c r="S12" i="1"/>
  <c r="S46" i="1" s="1"/>
  <c r="D12" i="5" s="1"/>
  <c r="Z17" i="1"/>
  <c r="Z10" i="1"/>
  <c r="F19" i="1"/>
  <c r="F39" i="1"/>
  <c r="AB11" i="1"/>
  <c r="AD6" i="1"/>
  <c r="AE6" i="1"/>
  <c r="AF6" i="1"/>
  <c r="AC6" i="1"/>
  <c r="W17" i="1"/>
  <c r="X10" i="1"/>
  <c r="X12" i="1" s="1"/>
  <c r="X46" i="1" s="1"/>
  <c r="X17" i="1"/>
  <c r="AA17" i="1"/>
  <c r="AA10" i="1"/>
  <c r="AD11" i="1"/>
  <c r="AC11" i="1"/>
  <c r="AF11" i="1"/>
  <c r="W14" i="1"/>
  <c r="C14" i="3" s="1"/>
  <c r="AE11" i="1"/>
  <c r="S18" i="1"/>
  <c r="U18" i="1"/>
  <c r="U19" i="1" s="1"/>
  <c r="W15" i="1"/>
  <c r="C15" i="3" s="1"/>
  <c r="V18" i="1"/>
  <c r="V19" i="1" s="1"/>
  <c r="R18" i="1"/>
  <c r="AL6" i="1"/>
  <c r="AI7" i="1"/>
  <c r="AJ7" i="1"/>
  <c r="AK7" i="1"/>
  <c r="AH7" i="1"/>
  <c r="T47" i="1" l="1"/>
  <c r="U47" i="1"/>
  <c r="Y35" i="1"/>
  <c r="Y38" i="1" s="1"/>
  <c r="Y46" i="1"/>
  <c r="V47" i="1"/>
  <c r="T39" i="1"/>
  <c r="T40" i="1" s="1"/>
  <c r="AB16" i="1"/>
  <c r="D16" i="3" s="1"/>
  <c r="R19" i="1"/>
  <c r="B17" i="3"/>
  <c r="C2" i="3"/>
  <c r="Z12" i="1"/>
  <c r="AA12" i="1"/>
  <c r="AF15" i="1"/>
  <c r="AF16" i="1"/>
  <c r="AF14" i="1"/>
  <c r="AC16" i="1"/>
  <c r="AC15" i="1"/>
  <c r="AC14" i="1"/>
  <c r="AE15" i="1"/>
  <c r="AE14" i="1"/>
  <c r="AE16" i="1"/>
  <c r="AD17" i="1"/>
  <c r="AD16" i="1"/>
  <c r="AD14" i="1"/>
  <c r="AD15" i="1"/>
  <c r="U39" i="1"/>
  <c r="U40" i="1" s="1"/>
  <c r="U41" i="1" s="1"/>
  <c r="W18" i="1"/>
  <c r="AE17" i="1"/>
  <c r="F40" i="1"/>
  <c r="F41" i="1" s="1"/>
  <c r="F42" i="1" s="1"/>
  <c r="AB10" i="1"/>
  <c r="AB12" i="1" s="1"/>
  <c r="F3" i="5" s="1"/>
  <c r="X35" i="1"/>
  <c r="V39" i="1"/>
  <c r="S35" i="1"/>
  <c r="S38" i="1" s="1"/>
  <c r="W12" i="1"/>
  <c r="AD10" i="1"/>
  <c r="AC10" i="1"/>
  <c r="AC12" i="1" s="1"/>
  <c r="AC46" i="1" s="1"/>
  <c r="AC17" i="1"/>
  <c r="AB17" i="1"/>
  <c r="S19" i="1"/>
  <c r="AF17" i="1"/>
  <c r="AF10" i="1"/>
  <c r="AE10" i="1"/>
  <c r="AG11" i="1"/>
  <c r="AH11" i="1"/>
  <c r="AK11" i="1"/>
  <c r="AB15" i="1"/>
  <c r="D15" i="3" s="1"/>
  <c r="AJ11" i="1"/>
  <c r="AI11" i="1"/>
  <c r="Y18" i="1"/>
  <c r="Y19" i="1" s="1"/>
  <c r="X18" i="1"/>
  <c r="X19" i="1" s="1"/>
  <c r="AB14" i="1"/>
  <c r="D14" i="3" s="1"/>
  <c r="AA18" i="1"/>
  <c r="Z18" i="1"/>
  <c r="AI6" i="1"/>
  <c r="AJ6" i="1"/>
  <c r="AK6" i="1"/>
  <c r="AH6" i="1"/>
  <c r="Y47" i="1" l="1"/>
  <c r="Z35" i="1"/>
  <c r="Z38" i="1" s="1"/>
  <c r="Z47" i="1" s="1"/>
  <c r="Z46" i="1"/>
  <c r="F12" i="5" s="1"/>
  <c r="S39" i="1"/>
  <c r="W39" i="1" s="1"/>
  <c r="S47" i="1"/>
  <c r="AA35" i="1"/>
  <c r="AA38" i="1" s="1"/>
  <c r="AA47" i="1" s="1"/>
  <c r="AA46" i="1"/>
  <c r="T41" i="1"/>
  <c r="D2" i="3"/>
  <c r="B4" i="4"/>
  <c r="C17" i="3"/>
  <c r="Z19" i="1"/>
  <c r="AA19" i="1"/>
  <c r="C9" i="3"/>
  <c r="C7" i="3"/>
  <c r="C8" i="3"/>
  <c r="B3" i="4"/>
  <c r="AD12" i="1"/>
  <c r="AE12" i="1"/>
  <c r="AF12" i="1"/>
  <c r="AG16" i="1"/>
  <c r="E16" i="3" s="1"/>
  <c r="AK14" i="1"/>
  <c r="AK15" i="1"/>
  <c r="AK16" i="1"/>
  <c r="AH16" i="1"/>
  <c r="AH15" i="1"/>
  <c r="AH14" i="1"/>
  <c r="AJ14" i="1"/>
  <c r="AJ15" i="1"/>
  <c r="AJ16" i="1"/>
  <c r="AI14" i="1"/>
  <c r="AI15" i="1"/>
  <c r="AI16" i="1"/>
  <c r="AB18" i="1"/>
  <c r="W19" i="1"/>
  <c r="AH17" i="1"/>
  <c r="AH10" i="1"/>
  <c r="AH12" i="1" s="1"/>
  <c r="AG17" i="1"/>
  <c r="Y39" i="1"/>
  <c r="X38" i="1"/>
  <c r="AG10" i="1"/>
  <c r="AG12" i="1" s="1"/>
  <c r="H3" i="5" s="1"/>
  <c r="AC35" i="1"/>
  <c r="AL11" i="1"/>
  <c r="V40" i="1"/>
  <c r="V41" i="1" s="1"/>
  <c r="AK10" i="1"/>
  <c r="AK12" i="1" s="1"/>
  <c r="AK17" i="1"/>
  <c r="AJ17" i="1"/>
  <c r="AJ10" i="1"/>
  <c r="AJ12" i="1" s="1"/>
  <c r="AI10" i="1"/>
  <c r="AI12" i="1" s="1"/>
  <c r="AI17" i="1"/>
  <c r="AC18" i="1"/>
  <c r="AG14" i="1"/>
  <c r="E14" i="3" s="1"/>
  <c r="AD18" i="1"/>
  <c r="AF18" i="1"/>
  <c r="AE18" i="1"/>
  <c r="AG15" i="1"/>
  <c r="E15" i="3" s="1"/>
  <c r="S40" i="1" l="1"/>
  <c r="S41" i="1" s="1"/>
  <c r="AA39" i="1"/>
  <c r="AA40" i="1" s="1"/>
  <c r="AA41" i="1" s="1"/>
  <c r="Z39" i="1"/>
  <c r="Z40" i="1" s="1"/>
  <c r="Z41" i="1" s="1"/>
  <c r="AB35" i="1"/>
  <c r="AB38" i="1" s="1"/>
  <c r="F6" i="5" s="1"/>
  <c r="AJ35" i="1"/>
  <c r="AJ38" i="1" s="1"/>
  <c r="AJ46" i="1"/>
  <c r="AI35" i="1"/>
  <c r="AI38" i="1" s="1"/>
  <c r="AI46" i="1"/>
  <c r="AH35" i="1"/>
  <c r="AH46" i="1"/>
  <c r="AD35" i="1"/>
  <c r="AD38" i="1" s="1"/>
  <c r="AD47" i="1" s="1"/>
  <c r="AD46" i="1"/>
  <c r="AK35" i="1"/>
  <c r="AK38" i="1" s="1"/>
  <c r="AK46" i="1"/>
  <c r="AF35" i="1"/>
  <c r="AF38" i="1" s="1"/>
  <c r="AF47" i="1" s="1"/>
  <c r="AF46" i="1"/>
  <c r="AE35" i="1"/>
  <c r="AE38" i="1" s="1"/>
  <c r="AE47" i="1" s="1"/>
  <c r="AE46" i="1"/>
  <c r="X39" i="1"/>
  <c r="X40" i="1" s="1"/>
  <c r="X41" i="1" s="1"/>
  <c r="X47" i="1"/>
  <c r="F13" i="5" s="1"/>
  <c r="AL16" i="1"/>
  <c r="F16" i="3" s="1"/>
  <c r="C32" i="3"/>
  <c r="AB19" i="1"/>
  <c r="F5" i="5" s="1"/>
  <c r="D17" i="3"/>
  <c r="B5" i="4"/>
  <c r="W40" i="1"/>
  <c r="E2" i="3"/>
  <c r="AH38" i="1"/>
  <c r="AH47" i="1" s="1"/>
  <c r="AC38" i="1"/>
  <c r="AL17" i="1"/>
  <c r="Y40" i="1"/>
  <c r="Y41" i="1" s="1"/>
  <c r="AL10" i="1"/>
  <c r="AL12" i="1" s="1"/>
  <c r="J3" i="5" s="1"/>
  <c r="AC19" i="1"/>
  <c r="AE19" i="1"/>
  <c r="AF19" i="1"/>
  <c r="AD19" i="1"/>
  <c r="AJ18" i="1"/>
  <c r="AJ19" i="1" s="1"/>
  <c r="AI18" i="1"/>
  <c r="AI19" i="1" s="1"/>
  <c r="AH18" i="1"/>
  <c r="AL14" i="1"/>
  <c r="F14" i="3" s="1"/>
  <c r="AK18" i="1"/>
  <c r="AK19" i="1" s="1"/>
  <c r="AG18" i="1"/>
  <c r="AL15" i="1"/>
  <c r="F15" i="3" s="1"/>
  <c r="J12" i="5" l="1"/>
  <c r="AL35" i="1"/>
  <c r="H12" i="5"/>
  <c r="D28" i="3"/>
  <c r="D3" i="3" s="1"/>
  <c r="AK47" i="1"/>
  <c r="AD39" i="1"/>
  <c r="AD40" i="1" s="1"/>
  <c r="AD41" i="1" s="1"/>
  <c r="AF39" i="1"/>
  <c r="AF40" i="1" s="1"/>
  <c r="AF41" i="1" s="1"/>
  <c r="AI47" i="1"/>
  <c r="J13" i="5" s="1"/>
  <c r="AE39" i="1"/>
  <c r="AE40" i="1" s="1"/>
  <c r="AE41" i="1" s="1"/>
  <c r="AG35" i="1"/>
  <c r="E28" i="3" s="1"/>
  <c r="E3" i="3" s="1"/>
  <c r="AJ47" i="1"/>
  <c r="AB39" i="1"/>
  <c r="AC39" i="1"/>
  <c r="AC47" i="1"/>
  <c r="H13" i="5" s="1"/>
  <c r="F2" i="3"/>
  <c r="W41" i="1"/>
  <c r="C33" i="3"/>
  <c r="D31" i="3"/>
  <c r="D9" i="3"/>
  <c r="D8" i="3"/>
  <c r="D7" i="3"/>
  <c r="B6" i="4"/>
  <c r="B29" i="4" s="1"/>
  <c r="AG19" i="1"/>
  <c r="H5" i="5" s="1"/>
  <c r="E17" i="3"/>
  <c r="F28" i="3"/>
  <c r="F3" i="3" s="1"/>
  <c r="AL38" i="1"/>
  <c r="J6" i="5" s="1"/>
  <c r="AJ39" i="1"/>
  <c r="AJ40" i="1" s="1"/>
  <c r="AJ41" i="1" s="1"/>
  <c r="AH19" i="1"/>
  <c r="AK39" i="1"/>
  <c r="AI39" i="1"/>
  <c r="AH39" i="1"/>
  <c r="AL18" i="1"/>
  <c r="AG38" i="1" l="1"/>
  <c r="H6" i="5" s="1"/>
  <c r="AB40" i="1"/>
  <c r="AB41" i="1" s="1"/>
  <c r="F8" i="5" s="1"/>
  <c r="F7" i="5"/>
  <c r="E7" i="3"/>
  <c r="AG39" i="1"/>
  <c r="H7" i="5" s="1"/>
  <c r="D32" i="3"/>
  <c r="AC40" i="1"/>
  <c r="AC41" i="1" s="1"/>
  <c r="C34" i="3"/>
  <c r="C3" i="4"/>
  <c r="D3" i="4" s="1"/>
  <c r="F31" i="3"/>
  <c r="AL19" i="1"/>
  <c r="J5" i="5" s="1"/>
  <c r="F17" i="3"/>
  <c r="C48" i="3"/>
  <c r="AI40" i="1"/>
  <c r="AI41" i="1" s="1"/>
  <c r="AH40" i="1"/>
  <c r="AH41" i="1" s="1"/>
  <c r="AL39" i="1"/>
  <c r="J7" i="5" s="1"/>
  <c r="AK40" i="1"/>
  <c r="AK41" i="1" s="1"/>
  <c r="Q22" i="1"/>
  <c r="Q38" i="1" s="1"/>
  <c r="P22" i="1"/>
  <c r="P38" i="1" s="1"/>
  <c r="N22" i="1"/>
  <c r="N38" i="1" s="1"/>
  <c r="M22" i="1"/>
  <c r="M38" i="1" s="1"/>
  <c r="O22" i="1"/>
  <c r="O38" i="1" s="1"/>
  <c r="L22" i="1"/>
  <c r="L38" i="1" s="1"/>
  <c r="K22" i="1"/>
  <c r="K38" i="1" s="1"/>
  <c r="J22" i="1"/>
  <c r="J38" i="1" s="1"/>
  <c r="I22" i="1"/>
  <c r="I38" i="1" s="1"/>
  <c r="H38" i="1"/>
  <c r="E31" i="3" l="1"/>
  <c r="D33" i="3"/>
  <c r="E32" i="3"/>
  <c r="AG40" i="1"/>
  <c r="E33" i="3" s="1"/>
  <c r="E9" i="3"/>
  <c r="E8" i="3"/>
  <c r="K39" i="1"/>
  <c r="K40" i="1" s="1"/>
  <c r="K41" i="1" s="1"/>
  <c r="K47" i="1"/>
  <c r="M39" i="1"/>
  <c r="M40" i="1" s="1"/>
  <c r="M41" i="1" s="1"/>
  <c r="M47" i="1"/>
  <c r="Q39" i="1"/>
  <c r="Q40" i="1" s="1"/>
  <c r="Q41" i="1" s="1"/>
  <c r="Q47" i="1"/>
  <c r="N39" i="1"/>
  <c r="N40" i="1" s="1"/>
  <c r="N41" i="1" s="1"/>
  <c r="N47" i="1"/>
  <c r="L39" i="1"/>
  <c r="L40" i="1" s="1"/>
  <c r="L41" i="1" s="1"/>
  <c r="L47" i="1"/>
  <c r="H39" i="1"/>
  <c r="H40" i="1" s="1"/>
  <c r="H41" i="1" s="1"/>
  <c r="H47" i="1"/>
  <c r="O39" i="1"/>
  <c r="O40" i="1" s="1"/>
  <c r="O41" i="1" s="1"/>
  <c r="O47" i="1"/>
  <c r="P39" i="1"/>
  <c r="P40" i="1" s="1"/>
  <c r="P41" i="1" s="1"/>
  <c r="P47" i="1"/>
  <c r="I39" i="1"/>
  <c r="I40" i="1" s="1"/>
  <c r="I41" i="1" s="1"/>
  <c r="I47" i="1"/>
  <c r="J39" i="1"/>
  <c r="J40" i="1" s="1"/>
  <c r="J41" i="1" s="1"/>
  <c r="J47" i="1"/>
  <c r="F32" i="3"/>
  <c r="C4" i="4"/>
  <c r="D4" i="4" s="1"/>
  <c r="D34" i="3"/>
  <c r="F9" i="3"/>
  <c r="F8" i="3"/>
  <c r="F7" i="3"/>
  <c r="AL40" i="1"/>
  <c r="G38" i="1"/>
  <c r="R22" i="1"/>
  <c r="AG41" i="1" l="1"/>
  <c r="H8" i="5" s="1"/>
  <c r="G39" i="1"/>
  <c r="R39" i="1" s="1"/>
  <c r="G47" i="1"/>
  <c r="R38" i="1"/>
  <c r="B18" i="3"/>
  <c r="AL41" i="1"/>
  <c r="J8" i="5" s="1"/>
  <c r="F33" i="3"/>
  <c r="C5" i="4" l="1"/>
  <c r="D5" i="4" s="1"/>
  <c r="E34" i="3"/>
  <c r="G40" i="1"/>
  <c r="G41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G48" i="1"/>
  <c r="H45" i="1" s="1"/>
  <c r="H48" i="1" s="1"/>
  <c r="I45" i="1" s="1"/>
  <c r="I48" i="1" s="1"/>
  <c r="J45" i="1" s="1"/>
  <c r="J48" i="1" s="1"/>
  <c r="K45" i="1" s="1"/>
  <c r="K48" i="1" s="1"/>
  <c r="L45" i="1" s="1"/>
  <c r="L48" i="1" s="1"/>
  <c r="M45" i="1" s="1"/>
  <c r="M48" i="1" s="1"/>
  <c r="N45" i="1" s="1"/>
  <c r="N48" i="1" s="1"/>
  <c r="O45" i="1" s="1"/>
  <c r="O48" i="1" s="1"/>
  <c r="P45" i="1" s="1"/>
  <c r="P48" i="1" s="1"/>
  <c r="Q45" i="1" s="1"/>
  <c r="Q48" i="1" s="1"/>
  <c r="B14" i="5" s="1"/>
  <c r="D11" i="5" s="1"/>
  <c r="B31" i="3"/>
  <c r="B32" i="3"/>
  <c r="B38" i="3"/>
  <c r="C6" i="4"/>
  <c r="D6" i="4" s="1"/>
  <c r="F34" i="3"/>
  <c r="R40" i="1"/>
  <c r="R41" i="1" s="1"/>
  <c r="S45" i="1" l="1"/>
  <c r="S48" i="1" s="1"/>
  <c r="T45" i="1" s="1"/>
  <c r="T48" i="1" s="1"/>
  <c r="U45" i="1" s="1"/>
  <c r="U48" i="1" s="1"/>
  <c r="V45" i="1" s="1"/>
  <c r="V48" i="1" s="1"/>
  <c r="D14" i="5" s="1"/>
  <c r="F11" i="5" s="1"/>
  <c r="R42" i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C2" i="4"/>
  <c r="D2" i="4" s="1"/>
  <c r="B34" i="3"/>
  <c r="B8" i="3"/>
  <c r="B9" i="3"/>
  <c r="B7" i="3"/>
  <c r="B10" i="4"/>
  <c r="B11" i="4" s="1"/>
  <c r="B16" i="4" s="1"/>
  <c r="B21" i="4" s="1"/>
  <c r="B15" i="4" l="1"/>
  <c r="X45" i="1"/>
  <c r="X48" i="1" s="1"/>
  <c r="Y45" i="1" s="1"/>
  <c r="Y48" i="1" s="1"/>
  <c r="Z45" i="1" s="1"/>
  <c r="Z48" i="1" s="1"/>
  <c r="AA45" i="1" s="1"/>
  <c r="AA48" i="1" s="1"/>
  <c r="F14" i="5" s="1"/>
  <c r="H11" i="5" s="1"/>
  <c r="AC45" i="1" l="1"/>
  <c r="AC48" i="1" s="1"/>
  <c r="AD45" i="1" s="1"/>
  <c r="AD48" i="1" s="1"/>
  <c r="AE45" i="1" s="1"/>
  <c r="AE48" i="1" s="1"/>
  <c r="AF45" i="1" s="1"/>
  <c r="AF48" i="1" s="1"/>
  <c r="H14" i="5" s="1"/>
  <c r="J11" i="5" s="1"/>
  <c r="AH45" i="1" l="1"/>
  <c r="AH48" i="1" s="1"/>
  <c r="AI45" i="1" s="1"/>
  <c r="AI48" i="1" s="1"/>
  <c r="AJ45" i="1" s="1"/>
  <c r="AJ48" i="1" s="1"/>
  <c r="AK45" i="1" s="1"/>
  <c r="AK48" i="1" s="1"/>
  <c r="J14" i="5" s="1"/>
</calcChain>
</file>

<file path=xl/sharedStrings.xml><?xml version="1.0" encoding="utf-8"?>
<sst xmlns="http://schemas.openxmlformats.org/spreadsheetml/2006/main" count="226" uniqueCount="123">
  <si>
    <t>Year 1</t>
  </si>
  <si>
    <t>Year 2</t>
  </si>
  <si>
    <t>Year 3</t>
  </si>
  <si>
    <t>Year 4</t>
  </si>
  <si>
    <t>Year 5</t>
  </si>
  <si>
    <t>Month</t>
  </si>
  <si>
    <t>Quarter</t>
  </si>
  <si>
    <t xml:space="preserve">M1 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</si>
  <si>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</si>
  <si>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</si>
  <si>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</si>
  <si>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</si>
  <si>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</si>
  <si>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</si>
  <si>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</si>
  <si>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</si>
  <si>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</si>
  <si>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</si>
  <si>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</si>
  <si>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Annual</t>
  </si>
  <si>
    <t>Q1</t>
  </si>
  <si>
    <t>Q2</t>
  </si>
  <si>
    <t>Q3</t>
  </si>
  <si>
    <t>Q4</t>
  </si>
  <si>
    <t>Sales</t>
  </si>
  <si>
    <t>Standard Paid Subscribers</t>
  </si>
  <si>
    <t>Revenue</t>
  </si>
  <si>
    <t>Ad Revenue</t>
  </si>
  <si>
    <t>Total Sales</t>
  </si>
  <si>
    <t>Cost of Sales</t>
  </si>
  <si>
    <t>Platform Fees</t>
  </si>
  <si>
    <t>Hosting Fees</t>
  </si>
  <si>
    <t>Data Protection Costs</t>
  </si>
  <si>
    <t>Total Cost of Sales</t>
  </si>
  <si>
    <t>Gross Profit</t>
  </si>
  <si>
    <t>Overhead</t>
  </si>
  <si>
    <t>Salaries</t>
  </si>
  <si>
    <t>Executive Board</t>
  </si>
  <si>
    <t>Software Developers</t>
  </si>
  <si>
    <t>Customer Support</t>
  </si>
  <si>
    <t>Admin Staff</t>
  </si>
  <si>
    <t>Employee Benefits</t>
  </si>
  <si>
    <t>Rent &amp; rates</t>
  </si>
  <si>
    <t>Office Rent (inc Utilities)</t>
  </si>
  <si>
    <t>Office Equipment</t>
  </si>
  <si>
    <t>In-house</t>
  </si>
  <si>
    <t>Marketing</t>
  </si>
  <si>
    <t>Other</t>
  </si>
  <si>
    <t>Professional Services</t>
  </si>
  <si>
    <t>Insurance</t>
  </si>
  <si>
    <t>Accounting Services</t>
  </si>
  <si>
    <t>Legal Services</t>
  </si>
  <si>
    <t>Total Oveheads</t>
  </si>
  <si>
    <t>Profit/Loss before Tax</t>
  </si>
  <si>
    <t xml:space="preserve">Corporation Tax </t>
  </si>
  <si>
    <t>Net Profit</t>
  </si>
  <si>
    <t>Sales Growth</t>
  </si>
  <si>
    <t>User relative to annual</t>
  </si>
  <si>
    <t>Channel</t>
  </si>
  <si>
    <t>Ratio</t>
  </si>
  <si>
    <t>Ad Sales Ratio</t>
  </si>
  <si>
    <t>Free Users</t>
  </si>
  <si>
    <t>Total Users</t>
  </si>
  <si>
    <t>Price</t>
  </si>
  <si>
    <t>Ratio to total sales</t>
  </si>
  <si>
    <t>Plaftorm Fees</t>
  </si>
  <si>
    <t>Hosting</t>
  </si>
  <si>
    <t>Data Security</t>
  </si>
  <si>
    <t>Overheads</t>
  </si>
  <si>
    <t>Profi/Loss before Tax</t>
  </si>
  <si>
    <t>Profi/Loss after Tax</t>
  </si>
  <si>
    <t>Beta Testing</t>
  </si>
  <si>
    <t>Sales Revenue</t>
  </si>
  <si>
    <t>Gross Profit/Loss</t>
  </si>
  <si>
    <t>Channel-Promotional Material</t>
  </si>
  <si>
    <t>Free Trial Users (new)</t>
  </si>
  <si>
    <t>Promotion/User Package For new Users</t>
  </si>
  <si>
    <t>M1</t>
  </si>
  <si>
    <t>Business Monthly</t>
  </si>
  <si>
    <t>Business Quaterly</t>
  </si>
  <si>
    <t>Business Annual</t>
  </si>
  <si>
    <t>Ratio to total QTY</t>
  </si>
  <si>
    <t>Starter Package</t>
  </si>
  <si>
    <t>Test Total</t>
  </si>
  <si>
    <t>Channel yr1</t>
  </si>
  <si>
    <t xml:space="preserve">Channel </t>
  </si>
  <si>
    <t>Other (inc fuel)</t>
  </si>
  <si>
    <t>1 Off Consulting</t>
  </si>
  <si>
    <t>Year</t>
  </si>
  <si>
    <t>EBITDA</t>
  </si>
  <si>
    <t>EBITDA Margin</t>
  </si>
  <si>
    <t>Industry Multiplier</t>
  </si>
  <si>
    <t>Year 5 EBITDA (operating profit)</t>
  </si>
  <si>
    <t>Business Value in 5yrs</t>
  </si>
  <si>
    <t>Investor ROI</t>
  </si>
  <si>
    <t>Stake to Sell</t>
  </si>
  <si>
    <t>Value of Stake in Year 5</t>
  </si>
  <si>
    <t>Fund allocation for first 2 years</t>
  </si>
  <si>
    <t>Other Expenses</t>
  </si>
  <si>
    <t>CAGR</t>
  </si>
  <si>
    <t>Cumulative Net Profit</t>
  </si>
  <si>
    <t>Executive Board (4 people)</t>
  </si>
  <si>
    <t>Staff</t>
  </si>
  <si>
    <t>Workspace</t>
  </si>
  <si>
    <t>Fixed Costs</t>
  </si>
  <si>
    <t>Fixed Overhead</t>
  </si>
  <si>
    <t>Variable Costs</t>
  </si>
  <si>
    <t>Variable Overhead</t>
  </si>
  <si>
    <t>C</t>
  </si>
  <si>
    <t>Year 12</t>
  </si>
  <si>
    <t>Year 22</t>
  </si>
  <si>
    <t>Year 32</t>
  </si>
  <si>
    <t>Year 42</t>
  </si>
  <si>
    <t>Total Income</t>
  </si>
  <si>
    <t>Total Expenditure</t>
  </si>
  <si>
    <t>Balance c/f</t>
  </si>
  <si>
    <t>Investments</t>
  </si>
  <si>
    <t>CashFlow:</t>
  </si>
  <si>
    <t>Balance b/f</t>
  </si>
  <si>
    <t>Sales Team</t>
  </si>
  <si>
    <t>Seed (start yr1)</t>
  </si>
  <si>
    <t>Yr 2 Valuation</t>
  </si>
  <si>
    <t>Investment Round 2 (end of yr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</si>
</sst>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&quot;£&quot;* #,##0.00_);_(&quot;£&quot;* \(#,##0.00\);_(&quot;£&quot;* &quot;-&quot;??_);_(@_)"/>
    <numFmt numFmtId="167" formatCode="_-[$£-809]* #,##0.00_-;\-[$£-809]* #,##0.00_-;_-[$£-809]* &quot;-&quot;??_-;_-@_-"/>
    <numFmt numFmtId="168" formatCode="_([$$-409]* #,##0.00_);_([$$-409]* \(#,##0.00\);_([$$-409]* &quot;-&quot;??_);_(@_)"/>
    <numFmt numFmtId="169" formatCode="0.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color rgb="FF002060"/>
      <name val="Arial"/>
      <family val="2"/>
    </font>
    <font>
      <sz val="11"/>
      <color rgb="FFFCD4D0"/>
      <name val="Arial"/>
      <family val="2"/>
    </font>
    <font>
      <b/>
      <sz val="11"/>
      <color theme="1" tint="0.14999847407452621"/>
      <name val="Arial"/>
      <family val="2"/>
    </font>
    <font>
      <b/>
      <sz val="11"/>
      <color rgb="FFFCD4D0"/>
      <name val="Arial"/>
      <family val="2"/>
    </font>
    <font>
      <sz val="11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DAE2F2"/>
        <bgColor theme="4" tint="0.79998168889431442"/>
      </patternFill>
    </fill>
    <fill>
      <patternFill patternType="solid">
        <fgColor rgb="FFB4C6E7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7C6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4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0" borderId="0" applyNumberFormat="0" applyFont="0" applyFill="0" applyBorder="0" applyAlignment="0" applyProtection="0"/>
  </cellStyleXfs>
  <cellXfs count="232">
    <xf numFmtId="0" fontId="0" fillId="0" borderId="0" xfId="0"/>
    <xf numFmtId="0" fontId="0" fillId="0" borderId="0" xfId="0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/>
    <xf numFmtId="0" fontId="7" fillId="0" borderId="0" xfId="0" applyFont="1"/>
    <xf numFmtId="0" fontId="7" fillId="0" borderId="11" xfId="0" applyFont="1" applyBorder="1"/>
    <xf numFmtId="0" fontId="0" fillId="0" borderId="11" xfId="0" applyBorder="1"/>
    <xf numFmtId="0" fontId="5" fillId="0" borderId="7" xfId="0" applyFont="1" applyBorder="1"/>
    <xf numFmtId="165" fontId="7" fillId="0" borderId="0" xfId="1" applyNumberFormat="1" applyFont="1" applyFill="1" applyBorder="1"/>
    <xf numFmtId="165" fontId="7" fillId="0" borderId="11" xfId="1" applyNumberFormat="1" applyFont="1" applyFill="1" applyBorder="1"/>
    <xf numFmtId="165" fontId="7" fillId="0" borderId="0" xfId="1" applyNumberFormat="1" applyFont="1" applyFill="1"/>
    <xf numFmtId="9" fontId="7" fillId="0" borderId="0" xfId="3" applyFont="1" applyFill="1"/>
    <xf numFmtId="166" fontId="7" fillId="0" borderId="11" xfId="0" applyNumberFormat="1" applyFont="1" applyBorder="1"/>
    <xf numFmtId="166" fontId="7" fillId="0" borderId="0" xfId="0" applyNumberFormat="1" applyFont="1"/>
    <xf numFmtId="9" fontId="0" fillId="0" borderId="0" xfId="3" applyFont="1" applyBorder="1"/>
    <xf numFmtId="0" fontId="8" fillId="0" borderId="5" xfId="0" applyFont="1" applyBorder="1"/>
    <xf numFmtId="44" fontId="7" fillId="0" borderId="3" xfId="2" applyFont="1" applyFill="1" applyBorder="1"/>
    <xf numFmtId="44" fontId="7" fillId="0" borderId="4" xfId="2" applyFont="1" applyFill="1" applyBorder="1"/>
    <xf numFmtId="0" fontId="6" fillId="0" borderId="4" xfId="0" applyFont="1" applyBorder="1"/>
    <xf numFmtId="166" fontId="7" fillId="0" borderId="9" xfId="0" applyNumberFormat="1" applyFont="1" applyBorder="1"/>
    <xf numFmtId="166" fontId="7" fillId="0" borderId="2" xfId="0" applyNumberFormat="1" applyFont="1" applyBorder="1"/>
    <xf numFmtId="166" fontId="7" fillId="0" borderId="3" xfId="0" applyNumberFormat="1" applyFont="1" applyBorder="1"/>
    <xf numFmtId="0" fontId="6" fillId="0" borderId="8" xfId="0" applyFont="1" applyBorder="1"/>
    <xf numFmtId="9" fontId="10" fillId="0" borderId="0" xfId="3" applyFont="1" applyFill="1"/>
    <xf numFmtId="9" fontId="10" fillId="0" borderId="11" xfId="3" applyFont="1" applyFill="1" applyBorder="1"/>
    <xf numFmtId="9" fontId="11" fillId="0" borderId="0" xfId="3" applyFont="1" applyFill="1"/>
    <xf numFmtId="9" fontId="11" fillId="0" borderId="0" xfId="3" applyFont="1"/>
    <xf numFmtId="9" fontId="11" fillId="0" borderId="11" xfId="3" applyFont="1" applyBorder="1"/>
    <xf numFmtId="9" fontId="12" fillId="0" borderId="0" xfId="3" applyFont="1"/>
    <xf numFmtId="9" fontId="12" fillId="0" borderId="11" xfId="3" applyFont="1" applyBorder="1"/>
    <xf numFmtId="44" fontId="7" fillId="0" borderId="0" xfId="2" applyFont="1" applyFill="1"/>
    <xf numFmtId="44" fontId="7" fillId="0" borderId="11" xfId="2" applyFont="1" applyFill="1" applyBorder="1"/>
    <xf numFmtId="44" fontId="0" fillId="0" borderId="0" xfId="2" applyFont="1"/>
    <xf numFmtId="44" fontId="0" fillId="0" borderId="11" xfId="2" applyFont="1" applyBorder="1"/>
    <xf numFmtId="44" fontId="13" fillId="0" borderId="0" xfId="2" applyFont="1"/>
    <xf numFmtId="44" fontId="13" fillId="0" borderId="11" xfId="2" applyFont="1" applyBorder="1"/>
    <xf numFmtId="44" fontId="14" fillId="0" borderId="0" xfId="2" applyFont="1"/>
    <xf numFmtId="44" fontId="14" fillId="0" borderId="11" xfId="2" applyFont="1" applyBorder="1"/>
    <xf numFmtId="44" fontId="0" fillId="0" borderId="0" xfId="2" applyFont="1" applyBorder="1"/>
    <xf numFmtId="0" fontId="6" fillId="0" borderId="12" xfId="0" applyFont="1" applyBorder="1"/>
    <xf numFmtId="44" fontId="7" fillId="0" borderId="13" xfId="2" applyFont="1" applyFill="1" applyBorder="1"/>
    <xf numFmtId="167" fontId="7" fillId="0" borderId="16" xfId="0" applyNumberFormat="1" applyFont="1" applyBorder="1"/>
    <xf numFmtId="167" fontId="7" fillId="0" borderId="0" xfId="0" applyNumberFormat="1" applyFont="1"/>
    <xf numFmtId="167" fontId="9" fillId="0" borderId="13" xfId="0" applyNumberFormat="1" applyFont="1" applyBorder="1"/>
    <xf numFmtId="0" fontId="15" fillId="3" borderId="19" xfId="0" applyFont="1" applyFill="1" applyBorder="1"/>
    <xf numFmtId="0" fontId="0" fillId="2" borderId="20" xfId="4" applyFont="1" applyBorder="1"/>
    <xf numFmtId="2" fontId="0" fillId="2" borderId="20" xfId="4" applyNumberFormat="1" applyFont="1" applyBorder="1"/>
    <xf numFmtId="0" fontId="1" fillId="2" borderId="0" xfId="4" applyBorder="1"/>
    <xf numFmtId="166" fontId="0" fillId="0" borderId="0" xfId="0" applyNumberFormat="1"/>
    <xf numFmtId="1" fontId="1" fillId="2" borderId="0" xfId="4" applyNumberFormat="1" applyBorder="1"/>
    <xf numFmtId="0" fontId="1" fillId="2" borderId="0" xfId="4" applyBorder="1" applyAlignment="1">
      <alignment horizontal="right"/>
    </xf>
    <xf numFmtId="44" fontId="1" fillId="2" borderId="0" xfId="2" applyFill="1" applyBorder="1"/>
    <xf numFmtId="0" fontId="0" fillId="2" borderId="21" xfId="4" applyFont="1" applyBorder="1" applyAlignment="1">
      <alignment horizontal="right"/>
    </xf>
    <xf numFmtId="2" fontId="1" fillId="2" borderId="0" xfId="2" applyNumberFormat="1" applyFill="1" applyBorder="1"/>
    <xf numFmtId="2" fontId="0" fillId="2" borderId="21" xfId="2" applyNumberFormat="1" applyFont="1" applyFill="1" applyBorder="1"/>
    <xf numFmtId="2" fontId="0" fillId="2" borderId="22" xfId="2" applyNumberFormat="1" applyFont="1" applyFill="1" applyBorder="1"/>
    <xf numFmtId="9" fontId="0" fillId="0" borderId="0" xfId="0" applyNumberFormat="1"/>
    <xf numFmtId="0" fontId="15" fillId="3" borderId="23" xfId="0" applyFont="1" applyFill="1" applyBorder="1"/>
    <xf numFmtId="0" fontId="6" fillId="0" borderId="5" xfId="0" applyFont="1" applyBorder="1"/>
    <xf numFmtId="0" fontId="5" fillId="0" borderId="0" xfId="0" applyFont="1" applyBorder="1" applyAlignment="1">
      <alignment horizontal="center" vertical="center"/>
    </xf>
    <xf numFmtId="0" fontId="5" fillId="0" borderId="11" xfId="0" applyFont="1" applyBorder="1"/>
    <xf numFmtId="0" fontId="0" fillId="2" borderId="0" xfId="4" applyFont="1" applyBorder="1" applyAlignment="1">
      <alignment horizontal="right"/>
    </xf>
    <xf numFmtId="0" fontId="0" fillId="4" borderId="0" xfId="0" applyFill="1"/>
    <xf numFmtId="0" fontId="0" fillId="2" borderId="20" xfId="4" applyFont="1" applyFill="1" applyBorder="1"/>
    <xf numFmtId="0" fontId="0" fillId="2" borderId="21" xfId="4" applyFont="1" applyFill="1" applyBorder="1" applyAlignment="1">
      <alignment horizontal="right"/>
    </xf>
    <xf numFmtId="0" fontId="7" fillId="0" borderId="0" xfId="0" applyFont="1" applyBorder="1"/>
    <xf numFmtId="0" fontId="0" fillId="0" borderId="16" xfId="0" applyBorder="1" applyAlignment="1">
      <alignment horizontal="center" vertical="center"/>
    </xf>
    <xf numFmtId="166" fontId="7" fillId="0" borderId="0" xfId="0" applyNumberFormat="1" applyFont="1" applyBorder="1"/>
    <xf numFmtId="44" fontId="7" fillId="0" borderId="0" xfId="2" applyFont="1" applyFill="1" applyBorder="1"/>
    <xf numFmtId="0" fontId="7" fillId="0" borderId="7" xfId="0" applyFont="1" applyBorder="1"/>
    <xf numFmtId="165" fontId="7" fillId="0" borderId="7" xfId="1" applyNumberFormat="1" applyFont="1" applyFill="1" applyBorder="1"/>
    <xf numFmtId="166" fontId="7" fillId="0" borderId="7" xfId="0" applyNumberFormat="1" applyFont="1" applyBorder="1"/>
    <xf numFmtId="44" fontId="7" fillId="0" borderId="5" xfId="2" applyFont="1" applyFill="1" applyBorder="1"/>
    <xf numFmtId="166" fontId="7" fillId="0" borderId="5" xfId="0" applyNumberFormat="1" applyFont="1" applyBorder="1"/>
    <xf numFmtId="9" fontId="10" fillId="0" borderId="7" xfId="3" applyFont="1" applyFill="1" applyBorder="1"/>
    <xf numFmtId="44" fontId="7" fillId="0" borderId="7" xfId="2" applyFont="1" applyFill="1" applyBorder="1"/>
    <xf numFmtId="167" fontId="7" fillId="0" borderId="8" xfId="0" applyNumberFormat="1" applyFont="1" applyBorder="1"/>
    <xf numFmtId="44" fontId="1" fillId="2" borderId="0" xfId="4" applyNumberFormat="1" applyBorder="1"/>
    <xf numFmtId="0" fontId="0" fillId="0" borderId="0" xfId="0" applyBorder="1"/>
    <xf numFmtId="0" fontId="7" fillId="0" borderId="1" xfId="0" applyFont="1" applyBorder="1"/>
    <xf numFmtId="165" fontId="7" fillId="0" borderId="7" xfId="0" applyNumberFormat="1" applyFont="1" applyBorder="1"/>
    <xf numFmtId="0" fontId="4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6" xfId="0" applyFont="1" applyBorder="1"/>
    <xf numFmtId="165" fontId="7" fillId="0" borderId="6" xfId="1" applyNumberFormat="1" applyFont="1" applyFill="1" applyBorder="1"/>
    <xf numFmtId="9" fontId="7" fillId="0" borderId="6" xfId="3" applyFont="1" applyFill="1" applyBorder="1"/>
    <xf numFmtId="166" fontId="7" fillId="0" borderId="6" xfId="0" applyNumberFormat="1" applyFont="1" applyBorder="1"/>
    <xf numFmtId="44" fontId="7" fillId="0" borderId="2" xfId="2" applyFont="1" applyFill="1" applyBorder="1"/>
    <xf numFmtId="166" fontId="7" fillId="0" borderId="25" xfId="0" applyNumberFormat="1" applyFont="1" applyBorder="1"/>
    <xf numFmtId="9" fontId="10" fillId="0" borderId="6" xfId="3" applyFont="1" applyFill="1" applyBorder="1"/>
    <xf numFmtId="44" fontId="7" fillId="0" borderId="6" xfId="2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2" fontId="0" fillId="2" borderId="0" xfId="2" applyNumberFormat="1" applyFont="1" applyFill="1" applyBorder="1"/>
    <xf numFmtId="0" fontId="6" fillId="0" borderId="3" xfId="0" applyFont="1" applyBorder="1" applyAlignment="1">
      <alignment horizontal="center" vertical="center"/>
    </xf>
    <xf numFmtId="0" fontId="6" fillId="0" borderId="11" xfId="0" applyFont="1" applyFill="1" applyBorder="1"/>
    <xf numFmtId="167" fontId="0" fillId="0" borderId="0" xfId="0" applyNumberFormat="1"/>
    <xf numFmtId="166" fontId="7" fillId="0" borderId="0" xfId="0" applyNumberFormat="1" applyFont="1" applyFill="1" applyBorder="1"/>
    <xf numFmtId="0" fontId="3" fillId="0" borderId="0" xfId="0" applyFont="1"/>
    <xf numFmtId="0" fontId="3" fillId="0" borderId="0" xfId="0" applyFont="1" applyAlignment="1">
      <alignment horizontal="right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0" fillId="0" borderId="0" xfId="3" applyFont="1" applyAlignment="1">
      <alignment horizontal="right"/>
    </xf>
    <xf numFmtId="165" fontId="0" fillId="0" borderId="0" xfId="0" applyNumberFormat="1"/>
    <xf numFmtId="2" fontId="0" fillId="6" borderId="26" xfId="1" applyNumberFormat="1" applyFont="1" applyFill="1" applyBorder="1"/>
    <xf numFmtId="168" fontId="0" fillId="0" borderId="0" xfId="0" applyNumberFormat="1"/>
    <xf numFmtId="167" fontId="0" fillId="6" borderId="26" xfId="1" applyNumberFormat="1" applyFont="1" applyFill="1" applyBorder="1"/>
    <xf numFmtId="0" fontId="15" fillId="3" borderId="0" xfId="0" applyFont="1" applyFill="1"/>
    <xf numFmtId="2" fontId="3" fillId="6" borderId="26" xfId="1" applyNumberFormat="1" applyFont="1" applyFill="1" applyBorder="1"/>
    <xf numFmtId="9" fontId="3" fillId="6" borderId="26" xfId="3" applyFont="1" applyFill="1" applyBorder="1"/>
    <xf numFmtId="167" fontId="3" fillId="7" borderId="27" xfId="1" applyNumberFormat="1" applyFont="1" applyFill="1" applyBorder="1"/>
    <xf numFmtId="167" fontId="3" fillId="7" borderId="0" xfId="1" applyNumberFormat="1" applyFont="1" applyFill="1" applyBorder="1"/>
    <xf numFmtId="167" fontId="3" fillId="8" borderId="0" xfId="1" applyNumberFormat="1" applyFont="1" applyFill="1" applyBorder="1"/>
    <xf numFmtId="167" fontId="3" fillId="6" borderId="28" xfId="1" applyNumberFormat="1" applyFont="1" applyFill="1" applyBorder="1"/>
    <xf numFmtId="9" fontId="0" fillId="0" borderId="0" xfId="3" applyFont="1"/>
    <xf numFmtId="169" fontId="0" fillId="0" borderId="0" xfId="0" applyNumberFormat="1"/>
    <xf numFmtId="43" fontId="0" fillId="0" borderId="0" xfId="1" applyFont="1"/>
    <xf numFmtId="164" fontId="0" fillId="0" borderId="0" xfId="0" applyNumberFormat="1"/>
    <xf numFmtId="0" fontId="0" fillId="9" borderId="5" xfId="0" applyFill="1" applyBorder="1"/>
    <xf numFmtId="0" fontId="0" fillId="10" borderId="0" xfId="0" applyFill="1"/>
    <xf numFmtId="0" fontId="17" fillId="0" borderId="0" xfId="0" applyFont="1"/>
    <xf numFmtId="0" fontId="0" fillId="11" borderId="0" xfId="0" applyFill="1"/>
    <xf numFmtId="0" fontId="0" fillId="12" borderId="0" xfId="0" applyFill="1"/>
    <xf numFmtId="9" fontId="0" fillId="0" borderId="5" xfId="3" applyFont="1" applyBorder="1"/>
    <xf numFmtId="0" fontId="0" fillId="9" borderId="1" xfId="0" applyFill="1" applyBorder="1"/>
    <xf numFmtId="9" fontId="0" fillId="0" borderId="2" xfId="3" applyFont="1" applyBorder="1"/>
    <xf numFmtId="9" fontId="0" fillId="0" borderId="4" xfId="3" applyFont="1" applyBorder="1"/>
    <xf numFmtId="0" fontId="0" fillId="0" borderId="1" xfId="0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18" fillId="13" borderId="5" xfId="0" applyFont="1" applyFill="1" applyBorder="1" applyAlignment="1">
      <alignment horizontal="center" vertical="center"/>
    </xf>
    <xf numFmtId="0" fontId="18" fillId="13" borderId="7" xfId="0" applyFont="1" applyFill="1" applyBorder="1"/>
    <xf numFmtId="9" fontId="18" fillId="13" borderId="11" xfId="3" applyFont="1" applyFill="1" applyBorder="1"/>
    <xf numFmtId="0" fontId="5" fillId="14" borderId="7" xfId="0" applyFont="1" applyFill="1" applyBorder="1"/>
    <xf numFmtId="166" fontId="18" fillId="14" borderId="11" xfId="0" applyNumberFormat="1" applyFont="1" applyFill="1" applyBorder="1"/>
    <xf numFmtId="44" fontId="18" fillId="14" borderId="11" xfId="2" applyFont="1" applyFill="1" applyBorder="1"/>
    <xf numFmtId="44" fontId="18" fillId="13" borderId="1" xfId="2" applyFont="1" applyFill="1" applyBorder="1"/>
    <xf numFmtId="166" fontId="18" fillId="13" borderId="10" xfId="0" applyNumberFormat="1" applyFont="1" applyFill="1" applyBorder="1"/>
    <xf numFmtId="166" fontId="18" fillId="13" borderId="9" xfId="0" applyNumberFormat="1" applyFont="1" applyFill="1" applyBorder="1"/>
    <xf numFmtId="167" fontId="18" fillId="13" borderId="4" xfId="0" applyNumberFormat="1" applyFont="1" applyFill="1" applyBorder="1"/>
    <xf numFmtId="167" fontId="18" fillId="13" borderId="3" xfId="0" applyNumberFormat="1" applyFont="1" applyFill="1" applyBorder="1"/>
    <xf numFmtId="167" fontId="18" fillId="13" borderId="7" xfId="0" applyNumberFormat="1" applyFont="1" applyFill="1" applyBorder="1"/>
    <xf numFmtId="167" fontId="18" fillId="13" borderId="17" xfId="0" applyNumberFormat="1" applyFont="1" applyFill="1" applyBorder="1"/>
    <xf numFmtId="44" fontId="18" fillId="13" borderId="0" xfId="2" applyFont="1" applyFill="1"/>
    <xf numFmtId="167" fontId="18" fillId="13" borderId="18" xfId="0" applyNumberFormat="1" applyFont="1" applyFill="1" applyBorder="1"/>
    <xf numFmtId="167" fontId="18" fillId="13" borderId="14" xfId="0" applyNumberFormat="1" applyFont="1" applyFill="1" applyBorder="1"/>
    <xf numFmtId="0" fontId="19" fillId="15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right" vertical="center"/>
    </xf>
    <xf numFmtId="0" fontId="21" fillId="15" borderId="0" xfId="0" applyFont="1" applyFill="1" applyAlignment="1">
      <alignment horizontal="right" vertical="center"/>
    </xf>
    <xf numFmtId="0" fontId="20" fillId="0" borderId="0" xfId="0" applyFont="1"/>
    <xf numFmtId="44" fontId="22" fillId="0" borderId="0" xfId="2" applyFont="1" applyFill="1" applyBorder="1"/>
    <xf numFmtId="44" fontId="22" fillId="0" borderId="0" xfId="2" applyFont="1" applyFill="1" applyBorder="1" applyAlignment="1"/>
    <xf numFmtId="166" fontId="22" fillId="0" borderId="0" xfId="0" applyNumberFormat="1" applyFont="1"/>
    <xf numFmtId="167" fontId="22" fillId="0" borderId="0" xfId="0" applyNumberFormat="1" applyFont="1"/>
    <xf numFmtId="0" fontId="20" fillId="0" borderId="29" xfId="0" applyFont="1" applyBorder="1"/>
    <xf numFmtId="167" fontId="22" fillId="0" borderId="29" xfId="0" applyNumberFormat="1" applyFont="1" applyBorder="1"/>
    <xf numFmtId="0" fontId="20" fillId="15" borderId="30" xfId="0" applyFont="1" applyFill="1" applyBorder="1" applyAlignment="1">
      <alignment horizontal="right" vertical="center"/>
    </xf>
    <xf numFmtId="0" fontId="21" fillId="15" borderId="30" xfId="0" applyFont="1" applyFill="1" applyBorder="1" applyAlignment="1">
      <alignment horizontal="right" vertical="center"/>
    </xf>
    <xf numFmtId="0" fontId="20" fillId="15" borderId="31" xfId="0" applyFont="1" applyFill="1" applyBorder="1" applyAlignment="1">
      <alignment horizontal="right" vertical="center"/>
    </xf>
    <xf numFmtId="166" fontId="22" fillId="5" borderId="30" xfId="0" applyNumberFormat="1" applyFont="1" applyFill="1" applyBorder="1"/>
    <xf numFmtId="166" fontId="22" fillId="5" borderId="30" xfId="2" applyNumberFormat="1" applyFont="1" applyFill="1" applyBorder="1" applyAlignment="1"/>
    <xf numFmtId="166" fontId="22" fillId="5" borderId="30" xfId="2" applyNumberFormat="1" applyFont="1" applyFill="1" applyBorder="1"/>
    <xf numFmtId="166" fontId="22" fillId="5" borderId="31" xfId="2" applyNumberFormat="1" applyFont="1" applyFill="1" applyBorder="1"/>
    <xf numFmtId="166" fontId="22" fillId="0" borderId="30" xfId="2" applyNumberFormat="1" applyFont="1" applyBorder="1"/>
    <xf numFmtId="166" fontId="22" fillId="0" borderId="30" xfId="0" applyNumberFormat="1" applyFont="1" applyBorder="1"/>
    <xf numFmtId="166" fontId="22" fillId="0" borderId="31" xfId="0" applyNumberFormat="1" applyFont="1" applyBorder="1"/>
    <xf numFmtId="167" fontId="22" fillId="5" borderId="30" xfId="0" applyNumberFormat="1" applyFont="1" applyFill="1" applyBorder="1"/>
    <xf numFmtId="167" fontId="22" fillId="5" borderId="31" xfId="0" applyNumberFormat="1" applyFont="1" applyFill="1" applyBorder="1"/>
    <xf numFmtId="167" fontId="22" fillId="0" borderId="32" xfId="0" applyNumberFormat="1" applyFont="1" applyBorder="1"/>
    <xf numFmtId="0" fontId="21" fillId="15" borderId="30" xfId="0" applyFont="1" applyFill="1" applyBorder="1" applyAlignment="1">
      <alignment horizontal="center" vertical="center"/>
    </xf>
    <xf numFmtId="0" fontId="20" fillId="5" borderId="30" xfId="0" applyFont="1" applyFill="1" applyBorder="1"/>
    <xf numFmtId="0" fontId="6" fillId="0" borderId="0" xfId="0" applyFont="1" applyFill="1" applyBorder="1"/>
    <xf numFmtId="0" fontId="2" fillId="16" borderId="7" xfId="0" applyFont="1" applyFill="1" applyBorder="1" applyAlignment="1">
      <alignment horizontal="left" vertical="center"/>
    </xf>
    <xf numFmtId="0" fontId="5" fillId="16" borderId="0" xfId="0" applyFont="1" applyFill="1" applyBorder="1" applyAlignment="1">
      <alignment horizontal="center" vertical="center"/>
    </xf>
    <xf numFmtId="0" fontId="6" fillId="16" borderId="0" xfId="0" applyFont="1" applyFill="1" applyBorder="1" applyAlignment="1">
      <alignment horizontal="center" vertical="center"/>
    </xf>
    <xf numFmtId="166" fontId="7" fillId="16" borderId="6" xfId="0" applyNumberFormat="1" applyFont="1" applyFill="1" applyBorder="1"/>
    <xf numFmtId="0" fontId="6" fillId="16" borderId="7" xfId="0" applyFont="1" applyFill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/>
    </xf>
    <xf numFmtId="0" fontId="6" fillId="16" borderId="1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7" borderId="5" xfId="0" applyFill="1" applyBorder="1"/>
    <xf numFmtId="166" fontId="0" fillId="17" borderId="5" xfId="0" applyNumberFormat="1" applyFill="1" applyBorder="1"/>
    <xf numFmtId="0" fontId="0" fillId="14" borderId="5" xfId="0" applyFill="1" applyBorder="1"/>
    <xf numFmtId="166" fontId="0" fillId="14" borderId="5" xfId="0" applyNumberFormat="1" applyFill="1" applyBorder="1"/>
    <xf numFmtId="44" fontId="18" fillId="14" borderId="7" xfId="2" applyFont="1" applyFill="1" applyBorder="1"/>
    <xf numFmtId="0" fontId="5" fillId="17" borderId="7" xfId="0" applyFont="1" applyFill="1" applyBorder="1"/>
    <xf numFmtId="44" fontId="18" fillId="17" borderId="7" xfId="2" applyFont="1" applyFill="1" applyBorder="1"/>
    <xf numFmtId="166" fontId="18" fillId="17" borderId="11" xfId="0" applyNumberFormat="1" applyFont="1" applyFill="1" applyBorder="1"/>
    <xf numFmtId="44" fontId="18" fillId="17" borderId="11" xfId="2" applyFont="1" applyFill="1" applyBorder="1"/>
    <xf numFmtId="166" fontId="18" fillId="17" borderId="7" xfId="0" applyNumberFormat="1" applyFont="1" applyFill="1" applyBorder="1"/>
    <xf numFmtId="0" fontId="0" fillId="18" borderId="5" xfId="0" applyFill="1" applyBorder="1"/>
    <xf numFmtId="166" fontId="0" fillId="18" borderId="5" xfId="0" applyNumberFormat="1" applyFill="1" applyBorder="1"/>
    <xf numFmtId="166" fontId="18" fillId="18" borderId="11" xfId="0" applyNumberFormat="1" applyFont="1" applyFill="1" applyBorder="1"/>
    <xf numFmtId="166" fontId="18" fillId="18" borderId="7" xfId="0" applyNumberFormat="1" applyFont="1" applyFill="1" applyBorder="1"/>
    <xf numFmtId="0" fontId="6" fillId="18" borderId="11" xfId="0" applyFont="1" applyFill="1" applyBorder="1"/>
    <xf numFmtId="0" fontId="6" fillId="0" borderId="4" xfId="0" applyFont="1" applyBorder="1" applyAlignment="1">
      <alignment horizontal="center" vertical="center"/>
    </xf>
    <xf numFmtId="166" fontId="7" fillId="0" borderId="4" xfId="0" applyNumberFormat="1" applyFont="1" applyBorder="1"/>
    <xf numFmtId="167" fontId="7" fillId="0" borderId="15" xfId="0" applyNumberFormat="1" applyFont="1" applyBorder="1"/>
    <xf numFmtId="166" fontId="7" fillId="0" borderId="1" xfId="0" applyNumberFormat="1" applyFont="1" applyBorder="1"/>
    <xf numFmtId="44" fontId="7" fillId="0" borderId="14" xfId="2" applyFont="1" applyFill="1" applyBorder="1"/>
    <xf numFmtId="167" fontId="7" fillId="0" borderId="11" xfId="0" applyNumberFormat="1" applyFont="1" applyBorder="1"/>
    <xf numFmtId="167" fontId="9" fillId="0" borderId="14" xfId="0" applyNumberFormat="1" applyFont="1" applyBorder="1"/>
    <xf numFmtId="167" fontId="0" fillId="0" borderId="11" xfId="0" applyNumberFormat="1" applyBorder="1"/>
    <xf numFmtId="9" fontId="7" fillId="0" borderId="11" xfId="3" applyFont="1" applyFill="1" applyBorder="1"/>
    <xf numFmtId="44" fontId="7" fillId="0" borderId="18" xfId="2" applyFont="1" applyFill="1" applyBorder="1"/>
    <xf numFmtId="167" fontId="7" fillId="0" borderId="7" xfId="0" applyNumberFormat="1" applyFont="1" applyBorder="1"/>
    <xf numFmtId="167" fontId="9" fillId="0" borderId="18" xfId="0" applyNumberFormat="1" applyFont="1" applyBorder="1"/>
    <xf numFmtId="167" fontId="0" fillId="0" borderId="7" xfId="0" applyNumberFormat="1" applyBorder="1"/>
    <xf numFmtId="166" fontId="9" fillId="0" borderId="7" xfId="3" applyNumberFormat="1" applyFont="1" applyFill="1" applyBorder="1"/>
    <xf numFmtId="166" fontId="7" fillId="0" borderId="5" xfId="2" applyNumberFormat="1" applyFont="1" applyFill="1" applyBorder="1"/>
    <xf numFmtId="0" fontId="15" fillId="3" borderId="0" xfId="0" applyFont="1" applyFill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7" fontId="3" fillId="7" borderId="28" xfId="1" applyNumberFormat="1" applyFont="1" applyFill="1" applyBorder="1"/>
    <xf numFmtId="167" fontId="2" fillId="6" borderId="26" xfId="1" applyNumberFormat="1" applyFont="1" applyFill="1" applyBorder="1"/>
  </cellXfs>
  <cellStyles count="6">
    <cellStyle name="60% - Accent1" xfId="4" builtinId="32"/>
    <cellStyle name="Comma" xfId="1" builtinId="3"/>
    <cellStyle name="Currency" xfId="2" builtinId="4"/>
    <cellStyle name="Normal" xfId="0" builtinId="0"/>
    <cellStyle name="Normal 2" xfId="5" xr:uid="{00000000-0005-0000-0000-000004000000}"/>
    <cellStyle name="Percent" xfId="3" builtinId="5"/>
  </cellStyles>
  <dxfs count="11">
    <dxf>
      <font>
        <b val="0"/>
        <i val="0"/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7" formatCode="_-[$£-809]* #,##0.00_-;\-[$£-809]* #,##0.00_-;_-[$£-809]* &quot;-&quot;??_-;_-@_-"/>
    </dxf>
    <dxf>
      <numFmt numFmtId="167" formatCode="_-[$£-809]* #,##0.00_-;\-[$£-809]* #,##0.00_-;_-[$£-809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rgbClr val="002060"/>
                </a:solidFill>
              </a:rPr>
              <a:t>Projected</a:t>
            </a:r>
            <a:r>
              <a:rPr lang="en-GB" sz="1800" b="1" baseline="0">
                <a:solidFill>
                  <a:srgbClr val="002060"/>
                </a:solidFill>
              </a:rPr>
              <a:t> 5-year Financials</a:t>
            </a:r>
            <a:endParaRPr lang="en-GB" sz="18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36844949280385186"/>
          <c:y val="2.624582839424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82324028002536"/>
          <c:y val="0.17312228493412715"/>
          <c:w val="0.85231753398517274"/>
          <c:h val="0.757456874255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'Growth Forecast'!$B$1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'Growth Forecast'!$A$2:$A$7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'Growth Forecast'!$B$2:$B$7</c:f>
              <c:numCache>
                <c:formatCode>_-[$£-809]* #,##0.00_-;\-[$£-809]* #,##0.00_-;_-[$£-809]* "-"??_-;_-@_-</c:formatCode>
                <c:ptCount val="6"/>
                <c:pt idx="0">
                  <c:v>15212.181444275628</c:v>
                </c:pt>
                <c:pt idx="1">
                  <c:v>99066.3046875</c:v>
                </c:pt>
                <c:pt idx="2">
                  <c:v>245852.50078124998</c:v>
                </c:pt>
                <c:pt idx="3">
                  <c:v>614060.75179687492</c:v>
                </c:pt>
                <c:pt idx="4">
                  <c:v>1405339.7291328122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D-4A65-A1CE-CEB1FF71EA56}"/>
            </c:ext>
          </c:extLst>
        </c:ser>
        <c:ser>
          <c:idx val="1"/>
          <c:order val="1"/>
          <c:tx>
            <c:strRef>
              <c:f>'Growth Forecast'!$C$1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'Growth Forecast'!$A$2:$A$7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'Growth Forecast'!$C$2:$C$7</c:f>
              <c:numCache>
                <c:formatCode>_-[$£-809]* #,##0.00_-;\-[$£-809]* #,##0.00_-;_-[$£-809]* "-"??_-;_-@_-</c:formatCode>
                <c:ptCount val="6"/>
                <c:pt idx="0">
                  <c:v>-39523.985904392277</c:v>
                </c:pt>
                <c:pt idx="1">
                  <c:v>-47255.746675781251</c:v>
                </c:pt>
                <c:pt idx="2">
                  <c:v>-7705.6173542968754</c:v>
                </c:pt>
                <c:pt idx="3">
                  <c:v>176812.12986894487</c:v>
                </c:pt>
                <c:pt idx="4">
                  <c:v>631491.5796985731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D-4A65-A1CE-CEB1FF71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207743"/>
        <c:axId val="1385218351"/>
      </c:barChart>
      <c:catAx>
        <c:axId val="138620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18351"/>
        <c:crosses val="autoZero"/>
        <c:auto val="1"/>
        <c:lblAlgn val="ctr"/>
        <c:lblOffset val="100"/>
        <c:noMultiLvlLbl val="0"/>
      </c:catAx>
      <c:valAx>
        <c:axId val="138521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£&quot;* #,##0.00_);_(&quot;£&quot;* \(#,##0.00\);_(&quot;£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07743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8.3303392758422405E-3"/>
                <c:y val="0.3721582976178251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536360396308636"/>
          <c:y val="0.88158121164295211"/>
          <c:w val="0.35048168728603935"/>
          <c:h val="5.132819557667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3071117420771805"/>
          <c:y val="3.2425744832869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66245110351808"/>
          <c:y val="5.3288602365269701E-2"/>
          <c:w val="0.4703473334064549"/>
          <c:h val="0.71009576335038893"/>
        </c:manualLayout>
      </c:layout>
      <c:pieChart>
        <c:varyColors val="1"/>
        <c:ser>
          <c:idx val="0"/>
          <c:order val="0"/>
          <c:tx>
            <c:strRef>
              <c:f>'Cost Analysis'!$B$37</c:f>
              <c:strCache>
                <c:ptCount val="1"/>
                <c:pt idx="0">
                  <c:v>Year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97-4C78-A3F3-651ACA2E45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97-4C78-A3F3-651ACA2E45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97-4C78-A3F3-651ACA2E45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97-4C78-A3F3-651ACA2E45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97-4C78-A3F3-651ACA2E45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97-4C78-A3F3-651ACA2E45E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B97-4C78-A3F3-651ACA2E45E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B97-4C78-A3F3-651ACA2E45E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B97-4C78-A3F3-651ACA2E45E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B97-4C78-A3F3-651ACA2E45E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B97-4C78-A3F3-651ACA2E45E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B97-4C78-A3F3-651ACA2E45E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B97-4C78-A3F3-651ACA2E45E2}"/>
              </c:ext>
            </c:extLst>
          </c:dPt>
          <c:cat>
            <c:strRef>
              <c:f>'Cost Analysis'!$A$38:$A$50</c:f>
              <c:strCache>
                <c:ptCount val="13"/>
                <c:pt idx="0">
                  <c:v>Executive Board</c:v>
                </c:pt>
                <c:pt idx="1">
                  <c:v>Software Developers</c:v>
                </c:pt>
                <c:pt idx="2">
                  <c:v>Customer Support</c:v>
                </c:pt>
                <c:pt idx="3">
                  <c:v>Admin Staff</c:v>
                </c:pt>
                <c:pt idx="4">
                  <c:v>Sales Team</c:v>
                </c:pt>
                <c:pt idx="5">
                  <c:v>Employee Benefits</c:v>
                </c:pt>
                <c:pt idx="6">
                  <c:v>Office Rent (inc Utilities)</c:v>
                </c:pt>
                <c:pt idx="7">
                  <c:v>Office Equipment</c:v>
                </c:pt>
                <c:pt idx="8">
                  <c:v>Marketing</c:v>
                </c:pt>
                <c:pt idx="9">
                  <c:v>Other</c:v>
                </c:pt>
                <c:pt idx="10">
                  <c:v>Insurance</c:v>
                </c:pt>
                <c:pt idx="11">
                  <c:v>Accounting Services</c:v>
                </c:pt>
                <c:pt idx="12">
                  <c:v>Legal Services</c:v>
                </c:pt>
              </c:strCache>
            </c:strRef>
          </c:cat>
          <c:val>
            <c:numRef>
              <c:f>'Cost Analysis'!$B$38:$B$50</c:f>
              <c:numCache>
                <c:formatCode>_("£"* #,##0.00_);_("£"* \(#,##0.00\);_("£"* "-"??_);_(@_)</c:formatCode>
                <c:ptCount val="13"/>
                <c:pt idx="0">
                  <c:v>40000</c:v>
                </c:pt>
                <c:pt idx="1">
                  <c:v>0</c:v>
                </c:pt>
                <c:pt idx="2">
                  <c:v>0</c:v>
                </c:pt>
                <c:pt idx="3">
                  <c:v>6000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205.36444949772095</c:v>
                </c:pt>
                <c:pt idx="11">
                  <c:v>192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B97-4C78-A3F3-651ACA2E4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99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65547021754717716"/>
          <c:w val="0.52396492108985993"/>
          <c:h val="0.237497572091596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7666245110351808"/>
          <c:y val="5.3288602365269701E-2"/>
          <c:w val="0.4703473334064549"/>
          <c:h val="0.71009576335038893"/>
        </c:manualLayout>
      </c:layout>
      <c:pieChart>
        <c:varyColors val="1"/>
        <c:ser>
          <c:idx val="1"/>
          <c:order val="0"/>
          <c:tx>
            <c:strRef>
              <c:f>'Cost Analysis'!$C$37</c:f>
              <c:strCache>
                <c:ptCount val="1"/>
                <c:pt idx="0">
                  <c:v>Year 5</c:v>
                </c:pt>
              </c:strCache>
            </c:strRef>
          </c:tx>
          <c:cat>
            <c:strRef>
              <c:f>'Cost Analysis'!$A$38:$A$350</c:f>
              <c:strCache>
                <c:ptCount val="13"/>
                <c:pt idx="0">
                  <c:v>Executive Board</c:v>
                </c:pt>
                <c:pt idx="1">
                  <c:v>Software Developers</c:v>
                </c:pt>
                <c:pt idx="2">
                  <c:v>Customer Support</c:v>
                </c:pt>
                <c:pt idx="3">
                  <c:v>Admin Staff</c:v>
                </c:pt>
                <c:pt idx="4">
                  <c:v>Sales Team</c:v>
                </c:pt>
                <c:pt idx="5">
                  <c:v>Employee Benefits</c:v>
                </c:pt>
                <c:pt idx="6">
                  <c:v>Office Rent (inc Utilities)</c:v>
                </c:pt>
                <c:pt idx="7">
                  <c:v>Office Equipment</c:v>
                </c:pt>
                <c:pt idx="8">
                  <c:v>Marketing</c:v>
                </c:pt>
                <c:pt idx="9">
                  <c:v>Other</c:v>
                </c:pt>
                <c:pt idx="10">
                  <c:v>Insurance</c:v>
                </c:pt>
                <c:pt idx="11">
                  <c:v>Accounting Services</c:v>
                </c:pt>
                <c:pt idx="12">
                  <c:v>Legal Services</c:v>
                </c:pt>
              </c:strCache>
            </c:strRef>
          </c:cat>
          <c:val>
            <c:numRef>
              <c:f>'Cost Analysis'!$C$38:$C$50</c:f>
              <c:numCache>
                <c:formatCode>_("£"* #,##0.00_);_("£"* \(#,##0.00\);_("£"* "-"??_);_(@_)</c:formatCode>
                <c:ptCount val="13"/>
                <c:pt idx="0">
                  <c:v>140000</c:v>
                </c:pt>
                <c:pt idx="1">
                  <c:v>108000</c:v>
                </c:pt>
                <c:pt idx="2">
                  <c:v>72000</c:v>
                </c:pt>
                <c:pt idx="3">
                  <c:v>66000</c:v>
                </c:pt>
                <c:pt idx="4">
                  <c:v>72000</c:v>
                </c:pt>
                <c:pt idx="5">
                  <c:v>20000</c:v>
                </c:pt>
                <c:pt idx="6">
                  <c:v>12000</c:v>
                </c:pt>
                <c:pt idx="7">
                  <c:v>16050</c:v>
                </c:pt>
                <c:pt idx="8">
                  <c:v>3300</c:v>
                </c:pt>
                <c:pt idx="9">
                  <c:v>2000</c:v>
                </c:pt>
                <c:pt idx="10">
                  <c:v>18972.086343292962</c:v>
                </c:pt>
                <c:pt idx="11">
                  <c:v>192</c:v>
                </c:pt>
                <c:pt idx="1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065-433A-97C9-B757AE37930A}"/>
            </c:ext>
          </c:extLst>
        </c:ser>
        <c:ser>
          <c:idx val="0"/>
          <c:order val="1"/>
          <c:tx>
            <c:strRef>
              <c:f>'Cost Analysis'!$B$37</c:f>
              <c:strCache>
                <c:ptCount val="1"/>
                <c:pt idx="0">
                  <c:v>Year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065-433A-97C9-B757AE3793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065-433A-97C9-B757AE3793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065-433A-97C9-B757AE3793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065-433A-97C9-B757AE37930A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065-433A-97C9-B757AE37930A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065-433A-97C9-B757AE37930A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065-433A-97C9-B757AE37930A}"/>
              </c:ext>
            </c:extLst>
          </c:dPt>
          <c:dPt>
            <c:idx val="8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065-433A-97C9-B757AE37930A}"/>
              </c:ext>
            </c:extLst>
          </c:dPt>
          <c:dPt>
            <c:idx val="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065-433A-97C9-B757AE37930A}"/>
              </c:ext>
            </c:extLst>
          </c:dPt>
          <c:dPt>
            <c:idx val="10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065-433A-97C9-B757AE37930A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065-433A-97C9-B757AE37930A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065-433A-97C9-B757AE37930A}"/>
              </c:ext>
            </c:extLst>
          </c:dPt>
          <c:dLbls>
            <c:dLbl>
              <c:idx val="0"/>
              <c:layout>
                <c:manualLayout>
                  <c:x val="-1.7579550034013565E-3"/>
                  <c:y val="-1.181426560078295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065-433A-97C9-B757AE37930A}"/>
                </c:ext>
              </c:extLst>
            </c:dLbl>
            <c:dLbl>
              <c:idx val="1"/>
              <c:layout>
                <c:manualLayout>
                  <c:x val="8.2712884385599868E-3"/>
                  <c:y val="1.047122074756324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065-433A-97C9-B757AE37930A}"/>
                </c:ext>
              </c:extLst>
            </c:dLbl>
            <c:dLbl>
              <c:idx val="2"/>
              <c:layout>
                <c:manualLayout>
                  <c:x val="7.0039685896528875E-3"/>
                  <c:y val="3.4099324778239957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065-433A-97C9-B757AE37930A}"/>
                </c:ext>
              </c:extLst>
            </c:dLbl>
            <c:dLbl>
              <c:idx val="3"/>
              <c:layout>
                <c:manualLayout>
                  <c:x val="5.8619306668452097E-3"/>
                  <c:y val="1.20622728037730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065-433A-97C9-B757AE37930A}"/>
                </c:ext>
              </c:extLst>
            </c:dLbl>
            <c:dLbl>
              <c:idx val="6"/>
              <c:layout>
                <c:manualLayout>
                  <c:x val="6.4146379904943549E-3"/>
                  <c:y val="9.957177095705952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065-433A-97C9-B757AE37930A}"/>
                </c:ext>
              </c:extLst>
            </c:dLbl>
            <c:dLbl>
              <c:idx val="7"/>
              <c:layout>
                <c:manualLayout>
                  <c:x val="8.5995772094258349E-3"/>
                  <c:y val="8.121366902747661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065-433A-97C9-B757AE37930A}"/>
                </c:ext>
              </c:extLst>
            </c:dLbl>
            <c:dLbl>
              <c:idx val="8"/>
              <c:layout>
                <c:manualLayout>
                  <c:x val="-4.7619075468365657E-3"/>
                  <c:y val="7.522133013414028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F065-433A-97C9-B757AE37930A}"/>
                </c:ext>
              </c:extLst>
            </c:dLbl>
            <c:dLbl>
              <c:idx val="9"/>
              <c:layout>
                <c:manualLayout>
                  <c:x val="-5.6245160850679861E-3"/>
                  <c:y val="-5.5842124925690375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F065-433A-97C9-B757AE37930A}"/>
                </c:ext>
              </c:extLst>
            </c:dLbl>
            <c:dLbl>
              <c:idx val="10"/>
              <c:layout>
                <c:manualLayout>
                  <c:x val="-5.8770511785381993E-3"/>
                  <c:y val="-6.62666431590337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F065-433A-97C9-B757AE37930A}"/>
                </c:ext>
              </c:extLst>
            </c:dLbl>
            <c:dLbl>
              <c:idx val="11"/>
              <c:layout>
                <c:manualLayout>
                  <c:x val="-7.5435436056779425E-3"/>
                  <c:y val="-1.8243523364297077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F065-433A-97C9-B757AE37930A}"/>
                </c:ext>
              </c:extLst>
            </c:dLbl>
            <c:dLbl>
              <c:idx val="12"/>
              <c:layout>
                <c:manualLayout>
                  <c:x val="-8.2390351195587644E-3"/>
                  <c:y val="4.899583469730369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F065-433A-97C9-B757AE3793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'Cost Analysis'!$A$38:$A$50</c:f>
              <c:strCache>
                <c:ptCount val="13"/>
                <c:pt idx="0">
                  <c:v>Executive Board</c:v>
                </c:pt>
                <c:pt idx="1">
                  <c:v>Software Developers</c:v>
                </c:pt>
                <c:pt idx="2">
                  <c:v>Customer Support</c:v>
                </c:pt>
                <c:pt idx="3">
                  <c:v>Admin Staff</c:v>
                </c:pt>
                <c:pt idx="4">
                  <c:v>Sales Team</c:v>
                </c:pt>
                <c:pt idx="5">
                  <c:v>Employee Benefits</c:v>
                </c:pt>
                <c:pt idx="6">
                  <c:v>Office Rent (inc Utilities)</c:v>
                </c:pt>
                <c:pt idx="7">
                  <c:v>Office Equipment</c:v>
                </c:pt>
                <c:pt idx="8">
                  <c:v>Marketing</c:v>
                </c:pt>
                <c:pt idx="9">
                  <c:v>Other</c:v>
                </c:pt>
                <c:pt idx="10">
                  <c:v>Insurance</c:v>
                </c:pt>
                <c:pt idx="11">
                  <c:v>Accounting Services</c:v>
                </c:pt>
                <c:pt idx="12">
                  <c:v>Legal Services</c:v>
                </c:pt>
              </c:strCache>
            </c:strRef>
          </c:cat>
          <c:val>
            <c:numRef>
              <c:f>'Cost Analysis'!$B$38:$B$50</c:f>
              <c:numCache>
                <c:formatCode>_("£"* #,##0.00_);_("£"* \(#,##0.00\);_("£"* "-"??_);_(@_)</c:formatCode>
                <c:ptCount val="13"/>
                <c:pt idx="0">
                  <c:v>40000</c:v>
                </c:pt>
                <c:pt idx="1">
                  <c:v>0</c:v>
                </c:pt>
                <c:pt idx="2">
                  <c:v>0</c:v>
                </c:pt>
                <c:pt idx="3">
                  <c:v>6000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205.36444949772095</c:v>
                </c:pt>
                <c:pt idx="11">
                  <c:v>192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065-433A-97C9-B757AE379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37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Projected</a:t>
            </a:r>
            <a:r>
              <a:rPr lang="en-GB" sz="1800" baseline="0"/>
              <a:t> Expenditure Breakdown</a:t>
            </a:r>
            <a:endParaRPr lang="en-GB" sz="1800"/>
          </a:p>
        </c:rich>
      </c:tx>
      <c:layout>
        <c:manualLayout>
          <c:xMode val="edge"/>
          <c:yMode val="edge"/>
          <c:x val="0.31208217293449003"/>
          <c:y val="2.4390243902439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66883051832263"/>
          <c:y val="0.10114124451257753"/>
          <c:w val="0.8223150541296842"/>
          <c:h val="0.786931940730673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'Cost Analysis'!$A$2</c:f>
              <c:strCache>
                <c:ptCount val="1"/>
                <c:pt idx="0">
                  <c:v>Cost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Analysis'!$B$1:$F$1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'Cost Analysis'!$B$2:$F$2</c:f>
              <c:numCache>
                <c:formatCode>_("£"* #,##0.00_);_("£"* \(#,##0.00\);_("£"* "-"??_);_(@_)</c:formatCode>
                <c:ptCount val="5"/>
                <c:pt idx="0">
                  <c:v>2667.4109888017224</c:v>
                </c:pt>
                <c:pt idx="1">
                  <c:v>2133.28125</c:v>
                </c:pt>
                <c:pt idx="2">
                  <c:v>3970.546875</c:v>
                </c:pt>
                <c:pt idx="3">
                  <c:v>8196.2578125</c:v>
                </c:pt>
                <c:pt idx="4">
                  <c:v>17915.392968749995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A-468C-8919-FFC4DB56EE68}"/>
            </c:ext>
          </c:extLst>
        </c:ser>
        <c:ser>
          <c:idx val="1"/>
          <c:order val="1"/>
          <c:tx>
            <c:strRef>
              <c:f>'Cost Analysis'!$A$3</c:f>
              <c:strCache>
                <c:ptCount val="1"/>
                <c:pt idx="0">
                  <c:v>Fixed Overhead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'Cost Analysis'!$B$1:$F$1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'Cost Analysis'!$B$3:$F$3</c:f>
              <c:numCache>
                <c:formatCode>_("£"* #,##0.00_);_("£"* \(#,##0.00\);_("£"* "-"??_);_(@_)</c:formatCode>
                <c:ptCount val="5"/>
                <c:pt idx="0">
                  <c:v>46397.36444949772</c:v>
                </c:pt>
                <c:pt idx="1">
                  <c:v>117992</c:v>
                </c:pt>
                <c:pt idx="2">
                  <c:v>178611.00876054689</c:v>
                </c:pt>
                <c:pt idx="3">
                  <c:v>254581.82014925781</c:v>
                </c:pt>
                <c:pt idx="4">
                  <c:v>370514.08634329296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A-468C-8919-FFC4DB56EE68}"/>
            </c:ext>
          </c:extLst>
        </c:ser>
        <c:ser>
          <c:idx val="2"/>
          <c:order val="2"/>
          <c:tx>
            <c:strRef>
              <c:f>'Cost Analysis'!$A$4</c:f>
              <c:strCache>
                <c:ptCount val="1"/>
                <c:pt idx="0">
                  <c:v>Variable Overhead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Analysis'!$B$1:$F$1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'Cost Analysis'!$B$4:$F$4</c:f>
              <c:numCache>
                <c:formatCode>_("£"* #,##0.00_);_("£"* \(#,##0.00\);_("£"* "-"??_);_(@_)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21500</c:v>
                </c:pt>
                <c:pt idx="3">
                  <c:v>48000</c:v>
                </c:pt>
                <c:pt idx="4">
                  <c:v>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A-468C-8919-FFC4DB56E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7531007"/>
        <c:axId val="1190242528"/>
      </c:barChart>
      <c:catAx>
        <c:axId val="137753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42528"/>
        <c:crosses val="autoZero"/>
        <c:auto val="1"/>
        <c:lblAlgn val="ctr"/>
        <c:lblOffset val="100"/>
        <c:noMultiLvlLbl val="0"/>
      </c:catAx>
      <c:valAx>
        <c:axId val="11902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Millions (GBP)</a:t>
                </a:r>
              </a:p>
            </c:rich>
          </c:tx>
          <c:layout>
            <c:manualLayout>
              <c:xMode val="edge"/>
              <c:yMode val="edge"/>
              <c:x val="1.3993708801666968E-2"/>
              <c:y val="0.3955438684610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£&quot;* #,##0.00_);_(&quot;£&quot;* \(#,##0.00\);_(&quot;£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3100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160017</xdr:colOff>
      <xdr:row>7</xdr:row>
      <xdr:rowOff>52732</xdr:rowOff>
    </xdr:from>
    <xdr:to>
      <xdr:col>6</xdr:col>
      <xdr:colOff>127000</xdr:colOff>
      <xdr:row>31</xdr:row>
      <xdr:rowOff>66523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362A2-B948-4B46-898C-8AC85C143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1628020</xdr:colOff>
      <xdr:row>13</xdr:row>
      <xdr:rowOff>108857</xdr:rowOff>
    </xdr:from>
    <xdr:to>
      <xdr:col>5</xdr:col>
      <xdr:colOff>235858</xdr:colOff>
      <xdr:row>27</xdr:row>
      <xdr:rowOff>21168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060B5A2-EBC5-42AB-8AD2-4A8A22D144F2}"/>
            </a:ext>
          </a:extLst>
        </xdr:cNvPr>
        <xdr:cNvCxnSpPr/>
      </xdr:nvCxnSpPr>
      <xdr:spPr>
        <a:xfrm flipV="1">
          <a:off x="5425924" y="2588381"/>
          <a:ext cx="4885267" cy="2676073"/>
        </a:xfrm>
        <a:prstGeom prst="straightConnector1">
          <a:avLst/>
        </a:prstGeom>
        <a:ln w="28575">
          <a:solidFill>
            <a:srgbClr val="396CC6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1034531</xdr:colOff>
      <xdr:row>18</xdr:row>
      <xdr:rowOff>133513</xdr:rowOff>
    </xdr:from>
    <xdr:to>
      <xdr:col>3</xdr:col>
      <xdr:colOff>2145176</xdr:colOff>
      <xdr:row>20</xdr:row>
      <xdr:rowOff>82714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D172017-6E1F-4727-977C-BB0F23472F8F}"/>
            </a:ext>
          </a:extLst>
        </xdr:cNvPr>
        <xdr:cNvSpPr txBox="1"/>
      </xdr:nvSpPr>
      <xdr:spPr>
        <a:xfrm rot="19890830">
          <a:off x="7106341" y="3598799"/>
          <a:ext cx="1110645" cy="3483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>
              <a:solidFill>
                <a:srgbClr val="002060"/>
              </a:solidFill>
            </a:rPr>
            <a:t>CAGR: 112%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138546</xdr:colOff>
      <xdr:row>51</xdr:row>
      <xdr:rowOff>165203</xdr:rowOff>
    </xdr:from>
    <xdr:to>
      <xdr:col>4</xdr:col>
      <xdr:colOff>869757</xdr:colOff>
      <xdr:row>80</xdr:row>
      <xdr:rowOff>15394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AF2694-EF1F-41DF-8139-CFC86D439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107757</xdr:colOff>
      <xdr:row>80</xdr:row>
      <xdr:rowOff>76971</xdr:rowOff>
    </xdr:from>
    <xdr:to>
      <xdr:col>4</xdr:col>
      <xdr:colOff>854363</xdr:colOff>
      <xdr:row>116</xdr:row>
      <xdr:rowOff>188859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05E114-1E07-42A3-A416-1051AF8C8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223211</xdr:colOff>
      <xdr:row>117</xdr:row>
      <xdr:rowOff>130848</xdr:rowOff>
    </xdr:from>
    <xdr:to>
      <xdr:col>4</xdr:col>
      <xdr:colOff>1339271</xdr:colOff>
      <xdr:row>145</xdr:row>
      <xdr:rowOff>76970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15C5A5-7247-499F-B9AB-CAF4BC4EB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sh5\Downloads\Forecast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wth Forecast"/>
      <sheetName val="Cost Analysis"/>
      <sheetName val="P&amp;L Statement"/>
      <sheetName val="Cash Flow"/>
      <sheetName val="Statement Summary"/>
      <sheetName val="Breakeven"/>
    </sheetNames>
    <sheetDataSet>
      <sheetData sheetId="0"/>
      <sheetData sheetId="1"/>
      <sheetData sheetId="2">
        <row r="3">
          <cell r="N3" t="str">
            <v>Annual</v>
          </cell>
          <cell r="S3" t="str">
            <v>Annual</v>
          </cell>
          <cell r="X3" t="str">
            <v>Annual</v>
          </cell>
          <cell r="AC3" t="str">
            <v>Annual</v>
          </cell>
          <cell r="AH3" t="str">
            <v>Annual</v>
          </cell>
        </row>
        <row r="41">
          <cell r="A41" t="str">
            <v>Net Profit</v>
          </cell>
        </row>
      </sheetData>
      <sheetData sheetId="3">
        <row r="39">
          <cell r="W39">
            <v>657865.67081083194</v>
          </cell>
          <cell r="X39">
            <v>784177.61830188474</v>
          </cell>
          <cell r="Y39">
            <v>1007048.8180545191</v>
          </cell>
          <cell r="Z39">
            <v>1366603.9685705372</v>
          </cell>
        </row>
        <row r="41">
          <cell r="Z41">
            <v>2912885.4124618201</v>
          </cell>
        </row>
      </sheetData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" displayName="Table1" ref="A1:D6" totalsRowShown="0" headerRowDxfId="10">
  <autoFilter ref="A1:D6" xr:uid="{00000000-0009-0000-0100-000006000000}"/>
  <tableColumns count="4">
    <tableColumn id="1" xr3:uid="{00000000-0010-0000-0000-000001000000}" name="Year"/>
    <tableColumn id="4" xr3:uid="{00000000-0010-0000-0000-000004000000}" name="Revenue" dataDxfId="9">
      <calculatedColumnFormula>'P&amp;L Statement'!R12</calculatedColumnFormula>
    </tableColumn>
    <tableColumn id="5" xr3:uid="{00000000-0010-0000-0000-000005000000}" name="EBITDA" dataDxfId="8">
      <calculatedColumnFormula>'P&amp;L Statement'!R41</calculatedColumnFormula>
    </tableColumn>
    <tableColumn id="6" xr3:uid="{00000000-0010-0000-0000-000006000000}" name="EBITDA Margin">
      <calculatedColumnFormula>Table1[[#This Row],[EBITDA]]/Table1[[#This Row],[Revenue]]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68" displayName="Table68" ref="A54:B57" totalsRowShown="0">
  <autoFilter ref="A54:B57" xr:uid="{00000000-0009-0000-0100-000002000000}"/>
  <tableColumns count="2">
    <tableColumn id="1" xr3:uid="{00000000-0010-0000-0100-000001000000}" name="Channel" dataCellStyle="60% - Accent1"/>
    <tableColumn id="2" xr3:uid="{00000000-0010-0000-0100-000002000000}" name="Ratio" dataCellStyle="60% - Accent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610" displayName="Table610" ref="A59:B62" totalsRowShown="0">
  <autoFilter ref="A59:B62" xr:uid="{00000000-0009-0000-0100-000003000000}"/>
  <tableColumns count="2">
    <tableColumn id="1" xr3:uid="{00000000-0010-0000-0200-000001000000}" name="Channel yr1" dataCellStyle="60% - Accent1"/>
    <tableColumn id="2" xr3:uid="{00000000-0010-0000-0200-000002000000}" name="Price" dataCellStyle="60% - Accent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61011" displayName="Table61011" ref="A68:B74" totalsRowShown="0">
  <autoFilter ref="A68:B74" xr:uid="{00000000-0009-0000-0100-000004000000}"/>
  <tableColumns count="2">
    <tableColumn id="1" xr3:uid="{00000000-0010-0000-0300-000001000000}" name="Channel" dataCellStyle="60% - Accent1"/>
    <tableColumn id="2" xr3:uid="{00000000-0010-0000-0300-000002000000}" name="Ratio to total sales" dataCellStyle="60% - Accent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6106" displayName="Table6106" ref="A63:B66" totalsRowShown="0">
  <autoFilter ref="A63:B66" xr:uid="{00000000-0009-0000-0100-000005000000}"/>
  <tableColumns count="2">
    <tableColumn id="1" xr3:uid="{00000000-0010-0000-0400-000001000000}" name="Channel " dataCellStyle="60% - Accent1"/>
    <tableColumn id="2" xr3:uid="{00000000-0010-0000-0400-000002000000}" name="Price" dataCellStyle="60% - Accent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3" displayName="Table3" ref="A2:J8" totalsRowShown="0" headerRowDxfId="7" dataDxfId="6">
  <tableColumns count="10">
    <tableColumn id="1" xr3:uid="{00000000-0010-0000-0500-000001000000}" name="C" dataDxfId="5"/>
    <tableColumn id="2" xr3:uid="{00000000-0010-0000-0500-000002000000}" name="Year 1" dataDxfId="4"/>
    <tableColumn id="7" xr3:uid="{00000000-0010-0000-0500-000007000000}" name="Year 12"/>
    <tableColumn id="3" xr3:uid="{00000000-0010-0000-0500-000003000000}" name="Year 2" dataDxfId="3"/>
    <tableColumn id="8" xr3:uid="{00000000-0010-0000-0500-000008000000}" name="Year 22"/>
    <tableColumn id="4" xr3:uid="{00000000-0010-0000-0500-000004000000}" name="Year 3" dataDxfId="2"/>
    <tableColumn id="9" xr3:uid="{00000000-0010-0000-0500-000009000000}" name="Year 32"/>
    <tableColumn id="5" xr3:uid="{00000000-0010-0000-0500-000005000000}" name="Year 4" dataDxfId="1"/>
    <tableColumn id="10" xr3:uid="{00000000-0010-0000-0500-00000A000000}" name="Year 42"/>
    <tableColumn id="6" xr3:uid="{00000000-0010-0000-0500-000006000000}" name="Year 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zoomScale="70" zoomScaleNormal="70" workbookViewId="0">
      <selection activeCell="B35" sqref="B35"/>
    </sheetView>
  </sheetViews>
  <sheetFormatPr defaultColWidth="11.46875" defaultRowHeight="14.35" x14ac:dyDescent="0.5"/>
  <cols>
    <col min="1" max="1" width="29.64453125" bestFit="1" customWidth="1"/>
    <col min="2" max="2" width="23.1171875" customWidth="1"/>
    <col min="3" max="4" width="31.5859375" customWidth="1"/>
    <col min="5" max="5" width="24" customWidth="1"/>
    <col min="6" max="6" width="32.64453125" customWidth="1"/>
    <col min="8" max="8" width="15" customWidth="1"/>
    <col min="9" max="9" width="21.17578125" customWidth="1"/>
  </cols>
  <sheetData>
    <row r="1" spans="1:8" ht="15.7" x14ac:dyDescent="0.55000000000000004">
      <c r="A1" s="102" t="s">
        <v>88</v>
      </c>
      <c r="B1" s="103" t="s">
        <v>26</v>
      </c>
      <c r="C1" s="103" t="s">
        <v>89</v>
      </c>
      <c r="D1" s="103" t="s">
        <v>90</v>
      </c>
      <c r="H1" s="104"/>
    </row>
    <row r="2" spans="1:8" x14ac:dyDescent="0.5">
      <c r="A2" s="105" t="s">
        <v>0</v>
      </c>
      <c r="B2" s="100">
        <f>'P&amp;L Statement'!R12</f>
        <v>15212.181444275628</v>
      </c>
      <c r="C2" s="100">
        <f>'P&amp;L Statement'!R41</f>
        <v>-39523.985904392277</v>
      </c>
      <c r="D2" s="106">
        <f>Table1[[#This Row],[EBITDA]]/Table1[[#This Row],[Revenue]]</f>
        <v>-2.5981800210031829</v>
      </c>
      <c r="H2" s="107"/>
    </row>
    <row r="3" spans="1:8" x14ac:dyDescent="0.5">
      <c r="A3" s="105" t="s">
        <v>1</v>
      </c>
      <c r="B3" s="100">
        <f>'P&amp;L Statement'!W12</f>
        <v>99066.3046875</v>
      </c>
      <c r="C3" s="100">
        <f>'P&amp;L Statement'!W41</f>
        <v>-47255.746675781251</v>
      </c>
      <c r="D3" s="106">
        <f>Table1[[#This Row],[EBITDA]]/Table1[[#This Row],[Revenue]]</f>
        <v>-0.47701129889569699</v>
      </c>
    </row>
    <row r="4" spans="1:8" x14ac:dyDescent="0.5">
      <c r="A4" s="105" t="s">
        <v>2</v>
      </c>
      <c r="B4" s="100">
        <f>'P&amp;L Statement'!AB12</f>
        <v>245852.50078124998</v>
      </c>
      <c r="C4" s="100">
        <f>'P&amp;L Statement'!AB41</f>
        <v>-7705.6173542968754</v>
      </c>
      <c r="D4" s="106">
        <f>Table1[[#This Row],[EBITDA]]/Table1[[#This Row],[Revenue]]</f>
        <v>-3.1342440405570798E-2</v>
      </c>
    </row>
    <row r="5" spans="1:8" x14ac:dyDescent="0.5">
      <c r="A5" s="105" t="s">
        <v>3</v>
      </c>
      <c r="B5" s="100">
        <f>'P&amp;L Statement'!AG12</f>
        <v>614060.75179687492</v>
      </c>
      <c r="C5" s="100">
        <f>'P&amp;L Statement'!AG41</f>
        <v>176812.12986894487</v>
      </c>
      <c r="D5" s="106">
        <f>Table1[[#This Row],[EBITDA]]/Table1[[#This Row],[Revenue]]</f>
        <v>0.28793914828712669</v>
      </c>
    </row>
    <row r="6" spans="1:8" x14ac:dyDescent="0.5">
      <c r="A6" s="105" t="s">
        <v>4</v>
      </c>
      <c r="B6" s="100">
        <f>'P&amp;L Statement'!AL12</f>
        <v>1405339.7291328122</v>
      </c>
      <c r="C6" s="100">
        <f>'P&amp;L Statement'!AL41</f>
        <v>631491.5796985731</v>
      </c>
      <c r="D6" s="106">
        <f>Table1[[#This Row],[EBITDA]]/Table1[[#This Row],[Revenue]]</f>
        <v>0.44935154582746001</v>
      </c>
    </row>
    <row r="9" spans="1:8" ht="16" thickBot="1" x14ac:dyDescent="0.6">
      <c r="A9" s="46" t="s">
        <v>91</v>
      </c>
      <c r="B9" s="108">
        <v>12</v>
      </c>
      <c r="D9" s="109"/>
    </row>
    <row r="10" spans="1:8" ht="16.350000000000001" thickTop="1" thickBot="1" x14ac:dyDescent="0.6">
      <c r="A10" s="46" t="s">
        <v>92</v>
      </c>
      <c r="B10" s="110">
        <f>C6</f>
        <v>631491.5796985731</v>
      </c>
    </row>
    <row r="11" spans="1:8" ht="16.350000000000001" thickTop="1" thickBot="1" x14ac:dyDescent="0.6">
      <c r="A11" s="46" t="s">
        <v>93</v>
      </c>
      <c r="B11" s="110">
        <f>B10*B9</f>
        <v>7577898.9563828772</v>
      </c>
    </row>
    <row r="12" spans="1:8" ht="14.7" thickTop="1" x14ac:dyDescent="0.5"/>
    <row r="13" spans="1:8" ht="16" thickBot="1" x14ac:dyDescent="0.6">
      <c r="A13" s="111" t="s">
        <v>120</v>
      </c>
      <c r="B13" s="114">
        <v>40000</v>
      </c>
    </row>
    <row r="14" spans="1:8" ht="16" thickTop="1" x14ac:dyDescent="0.55000000000000004">
      <c r="A14" s="111" t="s">
        <v>95</v>
      </c>
      <c r="B14" s="113">
        <v>0.15</v>
      </c>
    </row>
    <row r="15" spans="1:8" ht="15.7" x14ac:dyDescent="0.55000000000000004">
      <c r="A15" s="111" t="s">
        <v>94</v>
      </c>
      <c r="B15" s="112">
        <f>B16/B13</f>
        <v>28.417121086435788</v>
      </c>
    </row>
    <row r="16" spans="1:8" ht="15.7" x14ac:dyDescent="0.55000000000000004">
      <c r="A16" s="111" t="s">
        <v>96</v>
      </c>
      <c r="B16" s="231">
        <f>B11*B14</f>
        <v>1136684.8434574315</v>
      </c>
      <c r="H16" s="109"/>
    </row>
    <row r="18" spans="1:2" ht="15.7" x14ac:dyDescent="0.55000000000000004">
      <c r="A18" s="111" t="s">
        <v>122</v>
      </c>
      <c r="B18" s="115">
        <v>100000</v>
      </c>
    </row>
    <row r="19" spans="1:2" ht="15.7" x14ac:dyDescent="0.55000000000000004">
      <c r="A19" s="111" t="s">
        <v>121</v>
      </c>
      <c r="B19" s="230">
        <f>'P&amp;L Statement'!W12*'Growth Forecast'!B9</f>
        <v>1188795.65625</v>
      </c>
    </row>
    <row r="20" spans="1:2" ht="15.7" x14ac:dyDescent="0.55000000000000004">
      <c r="A20" s="111" t="s">
        <v>95</v>
      </c>
      <c r="B20" s="113">
        <f>(B18/B19)</f>
        <v>8.4118746122815835E-2</v>
      </c>
    </row>
    <row r="21" spans="1:2" ht="15.7" x14ac:dyDescent="0.55000000000000004">
      <c r="A21" s="111" t="s">
        <v>94</v>
      </c>
      <c r="B21" s="112">
        <f>B22/B18</f>
        <v>6.3744335845632234</v>
      </c>
    </row>
    <row r="22" spans="1:2" ht="15.7" x14ac:dyDescent="0.55000000000000004">
      <c r="A22" s="111" t="s">
        <v>96</v>
      </c>
      <c r="B22" s="231">
        <f>B11*B20</f>
        <v>637443.35845632234</v>
      </c>
    </row>
    <row r="24" spans="1:2" ht="15.7" x14ac:dyDescent="0.55000000000000004">
      <c r="A24" s="214" t="s">
        <v>97</v>
      </c>
      <c r="B24" s="214"/>
    </row>
    <row r="25" spans="1:2" ht="15.7" x14ac:dyDescent="0.55000000000000004">
      <c r="A25" s="115" t="s">
        <v>102</v>
      </c>
      <c r="B25" s="115">
        <f>SUM('P&amp;L Statement'!W22:'P&amp;L Statement'!W27)</f>
        <v>112500</v>
      </c>
    </row>
    <row r="26" spans="1:2" ht="15.7" x14ac:dyDescent="0.55000000000000004">
      <c r="A26" s="115" t="s">
        <v>103</v>
      </c>
      <c r="B26" s="115">
        <f>SUM('P&amp;L Statement'!W29:'P&amp;L Statement'!W30)</f>
        <v>22300</v>
      </c>
    </row>
    <row r="27" spans="1:2" ht="15.7" x14ac:dyDescent="0.55000000000000004">
      <c r="A27" s="116" t="s">
        <v>98</v>
      </c>
      <c r="B27" s="117">
        <f>B13-B25</f>
        <v>-72500</v>
      </c>
    </row>
    <row r="29" spans="1:2" ht="15.7" x14ac:dyDescent="0.55000000000000004">
      <c r="A29" s="115" t="s">
        <v>99</v>
      </c>
      <c r="B29" s="118">
        <f>_xlfn.RRI(5,B2,B6)</f>
        <v>1.4723956193644563</v>
      </c>
    </row>
    <row r="37" spans="4:5" x14ac:dyDescent="0.5">
      <c r="D37" s="119"/>
    </row>
    <row r="43" spans="4:5" x14ac:dyDescent="0.5">
      <c r="D43" s="120"/>
      <c r="E43" s="120"/>
    </row>
    <row r="44" spans="4:5" x14ac:dyDescent="0.5">
      <c r="E44" s="121">
        <f>E43*12.32</f>
        <v>0</v>
      </c>
    </row>
    <row r="45" spans="4:5" x14ac:dyDescent="0.5">
      <c r="E45" s="121"/>
    </row>
    <row r="54" spans="2:2" x14ac:dyDescent="0.5">
      <c r="B54" s="100"/>
    </row>
  </sheetData>
  <mergeCells count="1">
    <mergeCell ref="A24:B24"/>
  </mergeCells>
  <phoneticPr fontId="16" type="noConversion"/>
  <pageMargins left="0.7" right="0.7" top="0.75" bottom="0.75" header="0.3" footer="0.3"/>
  <pageSetup paperSize="9" scale="9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3"/>
  <sheetViews>
    <sheetView zoomScale="55" zoomScaleNormal="55" workbookViewId="0">
      <selection activeCell="I141" sqref="I141"/>
    </sheetView>
  </sheetViews>
  <sheetFormatPr defaultColWidth="11.46875" defaultRowHeight="15.7" x14ac:dyDescent="0.55000000000000004"/>
  <cols>
    <col min="1" max="1" width="21.52734375" customWidth="1"/>
    <col min="2" max="6" width="20.46875" customWidth="1"/>
    <col min="10" max="10" width="13.5859375" bestFit="1" customWidth="1"/>
    <col min="12" max="12" width="20.64453125" style="102" customWidth="1"/>
    <col min="17" max="17" width="17.234375" style="102" customWidth="1"/>
    <col min="22" max="22" width="17.234375" style="102" customWidth="1"/>
    <col min="27" max="27" width="17.234375" style="102" customWidth="1"/>
  </cols>
  <sheetData>
    <row r="1" spans="1:27" x14ac:dyDescent="0.55000000000000004">
      <c r="A1" s="122"/>
      <c r="B1" s="122" t="s">
        <v>0</v>
      </c>
      <c r="C1" s="122" t="s">
        <v>1</v>
      </c>
      <c r="D1" s="122" t="s">
        <v>2</v>
      </c>
      <c r="E1" s="122" t="s">
        <v>3</v>
      </c>
      <c r="F1" s="122" t="s">
        <v>4</v>
      </c>
      <c r="I1" s="123"/>
      <c r="J1" t="s">
        <v>29</v>
      </c>
      <c r="L1" s="124"/>
      <c r="Q1" s="124"/>
      <c r="V1" s="124"/>
      <c r="AA1" s="124"/>
    </row>
    <row r="2" spans="1:27" x14ac:dyDescent="0.55000000000000004">
      <c r="A2" s="194" t="s">
        <v>29</v>
      </c>
      <c r="B2" s="195">
        <f>SUM(B14:B16)</f>
        <v>2667.4109888017224</v>
      </c>
      <c r="C2" s="195">
        <f>SUM(C14:C16)</f>
        <v>2133.28125</v>
      </c>
      <c r="D2" s="195">
        <f t="shared" ref="D2:F2" si="0">SUM(D14:D16)</f>
        <v>3970.546875</v>
      </c>
      <c r="E2" s="195">
        <f t="shared" si="0"/>
        <v>8196.2578125</v>
      </c>
      <c r="F2" s="195">
        <f t="shared" si="0"/>
        <v>17915.392968749995</v>
      </c>
      <c r="I2" s="125"/>
      <c r="J2" t="s">
        <v>104</v>
      </c>
      <c r="L2" s="124"/>
      <c r="Q2" s="124"/>
      <c r="V2" s="124"/>
      <c r="AA2" s="124"/>
    </row>
    <row r="3" spans="1:27" x14ac:dyDescent="0.55000000000000004">
      <c r="A3" s="184" t="s">
        <v>105</v>
      </c>
      <c r="B3" s="185">
        <f>SUM(B18:B19,B21,B24:B26,B29:B30, B28)</f>
        <v>46397.36444949772</v>
      </c>
      <c r="C3" s="185">
        <f t="shared" ref="C3:F3" si="1">SUM(C18:C19,C21,C24:C26,C29:C30, C28)</f>
        <v>117992</v>
      </c>
      <c r="D3" s="185">
        <f t="shared" si="1"/>
        <v>178611.00876054689</v>
      </c>
      <c r="E3" s="185">
        <f t="shared" si="1"/>
        <v>254581.82014925781</v>
      </c>
      <c r="F3" s="185">
        <f t="shared" si="1"/>
        <v>370514.08634329296</v>
      </c>
      <c r="I3" s="126"/>
      <c r="J3" t="s">
        <v>106</v>
      </c>
      <c r="L3" s="124"/>
      <c r="Q3" s="124"/>
      <c r="V3" s="124"/>
      <c r="AA3" s="124"/>
    </row>
    <row r="4" spans="1:27" x14ac:dyDescent="0.55000000000000004">
      <c r="A4" s="186" t="s">
        <v>107</v>
      </c>
      <c r="B4" s="187">
        <f>B20+B23+B27</f>
        <v>1000</v>
      </c>
      <c r="C4" s="187">
        <f t="shared" ref="C4:F4" si="2">C20+C23+C27</f>
        <v>2000</v>
      </c>
      <c r="D4" s="187">
        <f t="shared" si="2"/>
        <v>21500</v>
      </c>
      <c r="E4" s="187">
        <f t="shared" si="2"/>
        <v>48000</v>
      </c>
      <c r="F4" s="187">
        <f t="shared" si="2"/>
        <v>94000</v>
      </c>
      <c r="L4" s="124"/>
      <c r="Q4" s="124"/>
      <c r="V4" s="124"/>
      <c r="AA4" s="124"/>
    </row>
    <row r="5" spans="1:27" x14ac:dyDescent="0.55000000000000004">
      <c r="L5" s="124"/>
      <c r="Q5" s="124"/>
      <c r="V5" s="124"/>
      <c r="AA5" s="124"/>
    </row>
    <row r="6" spans="1:27" x14ac:dyDescent="0.55000000000000004">
      <c r="A6" s="122"/>
      <c r="B6" s="122" t="s">
        <v>0</v>
      </c>
      <c r="C6" s="122" t="s">
        <v>1</v>
      </c>
      <c r="D6" s="122" t="s">
        <v>2</v>
      </c>
      <c r="E6" s="122" t="s">
        <v>3</v>
      </c>
      <c r="F6" s="122" t="s">
        <v>4</v>
      </c>
      <c r="L6" s="124"/>
      <c r="Q6" s="124"/>
      <c r="V6" s="124"/>
      <c r="AA6" s="124"/>
    </row>
    <row r="7" spans="1:27" x14ac:dyDescent="0.55000000000000004">
      <c r="A7" s="122" t="s">
        <v>29</v>
      </c>
      <c r="B7" s="127">
        <f>B2/SUM(B$2:B$4)</f>
        <v>5.3279196110428549E-2</v>
      </c>
      <c r="C7" s="127">
        <f>C2/SUM(C$2:C$4)</f>
        <v>1.7467974101390248E-2</v>
      </c>
      <c r="D7" s="127">
        <f t="shared" ref="D7:F7" si="3">D2/SUM(D$2:D$4)</f>
        <v>1.9455687029800408E-2</v>
      </c>
      <c r="E7" s="127">
        <f t="shared" si="3"/>
        <v>2.6373346106827313E-2</v>
      </c>
      <c r="F7" s="127">
        <f t="shared" si="3"/>
        <v>3.7135775770373351E-2</v>
      </c>
      <c r="L7" s="124"/>
      <c r="Q7" s="124"/>
      <c r="V7" s="124"/>
      <c r="AA7" s="124"/>
    </row>
    <row r="8" spans="1:27" x14ac:dyDescent="0.55000000000000004">
      <c r="A8" s="122" t="s">
        <v>105</v>
      </c>
      <c r="B8" s="127">
        <f t="shared" ref="B8:F9" si="4">B3/SUM(B$2:B$4)</f>
        <v>0.92674668054146192</v>
      </c>
      <c r="C8" s="127">
        <f t="shared" si="4"/>
        <v>0.96615540035859693</v>
      </c>
      <c r="D8" s="127">
        <f t="shared" si="4"/>
        <v>0.87519427321258847</v>
      </c>
      <c r="E8" s="127">
        <f t="shared" si="4"/>
        <v>0.81917560536745737</v>
      </c>
      <c r="F8" s="127">
        <f t="shared" si="4"/>
        <v>0.7680170931338105</v>
      </c>
      <c r="L8" s="124"/>
      <c r="Q8" s="124"/>
      <c r="V8" s="124"/>
      <c r="AA8" s="124"/>
    </row>
    <row r="9" spans="1:27" x14ac:dyDescent="0.55000000000000004">
      <c r="A9" s="122" t="s">
        <v>107</v>
      </c>
      <c r="B9" s="127">
        <f t="shared" si="4"/>
        <v>1.9974123348109583E-2</v>
      </c>
      <c r="C9" s="127">
        <f t="shared" si="4"/>
        <v>1.6376625540012828E-2</v>
      </c>
      <c r="D9" s="127">
        <f t="shared" si="4"/>
        <v>0.10535003975761116</v>
      </c>
      <c r="E9" s="127">
        <f t="shared" si="4"/>
        <v>0.15445104852571534</v>
      </c>
      <c r="F9" s="127">
        <f t="shared" si="4"/>
        <v>0.19484713109581625</v>
      </c>
      <c r="L9" s="124"/>
      <c r="Q9" s="124"/>
      <c r="V9" s="124"/>
      <c r="AA9" s="124"/>
    </row>
    <row r="10" spans="1:27" x14ac:dyDescent="0.55000000000000004">
      <c r="A10" s="128"/>
      <c r="B10" s="129"/>
      <c r="C10" s="130"/>
      <c r="D10" s="130"/>
      <c r="E10" s="129"/>
      <c r="F10" s="127"/>
      <c r="L10" s="124"/>
      <c r="Q10" s="124"/>
      <c r="V10" s="124"/>
      <c r="AA10" s="124"/>
    </row>
    <row r="11" spans="1:27" x14ac:dyDescent="0.5">
      <c r="A11" s="131"/>
      <c r="B11" s="84" t="s">
        <v>0</v>
      </c>
      <c r="C11" s="85" t="s">
        <v>1</v>
      </c>
      <c r="D11" s="85" t="s">
        <v>2</v>
      </c>
      <c r="E11" s="84" t="s">
        <v>3</v>
      </c>
      <c r="F11" s="83" t="s">
        <v>4</v>
      </c>
      <c r="L11"/>
      <c r="Q11"/>
      <c r="V11"/>
      <c r="AA11"/>
    </row>
    <row r="12" spans="1:27" ht="14.35" x14ac:dyDescent="0.5">
      <c r="A12" s="132"/>
      <c r="B12" s="133" t="str">
        <f>'[1]P&amp;L Statement'!N3</f>
        <v>Annual</v>
      </c>
      <c r="C12" s="133" t="str">
        <f>'[1]P&amp;L Statement'!S3</f>
        <v>Annual</v>
      </c>
      <c r="D12" s="133" t="str">
        <f>'[1]P&amp;L Statement'!X3</f>
        <v>Annual</v>
      </c>
      <c r="E12" s="133" t="str">
        <f>'[1]P&amp;L Statement'!AC3</f>
        <v>Annual</v>
      </c>
      <c r="F12" s="133" t="str">
        <f>'[1]P&amp;L Statement'!AH3</f>
        <v>Annual</v>
      </c>
      <c r="L12"/>
      <c r="Q12"/>
      <c r="V12"/>
      <c r="AA12"/>
    </row>
    <row r="13" spans="1:27" ht="14.35" x14ac:dyDescent="0.5">
      <c r="A13" s="5" t="str">
        <f>'P&amp;L Statement'!A13</f>
        <v>Cost of Sales</v>
      </c>
      <c r="B13" s="134"/>
      <c r="C13" s="135"/>
      <c r="D13" s="135"/>
      <c r="E13" s="135"/>
      <c r="F13" s="135"/>
      <c r="L13"/>
      <c r="Q13"/>
      <c r="V13"/>
      <c r="AA13"/>
    </row>
    <row r="14" spans="1:27" ht="14.35" x14ac:dyDescent="0.5">
      <c r="A14" s="196" t="str">
        <f>'P&amp;L Statement'!A14</f>
        <v>Platform Fees</v>
      </c>
      <c r="B14" s="197">
        <f>'P&amp;L Statement'!R14</f>
        <v>973.70549440086097</v>
      </c>
      <c r="C14" s="197">
        <f>'P&amp;L Statement'!W14</f>
        <v>946.640625</v>
      </c>
      <c r="D14" s="197">
        <f>'P&amp;L Statement'!AB14</f>
        <v>1865.2734375</v>
      </c>
      <c r="E14" s="197">
        <f>'P&amp;L Statement'!AG14</f>
        <v>3978.12890625</v>
      </c>
      <c r="F14" s="197">
        <f>'P&amp;L Statement'!AL14</f>
        <v>8837.6964843749975</v>
      </c>
      <c r="L14"/>
      <c r="Q14"/>
      <c r="V14"/>
      <c r="AA14"/>
    </row>
    <row r="15" spans="1:27" ht="14.35" x14ac:dyDescent="0.5">
      <c r="A15" s="196" t="str">
        <f>'P&amp;L Statement'!A15</f>
        <v>Hosting Fees</v>
      </c>
      <c r="B15" s="197">
        <f>'P&amp;L Statement'!R15</f>
        <v>846.8527472004306</v>
      </c>
      <c r="C15" s="197">
        <f>'P&amp;L Statement'!W15</f>
        <v>593.3203125</v>
      </c>
      <c r="D15" s="197">
        <f>'P&amp;L Statement'!AB15</f>
        <v>1052.63671875</v>
      </c>
      <c r="E15" s="197">
        <f>'P&amp;L Statement'!AG15</f>
        <v>2109.064453125</v>
      </c>
      <c r="F15" s="197">
        <f>'P&amp;L Statement'!AL15</f>
        <v>4538.8482421874987</v>
      </c>
      <c r="L15"/>
      <c r="Q15"/>
      <c r="V15"/>
      <c r="AA15"/>
    </row>
    <row r="16" spans="1:27" ht="14.35" x14ac:dyDescent="0.5">
      <c r="A16" s="196" t="str">
        <f>'P&amp;L Statement'!A16</f>
        <v>Data Protection Costs</v>
      </c>
      <c r="B16" s="197">
        <f>'P&amp;L Statement'!R16</f>
        <v>846.8527472004306</v>
      </c>
      <c r="C16" s="197">
        <f>'P&amp;L Statement'!W16</f>
        <v>593.3203125</v>
      </c>
      <c r="D16" s="197">
        <f>'P&amp;L Statement'!AB16</f>
        <v>1052.63671875</v>
      </c>
      <c r="E16" s="197">
        <f>'P&amp;L Statement'!AG16</f>
        <v>2109.064453125</v>
      </c>
      <c r="F16" s="197">
        <f>'P&amp;L Statement'!AL16</f>
        <v>4538.8482421874987</v>
      </c>
      <c r="L16"/>
      <c r="Q16"/>
      <c r="V16"/>
      <c r="AA16"/>
    </row>
    <row r="17" spans="1:27" ht="14.35" x14ac:dyDescent="0.5">
      <c r="A17" s="198" t="str">
        <f>'P&amp;L Statement'!A17</f>
        <v>Promotion/User Package For new Users</v>
      </c>
      <c r="B17" s="197">
        <f>'P&amp;L Statement'!R18</f>
        <v>7338.8028991701849</v>
      </c>
      <c r="C17" s="197">
        <f>'P&amp;L Statement'!W18</f>
        <v>7992.65625</v>
      </c>
      <c r="D17" s="197">
        <f>'P&amp;L Statement'!AB18</f>
        <v>17447.109375</v>
      </c>
      <c r="E17" s="197">
        <f>'P&amp;L Statement'!AG18</f>
        <v>39192.351562499993</v>
      </c>
      <c r="F17" s="197">
        <f>'P&amp;L Statement'!AL18</f>
        <v>89206.408593749962</v>
      </c>
      <c r="L17"/>
      <c r="Q17"/>
      <c r="V17"/>
      <c r="AA17"/>
    </row>
    <row r="18" spans="1:27" ht="14.35" x14ac:dyDescent="0.5">
      <c r="A18" s="189" t="s">
        <v>37</v>
      </c>
      <c r="B18" s="192">
        <f>'P&amp;L Statement'!R22</f>
        <v>40000</v>
      </c>
      <c r="C18" s="193">
        <f>'P&amp;L Statement'!W22</f>
        <v>72000</v>
      </c>
      <c r="D18" s="193">
        <f>'P&amp;L Statement'!AB22</f>
        <v>120000</v>
      </c>
      <c r="E18" s="192">
        <f>'P&amp;L Statement'!AG22</f>
        <v>140000</v>
      </c>
      <c r="F18" s="190">
        <f>'P&amp;L Statement'!AL22</f>
        <v>140000</v>
      </c>
      <c r="L18"/>
      <c r="Q18"/>
      <c r="V18"/>
      <c r="AA18"/>
    </row>
    <row r="19" spans="1:27" ht="14.35" x14ac:dyDescent="0.5">
      <c r="A19" s="189" t="s">
        <v>38</v>
      </c>
      <c r="B19" s="190">
        <f>'P&amp;L Statement'!R23</f>
        <v>0</v>
      </c>
      <c r="C19" s="193">
        <f>'P&amp;L Statement'!W23</f>
        <v>4500</v>
      </c>
      <c r="D19" s="191">
        <f>'P&amp;L Statement'!AB23</f>
        <v>19500</v>
      </c>
      <c r="E19" s="192">
        <f>'P&amp;L Statement'!AG23</f>
        <v>60000</v>
      </c>
      <c r="F19" s="190">
        <f>'P&amp;L Statement'!AL23</f>
        <v>108000</v>
      </c>
      <c r="L19"/>
      <c r="Q19"/>
      <c r="V19"/>
      <c r="AA19"/>
    </row>
    <row r="20" spans="1:27" ht="14.35" x14ac:dyDescent="0.5">
      <c r="A20" s="136" t="s">
        <v>39</v>
      </c>
      <c r="B20" s="188">
        <f>'P&amp;L Statement'!R24</f>
        <v>0</v>
      </c>
      <c r="C20" s="137">
        <f>'P&amp;L Statement'!W24</f>
        <v>0</v>
      </c>
      <c r="D20" s="137">
        <f>'P&amp;L Statement'!AB24</f>
        <v>19500</v>
      </c>
      <c r="E20" s="138">
        <f>'P&amp;L Statement'!AG24</f>
        <v>36000</v>
      </c>
      <c r="F20" s="188">
        <f>'P&amp;L Statement'!AL24</f>
        <v>72000</v>
      </c>
      <c r="L20"/>
      <c r="Q20"/>
      <c r="V20"/>
      <c r="AA20"/>
    </row>
    <row r="21" spans="1:27" ht="14.35" x14ac:dyDescent="0.5">
      <c r="A21" s="189" t="s">
        <v>40</v>
      </c>
      <c r="B21" s="190">
        <f>'P&amp;L Statement'!R25</f>
        <v>6000</v>
      </c>
      <c r="C21" s="191">
        <f>'P&amp;L Statement'!W25</f>
        <v>18000</v>
      </c>
      <c r="D21" s="191">
        <f>'P&amp;L Statement'!AB25</f>
        <v>19500</v>
      </c>
      <c r="E21" s="192">
        <f>'P&amp;L Statement'!AG25</f>
        <v>30000</v>
      </c>
      <c r="F21" s="190">
        <f>'P&amp;L Statement'!AL25</f>
        <v>66000</v>
      </c>
      <c r="L21"/>
      <c r="Q21"/>
      <c r="V21"/>
      <c r="AA21"/>
    </row>
    <row r="22" spans="1:27" ht="14.35" x14ac:dyDescent="0.5">
      <c r="A22" s="189" t="s">
        <v>119</v>
      </c>
      <c r="B22" s="190">
        <f>'P&amp;L Statement'!R26</f>
        <v>0</v>
      </c>
      <c r="C22" s="191">
        <f>'P&amp;L Statement'!W26</f>
        <v>18000</v>
      </c>
      <c r="D22" s="191">
        <f>'P&amp;L Statement'!AB26</f>
        <v>36000</v>
      </c>
      <c r="E22" s="192">
        <f>'P&amp;L Statement'!AG26</f>
        <v>54000</v>
      </c>
      <c r="F22" s="192">
        <f>'P&amp;L Statement'!AL26</f>
        <v>72000</v>
      </c>
      <c r="L22"/>
      <c r="Q22"/>
      <c r="V22"/>
      <c r="AA22"/>
    </row>
    <row r="23" spans="1:27" ht="14.35" x14ac:dyDescent="0.5">
      <c r="A23" s="136" t="s">
        <v>41</v>
      </c>
      <c r="B23" s="188">
        <f>'P&amp;L Statement'!R27</f>
        <v>0</v>
      </c>
      <c r="C23" s="137">
        <f>'P&amp;L Statement'!W27</f>
        <v>0</v>
      </c>
      <c r="D23" s="137">
        <f>'P&amp;L Statement'!AB27</f>
        <v>0</v>
      </c>
      <c r="E23" s="138">
        <f>'P&amp;L Statement'!AG27</f>
        <v>10000</v>
      </c>
      <c r="F23" s="138">
        <f>'P&amp;L Statement'!AL27</f>
        <v>20000</v>
      </c>
      <c r="L23"/>
      <c r="Q23"/>
      <c r="V23"/>
      <c r="AA23"/>
    </row>
    <row r="24" spans="1:27" ht="14.35" x14ac:dyDescent="0.5">
      <c r="A24" s="189" t="s">
        <v>43</v>
      </c>
      <c r="B24" s="190">
        <f>'P&amp;L Statement'!R29</f>
        <v>0</v>
      </c>
      <c r="C24" s="191">
        <f>'P&amp;L Statement'!W29</f>
        <v>12000</v>
      </c>
      <c r="D24" s="191">
        <f>'P&amp;L Statement'!AB29</f>
        <v>12000</v>
      </c>
      <c r="E24" s="192">
        <f>'P&amp;L Statement'!AG29</f>
        <v>12000</v>
      </c>
      <c r="F24" s="192">
        <f>'P&amp;L Statement'!AL29</f>
        <v>12000</v>
      </c>
      <c r="L24"/>
      <c r="Q24"/>
      <c r="V24"/>
      <c r="AA24"/>
    </row>
    <row r="25" spans="1:27" ht="14.35" x14ac:dyDescent="0.5">
      <c r="A25" s="189" t="s">
        <v>44</v>
      </c>
      <c r="B25" s="190">
        <f>'P&amp;L Statement'!R30</f>
        <v>0</v>
      </c>
      <c r="C25" s="191">
        <f>'P&amp;L Statement'!W30</f>
        <v>10300</v>
      </c>
      <c r="D25" s="191">
        <f>'P&amp;L Statement'!AB30</f>
        <v>800</v>
      </c>
      <c r="E25" s="192">
        <f>'P&amp;L Statement'!AG30</f>
        <v>800</v>
      </c>
      <c r="F25" s="192">
        <f>'P&amp;L Statement'!AL30</f>
        <v>16050</v>
      </c>
      <c r="L25"/>
      <c r="Q25"/>
      <c r="V25"/>
      <c r="AA25"/>
    </row>
    <row r="26" spans="1:27" ht="14.35" x14ac:dyDescent="0.5">
      <c r="A26" s="189" t="s">
        <v>46</v>
      </c>
      <c r="B26" s="190">
        <f>'P&amp;L Statement'!R32</f>
        <v>0</v>
      </c>
      <c r="C26" s="191">
        <f>'P&amp;L Statement'!W32</f>
        <v>0</v>
      </c>
      <c r="D26" s="191">
        <f>'P&amp;L Statement'!AB32</f>
        <v>3300</v>
      </c>
      <c r="E26" s="192">
        <f>'P&amp;L Statement'!AG32</f>
        <v>3300</v>
      </c>
      <c r="F26" s="192">
        <f>'P&amp;L Statement'!AL32</f>
        <v>3300</v>
      </c>
      <c r="L26"/>
      <c r="Q26"/>
      <c r="V26"/>
      <c r="AA26"/>
    </row>
    <row r="27" spans="1:27" ht="14.35" x14ac:dyDescent="0.5">
      <c r="A27" s="136" t="s">
        <v>47</v>
      </c>
      <c r="B27" s="188">
        <f>'P&amp;L Statement'!R33</f>
        <v>1000</v>
      </c>
      <c r="C27" s="137">
        <f>'P&amp;L Statement'!W33</f>
        <v>2000</v>
      </c>
      <c r="D27" s="137">
        <f>'P&amp;L Statement'!AB33</f>
        <v>2000</v>
      </c>
      <c r="E27" s="138">
        <f>'P&amp;L Statement'!AG33</f>
        <v>2000</v>
      </c>
      <c r="F27" s="138">
        <f>'P&amp;L Statement'!AL33</f>
        <v>2000</v>
      </c>
      <c r="L27"/>
      <c r="Q27"/>
      <c r="V27"/>
      <c r="AA27"/>
    </row>
    <row r="28" spans="1:27" ht="14.35" x14ac:dyDescent="0.5">
      <c r="A28" s="189" t="s">
        <v>49</v>
      </c>
      <c r="B28" s="190">
        <f>'P&amp;L Statement'!R35</f>
        <v>205.36444949772095</v>
      </c>
      <c r="C28" s="191">
        <f>'P&amp;L Statement'!W35</f>
        <v>1000</v>
      </c>
      <c r="D28" s="191">
        <f>'P&amp;L Statement'!AB35</f>
        <v>3319.0087605468743</v>
      </c>
      <c r="E28" s="192">
        <f>'P&amp;L Statement'!AG35</f>
        <v>8289.8201492578119</v>
      </c>
      <c r="F28" s="192">
        <f>'P&amp;L Statement'!AL35</f>
        <v>18972.086343292962</v>
      </c>
      <c r="L28"/>
      <c r="Q28"/>
      <c r="V28"/>
      <c r="AA28"/>
    </row>
    <row r="29" spans="1:27" ht="14.35" x14ac:dyDescent="0.5">
      <c r="A29" s="189" t="s">
        <v>50</v>
      </c>
      <c r="B29" s="190">
        <f>'P&amp;L Statement'!R36</f>
        <v>192</v>
      </c>
      <c r="C29" s="191">
        <f>'P&amp;L Statement'!W36</f>
        <v>192</v>
      </c>
      <c r="D29" s="191">
        <f>'P&amp;L Statement'!AB36</f>
        <v>192</v>
      </c>
      <c r="E29" s="192">
        <f>'P&amp;L Statement'!AG36</f>
        <v>192</v>
      </c>
      <c r="F29" s="192">
        <f>'P&amp;L Statement'!AL36</f>
        <v>192</v>
      </c>
      <c r="L29"/>
      <c r="Q29"/>
      <c r="V29"/>
      <c r="AA29"/>
    </row>
    <row r="30" spans="1:27" ht="14.35" x14ac:dyDescent="0.5">
      <c r="A30" s="189" t="s">
        <v>51</v>
      </c>
      <c r="B30" s="190">
        <f>'P&amp;L Statement'!R37</f>
        <v>0</v>
      </c>
      <c r="C30" s="191">
        <f>'P&amp;L Statement'!W37</f>
        <v>0</v>
      </c>
      <c r="D30" s="191">
        <f>'P&amp;L Statement'!AB37</f>
        <v>0</v>
      </c>
      <c r="E30" s="192">
        <f>'P&amp;L Statement'!AG37</f>
        <v>0</v>
      </c>
      <c r="F30" s="192">
        <f>'P&amp;L Statement'!AL37</f>
        <v>6000</v>
      </c>
      <c r="L30"/>
      <c r="Q30"/>
      <c r="V30"/>
      <c r="AA30"/>
    </row>
    <row r="31" spans="1:27" ht="14.35" x14ac:dyDescent="0.5">
      <c r="A31" s="60" t="str">
        <f>'P&amp;L Statement'!A38</f>
        <v>Total Oveheads</v>
      </c>
      <c r="B31" s="139">
        <f>'P&amp;L Statement'!R38</f>
        <v>47397.36444949772</v>
      </c>
      <c r="C31" s="140">
        <f>'P&amp;L Statement'!W38</f>
        <v>137992</v>
      </c>
      <c r="D31" s="141">
        <f>'P&amp;L Statement'!AB38</f>
        <v>236111.00876054689</v>
      </c>
      <c r="E31" s="141">
        <f>'P&amp;L Statement'!AG38</f>
        <v>356581.82014925784</v>
      </c>
      <c r="F31" s="141">
        <f>'P&amp;L Statement'!AL38</f>
        <v>536514.08634329296</v>
      </c>
      <c r="L31"/>
      <c r="Q31"/>
      <c r="V31"/>
      <c r="AA31"/>
    </row>
    <row r="32" spans="1:27" ht="14.35" x14ac:dyDescent="0.5">
      <c r="A32" s="60" t="str">
        <f>'P&amp;L Statement'!A39</f>
        <v>Profit/Loss before Tax</v>
      </c>
      <c r="B32" s="142">
        <f>'P&amp;L Statement'!R39</f>
        <v>-39523.985904392277</v>
      </c>
      <c r="C32" s="142">
        <f>'P&amp;L Statement'!W39</f>
        <v>-47255.746675781251</v>
      </c>
      <c r="D32" s="143">
        <f>'P&amp;L Statement'!AB39</f>
        <v>-7705.6173542968754</v>
      </c>
      <c r="E32" s="141">
        <f>'P&amp;L Statement'!AG39</f>
        <v>218286.58008511714</v>
      </c>
      <c r="F32" s="141">
        <f>'P&amp;L Statement'!AL39</f>
        <v>779619.2341957693</v>
      </c>
      <c r="L32"/>
      <c r="Q32"/>
      <c r="V32"/>
      <c r="AA32"/>
    </row>
    <row r="33" spans="1:27" ht="14.7" thickBot="1" x14ac:dyDescent="0.55000000000000004">
      <c r="A33" s="9" t="str">
        <f>'P&amp;L Statement'!A40</f>
        <v xml:space="preserve">Corporation Tax </v>
      </c>
      <c r="B33" s="144">
        <v>0</v>
      </c>
      <c r="C33" s="145">
        <f>'P&amp;L Statement'!W40</f>
        <v>0</v>
      </c>
      <c r="D33" s="146">
        <f>'P&amp;L Statement'!AB40</f>
        <v>0</v>
      </c>
      <c r="E33" s="141">
        <f>'P&amp;L Statement'!AG40</f>
        <v>41474.450216172256</v>
      </c>
      <c r="F33" s="141">
        <f>'P&amp;L Statement'!AL40</f>
        <v>148127.65449719617</v>
      </c>
      <c r="L33"/>
      <c r="Q33"/>
      <c r="V33"/>
      <c r="AA33"/>
    </row>
    <row r="34" spans="1:27" ht="14.7" thickBot="1" x14ac:dyDescent="0.55000000000000004">
      <c r="A34" s="41" t="str">
        <f>'[1]P&amp;L Statement'!A41</f>
        <v>Net Profit</v>
      </c>
      <c r="B34" s="147">
        <f>'P&amp;L Statement'!R41</f>
        <v>-39523.985904392277</v>
      </c>
      <c r="C34" s="147">
        <f>'P&amp;L Statement'!W41</f>
        <v>-47255.746675781251</v>
      </c>
      <c r="D34" s="148">
        <f>'P&amp;L Statement'!AB41</f>
        <v>-7705.6173542968754</v>
      </c>
      <c r="E34" s="141">
        <f>'P&amp;L Statement'!AG41</f>
        <v>176812.12986894487</v>
      </c>
      <c r="F34" s="141">
        <f>'P&amp;L Statement'!AL41</f>
        <v>631491.5796985731</v>
      </c>
      <c r="L34"/>
      <c r="Q34"/>
      <c r="V34"/>
      <c r="AA34"/>
    </row>
    <row r="37" spans="1:27" x14ac:dyDescent="0.55000000000000004">
      <c r="A37" s="131"/>
      <c r="B37" s="84" t="s">
        <v>0</v>
      </c>
      <c r="C37" s="83" t="s">
        <v>4</v>
      </c>
      <c r="I37" s="102"/>
      <c r="L37"/>
      <c r="N37" s="102"/>
      <c r="Q37"/>
      <c r="S37" s="102"/>
      <c r="V37"/>
      <c r="X37" s="102"/>
      <c r="AA37"/>
    </row>
    <row r="38" spans="1:27" x14ac:dyDescent="0.55000000000000004">
      <c r="A38" s="189" t="s">
        <v>37</v>
      </c>
      <c r="B38" s="190">
        <f t="shared" ref="B38:B46" si="5">B18</f>
        <v>40000</v>
      </c>
      <c r="C38" s="192">
        <f t="shared" ref="C38:C46" si="6">F18</f>
        <v>140000</v>
      </c>
      <c r="I38" s="102"/>
      <c r="L38"/>
      <c r="N38" s="102"/>
      <c r="Q38"/>
      <c r="S38" s="102"/>
      <c r="V38"/>
      <c r="X38" s="102"/>
      <c r="AA38"/>
    </row>
    <row r="39" spans="1:27" x14ac:dyDescent="0.55000000000000004">
      <c r="A39" s="189" t="s">
        <v>38</v>
      </c>
      <c r="B39" s="190">
        <f t="shared" si="5"/>
        <v>0</v>
      </c>
      <c r="C39" s="192">
        <f t="shared" si="6"/>
        <v>108000</v>
      </c>
      <c r="I39" s="102"/>
      <c r="L39"/>
      <c r="N39" s="102"/>
      <c r="Q39"/>
      <c r="S39" s="102"/>
      <c r="V39"/>
      <c r="X39" s="102"/>
      <c r="AA39"/>
    </row>
    <row r="40" spans="1:27" x14ac:dyDescent="0.55000000000000004">
      <c r="A40" s="136" t="s">
        <v>39</v>
      </c>
      <c r="B40" s="188">
        <f t="shared" si="5"/>
        <v>0</v>
      </c>
      <c r="C40" s="138">
        <f t="shared" si="6"/>
        <v>72000</v>
      </c>
      <c r="I40" s="102"/>
      <c r="L40"/>
      <c r="N40" s="102"/>
      <c r="Q40"/>
      <c r="S40" s="102"/>
      <c r="V40"/>
      <c r="X40" s="102"/>
      <c r="AA40"/>
    </row>
    <row r="41" spans="1:27" x14ac:dyDescent="0.55000000000000004">
      <c r="A41" s="189" t="s">
        <v>40</v>
      </c>
      <c r="B41" s="190">
        <f t="shared" si="5"/>
        <v>6000</v>
      </c>
      <c r="C41" s="192">
        <f t="shared" si="6"/>
        <v>66000</v>
      </c>
      <c r="I41" s="102"/>
      <c r="L41"/>
      <c r="N41" s="102"/>
      <c r="Q41"/>
      <c r="S41" s="102"/>
      <c r="V41"/>
      <c r="X41" s="102"/>
      <c r="AA41"/>
    </row>
    <row r="42" spans="1:27" x14ac:dyDescent="0.55000000000000004">
      <c r="A42" s="189" t="s">
        <v>119</v>
      </c>
      <c r="B42" s="190">
        <f t="shared" si="5"/>
        <v>0</v>
      </c>
      <c r="C42" s="192">
        <f t="shared" si="6"/>
        <v>72000</v>
      </c>
      <c r="I42" s="102"/>
      <c r="L42"/>
      <c r="N42" s="102"/>
      <c r="Q42"/>
      <c r="S42" s="102"/>
      <c r="V42"/>
      <c r="X42" s="102"/>
      <c r="AA42"/>
    </row>
    <row r="43" spans="1:27" x14ac:dyDescent="0.55000000000000004">
      <c r="A43" s="136" t="s">
        <v>41</v>
      </c>
      <c r="B43" s="188">
        <f t="shared" si="5"/>
        <v>0</v>
      </c>
      <c r="C43" s="138">
        <f t="shared" si="6"/>
        <v>20000</v>
      </c>
      <c r="I43" s="102"/>
      <c r="L43"/>
      <c r="N43" s="102"/>
      <c r="Q43"/>
      <c r="S43" s="102"/>
      <c r="V43"/>
      <c r="X43" s="102"/>
      <c r="AA43"/>
    </row>
    <row r="44" spans="1:27" x14ac:dyDescent="0.55000000000000004">
      <c r="A44" s="189" t="s">
        <v>43</v>
      </c>
      <c r="B44" s="190">
        <f t="shared" si="5"/>
        <v>0</v>
      </c>
      <c r="C44" s="192">
        <f t="shared" si="6"/>
        <v>12000</v>
      </c>
      <c r="I44" s="102"/>
      <c r="L44"/>
      <c r="N44" s="102"/>
      <c r="Q44"/>
      <c r="S44" s="102"/>
      <c r="V44"/>
      <c r="X44" s="102"/>
      <c r="AA44"/>
    </row>
    <row r="45" spans="1:27" x14ac:dyDescent="0.55000000000000004">
      <c r="A45" s="189" t="s">
        <v>44</v>
      </c>
      <c r="B45" s="190">
        <f t="shared" si="5"/>
        <v>0</v>
      </c>
      <c r="C45" s="192">
        <f t="shared" si="6"/>
        <v>16050</v>
      </c>
      <c r="I45" s="102"/>
      <c r="L45"/>
      <c r="N45" s="102"/>
      <c r="Q45"/>
      <c r="S45" s="102"/>
      <c r="V45"/>
      <c r="X45" s="102"/>
      <c r="AA45"/>
    </row>
    <row r="46" spans="1:27" x14ac:dyDescent="0.55000000000000004">
      <c r="A46" s="189" t="s">
        <v>46</v>
      </c>
      <c r="B46" s="190">
        <f t="shared" si="5"/>
        <v>0</v>
      </c>
      <c r="C46" s="192">
        <f t="shared" si="6"/>
        <v>3300</v>
      </c>
      <c r="I46" s="102"/>
      <c r="L46"/>
      <c r="N46" s="102"/>
      <c r="Q46"/>
      <c r="S46" s="102"/>
      <c r="V46"/>
      <c r="X46" s="102"/>
      <c r="AA46"/>
    </row>
    <row r="47" spans="1:27" x14ac:dyDescent="0.55000000000000004">
      <c r="A47" s="136" t="s">
        <v>47</v>
      </c>
      <c r="B47" s="188">
        <f t="shared" ref="B47:B50" si="7">B27</f>
        <v>1000</v>
      </c>
      <c r="C47" s="138">
        <f t="shared" ref="C47:C50" si="8">F27</f>
        <v>2000</v>
      </c>
      <c r="I47" s="102"/>
      <c r="L47"/>
      <c r="N47" s="102"/>
      <c r="Q47"/>
      <c r="S47" s="102"/>
      <c r="V47"/>
      <c r="X47" s="102"/>
      <c r="AA47"/>
    </row>
    <row r="48" spans="1:27" x14ac:dyDescent="0.55000000000000004">
      <c r="A48" s="189" t="s">
        <v>49</v>
      </c>
      <c r="B48" s="190">
        <f t="shared" si="7"/>
        <v>205.36444949772095</v>
      </c>
      <c r="C48" s="192">
        <f t="shared" si="8"/>
        <v>18972.086343292962</v>
      </c>
      <c r="I48" s="102"/>
      <c r="L48"/>
      <c r="N48" s="102"/>
      <c r="Q48"/>
      <c r="S48" s="102"/>
      <c r="V48"/>
      <c r="X48" s="102"/>
      <c r="AA48"/>
    </row>
    <row r="49" spans="1:27" x14ac:dyDescent="0.55000000000000004">
      <c r="A49" s="189" t="s">
        <v>50</v>
      </c>
      <c r="B49" s="190">
        <f t="shared" si="7"/>
        <v>192</v>
      </c>
      <c r="C49" s="192">
        <f t="shared" si="8"/>
        <v>192</v>
      </c>
      <c r="I49" s="102"/>
      <c r="L49"/>
      <c r="N49" s="102"/>
      <c r="Q49"/>
      <c r="S49" s="102"/>
      <c r="V49"/>
      <c r="X49" s="102"/>
      <c r="AA49"/>
    </row>
    <row r="50" spans="1:27" x14ac:dyDescent="0.55000000000000004">
      <c r="A50" s="189" t="s">
        <v>51</v>
      </c>
      <c r="B50" s="190">
        <f t="shared" si="7"/>
        <v>0</v>
      </c>
      <c r="C50" s="192">
        <f t="shared" si="8"/>
        <v>6000</v>
      </c>
      <c r="I50" s="102"/>
      <c r="L50"/>
      <c r="N50" s="102"/>
      <c r="Q50"/>
      <c r="S50" s="102"/>
      <c r="V50"/>
      <c r="X50" s="102"/>
      <c r="AA50"/>
    </row>
    <row r="51" spans="1:27" x14ac:dyDescent="0.55000000000000004">
      <c r="I51" s="102"/>
      <c r="L51"/>
      <c r="N51" s="102"/>
      <c r="Q51"/>
      <c r="S51" s="102"/>
      <c r="V51"/>
      <c r="X51" s="102"/>
      <c r="AA51"/>
    </row>
    <row r="52" spans="1:27" x14ac:dyDescent="0.55000000000000004">
      <c r="I52" s="102"/>
      <c r="L52"/>
      <c r="N52" s="102"/>
      <c r="Q52"/>
      <c r="S52" s="102"/>
      <c r="V52"/>
      <c r="X52" s="102"/>
      <c r="AA52"/>
    </row>
    <row r="53" spans="1:27" x14ac:dyDescent="0.55000000000000004">
      <c r="I53" s="102"/>
      <c r="L53"/>
      <c r="N53" s="102"/>
      <c r="Q53"/>
      <c r="S53" s="102"/>
      <c r="V53"/>
      <c r="X53" s="102"/>
      <c r="AA53"/>
    </row>
  </sheetData>
  <pageMargins left="0.7" right="0.7" top="0.75" bottom="0.75" header="0.3" footer="0.3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87"/>
  <sheetViews>
    <sheetView zoomScale="55" zoomScaleNormal="55" workbookViewId="0">
      <pane xSplit="1" topLeftCell="B1" activePane="topRight" state="frozen"/>
      <selection pane="topRight" activeCell="AF8" sqref="AF8"/>
    </sheetView>
  </sheetViews>
  <sheetFormatPr defaultColWidth="11.46875" defaultRowHeight="14.35" x14ac:dyDescent="0.5"/>
  <cols>
    <col min="1" max="1" width="32.17578125" bestFit="1" customWidth="1"/>
    <col min="2" max="3" width="12.9375" customWidth="1"/>
    <col min="4" max="5" width="12.1171875" customWidth="1"/>
    <col min="6" max="6" width="11.9375" bestFit="1" customWidth="1"/>
    <col min="7" max="7" width="11.87890625" bestFit="1" customWidth="1"/>
    <col min="8" max="14" width="11.64453125" customWidth="1"/>
    <col min="15" max="17" width="12.9375" bestFit="1" customWidth="1"/>
    <col min="18" max="19" width="12.9375" customWidth="1"/>
    <col min="20" max="20" width="13.41015625" bestFit="1" customWidth="1"/>
    <col min="21" max="22" width="13" bestFit="1" customWidth="1"/>
    <col min="23" max="24" width="12.9375" bestFit="1" customWidth="1"/>
    <col min="25" max="25" width="14.234375" bestFit="1" customWidth="1"/>
    <col min="26" max="28" width="12.9375" customWidth="1"/>
    <col min="29" max="29" width="14.234375" customWidth="1"/>
    <col min="30" max="35" width="14.234375" bestFit="1" customWidth="1"/>
    <col min="36" max="37" width="13.41015625" bestFit="1" customWidth="1"/>
    <col min="38" max="38" width="13.64453125" bestFit="1" customWidth="1"/>
  </cols>
  <sheetData>
    <row r="1" spans="1:42" s="1" customFormat="1" ht="15.7" x14ac:dyDescent="0.5">
      <c r="A1" s="221"/>
      <c r="B1" s="224" t="s">
        <v>71</v>
      </c>
      <c r="C1" s="225"/>
      <c r="D1" s="226"/>
      <c r="E1" s="95"/>
      <c r="F1" s="218" t="s">
        <v>0</v>
      </c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20"/>
      <c r="S1" s="218" t="s">
        <v>1</v>
      </c>
      <c r="T1" s="219"/>
      <c r="U1" s="219"/>
      <c r="V1" s="219"/>
      <c r="W1" s="220"/>
      <c r="X1" s="218" t="s">
        <v>2</v>
      </c>
      <c r="Y1" s="219"/>
      <c r="Z1" s="219"/>
      <c r="AA1" s="219"/>
      <c r="AB1" s="220"/>
      <c r="AC1" s="218" t="s">
        <v>3</v>
      </c>
      <c r="AD1" s="219"/>
      <c r="AE1" s="219"/>
      <c r="AF1" s="219"/>
      <c r="AG1" s="220"/>
      <c r="AH1" s="215" t="s">
        <v>4</v>
      </c>
      <c r="AI1" s="216"/>
      <c r="AJ1" s="216"/>
      <c r="AK1" s="216"/>
      <c r="AL1" s="217"/>
    </row>
    <row r="2" spans="1:42" s="1" customFormat="1" ht="15.7" x14ac:dyDescent="0.5">
      <c r="A2" s="222"/>
      <c r="B2" s="227" t="s">
        <v>5</v>
      </c>
      <c r="C2" s="228"/>
      <c r="D2" s="229"/>
      <c r="E2" s="96"/>
      <c r="F2" s="218" t="s">
        <v>5</v>
      </c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20"/>
      <c r="S2" s="218" t="s">
        <v>6</v>
      </c>
      <c r="T2" s="219"/>
      <c r="U2" s="219"/>
      <c r="V2" s="219"/>
      <c r="W2" s="220"/>
      <c r="X2" s="218" t="s">
        <v>6</v>
      </c>
      <c r="Y2" s="219"/>
      <c r="Z2" s="219"/>
      <c r="AA2" s="219"/>
      <c r="AB2" s="220"/>
      <c r="AC2" s="218" t="s">
        <v>6</v>
      </c>
      <c r="AD2" s="219"/>
      <c r="AE2" s="219"/>
      <c r="AF2" s="219"/>
      <c r="AG2" s="220"/>
      <c r="AH2" s="215" t="s">
        <v>6</v>
      </c>
      <c r="AI2" s="216"/>
      <c r="AJ2" s="216"/>
      <c r="AK2" s="216"/>
      <c r="AL2" s="217"/>
    </row>
    <row r="3" spans="1:42" s="68" customFormat="1" x14ac:dyDescent="0.5">
      <c r="A3" s="223"/>
      <c r="B3" s="2" t="s">
        <v>7</v>
      </c>
      <c r="C3" s="2" t="s">
        <v>8</v>
      </c>
      <c r="D3" s="86" t="s">
        <v>9</v>
      </c>
      <c r="E3" s="98" t="s">
        <v>83</v>
      </c>
      <c r="F3" s="3" t="s">
        <v>77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199" t="s">
        <v>19</v>
      </c>
      <c r="S3" s="2" t="s">
        <v>20</v>
      </c>
      <c r="T3" s="3" t="s">
        <v>21</v>
      </c>
      <c r="U3" s="3" t="s">
        <v>22</v>
      </c>
      <c r="V3" s="3" t="s">
        <v>23</v>
      </c>
      <c r="W3" s="4" t="s">
        <v>19</v>
      </c>
      <c r="X3" s="2" t="s">
        <v>20</v>
      </c>
      <c r="Y3" s="3" t="s">
        <v>21</v>
      </c>
      <c r="Z3" s="3" t="s">
        <v>22</v>
      </c>
      <c r="AA3" s="3" t="s">
        <v>23</v>
      </c>
      <c r="AB3" s="4" t="s">
        <v>19</v>
      </c>
      <c r="AC3" s="2" t="s">
        <v>20</v>
      </c>
      <c r="AD3" s="3" t="s">
        <v>21</v>
      </c>
      <c r="AE3" s="3" t="s">
        <v>22</v>
      </c>
      <c r="AF3" s="3" t="s">
        <v>23</v>
      </c>
      <c r="AG3" s="4" t="s">
        <v>19</v>
      </c>
      <c r="AH3" s="2" t="s">
        <v>20</v>
      </c>
      <c r="AI3" s="3" t="s">
        <v>21</v>
      </c>
      <c r="AJ3" s="3" t="s">
        <v>22</v>
      </c>
      <c r="AK3" s="3" t="s">
        <v>23</v>
      </c>
      <c r="AL3" s="4" t="s">
        <v>19</v>
      </c>
    </row>
    <row r="4" spans="1:42" s="183" customFormat="1" x14ac:dyDescent="0.4">
      <c r="A4" s="175" t="s">
        <v>116</v>
      </c>
      <c r="B4" s="176"/>
      <c r="C4" s="176"/>
      <c r="D4" s="176"/>
      <c r="E4" s="177"/>
      <c r="F4" s="178">
        <v>40000</v>
      </c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80"/>
      <c r="R4" s="181"/>
      <c r="S4" s="178">
        <v>100000</v>
      </c>
      <c r="T4" s="176"/>
      <c r="U4" s="176"/>
      <c r="V4" s="180"/>
      <c r="W4" s="179"/>
      <c r="X4" s="176"/>
      <c r="Y4" s="176"/>
      <c r="Z4" s="176"/>
      <c r="AA4" s="180"/>
      <c r="AB4" s="179"/>
      <c r="AC4" s="176"/>
      <c r="AD4" s="176"/>
      <c r="AE4" s="176"/>
      <c r="AF4" s="180"/>
      <c r="AG4" s="182"/>
      <c r="AH4" s="176"/>
      <c r="AI4" s="176"/>
      <c r="AJ4" s="176"/>
      <c r="AK4" s="180"/>
      <c r="AL4" s="182"/>
    </row>
    <row r="5" spans="1:42" x14ac:dyDescent="0.5">
      <c r="A5" s="5" t="s">
        <v>24</v>
      </c>
      <c r="B5" s="6"/>
      <c r="C5" s="6"/>
      <c r="D5" s="6"/>
      <c r="E5" s="6"/>
      <c r="F5" s="87"/>
      <c r="G5" s="6"/>
      <c r="H5" s="6"/>
      <c r="I5" s="6"/>
      <c r="J5" s="6"/>
      <c r="K5" s="6"/>
      <c r="L5" s="6"/>
      <c r="M5" s="6"/>
      <c r="N5" s="6"/>
      <c r="O5" s="6"/>
      <c r="P5" s="67"/>
      <c r="Q5" s="7"/>
      <c r="R5" s="7"/>
      <c r="S5" s="6"/>
      <c r="V5" s="8"/>
      <c r="W5" s="71"/>
      <c r="AA5" s="8"/>
      <c r="AB5" s="71"/>
      <c r="AF5" s="8"/>
      <c r="AG5" s="81"/>
      <c r="AK5" s="8"/>
      <c r="AL5" s="81"/>
    </row>
    <row r="6" spans="1:42" x14ac:dyDescent="0.5">
      <c r="A6" s="9" t="s">
        <v>75</v>
      </c>
      <c r="B6" s="61">
        <v>4</v>
      </c>
      <c r="C6" s="61">
        <v>12</v>
      </c>
      <c r="D6" s="61">
        <v>20</v>
      </c>
      <c r="E6" s="61">
        <f>SUM(B6:D6)</f>
        <v>36</v>
      </c>
      <c r="F6" s="88">
        <f>$R$6*B52</f>
        <v>10.042331249256565</v>
      </c>
      <c r="G6" s="10">
        <f>$R$6*C52</f>
        <v>14.346187498937951</v>
      </c>
      <c r="H6" s="10">
        <f>$R$6*D52</f>
        <v>24.081100444645845</v>
      </c>
      <c r="I6" s="10">
        <f t="shared" ref="I6:Q6" si="0">$R$6*F52</f>
        <v>38.119869640035127</v>
      </c>
      <c r="J6" s="10">
        <f t="shared" si="0"/>
        <v>47.957255353592579</v>
      </c>
      <c r="K6" s="10">
        <f t="shared" si="0"/>
        <v>64.250425441672107</v>
      </c>
      <c r="L6" s="10">
        <f t="shared" si="0"/>
        <v>96.426874546432927</v>
      </c>
      <c r="M6" s="10">
        <f t="shared" si="0"/>
        <v>127.78354150839731</v>
      </c>
      <c r="N6" s="10">
        <f t="shared" si="0"/>
        <v>178.91745266532615</v>
      </c>
      <c r="O6" s="10">
        <f t="shared" si="0"/>
        <v>243.47529641054695</v>
      </c>
      <c r="P6" s="10">
        <f t="shared" si="0"/>
        <v>301.78230131694471</v>
      </c>
      <c r="Q6" s="11">
        <f t="shared" si="0"/>
        <v>375.05033032937786</v>
      </c>
      <c r="R6" s="11">
        <f>R7*1.5</f>
        <v>375</v>
      </c>
      <c r="S6" s="12">
        <f>$W$6*P52</f>
        <v>269.53125</v>
      </c>
      <c r="T6" s="12">
        <f>$W$6*Q52</f>
        <v>309.375</v>
      </c>
      <c r="U6" s="12">
        <f>$W$6*R52</f>
        <v>365.625</v>
      </c>
      <c r="V6" s="11">
        <f>$W$6*S52</f>
        <v>468.75</v>
      </c>
      <c r="W6" s="72">
        <f>W7*1.5</f>
        <v>468.75</v>
      </c>
      <c r="X6" s="12">
        <f>$AB$6*P52</f>
        <v>619.921875</v>
      </c>
      <c r="Y6" s="12">
        <f>$AB$6*Q52</f>
        <v>711.5625</v>
      </c>
      <c r="Z6" s="12">
        <f>$AB$6*R52</f>
        <v>840.9375</v>
      </c>
      <c r="AA6" s="11">
        <f>$AB$6*S52</f>
        <v>1078.125</v>
      </c>
      <c r="AB6" s="72">
        <f>AB7*1.5</f>
        <v>1078.125</v>
      </c>
      <c r="AC6" s="12">
        <f>$AG$6*P52</f>
        <v>1425.8203124999995</v>
      </c>
      <c r="AD6" s="12">
        <f>$AG$6*Q52</f>
        <v>1636.5937499999998</v>
      </c>
      <c r="AE6" s="12">
        <f>$AG$6*R52</f>
        <v>1934.1562499999998</v>
      </c>
      <c r="AF6" s="11">
        <f>$AG$6*S52</f>
        <v>2479.6874999999995</v>
      </c>
      <c r="AG6" s="72">
        <f>AG7*1.5</f>
        <v>2479.6874999999995</v>
      </c>
      <c r="AH6" s="12">
        <f>$AL$6*P52</f>
        <v>3279.3867187499986</v>
      </c>
      <c r="AI6" s="12">
        <f>$AL$6*Q52</f>
        <v>3764.1656249999992</v>
      </c>
      <c r="AJ6" s="12">
        <f>$AL$6*R52</f>
        <v>4448.5593749999989</v>
      </c>
      <c r="AK6" s="11">
        <f>$AL$6*S52</f>
        <v>5703.2812499999982</v>
      </c>
      <c r="AL6" s="72">
        <f>AL7*1.5</f>
        <v>5703.2812499999982</v>
      </c>
    </row>
    <row r="7" spans="1:42" x14ac:dyDescent="0.5">
      <c r="A7" s="9" t="s">
        <v>25</v>
      </c>
      <c r="B7" s="10">
        <v>0</v>
      </c>
      <c r="C7" s="10">
        <v>0</v>
      </c>
      <c r="D7" s="10">
        <v>0</v>
      </c>
      <c r="E7" s="10">
        <f t="shared" ref="E7:E19" si="1">SUM(B7:D7)</f>
        <v>0</v>
      </c>
      <c r="F7" s="88">
        <f>$R$7*B52</f>
        <v>6.6948874995043761</v>
      </c>
      <c r="G7" s="10">
        <f>$R$7*C52</f>
        <v>9.5641249992919679</v>
      </c>
      <c r="H7" s="10">
        <f>$R$7*D52</f>
        <v>16.054066963097227</v>
      </c>
      <c r="I7" s="10">
        <f t="shared" ref="I7:Q7" si="2">$R$7*F52</f>
        <v>25.413246426690083</v>
      </c>
      <c r="J7" s="10">
        <f t="shared" si="2"/>
        <v>31.971503569061721</v>
      </c>
      <c r="K7" s="10">
        <f t="shared" si="2"/>
        <v>42.833616961114735</v>
      </c>
      <c r="L7" s="10">
        <f t="shared" si="2"/>
        <v>64.284583030955289</v>
      </c>
      <c r="M7" s="10">
        <f t="shared" si="2"/>
        <v>85.189027672264871</v>
      </c>
      <c r="N7" s="10">
        <f t="shared" si="2"/>
        <v>119.27830177688411</v>
      </c>
      <c r="O7" s="10">
        <f t="shared" si="2"/>
        <v>162.31686427369795</v>
      </c>
      <c r="P7" s="10">
        <f t="shared" si="2"/>
        <v>201.18820087796317</v>
      </c>
      <c r="Q7" s="11">
        <f t="shared" si="2"/>
        <v>250.03355355291856</v>
      </c>
      <c r="R7" s="11">
        <v>250</v>
      </c>
      <c r="S7" s="12">
        <f>$W$7*P52</f>
        <v>179.6875</v>
      </c>
      <c r="T7" s="12">
        <f>$W$7*Q52</f>
        <v>206.25</v>
      </c>
      <c r="U7" s="12">
        <f>$W$7*R52</f>
        <v>243.75</v>
      </c>
      <c r="V7" s="11">
        <f>$W$7*S52</f>
        <v>312.5</v>
      </c>
      <c r="W7" s="72">
        <f>R7*1.25</f>
        <v>312.5</v>
      </c>
      <c r="X7" s="12">
        <f>$AB$7*P52</f>
        <v>413.28124999999994</v>
      </c>
      <c r="Y7" s="12">
        <f>$AB$7*Q52</f>
        <v>474.375</v>
      </c>
      <c r="Z7" s="12">
        <f>$AB$7*R52</f>
        <v>560.625</v>
      </c>
      <c r="AA7" s="11">
        <f>$AB$7*S52</f>
        <v>718.75</v>
      </c>
      <c r="AB7" s="82">
        <f>W7*2.3</f>
        <v>718.75</v>
      </c>
      <c r="AC7" s="12">
        <f>$AG$7*P52</f>
        <v>950.54687499999977</v>
      </c>
      <c r="AD7" s="12">
        <f>$AG$7*Q52</f>
        <v>1091.0625</v>
      </c>
      <c r="AE7" s="12">
        <f>$AG$7*R52</f>
        <v>1289.4374999999998</v>
      </c>
      <c r="AF7" s="11">
        <f>$AG$7*S52</f>
        <v>1653.1249999999998</v>
      </c>
      <c r="AG7" s="82">
        <f>AB7*2.3</f>
        <v>1653.1249999999998</v>
      </c>
      <c r="AH7" s="12">
        <f>$AL$7*P52</f>
        <v>2186.2578124999991</v>
      </c>
      <c r="AI7" s="12">
        <f>$AL$7*Q52</f>
        <v>2509.4437499999995</v>
      </c>
      <c r="AJ7" s="12">
        <f>$AL$7*R52</f>
        <v>2965.7062499999993</v>
      </c>
      <c r="AK7" s="11">
        <f>$AL$7*S52</f>
        <v>3802.1874999999991</v>
      </c>
      <c r="AL7" s="82">
        <f>AG7*2.3</f>
        <v>3802.1874999999991</v>
      </c>
    </row>
    <row r="8" spans="1:42" x14ac:dyDescent="0.5">
      <c r="A8" s="5" t="s">
        <v>26</v>
      </c>
      <c r="B8" s="6"/>
      <c r="C8" s="13"/>
      <c r="D8" s="13"/>
      <c r="E8" s="13"/>
      <c r="F8" s="89"/>
      <c r="G8" s="13"/>
      <c r="H8" s="13"/>
      <c r="I8" s="13"/>
      <c r="J8" s="13"/>
      <c r="K8" s="13"/>
      <c r="L8" s="13"/>
      <c r="M8" s="13"/>
      <c r="N8" s="13"/>
      <c r="O8" s="13"/>
      <c r="P8" s="13"/>
      <c r="Q8" s="207"/>
      <c r="R8" s="7"/>
      <c r="S8" s="6"/>
      <c r="V8" s="8"/>
      <c r="W8" s="73"/>
      <c r="AA8" s="8"/>
      <c r="AB8" s="71"/>
      <c r="AF8" s="8"/>
      <c r="AG8" s="71"/>
      <c r="AK8" s="8"/>
      <c r="AL8" s="71"/>
    </row>
    <row r="9" spans="1:42" x14ac:dyDescent="0.5">
      <c r="A9" s="9" t="s">
        <v>87</v>
      </c>
      <c r="B9" s="6"/>
      <c r="C9" s="13"/>
      <c r="D9" s="13"/>
      <c r="E9" s="13"/>
      <c r="F9" s="89"/>
      <c r="G9" s="13"/>
      <c r="H9" s="13"/>
      <c r="I9" s="13"/>
      <c r="J9" s="13"/>
      <c r="K9" s="13"/>
      <c r="L9" s="13"/>
      <c r="M9" s="13"/>
      <c r="N9" s="13"/>
      <c r="O9" s="13"/>
      <c r="P9" s="13"/>
      <c r="Q9" s="207"/>
      <c r="R9" s="7"/>
      <c r="S9" s="6"/>
      <c r="V9" s="8"/>
      <c r="W9" s="73"/>
      <c r="X9" s="15"/>
      <c r="Y9" s="15">
        <f>1200*5</f>
        <v>6000</v>
      </c>
      <c r="Z9" s="15">
        <f t="shared" ref="Z9:AA9" si="3">1200*5</f>
        <v>6000</v>
      </c>
      <c r="AA9" s="15">
        <f t="shared" si="3"/>
        <v>6000</v>
      </c>
      <c r="AB9" s="73">
        <f>SUM(X9:AA9)</f>
        <v>18000</v>
      </c>
      <c r="AC9" s="101">
        <f>5*4500</f>
        <v>22500</v>
      </c>
      <c r="AD9" s="101">
        <f t="shared" ref="AD9:AF9" si="4">5*4500</f>
        <v>22500</v>
      </c>
      <c r="AE9" s="101">
        <f t="shared" si="4"/>
        <v>22500</v>
      </c>
      <c r="AF9" s="101">
        <f t="shared" si="4"/>
        <v>22500</v>
      </c>
      <c r="AG9" s="73">
        <f>SUM(AC9:AF9)</f>
        <v>90000</v>
      </c>
      <c r="AH9" s="101">
        <f>5*10000</f>
        <v>50000</v>
      </c>
      <c r="AI9" s="101">
        <f t="shared" ref="AI9:AK9" si="5">5*10000</f>
        <v>50000</v>
      </c>
      <c r="AJ9" s="101">
        <f t="shared" si="5"/>
        <v>50000</v>
      </c>
      <c r="AK9" s="101">
        <f t="shared" si="5"/>
        <v>50000</v>
      </c>
      <c r="AL9" s="73">
        <f>SUM(AH9:AK9)</f>
        <v>200000</v>
      </c>
    </row>
    <row r="10" spans="1:42" x14ac:dyDescent="0.5">
      <c r="A10" s="9" t="s">
        <v>27</v>
      </c>
      <c r="B10" s="15">
        <v>0</v>
      </c>
      <c r="C10" s="15">
        <v>0</v>
      </c>
      <c r="D10" s="15">
        <v>0</v>
      </c>
      <c r="E10" s="15">
        <f t="shared" si="1"/>
        <v>0</v>
      </c>
      <c r="F10" s="90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4">
        <v>0</v>
      </c>
      <c r="R10" s="14">
        <f>SUM(F10:Q10)</f>
        <v>0</v>
      </c>
      <c r="S10" s="15">
        <f>SUM(S6:S7)*$B$57</f>
        <v>31.445312500000004</v>
      </c>
      <c r="T10" s="15">
        <f>SUM(T6:T7)*$B$57</f>
        <v>36.09375</v>
      </c>
      <c r="U10" s="15">
        <f>SUM(U6:U7)*$B$57</f>
        <v>42.656250000000007</v>
      </c>
      <c r="V10" s="14">
        <f>SUM(V6:V7)*$B$57</f>
        <v>54.687500000000007</v>
      </c>
      <c r="W10" s="73">
        <f>SUM(S10:V10)</f>
        <v>164.8828125</v>
      </c>
      <c r="X10" s="15">
        <f>SUM(X6:X7)*$B$57</f>
        <v>72.32421875</v>
      </c>
      <c r="Y10" s="15">
        <f>SUM(Y6:Y7)*$B$57</f>
        <v>83.015625000000014</v>
      </c>
      <c r="Z10" s="15">
        <f>SUM(Z6:Z7)*$B$57</f>
        <v>98.109375000000014</v>
      </c>
      <c r="AA10" s="14">
        <f>SUM(AA6:AA7)*$B$57</f>
        <v>125.78125000000001</v>
      </c>
      <c r="AB10" s="73">
        <f>SUM(X10:AA10)</f>
        <v>379.23046875</v>
      </c>
      <c r="AC10" s="15">
        <f>SUM(AC6:AC7)*$B$57</f>
        <v>166.34570312499994</v>
      </c>
      <c r="AD10" s="15">
        <f>SUM(AD6:AD7)*$B$57</f>
        <v>190.93593750000002</v>
      </c>
      <c r="AE10" s="15">
        <f>SUM(AE6:AE7)*$B$57</f>
        <v>225.65156249999998</v>
      </c>
      <c r="AF10" s="14">
        <f>SUM(AF6:AF7)*$B$57</f>
        <v>289.29687499999994</v>
      </c>
      <c r="AG10" s="73">
        <f>SUM(AC10:AF10)</f>
        <v>872.23007812499986</v>
      </c>
      <c r="AH10" s="15">
        <f>SUM(AH6:AH7)*$B$57</f>
        <v>382.59511718749991</v>
      </c>
      <c r="AI10" s="15">
        <f>SUM(AI6:AI7)*$B$57</f>
        <v>439.15265624999989</v>
      </c>
      <c r="AJ10" s="15">
        <f>SUM(AJ6:AJ7)*$B$57</f>
        <v>518.99859374999994</v>
      </c>
      <c r="AK10" s="14">
        <f>SUM(AK6:AK7)*$B$57</f>
        <v>665.38281249999977</v>
      </c>
      <c r="AL10" s="73">
        <f>SUM(AH10:AK10)</f>
        <v>2006.1291796874996</v>
      </c>
    </row>
    <row r="11" spans="1:42" x14ac:dyDescent="0.5">
      <c r="A11" s="9" t="s">
        <v>72</v>
      </c>
      <c r="B11" s="15">
        <f>B7*$B60</f>
        <v>0</v>
      </c>
      <c r="C11" s="15">
        <f>C7*$B60</f>
        <v>0</v>
      </c>
      <c r="D11" s="15">
        <f>D7*$B60</f>
        <v>0</v>
      </c>
      <c r="E11" s="15">
        <f t="shared" si="1"/>
        <v>0</v>
      </c>
      <c r="F11" s="90">
        <f t="shared" ref="F11:Q11" si="6">F7*$B60</f>
        <v>100.35636361757059</v>
      </c>
      <c r="G11" s="15">
        <f t="shared" si="6"/>
        <v>143.36623373938659</v>
      </c>
      <c r="H11" s="15">
        <f t="shared" si="6"/>
        <v>240.65046377682745</v>
      </c>
      <c r="I11" s="15">
        <f t="shared" si="6"/>
        <v>380.94456393608436</v>
      </c>
      <c r="J11" s="15">
        <f t="shared" si="6"/>
        <v>479.25283850023521</v>
      </c>
      <c r="K11" s="15">
        <f t="shared" si="6"/>
        <v>642.07591824710994</v>
      </c>
      <c r="L11" s="15">
        <f t="shared" si="6"/>
        <v>963.62589963401979</v>
      </c>
      <c r="M11" s="15">
        <f t="shared" si="6"/>
        <v>1276.9835248072504</v>
      </c>
      <c r="N11" s="15">
        <f t="shared" si="6"/>
        <v>1787.9817436354929</v>
      </c>
      <c r="O11" s="15">
        <f t="shared" si="6"/>
        <v>2433.1297954627321</v>
      </c>
      <c r="P11" s="15">
        <f t="shared" si="6"/>
        <v>3015.8111311606681</v>
      </c>
      <c r="Q11" s="14">
        <f t="shared" si="6"/>
        <v>3748.0029677582493</v>
      </c>
      <c r="R11" s="14">
        <f>SUM(F11:Q11)</f>
        <v>15212.181444275628</v>
      </c>
      <c r="S11" s="15">
        <f>S7*$B65</f>
        <v>18861.796875</v>
      </c>
      <c r="T11" s="15">
        <f>T7*$B65</f>
        <v>21650.0625</v>
      </c>
      <c r="U11" s="15">
        <f>U7*$B65</f>
        <v>25586.4375</v>
      </c>
      <c r="V11" s="14">
        <f>V7*$B65</f>
        <v>32803.125</v>
      </c>
      <c r="W11" s="73">
        <f>SUM(S11:V11)</f>
        <v>98901.421875</v>
      </c>
      <c r="X11" s="15">
        <f>X7*$B65</f>
        <v>43382.132812499993</v>
      </c>
      <c r="Y11" s="15">
        <f>Y7*$B65</f>
        <v>49795.143750000003</v>
      </c>
      <c r="Z11" s="15">
        <f>Z7*$B65</f>
        <v>58848.806250000001</v>
      </c>
      <c r="AA11" s="14">
        <f>AA7*$B65</f>
        <v>75447.1875</v>
      </c>
      <c r="AB11" s="73">
        <f>SUM(X11:AA11)</f>
        <v>227473.27031249998</v>
      </c>
      <c r="AC11" s="15">
        <f>AC7*$B65</f>
        <v>99778.905468749974</v>
      </c>
      <c r="AD11" s="15">
        <f>AD7*$B65</f>
        <v>114528.830625</v>
      </c>
      <c r="AE11" s="15">
        <f>AE7*$B65</f>
        <v>135352.25437499996</v>
      </c>
      <c r="AF11" s="14">
        <f>AF7*$B65</f>
        <v>173528.53124999997</v>
      </c>
      <c r="AG11" s="73">
        <f>SUM(AC11:AF11)</f>
        <v>523188.52171874989</v>
      </c>
      <c r="AH11" s="15">
        <f>AH7*$B65</f>
        <v>229491.48257812491</v>
      </c>
      <c r="AI11" s="15">
        <f>AI7*$B65</f>
        <v>263416.31043749995</v>
      </c>
      <c r="AJ11" s="15">
        <f>AJ7*$B65</f>
        <v>311310.18506249989</v>
      </c>
      <c r="AK11" s="14">
        <f>AK7*$B65</f>
        <v>399115.6218749999</v>
      </c>
      <c r="AL11" s="73">
        <f>SUM(AH11:AK11)</f>
        <v>1203333.5999531248</v>
      </c>
      <c r="AM11" s="80"/>
      <c r="AP11" s="16"/>
    </row>
    <row r="12" spans="1:42" x14ac:dyDescent="0.5">
      <c r="A12" s="17" t="s">
        <v>28</v>
      </c>
      <c r="B12" s="18">
        <f>SUM(B10:B11)</f>
        <v>0</v>
      </c>
      <c r="C12" s="18">
        <f t="shared" ref="C12:V12" si="7">SUM(C10:C11)</f>
        <v>0</v>
      </c>
      <c r="D12" s="18">
        <f t="shared" si="7"/>
        <v>0</v>
      </c>
      <c r="E12" s="18">
        <f t="shared" si="1"/>
        <v>0</v>
      </c>
      <c r="F12" s="91">
        <f t="shared" si="7"/>
        <v>100.35636361757059</v>
      </c>
      <c r="G12" s="18">
        <f t="shared" si="7"/>
        <v>143.36623373938659</v>
      </c>
      <c r="H12" s="18">
        <f t="shared" si="7"/>
        <v>240.65046377682745</v>
      </c>
      <c r="I12" s="18">
        <f t="shared" si="7"/>
        <v>380.94456393608436</v>
      </c>
      <c r="J12" s="18">
        <f t="shared" si="7"/>
        <v>479.25283850023521</v>
      </c>
      <c r="K12" s="18">
        <f t="shared" si="7"/>
        <v>642.07591824710994</v>
      </c>
      <c r="L12" s="18">
        <f t="shared" si="7"/>
        <v>963.62589963401979</v>
      </c>
      <c r="M12" s="18">
        <f t="shared" si="7"/>
        <v>1276.9835248072504</v>
      </c>
      <c r="N12" s="18">
        <f t="shared" si="7"/>
        <v>1787.9817436354929</v>
      </c>
      <c r="O12" s="18">
        <f t="shared" si="7"/>
        <v>2433.1297954627321</v>
      </c>
      <c r="P12" s="18">
        <f t="shared" si="7"/>
        <v>3015.8111311606681</v>
      </c>
      <c r="Q12" s="19">
        <f t="shared" si="7"/>
        <v>3748.0029677582493</v>
      </c>
      <c r="R12" s="19">
        <f>SUM(F12:Q12)</f>
        <v>15212.181444275628</v>
      </c>
      <c r="S12" s="18">
        <f t="shared" si="7"/>
        <v>18893.2421875</v>
      </c>
      <c r="T12" s="18">
        <f t="shared" si="7"/>
        <v>21686.15625</v>
      </c>
      <c r="U12" s="18">
        <f t="shared" si="7"/>
        <v>25629.09375</v>
      </c>
      <c r="V12" s="19">
        <f t="shared" si="7"/>
        <v>32857.8125</v>
      </c>
      <c r="W12" s="74">
        <f>SUM(S12:V12)</f>
        <v>99066.3046875</v>
      </c>
      <c r="X12" s="18">
        <f>SUM(X9:X11)</f>
        <v>43454.457031249993</v>
      </c>
      <c r="Y12" s="18">
        <f t="shared" ref="Y12:AA12" si="8">SUM(Y9:Y11)</f>
        <v>55878.159375000003</v>
      </c>
      <c r="Z12" s="18">
        <f t="shared" si="8"/>
        <v>64946.915625000001</v>
      </c>
      <c r="AA12" s="19">
        <f t="shared" si="8"/>
        <v>81572.96875</v>
      </c>
      <c r="AB12" s="74">
        <f>SUM(AB9:AB11)</f>
        <v>245852.50078124998</v>
      </c>
      <c r="AC12" s="18">
        <f>SUM(AC9:AC11)</f>
        <v>122445.25117187497</v>
      </c>
      <c r="AD12" s="18">
        <f t="shared" ref="AD12:AF12" si="9">SUM(AD9:AD11)</f>
        <v>137219.76656250001</v>
      </c>
      <c r="AE12" s="18">
        <f t="shared" si="9"/>
        <v>158077.90593749995</v>
      </c>
      <c r="AF12" s="19">
        <f t="shared" si="9"/>
        <v>196317.82812499997</v>
      </c>
      <c r="AG12" s="74">
        <f>SUM(AG9:AG11)</f>
        <v>614060.75179687492</v>
      </c>
      <c r="AH12" s="18">
        <f>SUM(AH9:AH11)</f>
        <v>279874.07769531239</v>
      </c>
      <c r="AI12" s="18">
        <f t="shared" ref="AI12:AK12" si="10">SUM(AI9:AI11)</f>
        <v>313855.46309374995</v>
      </c>
      <c r="AJ12" s="18">
        <f t="shared" si="10"/>
        <v>361829.18365624989</v>
      </c>
      <c r="AK12" s="19">
        <f t="shared" si="10"/>
        <v>449781.0046874999</v>
      </c>
      <c r="AL12" s="74">
        <f>SUM(AL9:AL11)</f>
        <v>1405339.7291328122</v>
      </c>
      <c r="AM12" s="80"/>
    </row>
    <row r="13" spans="1:42" x14ac:dyDescent="0.5">
      <c r="A13" s="5" t="s">
        <v>29</v>
      </c>
      <c r="B13" s="6"/>
      <c r="C13" s="6"/>
      <c r="D13" s="6"/>
      <c r="E13" s="6"/>
      <c r="F13" s="87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  <c r="R13" s="14">
        <f t="shared" ref="R13:R17" si="11">SUM(F13:Q13)</f>
        <v>0</v>
      </c>
      <c r="S13" s="6"/>
      <c r="V13" s="8"/>
      <c r="W13" s="73">
        <f>SUM(S13:V13)</f>
        <v>0</v>
      </c>
      <c r="X13" s="8"/>
      <c r="Y13" s="8"/>
      <c r="Z13" s="8"/>
      <c r="AA13" s="8"/>
      <c r="AB13" s="212">
        <f>SUM(X13:AA13)</f>
        <v>0</v>
      </c>
      <c r="AC13" s="8"/>
      <c r="AD13" s="8"/>
      <c r="AE13" s="8"/>
      <c r="AF13" s="8"/>
      <c r="AG13" s="73">
        <f>SUM(AC13:AF13)</f>
        <v>0</v>
      </c>
      <c r="AH13" s="8"/>
      <c r="AI13" s="8"/>
      <c r="AJ13" s="8"/>
      <c r="AK13" s="8"/>
      <c r="AL13" s="73">
        <f>SUM(AH13:AK13)</f>
        <v>0</v>
      </c>
      <c r="AM13" s="80"/>
    </row>
    <row r="14" spans="1:42" x14ac:dyDescent="0.5">
      <c r="A14" s="9" t="s">
        <v>30</v>
      </c>
      <c r="B14" s="15">
        <v>0</v>
      </c>
      <c r="C14" s="15">
        <v>0</v>
      </c>
      <c r="D14" s="15">
        <v>0</v>
      </c>
      <c r="E14" s="15">
        <f t="shared" si="1"/>
        <v>0</v>
      </c>
      <c r="F14" s="90">
        <f t="shared" ref="F14:Q14" si="12">60+(SUM(F$6:F$7)*$B$69)</f>
        <v>61.673721874876094</v>
      </c>
      <c r="G14" s="90">
        <f t="shared" si="12"/>
        <v>62.391031249822994</v>
      </c>
      <c r="H14" s="90">
        <f t="shared" si="12"/>
        <v>64.013516740774307</v>
      </c>
      <c r="I14" s="90">
        <f t="shared" si="12"/>
        <v>66.35331160667252</v>
      </c>
      <c r="J14" s="90">
        <f t="shared" si="12"/>
        <v>67.992875892265431</v>
      </c>
      <c r="K14" s="90">
        <f t="shared" si="12"/>
        <v>70.708404240278682</v>
      </c>
      <c r="L14" s="90">
        <f t="shared" si="12"/>
        <v>76.071145757738819</v>
      </c>
      <c r="M14" s="90">
        <f t="shared" si="12"/>
        <v>81.297256918066211</v>
      </c>
      <c r="N14" s="90">
        <f t="shared" si="12"/>
        <v>89.81957544422103</v>
      </c>
      <c r="O14" s="90">
        <f t="shared" si="12"/>
        <v>100.5792160684245</v>
      </c>
      <c r="P14" s="90">
        <f t="shared" si="12"/>
        <v>110.29705021949079</v>
      </c>
      <c r="Q14" s="73">
        <f t="shared" si="12"/>
        <v>122.50838838822963</v>
      </c>
      <c r="R14" s="14">
        <f t="shared" si="11"/>
        <v>973.70549440086097</v>
      </c>
      <c r="S14" s="90">
        <f>60+(SUM(S$6:S$7)*$B$69)*3</f>
        <v>194.765625</v>
      </c>
      <c r="T14" s="90">
        <f>60+(SUM(T$6:T$7)*$B$69)*3</f>
        <v>214.6875</v>
      </c>
      <c r="U14" s="90">
        <f>60+(SUM(U$6:U$7)*$B$69)*3</f>
        <v>242.8125</v>
      </c>
      <c r="V14" s="73">
        <f>60+(SUM(V$6:V$7)*$B$69)*3</f>
        <v>294.375</v>
      </c>
      <c r="W14" s="73">
        <f t="shared" ref="W14:W17" si="13">SUM(S14:V14)</f>
        <v>946.640625</v>
      </c>
      <c r="X14" s="69">
        <f>60+(SUM(X$6:X$7)*$B$69)*3</f>
        <v>369.9609375</v>
      </c>
      <c r="Y14" s="90">
        <f>60+(SUM(Y$6:Y$7)*$B$69)*3</f>
        <v>415.78125</v>
      </c>
      <c r="Z14" s="90">
        <f>60+(SUM(Z$6:Z$7)*$B$69)*3</f>
        <v>480.46875</v>
      </c>
      <c r="AA14" s="73">
        <f>60+(SUM(AA$6:AA$7)*$B$69)*3</f>
        <v>599.0625</v>
      </c>
      <c r="AB14" s="73">
        <f t="shared" ref="AB14:AB17" si="14">SUM(X14:AA14)</f>
        <v>1865.2734375</v>
      </c>
      <c r="AC14" s="69">
        <f>60+(SUM(AC$6:AC$7)*$B$69)*3</f>
        <v>772.91015624999977</v>
      </c>
      <c r="AD14" s="90">
        <f>60+(SUM(AD$6:AD$7)*$B$69)*3</f>
        <v>878.296875</v>
      </c>
      <c r="AE14" s="90">
        <f>60+(SUM(AE$6:AE$7)*$B$69)*3</f>
        <v>1027.078125</v>
      </c>
      <c r="AF14" s="73">
        <f>60+(SUM(AF$6:AF$7)*$B$69)*3</f>
        <v>1299.8437499999998</v>
      </c>
      <c r="AG14" s="73">
        <f t="shared" ref="AG14:AG17" si="15">SUM(AC14:AF14)</f>
        <v>3978.12890625</v>
      </c>
      <c r="AH14" s="69">
        <f>60+(SUM(AH$6:AH$7)*$B$69)*3</f>
        <v>1699.6933593749995</v>
      </c>
      <c r="AI14" s="90">
        <f>60+(SUM(AI$6:AI$7)*$B$69)*3</f>
        <v>1942.0828124999996</v>
      </c>
      <c r="AJ14" s="90">
        <f>60+(SUM(AJ$6:AJ$7)*$B$69)*3</f>
        <v>2284.2796874999995</v>
      </c>
      <c r="AK14" s="73">
        <f>60+(SUM(AK$6:AK$7)*$B$69)*3</f>
        <v>2911.6406249999991</v>
      </c>
      <c r="AL14" s="73">
        <f t="shared" ref="AL14:AL17" si="16">SUM(AH14:AK14)</f>
        <v>8837.6964843749975</v>
      </c>
      <c r="AM14" s="80"/>
    </row>
    <row r="15" spans="1:42" x14ac:dyDescent="0.5">
      <c r="A15" s="9" t="s">
        <v>31</v>
      </c>
      <c r="B15" s="15">
        <f>60+SUM(B5:B7)*$B$70</f>
        <v>60.2</v>
      </c>
      <c r="C15" s="15">
        <f>60+SUM(C5:C7)*$B$70</f>
        <v>60.6</v>
      </c>
      <c r="D15" s="15">
        <f>60+SUM(D5:D7)*$B$70</f>
        <v>61</v>
      </c>
      <c r="E15" s="15">
        <f t="shared" si="1"/>
        <v>181.8</v>
      </c>
      <c r="F15" s="90">
        <f t="shared" ref="F15:Q15" si="17">60+(SUM(F$6:F$7)*$B$70)</f>
        <v>60.836860937438047</v>
      </c>
      <c r="G15" s="90">
        <f t="shared" si="17"/>
        <v>61.195515624911494</v>
      </c>
      <c r="H15" s="90">
        <f t="shared" si="17"/>
        <v>62.006758370387153</v>
      </c>
      <c r="I15" s="90">
        <f t="shared" si="17"/>
        <v>63.17665580333626</v>
      </c>
      <c r="J15" s="90">
        <f t="shared" si="17"/>
        <v>63.996437946132716</v>
      </c>
      <c r="K15" s="90">
        <f t="shared" si="17"/>
        <v>65.354202120139348</v>
      </c>
      <c r="L15" s="90">
        <f t="shared" si="17"/>
        <v>68.035572878869417</v>
      </c>
      <c r="M15" s="90">
        <f t="shared" si="17"/>
        <v>70.648628459033105</v>
      </c>
      <c r="N15" s="90">
        <f t="shared" si="17"/>
        <v>74.909787722110508</v>
      </c>
      <c r="O15" s="90">
        <f t="shared" si="17"/>
        <v>80.28960803421225</v>
      </c>
      <c r="P15" s="90">
        <f t="shared" si="17"/>
        <v>85.148525109745393</v>
      </c>
      <c r="Q15" s="73">
        <f t="shared" si="17"/>
        <v>91.254194194114817</v>
      </c>
      <c r="R15" s="14">
        <f t="shared" si="11"/>
        <v>846.8527472004306</v>
      </c>
      <c r="S15" s="90">
        <f>60+(SUM(S$6:S$7)*$B$70)*3</f>
        <v>127.3828125</v>
      </c>
      <c r="T15" s="90">
        <f>60+(SUM(T$6:T$7)*$B$70)*3</f>
        <v>137.34375</v>
      </c>
      <c r="U15" s="90">
        <f>60+(SUM(U$6:U$7)*$B$70)*3</f>
        <v>151.40625</v>
      </c>
      <c r="V15" s="73">
        <f>60+(SUM(V$6:V$7)*$B$70)*3</f>
        <v>177.1875</v>
      </c>
      <c r="W15" s="73">
        <f t="shared" si="13"/>
        <v>593.3203125</v>
      </c>
      <c r="X15" s="69">
        <f>60+(SUM(X$6:X$7)*$B$70)*3</f>
        <v>214.98046875</v>
      </c>
      <c r="Y15" s="90">
        <f>60+(SUM(Y$6:Y$7)*$B$70)*3</f>
        <v>237.890625</v>
      </c>
      <c r="Z15" s="90">
        <f>60+(SUM(Z$6:Z$7)*$B$70)*3</f>
        <v>270.234375</v>
      </c>
      <c r="AA15" s="73">
        <f>60+(SUM(AA$6:AA$7)*$B$70)*3</f>
        <v>329.53125</v>
      </c>
      <c r="AB15" s="73">
        <f t="shared" si="14"/>
        <v>1052.63671875</v>
      </c>
      <c r="AC15" s="69">
        <f>60+(SUM(AC$6:AC$7)*$B$70)*3</f>
        <v>416.45507812499989</v>
      </c>
      <c r="AD15" s="90">
        <f>60+(SUM(AD$6:AD$7)*$B$70)*3</f>
        <v>469.1484375</v>
      </c>
      <c r="AE15" s="90">
        <f>60+(SUM(AE$6:AE$7)*$B$70)*3</f>
        <v>543.5390625</v>
      </c>
      <c r="AF15" s="73">
        <f>60+(SUM(AF$6:AF$7)*$B$70)*3</f>
        <v>679.92187499999989</v>
      </c>
      <c r="AG15" s="73">
        <f t="shared" si="15"/>
        <v>2109.064453125</v>
      </c>
      <c r="AH15" s="69">
        <f>60+(SUM(AH$6:AH$7)*$B$70)*3</f>
        <v>879.84667968749977</v>
      </c>
      <c r="AI15" s="90">
        <f>60+(SUM(AI$6:AI$7)*$B$70)*3</f>
        <v>1001.0414062499998</v>
      </c>
      <c r="AJ15" s="90">
        <f>60+(SUM(AJ$6:AJ$7)*$B$70)*3</f>
        <v>1172.1398437499997</v>
      </c>
      <c r="AK15" s="73">
        <f>60+(SUM(AK$6:AK$7)*$B$70)*3</f>
        <v>1485.8203124999995</v>
      </c>
      <c r="AL15" s="73">
        <f t="shared" si="16"/>
        <v>4538.8482421874987</v>
      </c>
      <c r="AM15" s="80"/>
    </row>
    <row r="16" spans="1:42" x14ac:dyDescent="0.5">
      <c r="A16" s="9" t="s">
        <v>32</v>
      </c>
      <c r="B16" s="15">
        <v>0</v>
      </c>
      <c r="C16" s="15">
        <v>0</v>
      </c>
      <c r="D16" s="15">
        <v>0</v>
      </c>
      <c r="E16" s="15">
        <f t="shared" si="1"/>
        <v>0</v>
      </c>
      <c r="F16" s="90">
        <f t="shared" ref="F16:Q16" si="18">60+(SUM(F$6:F$7)*$B$71)</f>
        <v>60.836860937438047</v>
      </c>
      <c r="G16" s="90">
        <f t="shared" si="18"/>
        <v>61.195515624911494</v>
      </c>
      <c r="H16" s="90">
        <f t="shared" si="18"/>
        <v>62.006758370387153</v>
      </c>
      <c r="I16" s="90">
        <f t="shared" si="18"/>
        <v>63.17665580333626</v>
      </c>
      <c r="J16" s="90">
        <f t="shared" si="18"/>
        <v>63.996437946132716</v>
      </c>
      <c r="K16" s="90">
        <f t="shared" si="18"/>
        <v>65.354202120139348</v>
      </c>
      <c r="L16" s="90">
        <f t="shared" si="18"/>
        <v>68.035572878869417</v>
      </c>
      <c r="M16" s="90">
        <f t="shared" si="18"/>
        <v>70.648628459033105</v>
      </c>
      <c r="N16" s="90">
        <f t="shared" si="18"/>
        <v>74.909787722110508</v>
      </c>
      <c r="O16" s="90">
        <f t="shared" si="18"/>
        <v>80.28960803421225</v>
      </c>
      <c r="P16" s="90">
        <f t="shared" si="18"/>
        <v>85.148525109745393</v>
      </c>
      <c r="Q16" s="73">
        <f t="shared" si="18"/>
        <v>91.254194194114817</v>
      </c>
      <c r="R16" s="14">
        <f t="shared" si="11"/>
        <v>846.8527472004306</v>
      </c>
      <c r="S16" s="90">
        <f>60+(SUM(S$6:S$7)*$B$71)*3</f>
        <v>127.3828125</v>
      </c>
      <c r="T16" s="90">
        <f>60+(SUM(T$6:T$7)*$B$71)*3</f>
        <v>137.34375</v>
      </c>
      <c r="U16" s="90">
        <f>60+(SUM(U$6:U$7)*$B$71)*3</f>
        <v>151.40625</v>
      </c>
      <c r="V16" s="73">
        <f>60+(SUM(V$6:V$7)*$B$71)*3</f>
        <v>177.1875</v>
      </c>
      <c r="W16" s="73">
        <f t="shared" si="13"/>
        <v>593.3203125</v>
      </c>
      <c r="X16" s="69">
        <f>60+(SUM(X$6:X$7)*$B$71)*3</f>
        <v>214.98046875</v>
      </c>
      <c r="Y16" s="90">
        <f>60+(SUM(Y$6:Y$7)*$B$71)*3</f>
        <v>237.890625</v>
      </c>
      <c r="Z16" s="90">
        <f>60+(SUM(Z$6:Z$7)*$B$71)*3</f>
        <v>270.234375</v>
      </c>
      <c r="AA16" s="73">
        <f>60+(SUM(AA$6:AA$7)*$B$71)*3</f>
        <v>329.53125</v>
      </c>
      <c r="AB16" s="73">
        <f t="shared" si="14"/>
        <v>1052.63671875</v>
      </c>
      <c r="AC16" s="69">
        <f>60+(SUM(AC$6:AC$7)*$B$71)*3</f>
        <v>416.45507812499989</v>
      </c>
      <c r="AD16" s="90">
        <f>60+(SUM(AD$6:AD$7)*$B$71)*3</f>
        <v>469.1484375</v>
      </c>
      <c r="AE16" s="90">
        <f>60+(SUM(AE$6:AE$7)*$B$71)*3</f>
        <v>543.5390625</v>
      </c>
      <c r="AF16" s="73">
        <f>60+(SUM(AF$6:AF$7)*$B$71)*3</f>
        <v>679.92187499999989</v>
      </c>
      <c r="AG16" s="73">
        <f t="shared" si="15"/>
        <v>2109.064453125</v>
      </c>
      <c r="AH16" s="69">
        <f>60+(SUM(AH$6:AH$7)*$B$71)*3</f>
        <v>879.84667968749977</v>
      </c>
      <c r="AI16" s="90">
        <f>60+(SUM(AI$6:AI$7)*$B$71)*3</f>
        <v>1001.0414062499998</v>
      </c>
      <c r="AJ16" s="90">
        <f>60+(SUM(AJ$6:AJ$7)*$B$71)*3</f>
        <v>1172.1398437499997</v>
      </c>
      <c r="AK16" s="73">
        <f>60+(SUM(AK$6:AK$7)*$B$71)*3</f>
        <v>1485.8203124999995</v>
      </c>
      <c r="AL16" s="73">
        <f t="shared" si="16"/>
        <v>4538.8482421874987</v>
      </c>
      <c r="AM16" s="80"/>
    </row>
    <row r="17" spans="1:39 16384:16384" x14ac:dyDescent="0.5">
      <c r="A17" s="62" t="s">
        <v>76</v>
      </c>
      <c r="B17" s="15">
        <f>10*B6*$B$79</f>
        <v>10</v>
      </c>
      <c r="C17" s="15">
        <f>(C6-B6)*10*$B$79</f>
        <v>20</v>
      </c>
      <c r="D17" s="15">
        <f>(D6-C6)*10*$B$79</f>
        <v>20</v>
      </c>
      <c r="E17" s="15">
        <f t="shared" si="1"/>
        <v>50</v>
      </c>
      <c r="F17" s="90">
        <f>(F6*10*$B$79)+(F7*50*$B$79)</f>
        <v>108.79192186694611</v>
      </c>
      <c r="G17" s="90">
        <f t="shared" ref="G17:Q17" si="19">(G6-F6)*50*$B$79</f>
        <v>53.79820312101733</v>
      </c>
      <c r="H17" s="90">
        <f t="shared" si="19"/>
        <v>121.68641182134867</v>
      </c>
      <c r="I17" s="90">
        <f t="shared" si="19"/>
        <v>175.48461494236602</v>
      </c>
      <c r="J17" s="90">
        <f t="shared" si="19"/>
        <v>122.96732141946816</v>
      </c>
      <c r="K17" s="90">
        <f t="shared" si="19"/>
        <v>203.6646261009941</v>
      </c>
      <c r="L17" s="90">
        <f t="shared" si="19"/>
        <v>402.20561380951028</v>
      </c>
      <c r="M17" s="90">
        <f t="shared" si="19"/>
        <v>391.95833702455474</v>
      </c>
      <c r="N17" s="90">
        <f t="shared" si="19"/>
        <v>639.17388946161054</v>
      </c>
      <c r="O17" s="90">
        <f t="shared" si="19"/>
        <v>806.97304681525998</v>
      </c>
      <c r="P17" s="90">
        <f t="shared" si="19"/>
        <v>728.837561329972</v>
      </c>
      <c r="Q17" s="73">
        <f t="shared" si="19"/>
        <v>915.8503626554143</v>
      </c>
      <c r="R17" s="14">
        <f t="shared" si="11"/>
        <v>4671.391910368462</v>
      </c>
      <c r="S17" s="90">
        <f>S6*50*$B$79</f>
        <v>3369.140625</v>
      </c>
      <c r="T17" s="90">
        <f>(T6-S6)*50*$B$79</f>
        <v>498.046875</v>
      </c>
      <c r="U17" s="90">
        <f>(U6-T6)*50*$B$79</f>
        <v>703.125</v>
      </c>
      <c r="V17" s="73">
        <f>(V6-U6)*50*$B$79</f>
        <v>1289.0625</v>
      </c>
      <c r="W17" s="73">
        <f t="shared" si="13"/>
        <v>5859.375</v>
      </c>
      <c r="X17" s="69">
        <f>X6*50*$B$79</f>
        <v>7749.0234375</v>
      </c>
      <c r="Y17" s="90">
        <f>(Y6-X6)*50*$B$79</f>
        <v>1145.5078125</v>
      </c>
      <c r="Z17" s="90">
        <f>(Z6-Y6)*50*$B$79</f>
        <v>1617.1875</v>
      </c>
      <c r="AA17" s="73">
        <f>(AA6-Z6)*50*$B$79</f>
        <v>2964.84375</v>
      </c>
      <c r="AB17" s="73">
        <f t="shared" si="14"/>
        <v>13476.5625</v>
      </c>
      <c r="AC17" s="69">
        <f>AC6*50*$B$79</f>
        <v>17822.753906249993</v>
      </c>
      <c r="AD17" s="90">
        <f>(AD6-AC6)*50*$B$79</f>
        <v>2634.6679687500027</v>
      </c>
      <c r="AE17" s="90">
        <f>(AE6-AD6)*50*$B$79</f>
        <v>3719.53125</v>
      </c>
      <c r="AF17" s="73">
        <f>(AF6-AE6)*50*$B$79</f>
        <v>6819.1406249999973</v>
      </c>
      <c r="AG17" s="73">
        <f t="shared" si="15"/>
        <v>30996.093749999993</v>
      </c>
      <c r="AH17" s="69">
        <f>AH6*50*$B$79</f>
        <v>40992.333984374985</v>
      </c>
      <c r="AI17" s="90">
        <f>(AI6-AH6)*50*$B$79</f>
        <v>6059.7363281250073</v>
      </c>
      <c r="AJ17" s="90">
        <f>(AJ6-AI6)*50*$B$79</f>
        <v>8554.9218749999964</v>
      </c>
      <c r="AK17" s="73">
        <f>(AK6-AJ6)*50*$B$79</f>
        <v>15684.023437499991</v>
      </c>
      <c r="AL17" s="73">
        <f t="shared" si="16"/>
        <v>71291.015624999971</v>
      </c>
      <c r="AM17" s="80"/>
    </row>
    <row r="18" spans="1:39 16384:16384" x14ac:dyDescent="0.5">
      <c r="A18" s="20" t="s">
        <v>33</v>
      </c>
      <c r="B18" s="21">
        <f>SUM(B14:B17)</f>
        <v>70.2</v>
      </c>
      <c r="C18" s="21">
        <f t="shared" ref="C18:AC18" si="20">SUM(C14:C17)</f>
        <v>80.599999999999994</v>
      </c>
      <c r="D18" s="21">
        <f t="shared" si="20"/>
        <v>81</v>
      </c>
      <c r="E18" s="21">
        <f t="shared" si="1"/>
        <v>231.8</v>
      </c>
      <c r="F18" s="92">
        <f t="shared" si="20"/>
        <v>292.13936561669829</v>
      </c>
      <c r="G18" s="92">
        <f t="shared" ref="G18" si="21">SUM(G14:G17)</f>
        <v>238.58026562066331</v>
      </c>
      <c r="H18" s="92">
        <f t="shared" ref="H18" si="22">SUM(H14:H17)</f>
        <v>309.7134453028973</v>
      </c>
      <c r="I18" s="92">
        <f t="shared" ref="I18" si="23">SUM(I14:I17)</f>
        <v>368.19123815571106</v>
      </c>
      <c r="J18" s="92">
        <f t="shared" ref="J18" si="24">SUM(J14:J17)</f>
        <v>318.953073203999</v>
      </c>
      <c r="K18" s="92">
        <f t="shared" ref="K18" si="25">SUM(K14:K17)</f>
        <v>405.08143458155149</v>
      </c>
      <c r="L18" s="92">
        <f t="shared" ref="L18" si="26">SUM(L14:L17)</f>
        <v>614.34790532498801</v>
      </c>
      <c r="M18" s="92">
        <f t="shared" ref="M18" si="27">SUM(M14:M17)</f>
        <v>614.55285086068716</v>
      </c>
      <c r="N18" s="92">
        <f t="shared" ref="N18" si="28">SUM(N14:N17)</f>
        <v>878.81304035005257</v>
      </c>
      <c r="O18" s="92">
        <f t="shared" ref="O18" si="29">SUM(O14:O17)</f>
        <v>1068.1314789521089</v>
      </c>
      <c r="P18" s="92">
        <f t="shared" ref="P18" si="30">SUM(P14:P17)</f>
        <v>1009.4316617689535</v>
      </c>
      <c r="Q18" s="202">
        <f t="shared" ref="Q18:S18" si="31">SUM(Q14:Q17)</f>
        <v>1220.8671394318735</v>
      </c>
      <c r="R18" s="21">
        <f t="shared" si="20"/>
        <v>7338.8028991701849</v>
      </c>
      <c r="S18" s="92">
        <f t="shared" si="31"/>
        <v>3818.671875</v>
      </c>
      <c r="T18" s="92">
        <f t="shared" ref="T18" si="32">SUM(T14:T17)</f>
        <v>987.421875</v>
      </c>
      <c r="U18" s="92">
        <f t="shared" ref="U18" si="33">SUM(U14:U17)</f>
        <v>1248.75</v>
      </c>
      <c r="V18" s="202">
        <f t="shared" ref="V18:X18" si="34">SUM(V14:V17)</f>
        <v>1937.8125</v>
      </c>
      <c r="W18" s="202">
        <f>SUM(W14:W17)</f>
        <v>7992.65625</v>
      </c>
      <c r="X18" s="21">
        <f t="shared" si="34"/>
        <v>8548.9453125</v>
      </c>
      <c r="Y18" s="92">
        <f t="shared" ref="Y18" si="35">SUM(Y14:Y17)</f>
        <v>2037.0703125</v>
      </c>
      <c r="Z18" s="92">
        <f t="shared" ref="Z18" si="36">SUM(Z14:Z17)</f>
        <v>2638.125</v>
      </c>
      <c r="AA18" s="202">
        <f t="shared" ref="AA18" si="37">SUM(AA14:AA17)</f>
        <v>4222.96875</v>
      </c>
      <c r="AB18" s="202">
        <f>SUM(AB14:AB17)</f>
        <v>17447.109375</v>
      </c>
      <c r="AC18" s="21">
        <f t="shared" si="20"/>
        <v>19428.574218749993</v>
      </c>
      <c r="AD18" s="92">
        <f t="shared" ref="AD18" si="38">SUM(AD14:AD17)</f>
        <v>4451.2617187500027</v>
      </c>
      <c r="AE18" s="92">
        <f t="shared" ref="AE18" si="39">SUM(AE14:AE17)</f>
        <v>5833.6875</v>
      </c>
      <c r="AF18" s="202">
        <f t="shared" ref="AF18:AH18" si="40">SUM(AF14:AF17)</f>
        <v>9478.8281249999964</v>
      </c>
      <c r="AG18" s="202">
        <f>SUM(AG14:AG17)</f>
        <v>39192.351562499993</v>
      </c>
      <c r="AH18" s="21">
        <f t="shared" si="40"/>
        <v>44451.720703124985</v>
      </c>
      <c r="AI18" s="92">
        <f t="shared" ref="AI18" si="41">SUM(AI14:AI17)</f>
        <v>10003.901953125007</v>
      </c>
      <c r="AJ18" s="92">
        <f t="shared" ref="AJ18" si="42">SUM(AJ14:AJ17)</f>
        <v>13183.481249999995</v>
      </c>
      <c r="AK18" s="202">
        <f t="shared" ref="AK18" si="43">SUM(AK14:AK17)</f>
        <v>21567.304687499989</v>
      </c>
      <c r="AL18" s="202">
        <f>SUM(AL14:AL17)</f>
        <v>89206.408593749962</v>
      </c>
      <c r="AM18" s="80"/>
    </row>
    <row r="19" spans="1:39 16384:16384" x14ac:dyDescent="0.5">
      <c r="A19" s="24" t="s">
        <v>73</v>
      </c>
      <c r="B19" s="23">
        <f>B12-B18</f>
        <v>-70.2</v>
      </c>
      <c r="C19" s="23">
        <f>C12-C18</f>
        <v>-80.599999999999994</v>
      </c>
      <c r="D19" s="23">
        <f>D12-D18</f>
        <v>-81</v>
      </c>
      <c r="E19" s="23">
        <f t="shared" si="1"/>
        <v>-231.8</v>
      </c>
      <c r="F19" s="22">
        <f t="shared" ref="F19:AL19" si="44">F12-F18</f>
        <v>-191.78300199912769</v>
      </c>
      <c r="G19" s="23">
        <f t="shared" si="44"/>
        <v>-95.214031881276725</v>
      </c>
      <c r="H19" s="23">
        <f t="shared" si="44"/>
        <v>-69.062981526069848</v>
      </c>
      <c r="I19" s="23">
        <f t="shared" si="44"/>
        <v>12.753325780373302</v>
      </c>
      <c r="J19" s="23">
        <f t="shared" si="44"/>
        <v>160.29976529623622</v>
      </c>
      <c r="K19" s="23">
        <f t="shared" si="44"/>
        <v>236.99448366555845</v>
      </c>
      <c r="L19" s="23">
        <f t="shared" si="44"/>
        <v>349.27799430903178</v>
      </c>
      <c r="M19" s="23">
        <f t="shared" si="44"/>
        <v>662.43067394656327</v>
      </c>
      <c r="N19" s="23">
        <f t="shared" si="44"/>
        <v>909.1687032854403</v>
      </c>
      <c r="O19" s="23">
        <f t="shared" si="44"/>
        <v>1364.9983165106232</v>
      </c>
      <c r="P19" s="23">
        <f t="shared" si="44"/>
        <v>2006.3794693917146</v>
      </c>
      <c r="Q19" s="200">
        <f t="shared" si="44"/>
        <v>2527.1358283263758</v>
      </c>
      <c r="R19" s="200">
        <f t="shared" si="44"/>
        <v>7873.3785451054428</v>
      </c>
      <c r="S19" s="23">
        <f t="shared" si="44"/>
        <v>15074.5703125</v>
      </c>
      <c r="T19" s="23">
        <f t="shared" si="44"/>
        <v>20698.734375</v>
      </c>
      <c r="U19" s="23">
        <f t="shared" si="44"/>
        <v>24380.34375</v>
      </c>
      <c r="V19" s="200">
        <f t="shared" si="44"/>
        <v>30920</v>
      </c>
      <c r="W19" s="75">
        <f t="shared" si="44"/>
        <v>91073.6484375</v>
      </c>
      <c r="X19" s="23">
        <f t="shared" si="44"/>
        <v>34905.511718749993</v>
      </c>
      <c r="Y19" s="23">
        <f t="shared" si="44"/>
        <v>53841.089062500003</v>
      </c>
      <c r="Z19" s="23">
        <f t="shared" si="44"/>
        <v>62308.790625000001</v>
      </c>
      <c r="AA19" s="200">
        <f t="shared" si="44"/>
        <v>77350</v>
      </c>
      <c r="AB19" s="213">
        <f t="shared" si="44"/>
        <v>228405.39140624998</v>
      </c>
      <c r="AC19" s="23">
        <f t="shared" si="44"/>
        <v>103016.67695312499</v>
      </c>
      <c r="AD19" s="23">
        <f t="shared" si="44"/>
        <v>132768.50484375001</v>
      </c>
      <c r="AE19" s="23">
        <f t="shared" si="44"/>
        <v>152244.21843749995</v>
      </c>
      <c r="AF19" s="200">
        <f t="shared" si="44"/>
        <v>186838.99999999997</v>
      </c>
      <c r="AG19" s="75">
        <f t="shared" si="44"/>
        <v>574868.40023437492</v>
      </c>
      <c r="AH19" s="23">
        <f t="shared" si="44"/>
        <v>235422.35699218739</v>
      </c>
      <c r="AI19" s="23">
        <f t="shared" si="44"/>
        <v>303851.56114062492</v>
      </c>
      <c r="AJ19" s="23">
        <f t="shared" si="44"/>
        <v>348645.70240624988</v>
      </c>
      <c r="AK19" s="200">
        <f t="shared" si="44"/>
        <v>428213.6999999999</v>
      </c>
      <c r="AL19" s="75">
        <f t="shared" si="44"/>
        <v>1316133.3205390624</v>
      </c>
      <c r="AM19" s="80"/>
    </row>
    <row r="20" spans="1:39 16384:16384" ht="15.7" x14ac:dyDescent="0.55000000000000004">
      <c r="A20" s="5" t="s">
        <v>35</v>
      </c>
      <c r="B20" s="25"/>
      <c r="C20" s="25"/>
      <c r="D20" s="25"/>
      <c r="E20" s="25"/>
      <c r="F20" s="93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6"/>
      <c r="R20" s="26"/>
      <c r="S20" s="25"/>
      <c r="T20" s="27"/>
      <c r="U20" s="28"/>
      <c r="V20" s="29"/>
      <c r="W20" s="76"/>
      <c r="X20" s="28"/>
      <c r="Y20" s="28"/>
      <c r="Z20" s="28"/>
      <c r="AA20" s="29"/>
      <c r="AB20" s="76"/>
      <c r="AC20" s="30"/>
      <c r="AD20" s="30"/>
      <c r="AE20" s="30"/>
      <c r="AF20" s="31"/>
      <c r="AG20" s="76"/>
      <c r="AH20" s="30"/>
      <c r="AI20" s="30"/>
      <c r="AJ20" s="30"/>
      <c r="AK20" s="31"/>
      <c r="AL20" s="76"/>
      <c r="AM20" s="80"/>
    </row>
    <row r="21" spans="1:39 16384:16384" ht="15.35" x14ac:dyDescent="0.5">
      <c r="A21" s="5" t="s">
        <v>36</v>
      </c>
      <c r="B21" s="32"/>
      <c r="C21" s="32"/>
      <c r="D21" s="32"/>
      <c r="E21" s="32"/>
      <c r="F21" s="94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3"/>
      <c r="R21" s="33"/>
      <c r="S21" s="6"/>
      <c r="V21" s="8"/>
      <c r="W21" s="71"/>
      <c r="X21" s="34"/>
      <c r="Y21" s="34"/>
      <c r="Z21" s="34"/>
      <c r="AA21" s="35"/>
      <c r="AB21" s="77"/>
      <c r="AC21" s="36"/>
      <c r="AD21" s="36"/>
      <c r="AE21" s="36"/>
      <c r="AF21" s="37"/>
      <c r="AG21" s="77"/>
      <c r="AH21" s="36"/>
      <c r="AI21" s="36"/>
      <c r="AJ21" s="36"/>
      <c r="AK21" s="37"/>
      <c r="AL21" s="77"/>
      <c r="AM21" s="80"/>
    </row>
    <row r="22" spans="1:39 16384:16384" x14ac:dyDescent="0.5">
      <c r="A22" s="9" t="s">
        <v>101</v>
      </c>
      <c r="B22" s="32">
        <v>0</v>
      </c>
      <c r="C22" s="32">
        <v>0</v>
      </c>
      <c r="D22" s="32">
        <v>0</v>
      </c>
      <c r="E22" s="15">
        <f t="shared" ref="E22:E30" si="45">SUM(B22:D22)</f>
        <v>0</v>
      </c>
      <c r="F22" s="70">
        <v>0</v>
      </c>
      <c r="G22" s="32">
        <v>0</v>
      </c>
      <c r="H22" s="94">
        <f>4*1000</f>
        <v>4000</v>
      </c>
      <c r="I22" s="32">
        <f t="shared" ref="I22:Q22" si="46">$H$22</f>
        <v>4000</v>
      </c>
      <c r="J22" s="32">
        <f t="shared" si="46"/>
        <v>4000</v>
      </c>
      <c r="K22" s="32">
        <f t="shared" si="46"/>
        <v>4000</v>
      </c>
      <c r="L22" s="32">
        <f t="shared" si="46"/>
        <v>4000</v>
      </c>
      <c r="M22" s="32">
        <f t="shared" si="46"/>
        <v>4000</v>
      </c>
      <c r="N22" s="32">
        <f t="shared" si="46"/>
        <v>4000</v>
      </c>
      <c r="O22" s="32">
        <f t="shared" si="46"/>
        <v>4000</v>
      </c>
      <c r="P22" s="32">
        <f t="shared" si="46"/>
        <v>4000</v>
      </c>
      <c r="Q22" s="33">
        <f t="shared" si="46"/>
        <v>4000</v>
      </c>
      <c r="R22" s="33">
        <f>SUM(G22:Q22)</f>
        <v>40000</v>
      </c>
      <c r="S22" s="15">
        <f>(4*1500)*3</f>
        <v>18000</v>
      </c>
      <c r="T22" s="15">
        <f>(4*1500)*3</f>
        <v>18000</v>
      </c>
      <c r="U22" s="15">
        <f>(4*1500)*3</f>
        <v>18000</v>
      </c>
      <c r="V22" s="14">
        <f>(4*1500)*3</f>
        <v>18000</v>
      </c>
      <c r="W22" s="73">
        <f>SUM(S22:V22)</f>
        <v>72000</v>
      </c>
      <c r="X22" s="15">
        <f>(4*(30000/12)*3)</f>
        <v>30000</v>
      </c>
      <c r="Y22" s="15">
        <f t="shared" ref="Y22:AA22" si="47">(4*(30000/12)*3)</f>
        <v>30000</v>
      </c>
      <c r="Z22" s="15">
        <f t="shared" si="47"/>
        <v>30000</v>
      </c>
      <c r="AA22" s="14">
        <f t="shared" si="47"/>
        <v>30000</v>
      </c>
      <c r="AB22" s="73">
        <f>SUM(X22:AA22)</f>
        <v>120000</v>
      </c>
      <c r="AC22" s="15">
        <f>(4*(35000/12)*3)</f>
        <v>35000</v>
      </c>
      <c r="AD22" s="15">
        <f t="shared" ref="AD22:AF22" si="48">(4*(35000/12)*3)</f>
        <v>35000</v>
      </c>
      <c r="AE22" s="15">
        <f t="shared" si="48"/>
        <v>35000</v>
      </c>
      <c r="AF22" s="14">
        <f t="shared" si="48"/>
        <v>35000</v>
      </c>
      <c r="AG22" s="73">
        <f>SUM(AC22:AF22)</f>
        <v>140000</v>
      </c>
      <c r="AH22" s="15">
        <f>(4*(35000/12)*3)</f>
        <v>35000</v>
      </c>
      <c r="AI22" s="15">
        <f t="shared" ref="AI22:AK22" si="49">(4*(35000/12)*3)</f>
        <v>35000</v>
      </c>
      <c r="AJ22" s="15">
        <f t="shared" si="49"/>
        <v>35000</v>
      </c>
      <c r="AK22" s="14">
        <f t="shared" si="49"/>
        <v>35000</v>
      </c>
      <c r="AL22" s="73">
        <f>SUM(AH22:AK22)</f>
        <v>140000</v>
      </c>
      <c r="AM22" s="80"/>
    </row>
    <row r="23" spans="1:39 16384:16384" x14ac:dyDescent="0.5">
      <c r="A23" s="9" t="s">
        <v>38</v>
      </c>
      <c r="B23" s="32">
        <v>0</v>
      </c>
      <c r="C23" s="32">
        <v>0</v>
      </c>
      <c r="D23" s="32">
        <v>0</v>
      </c>
      <c r="E23" s="15">
        <f t="shared" si="45"/>
        <v>0</v>
      </c>
      <c r="F23" s="94">
        <v>0</v>
      </c>
      <c r="G23" s="32">
        <f>$F$23</f>
        <v>0</v>
      </c>
      <c r="H23" s="32">
        <f t="shared" ref="H23:Q23" si="50">$F$23</f>
        <v>0</v>
      </c>
      <c r="I23" s="32">
        <f t="shared" si="50"/>
        <v>0</v>
      </c>
      <c r="J23" s="32">
        <f t="shared" si="50"/>
        <v>0</v>
      </c>
      <c r="K23" s="32">
        <f t="shared" si="50"/>
        <v>0</v>
      </c>
      <c r="L23" s="32">
        <f t="shared" si="50"/>
        <v>0</v>
      </c>
      <c r="M23" s="32">
        <f t="shared" si="50"/>
        <v>0</v>
      </c>
      <c r="N23" s="32">
        <f t="shared" si="50"/>
        <v>0</v>
      </c>
      <c r="O23" s="32">
        <f t="shared" si="50"/>
        <v>0</v>
      </c>
      <c r="P23" s="32">
        <f t="shared" si="50"/>
        <v>0</v>
      </c>
      <c r="Q23" s="33">
        <f t="shared" si="50"/>
        <v>0</v>
      </c>
      <c r="R23" s="33">
        <f>SUM(F23:Q23)</f>
        <v>0</v>
      </c>
      <c r="S23" s="15">
        <v>0</v>
      </c>
      <c r="T23" s="15">
        <v>0</v>
      </c>
      <c r="U23" s="15">
        <v>0</v>
      </c>
      <c r="V23" s="14">
        <f>(1500*3)</f>
        <v>4500</v>
      </c>
      <c r="W23" s="73">
        <f t="shared" ref="W23:W37" si="51">SUM(S23:V23)</f>
        <v>4500</v>
      </c>
      <c r="X23" s="15">
        <f t="shared" ref="X23:Z25" si="52">(1500*3)</f>
        <v>4500</v>
      </c>
      <c r="Y23" s="15">
        <f t="shared" si="52"/>
        <v>4500</v>
      </c>
      <c r="Z23" s="15">
        <f t="shared" si="52"/>
        <v>4500</v>
      </c>
      <c r="AA23" s="14">
        <f>(2000*3)</f>
        <v>6000</v>
      </c>
      <c r="AB23" s="73">
        <f t="shared" ref="AB23:AB26" si="53">SUM(X23:AA23)</f>
        <v>19500</v>
      </c>
      <c r="AC23" s="15">
        <f>(4000*3)</f>
        <v>12000</v>
      </c>
      <c r="AD23" s="15">
        <f>(4000*3)</f>
        <v>12000</v>
      </c>
      <c r="AE23" s="15">
        <f t="shared" ref="AE23:AF23" si="54">(6000*3)</f>
        <v>18000</v>
      </c>
      <c r="AF23" s="14">
        <f t="shared" si="54"/>
        <v>18000</v>
      </c>
      <c r="AG23" s="73">
        <f t="shared" ref="AG23:AG27" si="55">SUM(AC23:AF23)</f>
        <v>60000</v>
      </c>
      <c r="AH23" s="15">
        <f>(9000*3)</f>
        <v>27000</v>
      </c>
      <c r="AI23" s="15">
        <f t="shared" ref="AI23:AK23" si="56">(9000*3)</f>
        <v>27000</v>
      </c>
      <c r="AJ23" s="15">
        <f t="shared" si="56"/>
        <v>27000</v>
      </c>
      <c r="AK23" s="14">
        <f t="shared" si="56"/>
        <v>27000</v>
      </c>
      <c r="AL23" s="73">
        <f t="shared" ref="AL23:AL27" si="57">SUM(AH23:AK23)</f>
        <v>108000</v>
      </c>
      <c r="AM23" s="80"/>
    </row>
    <row r="24" spans="1:39 16384:16384" x14ac:dyDescent="0.5">
      <c r="A24" s="9" t="s">
        <v>39</v>
      </c>
      <c r="B24" s="32">
        <v>0</v>
      </c>
      <c r="C24" s="32">
        <v>0</v>
      </c>
      <c r="D24" s="32">
        <v>0</v>
      </c>
      <c r="E24" s="15">
        <f t="shared" si="45"/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  <c r="P24" s="94">
        <v>0</v>
      </c>
      <c r="Q24" s="77">
        <v>0</v>
      </c>
      <c r="R24" s="33">
        <f t="shared" ref="R24:R37" si="58">SUM(F24:Q24)</f>
        <v>0</v>
      </c>
      <c r="S24" s="15">
        <v>0</v>
      </c>
      <c r="T24" s="15">
        <v>0</v>
      </c>
      <c r="U24" s="15">
        <v>0</v>
      </c>
      <c r="V24" s="14">
        <v>0</v>
      </c>
      <c r="W24" s="73">
        <f t="shared" si="51"/>
        <v>0</v>
      </c>
      <c r="X24" s="15">
        <f t="shared" si="52"/>
        <v>4500</v>
      </c>
      <c r="Y24" s="15">
        <f t="shared" si="52"/>
        <v>4500</v>
      </c>
      <c r="Z24" s="15">
        <f t="shared" si="52"/>
        <v>4500</v>
      </c>
      <c r="AA24" s="14">
        <f t="shared" ref="AA24:AA25" si="59">(2000*3)</f>
        <v>6000</v>
      </c>
      <c r="AB24" s="73">
        <f t="shared" si="53"/>
        <v>19500</v>
      </c>
      <c r="AC24" s="15">
        <v>6000</v>
      </c>
      <c r="AD24" s="15">
        <v>6000</v>
      </c>
      <c r="AE24" s="15">
        <v>6000</v>
      </c>
      <c r="AF24" s="14">
        <f>(6000*3)</f>
        <v>18000</v>
      </c>
      <c r="AG24" s="73">
        <f t="shared" si="55"/>
        <v>36000</v>
      </c>
      <c r="AH24" s="15">
        <f>(3000*3)*2</f>
        <v>18000</v>
      </c>
      <c r="AI24" s="15">
        <f t="shared" ref="AI24:AK24" si="60">(3000*3)*2</f>
        <v>18000</v>
      </c>
      <c r="AJ24" s="15">
        <f t="shared" si="60"/>
        <v>18000</v>
      </c>
      <c r="AK24" s="14">
        <f t="shared" si="60"/>
        <v>18000</v>
      </c>
      <c r="AL24" s="73">
        <f t="shared" si="57"/>
        <v>72000</v>
      </c>
      <c r="AM24" s="80"/>
    </row>
    <row r="25" spans="1:39 16384:16384" x14ac:dyDescent="0.5">
      <c r="A25" s="9" t="s">
        <v>40</v>
      </c>
      <c r="B25" s="32">
        <v>0</v>
      </c>
      <c r="C25" s="32">
        <v>0</v>
      </c>
      <c r="D25" s="32">
        <v>0</v>
      </c>
      <c r="E25" s="15">
        <f t="shared" si="45"/>
        <v>0</v>
      </c>
      <c r="F25" s="94">
        <v>0</v>
      </c>
      <c r="G25" s="94">
        <f>$F$25</f>
        <v>0</v>
      </c>
      <c r="H25" s="94">
        <f t="shared" ref="H25" si="61">$F$25</f>
        <v>0</v>
      </c>
      <c r="I25" s="94">
        <v>0</v>
      </c>
      <c r="J25" s="94">
        <v>0</v>
      </c>
      <c r="K25" s="94">
        <f t="shared" ref="K25:L25" si="62">$I$25</f>
        <v>0</v>
      </c>
      <c r="L25" s="94">
        <f t="shared" si="62"/>
        <v>0</v>
      </c>
      <c r="M25" s="94">
        <v>1200</v>
      </c>
      <c r="N25" s="94">
        <v>1200</v>
      </c>
      <c r="O25" s="94">
        <v>1200</v>
      </c>
      <c r="P25" s="94">
        <v>1200</v>
      </c>
      <c r="Q25" s="77">
        <v>1200</v>
      </c>
      <c r="R25" s="33">
        <f t="shared" si="58"/>
        <v>6000</v>
      </c>
      <c r="S25" s="15">
        <f t="shared" ref="S25" si="63">(1500*3)</f>
        <v>4500</v>
      </c>
      <c r="T25" s="15">
        <f t="shared" ref="T25:V25" si="64">(1500*3)</f>
        <v>4500</v>
      </c>
      <c r="U25" s="15">
        <f t="shared" si="64"/>
        <v>4500</v>
      </c>
      <c r="V25" s="14">
        <f t="shared" si="64"/>
        <v>4500</v>
      </c>
      <c r="W25" s="73">
        <f t="shared" si="51"/>
        <v>18000</v>
      </c>
      <c r="X25" s="15">
        <f t="shared" si="52"/>
        <v>4500</v>
      </c>
      <c r="Y25" s="15">
        <f t="shared" si="52"/>
        <v>4500</v>
      </c>
      <c r="Z25" s="15">
        <f t="shared" si="52"/>
        <v>4500</v>
      </c>
      <c r="AA25" s="14">
        <f t="shared" si="59"/>
        <v>6000</v>
      </c>
      <c r="AB25" s="73">
        <f t="shared" si="53"/>
        <v>19500</v>
      </c>
      <c r="AC25" s="15">
        <v>6000</v>
      </c>
      <c r="AD25" s="15">
        <v>6000</v>
      </c>
      <c r="AE25" s="15">
        <v>6000</v>
      </c>
      <c r="AF25" s="14">
        <f t="shared" ref="AF25" si="65">(4000*3)</f>
        <v>12000</v>
      </c>
      <c r="AG25" s="73">
        <f t="shared" si="55"/>
        <v>30000</v>
      </c>
      <c r="AH25" s="15">
        <v>12000</v>
      </c>
      <c r="AI25" s="15">
        <f t="shared" ref="AI25:AK25" si="66">(6000*3)</f>
        <v>18000</v>
      </c>
      <c r="AJ25" s="15">
        <f t="shared" si="66"/>
        <v>18000</v>
      </c>
      <c r="AK25" s="14">
        <f t="shared" si="66"/>
        <v>18000</v>
      </c>
      <c r="AL25" s="73">
        <f t="shared" si="57"/>
        <v>66000</v>
      </c>
      <c r="AM25" s="80"/>
    </row>
    <row r="26" spans="1:39 16384:16384" x14ac:dyDescent="0.5">
      <c r="A26" s="9" t="s">
        <v>119</v>
      </c>
      <c r="B26" s="32">
        <v>0</v>
      </c>
      <c r="C26" s="32">
        <v>0</v>
      </c>
      <c r="D26" s="32">
        <v>0</v>
      </c>
      <c r="E26" s="15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  <c r="P26" s="94">
        <v>0</v>
      </c>
      <c r="Q26" s="77">
        <v>0</v>
      </c>
      <c r="R26" s="33">
        <v>0</v>
      </c>
      <c r="S26" s="15">
        <f>1500*3</f>
        <v>4500</v>
      </c>
      <c r="T26" s="15">
        <f t="shared" ref="T26:V26" si="67">1500*3</f>
        <v>4500</v>
      </c>
      <c r="U26" s="15">
        <f t="shared" si="67"/>
        <v>4500</v>
      </c>
      <c r="V26" s="14">
        <f t="shared" si="67"/>
        <v>4500</v>
      </c>
      <c r="W26" s="73">
        <f t="shared" si="51"/>
        <v>18000</v>
      </c>
      <c r="X26" s="15">
        <f>2000*3</f>
        <v>6000</v>
      </c>
      <c r="Y26" s="15">
        <f>2000*3</f>
        <v>6000</v>
      </c>
      <c r="Z26" s="15">
        <f t="shared" ref="Z26:AA26" si="68">4000*3</f>
        <v>12000</v>
      </c>
      <c r="AA26" s="14">
        <f t="shared" si="68"/>
        <v>12000</v>
      </c>
      <c r="AB26" s="73">
        <f t="shared" si="53"/>
        <v>36000</v>
      </c>
      <c r="AC26" s="15">
        <f>4000*3</f>
        <v>12000</v>
      </c>
      <c r="AD26" s="15">
        <f t="shared" ref="AD26:AE26" si="69">4000*3</f>
        <v>12000</v>
      </c>
      <c r="AE26" s="15">
        <f t="shared" si="69"/>
        <v>12000</v>
      </c>
      <c r="AF26" s="14">
        <f t="shared" ref="AF26" si="70">6000*3</f>
        <v>18000</v>
      </c>
      <c r="AG26" s="73">
        <f t="shared" si="55"/>
        <v>54000</v>
      </c>
      <c r="AH26" s="15">
        <f>6000*3</f>
        <v>18000</v>
      </c>
      <c r="AI26" s="15">
        <f t="shared" ref="AI26:AK26" si="71">6000*3</f>
        <v>18000</v>
      </c>
      <c r="AJ26" s="15">
        <f t="shared" si="71"/>
        <v>18000</v>
      </c>
      <c r="AK26" s="14">
        <f t="shared" si="71"/>
        <v>18000</v>
      </c>
      <c r="AL26" s="73">
        <f t="shared" si="57"/>
        <v>72000</v>
      </c>
      <c r="AM26" s="80"/>
    </row>
    <row r="27" spans="1:39 16384:16384" x14ac:dyDescent="0.5">
      <c r="A27" s="9" t="s">
        <v>41</v>
      </c>
      <c r="B27" s="32">
        <v>0</v>
      </c>
      <c r="C27" s="32">
        <v>0</v>
      </c>
      <c r="D27" s="32">
        <v>0</v>
      </c>
      <c r="E27" s="15">
        <f t="shared" si="45"/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  <c r="Q27" s="77">
        <v>0</v>
      </c>
      <c r="R27" s="33">
        <f t="shared" si="58"/>
        <v>0</v>
      </c>
      <c r="S27" s="15">
        <v>0</v>
      </c>
      <c r="T27" s="15">
        <v>0</v>
      </c>
      <c r="U27" s="15">
        <v>0</v>
      </c>
      <c r="V27" s="14">
        <v>0</v>
      </c>
      <c r="W27" s="73">
        <f t="shared" si="51"/>
        <v>0</v>
      </c>
      <c r="X27" s="15">
        <v>0</v>
      </c>
      <c r="Y27" s="15">
        <v>0</v>
      </c>
      <c r="Z27" s="15">
        <v>0</v>
      </c>
      <c r="AA27" s="14">
        <v>0</v>
      </c>
      <c r="AB27" s="73">
        <v>0</v>
      </c>
      <c r="AC27" s="15">
        <v>2500</v>
      </c>
      <c r="AD27" s="15">
        <v>2500</v>
      </c>
      <c r="AE27" s="15">
        <v>2500</v>
      </c>
      <c r="AF27" s="14">
        <v>2500</v>
      </c>
      <c r="AG27" s="73">
        <f t="shared" si="55"/>
        <v>10000</v>
      </c>
      <c r="AH27" s="15">
        <v>5000</v>
      </c>
      <c r="AI27" s="15">
        <v>5000</v>
      </c>
      <c r="AJ27" s="15">
        <v>5000</v>
      </c>
      <c r="AK27" s="14">
        <v>5000</v>
      </c>
      <c r="AL27" s="73">
        <f t="shared" si="57"/>
        <v>20000</v>
      </c>
      <c r="AM27" s="80"/>
      <c r="XFD27" s="15"/>
    </row>
    <row r="28" spans="1:39 16384:16384" x14ac:dyDescent="0.5">
      <c r="A28" s="5" t="s">
        <v>42</v>
      </c>
      <c r="B28" s="32"/>
      <c r="C28" s="32"/>
      <c r="D28" s="40"/>
      <c r="E28" s="40"/>
      <c r="F28" s="94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3"/>
      <c r="R28" s="33"/>
      <c r="S28" s="15"/>
      <c r="T28" s="15"/>
      <c r="U28" s="15"/>
      <c r="V28" s="14"/>
      <c r="W28" s="73"/>
      <c r="X28" s="38"/>
      <c r="Y28" s="38"/>
      <c r="Z28" s="38"/>
      <c r="AA28" s="39"/>
      <c r="AB28" s="73"/>
      <c r="AC28" s="38"/>
      <c r="AD28" s="38"/>
      <c r="AE28" s="38"/>
      <c r="AF28" s="39"/>
      <c r="AG28" s="73"/>
      <c r="AH28" s="38"/>
      <c r="AI28" s="38"/>
      <c r="AJ28" s="38"/>
      <c r="AK28" s="39"/>
      <c r="AL28" s="73"/>
      <c r="AM28" s="80"/>
    </row>
    <row r="29" spans="1:39 16384:16384" x14ac:dyDescent="0.5">
      <c r="A29" s="9" t="s">
        <v>43</v>
      </c>
      <c r="B29" s="32">
        <v>0</v>
      </c>
      <c r="C29" s="32">
        <v>0</v>
      </c>
      <c r="D29" s="32">
        <v>0</v>
      </c>
      <c r="E29" s="15">
        <f t="shared" si="45"/>
        <v>0</v>
      </c>
      <c r="F29" s="94">
        <v>0</v>
      </c>
      <c r="G29" s="32">
        <f>$F$29</f>
        <v>0</v>
      </c>
      <c r="H29" s="32">
        <f t="shared" ref="H29:I29" si="72">$F$29</f>
        <v>0</v>
      </c>
      <c r="I29" s="32">
        <f t="shared" si="72"/>
        <v>0</v>
      </c>
      <c r="J29" s="32">
        <v>0</v>
      </c>
      <c r="K29" s="32">
        <v>0</v>
      </c>
      <c r="L29" s="32">
        <f t="shared" ref="L29:Q29" si="73">$J$29</f>
        <v>0</v>
      </c>
      <c r="M29" s="32">
        <f t="shared" si="73"/>
        <v>0</v>
      </c>
      <c r="N29" s="32">
        <f t="shared" si="73"/>
        <v>0</v>
      </c>
      <c r="O29" s="32">
        <f t="shared" si="73"/>
        <v>0</v>
      </c>
      <c r="P29" s="32">
        <f t="shared" si="73"/>
        <v>0</v>
      </c>
      <c r="Q29" s="33">
        <f t="shared" si="73"/>
        <v>0</v>
      </c>
      <c r="R29" s="33">
        <f t="shared" si="58"/>
        <v>0</v>
      </c>
      <c r="S29" s="15">
        <v>3000</v>
      </c>
      <c r="T29" s="15">
        <v>3000</v>
      </c>
      <c r="U29" s="15">
        <v>3000</v>
      </c>
      <c r="V29" s="14">
        <v>3000</v>
      </c>
      <c r="W29" s="73">
        <f t="shared" si="51"/>
        <v>12000</v>
      </c>
      <c r="X29" s="38">
        <v>3000</v>
      </c>
      <c r="Y29" s="38">
        <v>3000</v>
      </c>
      <c r="Z29" s="38">
        <v>3000</v>
      </c>
      <c r="AA29" s="39">
        <v>3000</v>
      </c>
      <c r="AB29" s="73">
        <f t="shared" ref="AB29:AB37" si="74">SUM(X29:AA29)</f>
        <v>12000</v>
      </c>
      <c r="AC29" s="38">
        <v>3000</v>
      </c>
      <c r="AD29" s="38">
        <v>3000</v>
      </c>
      <c r="AE29" s="38">
        <v>3000</v>
      </c>
      <c r="AF29" s="39">
        <v>3000</v>
      </c>
      <c r="AG29" s="73">
        <f t="shared" ref="AG29:AG30" si="75">SUM(AC29:AF29)</f>
        <v>12000</v>
      </c>
      <c r="AH29" s="38">
        <v>3000</v>
      </c>
      <c r="AI29" s="38">
        <v>3000</v>
      </c>
      <c r="AJ29" s="38">
        <v>3000</v>
      </c>
      <c r="AK29" s="39">
        <v>3000</v>
      </c>
      <c r="AL29" s="73">
        <f t="shared" ref="AL29:AL30" si="76">SUM(AH29:AK29)</f>
        <v>12000</v>
      </c>
      <c r="AM29" s="80"/>
    </row>
    <row r="30" spans="1:39 16384:16384" x14ac:dyDescent="0.5">
      <c r="A30" s="9" t="s">
        <v>44</v>
      </c>
      <c r="B30" s="32">
        <v>0</v>
      </c>
      <c r="C30" s="32">
        <v>0</v>
      </c>
      <c r="D30" s="32">
        <v>0</v>
      </c>
      <c r="E30" s="15">
        <f t="shared" si="45"/>
        <v>0</v>
      </c>
      <c r="F30" s="94">
        <v>0</v>
      </c>
      <c r="G30" s="32">
        <f>$F$30</f>
        <v>0</v>
      </c>
      <c r="H30" s="32">
        <f t="shared" ref="H30:I30" si="77">$F$30</f>
        <v>0</v>
      </c>
      <c r="I30" s="32">
        <f t="shared" si="77"/>
        <v>0</v>
      </c>
      <c r="J30" s="32">
        <v>0</v>
      </c>
      <c r="K30" s="32">
        <f>$J$30</f>
        <v>0</v>
      </c>
      <c r="L30" s="32">
        <f t="shared" ref="L30:Q30" si="78">$J$30</f>
        <v>0</v>
      </c>
      <c r="M30" s="32">
        <f t="shared" si="78"/>
        <v>0</v>
      </c>
      <c r="N30" s="32">
        <f t="shared" si="78"/>
        <v>0</v>
      </c>
      <c r="O30" s="32">
        <f t="shared" si="78"/>
        <v>0</v>
      </c>
      <c r="P30" s="32">
        <f t="shared" si="78"/>
        <v>0</v>
      </c>
      <c r="Q30" s="33">
        <f t="shared" si="78"/>
        <v>0</v>
      </c>
      <c r="R30" s="33">
        <f t="shared" si="58"/>
        <v>0</v>
      </c>
      <c r="S30" s="15">
        <v>10000</v>
      </c>
      <c r="T30" s="15">
        <v>100</v>
      </c>
      <c r="U30" s="15">
        <v>100</v>
      </c>
      <c r="V30" s="14">
        <v>100</v>
      </c>
      <c r="W30" s="73">
        <f t="shared" si="51"/>
        <v>10300</v>
      </c>
      <c r="X30" s="38">
        <v>200</v>
      </c>
      <c r="Y30" s="38">
        <v>200</v>
      </c>
      <c r="Z30" s="38">
        <v>200</v>
      </c>
      <c r="AA30" s="39">
        <v>200</v>
      </c>
      <c r="AB30" s="73">
        <f t="shared" si="74"/>
        <v>800</v>
      </c>
      <c r="AC30" s="38">
        <v>200</v>
      </c>
      <c r="AD30" s="38">
        <v>200</v>
      </c>
      <c r="AE30" s="38">
        <v>200</v>
      </c>
      <c r="AF30" s="39">
        <v>200</v>
      </c>
      <c r="AG30" s="73">
        <f t="shared" si="75"/>
        <v>800</v>
      </c>
      <c r="AH30" s="38">
        <v>15000</v>
      </c>
      <c r="AI30" s="38">
        <v>350</v>
      </c>
      <c r="AJ30" s="38">
        <v>350</v>
      </c>
      <c r="AK30" s="39">
        <v>350</v>
      </c>
      <c r="AL30" s="73">
        <f t="shared" si="76"/>
        <v>16050</v>
      </c>
      <c r="AM30" s="80"/>
    </row>
    <row r="31" spans="1:39 16384:16384" x14ac:dyDescent="0.5">
      <c r="A31" s="5" t="s">
        <v>45</v>
      </c>
      <c r="B31" s="32"/>
      <c r="C31" s="32"/>
      <c r="D31" s="40"/>
      <c r="E31" s="40"/>
      <c r="F31" s="94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  <c r="R31" s="33"/>
      <c r="S31" s="15"/>
      <c r="T31" s="15"/>
      <c r="U31" s="15"/>
      <c r="V31" s="14"/>
      <c r="W31" s="73"/>
      <c r="X31" s="38"/>
      <c r="Y31" s="38"/>
      <c r="Z31" s="38"/>
      <c r="AA31" s="39"/>
      <c r="AB31" s="73"/>
      <c r="AC31" s="38"/>
      <c r="AD31" s="38"/>
      <c r="AE31" s="38"/>
      <c r="AF31" s="39"/>
      <c r="AG31" s="73"/>
      <c r="AH31" s="38"/>
      <c r="AI31" s="38"/>
      <c r="AJ31" s="38"/>
      <c r="AK31" s="39"/>
      <c r="AL31" s="73"/>
      <c r="AM31" s="80"/>
    </row>
    <row r="32" spans="1:39 16384:16384" x14ac:dyDescent="0.5">
      <c r="A32" s="9" t="s">
        <v>46</v>
      </c>
      <c r="B32" s="32">
        <v>0</v>
      </c>
      <c r="C32" s="32">
        <v>0</v>
      </c>
      <c r="D32" s="32">
        <v>0</v>
      </c>
      <c r="E32" s="15">
        <f t="shared" ref="E32:E33" si="79">SUM(B32:D32)</f>
        <v>0</v>
      </c>
      <c r="F32" s="94">
        <v>0</v>
      </c>
      <c r="G32" s="94">
        <v>0</v>
      </c>
      <c r="H32" s="94">
        <v>0</v>
      </c>
      <c r="I32" s="94">
        <v>0</v>
      </c>
      <c r="J32" s="94">
        <v>0</v>
      </c>
      <c r="K32" s="94">
        <v>0</v>
      </c>
      <c r="L32" s="94">
        <v>0</v>
      </c>
      <c r="M32" s="94">
        <v>0</v>
      </c>
      <c r="N32" s="94">
        <v>0</v>
      </c>
      <c r="O32" s="94">
        <v>0</v>
      </c>
      <c r="P32" s="94">
        <v>0</v>
      </c>
      <c r="Q32" s="77">
        <v>0</v>
      </c>
      <c r="R32" s="33">
        <f t="shared" si="58"/>
        <v>0</v>
      </c>
      <c r="S32" s="15">
        <v>0</v>
      </c>
      <c r="T32" s="15">
        <v>0</v>
      </c>
      <c r="U32" s="15">
        <v>0</v>
      </c>
      <c r="V32" s="14">
        <v>0</v>
      </c>
      <c r="W32" s="73">
        <f t="shared" si="51"/>
        <v>0</v>
      </c>
      <c r="X32" s="38">
        <v>600</v>
      </c>
      <c r="Y32" s="38">
        <v>900</v>
      </c>
      <c r="Z32" s="38">
        <v>900</v>
      </c>
      <c r="AA32" s="39">
        <v>900</v>
      </c>
      <c r="AB32" s="73">
        <f t="shared" si="74"/>
        <v>3300</v>
      </c>
      <c r="AC32" s="38">
        <v>600</v>
      </c>
      <c r="AD32" s="38">
        <v>900</v>
      </c>
      <c r="AE32" s="38">
        <v>900</v>
      </c>
      <c r="AF32" s="39">
        <v>900</v>
      </c>
      <c r="AG32" s="73">
        <f t="shared" ref="AG32:AG33" si="80">SUM(AC32:AF32)</f>
        <v>3300</v>
      </c>
      <c r="AH32" s="38">
        <v>600</v>
      </c>
      <c r="AI32" s="38">
        <v>900</v>
      </c>
      <c r="AJ32" s="38">
        <v>900</v>
      </c>
      <c r="AK32" s="39">
        <v>900</v>
      </c>
      <c r="AL32" s="73">
        <f t="shared" ref="AL32:AL33" si="81">SUM(AH32:AK32)</f>
        <v>3300</v>
      </c>
      <c r="AM32" s="80"/>
    </row>
    <row r="33" spans="1:39" x14ac:dyDescent="0.5">
      <c r="A33" s="9" t="s">
        <v>86</v>
      </c>
      <c r="B33" s="32">
        <v>0</v>
      </c>
      <c r="C33" s="32">
        <v>0</v>
      </c>
      <c r="D33" s="32">
        <v>0</v>
      </c>
      <c r="E33" s="15">
        <f t="shared" si="79"/>
        <v>0</v>
      </c>
      <c r="F33" s="94">
        <v>0</v>
      </c>
      <c r="G33" s="94">
        <v>0</v>
      </c>
      <c r="H33" s="94">
        <v>100</v>
      </c>
      <c r="I33" s="94">
        <v>100</v>
      </c>
      <c r="J33" s="94">
        <v>100</v>
      </c>
      <c r="K33" s="94">
        <v>100</v>
      </c>
      <c r="L33" s="94">
        <v>100</v>
      </c>
      <c r="M33" s="94">
        <v>100</v>
      </c>
      <c r="N33" s="94">
        <v>100</v>
      </c>
      <c r="O33" s="94">
        <v>100</v>
      </c>
      <c r="P33" s="94">
        <v>100</v>
      </c>
      <c r="Q33" s="77">
        <v>100</v>
      </c>
      <c r="R33" s="33">
        <f t="shared" si="58"/>
        <v>1000</v>
      </c>
      <c r="S33" s="94">
        <v>500</v>
      </c>
      <c r="T33" s="94">
        <v>500</v>
      </c>
      <c r="U33" s="94">
        <v>500</v>
      </c>
      <c r="V33" s="77">
        <v>500</v>
      </c>
      <c r="W33" s="73">
        <f t="shared" si="51"/>
        <v>2000</v>
      </c>
      <c r="X33" s="70">
        <v>500</v>
      </c>
      <c r="Y33" s="94">
        <v>500</v>
      </c>
      <c r="Z33" s="94">
        <v>500</v>
      </c>
      <c r="AA33" s="77">
        <v>500</v>
      </c>
      <c r="AB33" s="73">
        <f t="shared" si="74"/>
        <v>2000</v>
      </c>
      <c r="AC33" s="70">
        <v>500</v>
      </c>
      <c r="AD33" s="94">
        <v>500</v>
      </c>
      <c r="AE33" s="94">
        <v>500</v>
      </c>
      <c r="AF33" s="77">
        <v>500</v>
      </c>
      <c r="AG33" s="73">
        <f t="shared" si="80"/>
        <v>2000</v>
      </c>
      <c r="AH33" s="70">
        <v>500</v>
      </c>
      <c r="AI33" s="94">
        <v>500</v>
      </c>
      <c r="AJ33" s="94">
        <v>500</v>
      </c>
      <c r="AK33" s="77">
        <v>500</v>
      </c>
      <c r="AL33" s="73">
        <f t="shared" si="81"/>
        <v>2000</v>
      </c>
      <c r="AM33" s="80"/>
    </row>
    <row r="34" spans="1:39" x14ac:dyDescent="0.5">
      <c r="A34" s="5" t="s">
        <v>48</v>
      </c>
      <c r="B34" s="32"/>
      <c r="C34" s="32"/>
      <c r="D34" s="32"/>
      <c r="E34" s="32"/>
      <c r="F34" s="94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3"/>
      <c r="R34" s="33"/>
      <c r="S34" s="15"/>
      <c r="T34" s="15"/>
      <c r="U34" s="15"/>
      <c r="V34" s="14"/>
      <c r="W34" s="73"/>
      <c r="X34" s="38"/>
      <c r="Y34" s="38"/>
      <c r="Z34" s="38"/>
      <c r="AA34" s="39"/>
      <c r="AB34" s="73"/>
      <c r="AC34" s="38"/>
      <c r="AD34" s="38"/>
      <c r="AE34" s="38"/>
      <c r="AF34" s="39"/>
      <c r="AG34" s="73"/>
      <c r="AH34" s="38"/>
      <c r="AI34" s="38"/>
      <c r="AJ34" s="38"/>
      <c r="AK34" s="39"/>
      <c r="AL34" s="73"/>
      <c r="AM34" s="80"/>
    </row>
    <row r="35" spans="1:39" x14ac:dyDescent="0.5">
      <c r="A35" s="9" t="s">
        <v>49</v>
      </c>
      <c r="B35" s="32">
        <v>0</v>
      </c>
      <c r="C35" s="32">
        <v>0</v>
      </c>
      <c r="D35" s="32">
        <v>0</v>
      </c>
      <c r="E35" s="15">
        <f t="shared" ref="E35:E37" si="82">SUM(B35:D35)</f>
        <v>0</v>
      </c>
      <c r="F35" s="94">
        <f t="shared" ref="F35:Q35" si="83">F12*$B$76</f>
        <v>1.3548109088372029</v>
      </c>
      <c r="G35" s="94">
        <f t="shared" si="83"/>
        <v>1.935444155481719</v>
      </c>
      <c r="H35" s="94">
        <f t="shared" si="83"/>
        <v>3.2487812609871707</v>
      </c>
      <c r="I35" s="94">
        <f t="shared" si="83"/>
        <v>5.1427516131371389</v>
      </c>
      <c r="J35" s="94">
        <f t="shared" si="83"/>
        <v>6.4699133197531751</v>
      </c>
      <c r="K35" s="94">
        <f t="shared" si="83"/>
        <v>8.6680248963359841</v>
      </c>
      <c r="L35" s="94">
        <f t="shared" si="83"/>
        <v>13.008949645059268</v>
      </c>
      <c r="M35" s="94">
        <f t="shared" si="83"/>
        <v>17.239277584897881</v>
      </c>
      <c r="N35" s="94">
        <f t="shared" si="83"/>
        <v>24.137753539079153</v>
      </c>
      <c r="O35" s="94">
        <f t="shared" si="83"/>
        <v>32.847252238746883</v>
      </c>
      <c r="P35" s="94">
        <f t="shared" si="83"/>
        <v>40.713450270669021</v>
      </c>
      <c r="Q35" s="77">
        <f t="shared" si="83"/>
        <v>50.598040064736367</v>
      </c>
      <c r="R35" s="33">
        <f t="shared" si="58"/>
        <v>205.36444949772095</v>
      </c>
      <c r="S35" s="15">
        <f>S12*$B$76</f>
        <v>255.05876953124999</v>
      </c>
      <c r="T35" s="15">
        <f>T12*$B$76</f>
        <v>292.763109375</v>
      </c>
      <c r="U35" s="15">
        <f>U12*$B$76</f>
        <v>345.992765625</v>
      </c>
      <c r="V35" s="14">
        <f>V12*$B$76</f>
        <v>443.58046875000002</v>
      </c>
      <c r="W35" s="73">
        <v>1000</v>
      </c>
      <c r="X35" s="15">
        <f>X12*$B$76</f>
        <v>586.63516992187488</v>
      </c>
      <c r="Y35" s="15">
        <f>Y12*$B$76</f>
        <v>754.35515156250005</v>
      </c>
      <c r="Z35" s="15">
        <f>Z12*$B$76</f>
        <v>876.78336093749999</v>
      </c>
      <c r="AA35" s="14">
        <f>AA12*$B$76</f>
        <v>1101.235078125</v>
      </c>
      <c r="AB35" s="73">
        <f t="shared" si="74"/>
        <v>3319.0087605468743</v>
      </c>
      <c r="AC35" s="15">
        <f>AC12*$B$76</f>
        <v>1653.0108908203122</v>
      </c>
      <c r="AD35" s="15">
        <f>AD12*$B$76</f>
        <v>1852.46684859375</v>
      </c>
      <c r="AE35" s="15">
        <f>AE12*$B$76</f>
        <v>2134.0517301562495</v>
      </c>
      <c r="AF35" s="14">
        <f>AF12*$B$76</f>
        <v>2650.2906796874995</v>
      </c>
      <c r="AG35" s="73">
        <f t="shared" ref="AG35:AG37" si="84">SUM(AC35:AF35)</f>
        <v>8289.8201492578119</v>
      </c>
      <c r="AH35" s="15">
        <f>AH12*$B$76</f>
        <v>3778.3000488867174</v>
      </c>
      <c r="AI35" s="15">
        <f>AI12*$B$76</f>
        <v>4237.0487517656238</v>
      </c>
      <c r="AJ35" s="15">
        <f>AJ12*$B$76</f>
        <v>4884.6939793593738</v>
      </c>
      <c r="AK35" s="14">
        <f>AK12*$B$76</f>
        <v>6072.0435632812487</v>
      </c>
      <c r="AL35" s="73">
        <f t="shared" ref="AL35:AL37" si="85">SUM(AH35:AK35)</f>
        <v>18972.086343292962</v>
      </c>
      <c r="AM35" s="80"/>
    </row>
    <row r="36" spans="1:39" x14ac:dyDescent="0.5">
      <c r="A36" s="9" t="s">
        <v>50</v>
      </c>
      <c r="B36" s="32">
        <v>0</v>
      </c>
      <c r="C36" s="32">
        <v>0</v>
      </c>
      <c r="D36" s="32">
        <v>0</v>
      </c>
      <c r="E36" s="15">
        <f t="shared" si="82"/>
        <v>0</v>
      </c>
      <c r="F36" s="94">
        <v>16</v>
      </c>
      <c r="G36" s="94">
        <f>$F$36</f>
        <v>16</v>
      </c>
      <c r="H36" s="94">
        <f t="shared" ref="H36:Q36" si="86">$F$36</f>
        <v>16</v>
      </c>
      <c r="I36" s="94">
        <f t="shared" si="86"/>
        <v>16</v>
      </c>
      <c r="J36" s="94">
        <f t="shared" si="86"/>
        <v>16</v>
      </c>
      <c r="K36" s="94">
        <f t="shared" si="86"/>
        <v>16</v>
      </c>
      <c r="L36" s="94">
        <f t="shared" si="86"/>
        <v>16</v>
      </c>
      <c r="M36" s="94">
        <f t="shared" si="86"/>
        <v>16</v>
      </c>
      <c r="N36" s="94">
        <f t="shared" si="86"/>
        <v>16</v>
      </c>
      <c r="O36" s="94">
        <f t="shared" si="86"/>
        <v>16</v>
      </c>
      <c r="P36" s="94">
        <f t="shared" si="86"/>
        <v>16</v>
      </c>
      <c r="Q36" s="77">
        <f t="shared" si="86"/>
        <v>16</v>
      </c>
      <c r="R36" s="33">
        <f t="shared" si="58"/>
        <v>192</v>
      </c>
      <c r="S36" s="15">
        <f>(16*3)</f>
        <v>48</v>
      </c>
      <c r="T36" s="15">
        <f>(16*3)</f>
        <v>48</v>
      </c>
      <c r="U36" s="15">
        <f>(16*3)</f>
        <v>48</v>
      </c>
      <c r="V36" s="14">
        <f>(16*3)</f>
        <v>48</v>
      </c>
      <c r="W36" s="73">
        <f t="shared" si="51"/>
        <v>192</v>
      </c>
      <c r="X36" s="15">
        <f>(16*3)</f>
        <v>48</v>
      </c>
      <c r="Y36" s="15">
        <f>(16*3)</f>
        <v>48</v>
      </c>
      <c r="Z36" s="15">
        <f>(16*3)</f>
        <v>48</v>
      </c>
      <c r="AA36" s="14">
        <f>(16*3)</f>
        <v>48</v>
      </c>
      <c r="AB36" s="73">
        <f t="shared" si="74"/>
        <v>192</v>
      </c>
      <c r="AC36" s="15">
        <f>(16*3)</f>
        <v>48</v>
      </c>
      <c r="AD36" s="15">
        <f>(16*3)</f>
        <v>48</v>
      </c>
      <c r="AE36" s="15">
        <f>(16*3)</f>
        <v>48</v>
      </c>
      <c r="AF36" s="14">
        <f>(16*3)</f>
        <v>48</v>
      </c>
      <c r="AG36" s="73">
        <f t="shared" si="84"/>
        <v>192</v>
      </c>
      <c r="AH36" s="15">
        <f>(16*3)</f>
        <v>48</v>
      </c>
      <c r="AI36" s="15">
        <f>(16*3)</f>
        <v>48</v>
      </c>
      <c r="AJ36" s="15">
        <f>(16*3)</f>
        <v>48</v>
      </c>
      <c r="AK36" s="14">
        <f>(16*3)</f>
        <v>48</v>
      </c>
      <c r="AL36" s="73">
        <f t="shared" si="85"/>
        <v>192</v>
      </c>
      <c r="AM36" s="80"/>
    </row>
    <row r="37" spans="1:39" ht="14.7" thickBot="1" x14ac:dyDescent="0.55000000000000004">
      <c r="A37" s="9" t="s">
        <v>51</v>
      </c>
      <c r="B37" s="32">
        <v>0</v>
      </c>
      <c r="C37" s="32">
        <v>0</v>
      </c>
      <c r="D37" s="32">
        <v>0</v>
      </c>
      <c r="E37" s="32">
        <f t="shared" si="82"/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77">
        <v>0</v>
      </c>
      <c r="R37" s="33">
        <f t="shared" si="58"/>
        <v>0</v>
      </c>
      <c r="S37" s="15">
        <v>0</v>
      </c>
      <c r="T37" s="15">
        <v>0</v>
      </c>
      <c r="U37" s="15">
        <v>0</v>
      </c>
      <c r="V37" s="14">
        <v>0</v>
      </c>
      <c r="W37" s="73">
        <f t="shared" si="51"/>
        <v>0</v>
      </c>
      <c r="X37" s="38">
        <v>0</v>
      </c>
      <c r="Y37" s="38">
        <v>0</v>
      </c>
      <c r="Z37" s="38">
        <v>0</v>
      </c>
      <c r="AA37" s="39">
        <v>0</v>
      </c>
      <c r="AB37" s="73">
        <f t="shared" si="74"/>
        <v>0</v>
      </c>
      <c r="AC37" s="38">
        <v>0</v>
      </c>
      <c r="AD37" s="38">
        <v>0</v>
      </c>
      <c r="AE37" s="38">
        <v>0</v>
      </c>
      <c r="AF37" s="39">
        <v>0</v>
      </c>
      <c r="AG37" s="73">
        <f t="shared" si="84"/>
        <v>0</v>
      </c>
      <c r="AH37" s="38">
        <v>1500</v>
      </c>
      <c r="AI37" s="38">
        <v>1500</v>
      </c>
      <c r="AJ37" s="38">
        <v>1500</v>
      </c>
      <c r="AK37" s="39">
        <v>1500</v>
      </c>
      <c r="AL37" s="73">
        <f t="shared" si="85"/>
        <v>6000</v>
      </c>
      <c r="AM37" s="80"/>
    </row>
    <row r="38" spans="1:39" ht="14.7" thickBot="1" x14ac:dyDescent="0.55000000000000004">
      <c r="A38" s="41" t="s">
        <v>52</v>
      </c>
      <c r="B38" s="42">
        <f t="shared" ref="B38:AL38" si="87">SUM(B22:B37)</f>
        <v>0</v>
      </c>
      <c r="C38" s="42">
        <f t="shared" si="87"/>
        <v>0</v>
      </c>
      <c r="D38" s="42">
        <f t="shared" si="87"/>
        <v>0</v>
      </c>
      <c r="E38" s="42">
        <f t="shared" si="87"/>
        <v>0</v>
      </c>
      <c r="F38" s="42">
        <f t="shared" si="87"/>
        <v>17.354810908837202</v>
      </c>
      <c r="G38" s="42">
        <f t="shared" si="87"/>
        <v>17.935444155481719</v>
      </c>
      <c r="H38" s="42">
        <f t="shared" si="87"/>
        <v>4119.248781260987</v>
      </c>
      <c r="I38" s="42">
        <f t="shared" si="87"/>
        <v>4121.1427516131371</v>
      </c>
      <c r="J38" s="42">
        <f t="shared" si="87"/>
        <v>4122.4699133197528</v>
      </c>
      <c r="K38" s="42">
        <f t="shared" si="87"/>
        <v>4124.6680248963357</v>
      </c>
      <c r="L38" s="42">
        <f t="shared" si="87"/>
        <v>4129.0089496450591</v>
      </c>
      <c r="M38" s="42">
        <f t="shared" si="87"/>
        <v>5333.2392775848975</v>
      </c>
      <c r="N38" s="42">
        <f t="shared" si="87"/>
        <v>5340.1377535390793</v>
      </c>
      <c r="O38" s="42">
        <f t="shared" si="87"/>
        <v>5348.8472522387465</v>
      </c>
      <c r="P38" s="42">
        <f t="shared" si="87"/>
        <v>5356.7134502706695</v>
      </c>
      <c r="Q38" s="203">
        <f t="shared" si="87"/>
        <v>5366.5980400647368</v>
      </c>
      <c r="R38" s="42">
        <f t="shared" si="87"/>
        <v>47397.36444949772</v>
      </c>
      <c r="S38" s="42">
        <f t="shared" si="87"/>
        <v>40803.05876953125</v>
      </c>
      <c r="T38" s="42">
        <f t="shared" si="87"/>
        <v>30940.763109374999</v>
      </c>
      <c r="U38" s="42">
        <f t="shared" si="87"/>
        <v>30993.992765625</v>
      </c>
      <c r="V38" s="203">
        <f t="shared" si="87"/>
        <v>35591.580468749999</v>
      </c>
      <c r="W38" s="208">
        <f t="shared" si="87"/>
        <v>137992</v>
      </c>
      <c r="X38" s="42">
        <f t="shared" si="87"/>
        <v>54434.635169921872</v>
      </c>
      <c r="Y38" s="42">
        <f t="shared" si="87"/>
        <v>54902.3551515625</v>
      </c>
      <c r="Z38" s="42">
        <f t="shared" si="87"/>
        <v>61024.783360937501</v>
      </c>
      <c r="AA38" s="203">
        <f t="shared" si="87"/>
        <v>65749.235078124999</v>
      </c>
      <c r="AB38" s="208">
        <f t="shared" si="87"/>
        <v>236111.00876054689</v>
      </c>
      <c r="AC38" s="42">
        <f t="shared" si="87"/>
        <v>79501.010890820311</v>
      </c>
      <c r="AD38" s="42">
        <f t="shared" si="87"/>
        <v>80000.466848593744</v>
      </c>
      <c r="AE38" s="42">
        <f t="shared" si="87"/>
        <v>86282.05173015625</v>
      </c>
      <c r="AF38" s="203">
        <f t="shared" si="87"/>
        <v>110798.2906796875</v>
      </c>
      <c r="AG38" s="208">
        <f t="shared" si="87"/>
        <v>356581.82014925784</v>
      </c>
      <c r="AH38" s="42">
        <f t="shared" si="87"/>
        <v>139426.30004888671</v>
      </c>
      <c r="AI38" s="42">
        <f t="shared" si="87"/>
        <v>131535.04875176563</v>
      </c>
      <c r="AJ38" s="42">
        <f t="shared" si="87"/>
        <v>132182.69397935938</v>
      </c>
      <c r="AK38" s="203">
        <f t="shared" si="87"/>
        <v>133370.04356328124</v>
      </c>
      <c r="AL38" s="208">
        <f t="shared" si="87"/>
        <v>536514.08634329296</v>
      </c>
    </row>
    <row r="39" spans="1:39" x14ac:dyDescent="0.5">
      <c r="A39" s="24" t="s">
        <v>53</v>
      </c>
      <c r="B39" s="43">
        <f>B12-(B18+B38)</f>
        <v>-70.2</v>
      </c>
      <c r="C39" s="43">
        <f>C12-(C18+C38)</f>
        <v>-80.599999999999994</v>
      </c>
      <c r="D39" s="43">
        <f>D12-(D18+D38)</f>
        <v>-81</v>
      </c>
      <c r="E39" s="43">
        <f>SUM(B39:D39)</f>
        <v>-231.8</v>
      </c>
      <c r="F39" s="43">
        <f t="shared" ref="F39:Q39" si="88">F12-(F18+F38)</f>
        <v>-209.13781290796487</v>
      </c>
      <c r="G39" s="43">
        <f t="shared" si="88"/>
        <v>-113.14947603675847</v>
      </c>
      <c r="H39" s="43">
        <f t="shared" si="88"/>
        <v>-4188.311762787057</v>
      </c>
      <c r="I39" s="43">
        <f t="shared" si="88"/>
        <v>-4108.3894258327637</v>
      </c>
      <c r="J39" s="43">
        <f t="shared" si="88"/>
        <v>-3962.170148023517</v>
      </c>
      <c r="K39" s="43">
        <f t="shared" si="88"/>
        <v>-3887.6735412307771</v>
      </c>
      <c r="L39" s="43">
        <f t="shared" si="88"/>
        <v>-3779.7309553360269</v>
      </c>
      <c r="M39" s="43">
        <f t="shared" si="88"/>
        <v>-4670.8086036383338</v>
      </c>
      <c r="N39" s="43">
        <f t="shared" si="88"/>
        <v>-4430.9690502536396</v>
      </c>
      <c r="O39" s="43">
        <f t="shared" si="88"/>
        <v>-3983.8489357281228</v>
      </c>
      <c r="P39" s="43">
        <f t="shared" si="88"/>
        <v>-3350.3339808789551</v>
      </c>
      <c r="Q39" s="201">
        <f t="shared" si="88"/>
        <v>-2839.462211738361</v>
      </c>
      <c r="R39" s="201">
        <f>SUM(F39:Q39)</f>
        <v>-39523.985904392277</v>
      </c>
      <c r="S39" s="43">
        <f>S12-(S18+S38)</f>
        <v>-25728.48845703125</v>
      </c>
      <c r="T39" s="43">
        <f>T12-(T18+T38)</f>
        <v>-10242.028734374999</v>
      </c>
      <c r="U39" s="43">
        <f>U12-(U18+U38)</f>
        <v>-6613.6490156250002</v>
      </c>
      <c r="V39" s="201">
        <f>V12-(V18+V38)</f>
        <v>-4671.5804687499985</v>
      </c>
      <c r="W39" s="78">
        <f>SUM(S39:V39)</f>
        <v>-47255.746675781251</v>
      </c>
      <c r="X39" s="43">
        <f>X12-(X18+X38)</f>
        <v>-19529.123451171879</v>
      </c>
      <c r="Y39" s="43">
        <f>Y12-(Y18+Y38)</f>
        <v>-1061.2660890624975</v>
      </c>
      <c r="Z39" s="43">
        <f>Z12-(Z18+Z38)</f>
        <v>1284.0072640625003</v>
      </c>
      <c r="AA39" s="201">
        <f>AA12-(AA18+AA38)</f>
        <v>11600.764921875001</v>
      </c>
      <c r="AB39" s="78">
        <f>SUM(X39:AA39)</f>
        <v>-7705.6173542968754</v>
      </c>
      <c r="AC39" s="43">
        <f>AC12-(AC18+AC38)</f>
        <v>23515.666062304677</v>
      </c>
      <c r="AD39" s="43">
        <f>AD12-(AD18+AD38)</f>
        <v>52768.037995156265</v>
      </c>
      <c r="AE39" s="43">
        <f>AE12-(AE18+AE38)</f>
        <v>65962.166707343698</v>
      </c>
      <c r="AF39" s="201">
        <f>AF12-(AF18+AF38)</f>
        <v>76040.709320312468</v>
      </c>
      <c r="AG39" s="78">
        <f>SUM(AC39:AF39)</f>
        <v>218286.58008511714</v>
      </c>
      <c r="AH39" s="43">
        <f>AH12-(AH18+AH38)</f>
        <v>95996.056943300704</v>
      </c>
      <c r="AI39" s="43">
        <f>AI12-(AI18+AI38)</f>
        <v>172316.51238885932</v>
      </c>
      <c r="AJ39" s="43">
        <f>AJ12-(AJ18+AJ38)</f>
        <v>216463.00842689053</v>
      </c>
      <c r="AK39" s="201">
        <f>AK12-(AK18+AK38)</f>
        <v>294843.65643671865</v>
      </c>
      <c r="AL39" s="78">
        <f>SUM(AH39:AK39)</f>
        <v>779619.2341957693</v>
      </c>
      <c r="AM39" s="80"/>
    </row>
    <row r="40" spans="1:39" ht="14.7" thickBot="1" x14ac:dyDescent="0.55000000000000004">
      <c r="A40" s="9" t="s">
        <v>54</v>
      </c>
      <c r="B40" s="44">
        <f>IF(B39&gt;0,B39*0.19,0)</f>
        <v>0</v>
      </c>
      <c r="C40" s="44">
        <f t="shared" ref="C40:E40" si="89">IF(C39&gt;0,C39*0.19,0)</f>
        <v>0</v>
      </c>
      <c r="D40" s="44">
        <f t="shared" si="89"/>
        <v>0</v>
      </c>
      <c r="E40" s="44">
        <f t="shared" si="89"/>
        <v>0</v>
      </c>
      <c r="F40" s="44">
        <f t="shared" ref="F40" si="90">IF(F39&gt;0,F39*0.19,0)</f>
        <v>0</v>
      </c>
      <c r="G40" s="44">
        <f t="shared" ref="G40:H40" si="91">IF(G39&gt;0,G39*0.19,0)</f>
        <v>0</v>
      </c>
      <c r="H40" s="44">
        <f t="shared" si="91"/>
        <v>0</v>
      </c>
      <c r="I40" s="44">
        <f t="shared" ref="I40" si="92">IF(I39&gt;0,I39*0.19,0)</f>
        <v>0</v>
      </c>
      <c r="J40" s="44">
        <f t="shared" ref="J40:K40" si="93">IF(J39&gt;0,J39*0.19,0)</f>
        <v>0</v>
      </c>
      <c r="K40" s="44">
        <f t="shared" si="93"/>
        <v>0</v>
      </c>
      <c r="L40" s="44">
        <f t="shared" ref="L40" si="94">IF(L39&gt;0,L39*0.19,0)</f>
        <v>0</v>
      </c>
      <c r="M40" s="44">
        <f t="shared" ref="M40:N40" si="95">IF(M39&gt;0,M39*0.19,0)</f>
        <v>0</v>
      </c>
      <c r="N40" s="44">
        <f t="shared" si="95"/>
        <v>0</v>
      </c>
      <c r="O40" s="44">
        <f t="shared" ref="O40" si="96">IF(O39&gt;0,O39*0.19,0)</f>
        <v>0</v>
      </c>
      <c r="P40" s="44">
        <f t="shared" ref="P40" si="97">IF(P39&gt;0,P39*0.19,0)</f>
        <v>0</v>
      </c>
      <c r="Q40" s="204">
        <f>IF(Q39&gt;0,Q39*0.19,0)</f>
        <v>0</v>
      </c>
      <c r="R40" s="44">
        <f t="shared" ref="R40" si="98">IF(R39&gt;0,R39*0.19,0)</f>
        <v>0</v>
      </c>
      <c r="S40" s="44">
        <f t="shared" ref="S40" si="99">IF(S39&gt;0,S39*0.19,0)</f>
        <v>0</v>
      </c>
      <c r="T40" s="44">
        <f t="shared" ref="T40" si="100">IF(T39&gt;0,T39*0.19,0)</f>
        <v>0</v>
      </c>
      <c r="U40" s="44">
        <f t="shared" ref="U40" si="101">IF(U39&gt;0,U39*0.19,0)</f>
        <v>0</v>
      </c>
      <c r="V40" s="204">
        <f t="shared" ref="V40" si="102">IF(V39&gt;0,V39*0.19,0)</f>
        <v>0</v>
      </c>
      <c r="W40" s="209">
        <f t="shared" ref="W40" si="103">IF(W39&gt;0,W39*0.19,0)</f>
        <v>0</v>
      </c>
      <c r="X40" s="44">
        <f>IF(X39&gt;0,X39*0.19,0)</f>
        <v>0</v>
      </c>
      <c r="Y40" s="44">
        <f t="shared" ref="Y40" si="104">IF(Y39&gt;0,Y39*0.19,0)</f>
        <v>0</v>
      </c>
      <c r="Z40" s="44">
        <f t="shared" ref="Z40" si="105">IF(Z39&gt;0,Z39*0.19,0)</f>
        <v>243.96138017187508</v>
      </c>
      <c r="AA40" s="204">
        <f t="shared" ref="AA40" si="106">IF(AA39&gt;0,AA39*0.19,0)</f>
        <v>2204.1453351562504</v>
      </c>
      <c r="AB40" s="209">
        <f t="shared" ref="AB40" si="107">IF(AB39&gt;0,AB39*0.19,0)</f>
        <v>0</v>
      </c>
      <c r="AC40" s="44">
        <f>IF(AC39&gt;0,AC39*0.19,0)</f>
        <v>4467.976551837889</v>
      </c>
      <c r="AD40" s="44">
        <f t="shared" ref="AD40" si="108">IF(AD39&gt;0,AD39*0.19,0)</f>
        <v>10025.927219079691</v>
      </c>
      <c r="AE40" s="44">
        <f t="shared" ref="AE40" si="109">IF(AE39&gt;0,AE39*0.19,0)</f>
        <v>12532.811674395303</v>
      </c>
      <c r="AF40" s="204">
        <f t="shared" ref="AF40" si="110">IF(AF39&gt;0,AF39*0.19,0)</f>
        <v>14447.73477085937</v>
      </c>
      <c r="AG40" s="209">
        <f t="shared" ref="AG40" si="111">IF(AG39&gt;0,AG39*0.19,0)</f>
        <v>41474.450216172256</v>
      </c>
      <c r="AH40" s="44">
        <f t="shared" ref="AH40" si="112">IF(AH39&gt;0,AH39*0.19,0)</f>
        <v>18239.250819227134</v>
      </c>
      <c r="AI40" s="44">
        <f t="shared" ref="AI40" si="113">IF(AI39&gt;0,AI39*0.19,0)</f>
        <v>32740.13735388327</v>
      </c>
      <c r="AJ40" s="44">
        <f t="shared" ref="AJ40" si="114">IF(AJ39&gt;0,AJ39*0.19,0)</f>
        <v>41127.971601109202</v>
      </c>
      <c r="AK40" s="204">
        <f t="shared" ref="AK40" si="115">IF(AK39&gt;0,AK39*0.19,0)</f>
        <v>56020.294722976541</v>
      </c>
      <c r="AL40" s="209">
        <f t="shared" ref="AL40" si="116">IF(AL39&gt;0,AL39*0.19,0)</f>
        <v>148127.65449719617</v>
      </c>
      <c r="AM40" s="80"/>
    </row>
    <row r="41" spans="1:39" ht="14.7" thickBot="1" x14ac:dyDescent="0.55000000000000004">
      <c r="A41" s="41" t="s">
        <v>55</v>
      </c>
      <c r="B41" s="45">
        <f>B39-B40</f>
        <v>-70.2</v>
      </c>
      <c r="C41" s="45">
        <f t="shared" ref="C41:E41" si="117">C39-C40</f>
        <v>-80.599999999999994</v>
      </c>
      <c r="D41" s="45">
        <f t="shared" si="117"/>
        <v>-81</v>
      </c>
      <c r="E41" s="45">
        <f t="shared" si="117"/>
        <v>-231.8</v>
      </c>
      <c r="F41" s="45">
        <f t="shared" ref="F41" si="118">F39-F40</f>
        <v>-209.13781290796487</v>
      </c>
      <c r="G41" s="45">
        <f t="shared" ref="G41:H41" si="119">G39-G40</f>
        <v>-113.14947603675847</v>
      </c>
      <c r="H41" s="45">
        <f t="shared" si="119"/>
        <v>-4188.311762787057</v>
      </c>
      <c r="I41" s="45">
        <f t="shared" ref="I41" si="120">I39-I40</f>
        <v>-4108.3894258327637</v>
      </c>
      <c r="J41" s="45">
        <f t="shared" ref="J41:K41" si="121">J39-J40</f>
        <v>-3962.170148023517</v>
      </c>
      <c r="K41" s="45">
        <f t="shared" si="121"/>
        <v>-3887.6735412307771</v>
      </c>
      <c r="L41" s="45">
        <f t="shared" ref="L41" si="122">L39-L40</f>
        <v>-3779.7309553360269</v>
      </c>
      <c r="M41" s="45">
        <f t="shared" ref="M41:N41" si="123">M39-M40</f>
        <v>-4670.8086036383338</v>
      </c>
      <c r="N41" s="45">
        <f t="shared" si="123"/>
        <v>-4430.9690502536396</v>
      </c>
      <c r="O41" s="45">
        <f t="shared" ref="O41" si="124">O39-O40</f>
        <v>-3983.8489357281228</v>
      </c>
      <c r="P41" s="45">
        <f t="shared" ref="P41:Q41" si="125">P39-P40</f>
        <v>-3350.3339808789551</v>
      </c>
      <c r="Q41" s="205">
        <f t="shared" si="125"/>
        <v>-2839.462211738361</v>
      </c>
      <c r="R41" s="45">
        <f t="shared" ref="R41" si="126">R39-R40</f>
        <v>-39523.985904392277</v>
      </c>
      <c r="S41" s="45">
        <f t="shared" ref="S41:T41" si="127">S39-S40</f>
        <v>-25728.48845703125</v>
      </c>
      <c r="T41" s="45">
        <f t="shared" si="127"/>
        <v>-10242.028734374999</v>
      </c>
      <c r="U41" s="45">
        <f t="shared" ref="U41" si="128">U39-U40</f>
        <v>-6613.6490156250002</v>
      </c>
      <c r="V41" s="205">
        <f t="shared" ref="V41:W41" si="129">V39-V40</f>
        <v>-4671.5804687499985</v>
      </c>
      <c r="W41" s="210">
        <f t="shared" si="129"/>
        <v>-47255.746675781251</v>
      </c>
      <c r="X41" s="45">
        <f t="shared" ref="X41" si="130">X39-X40</f>
        <v>-19529.123451171879</v>
      </c>
      <c r="Y41" s="45">
        <f t="shared" ref="Y41:Z41" si="131">Y39-Y40</f>
        <v>-1061.2660890624975</v>
      </c>
      <c r="Z41" s="45">
        <f t="shared" si="131"/>
        <v>1040.0458838906252</v>
      </c>
      <c r="AA41" s="205">
        <f t="shared" ref="AA41" si="132">AA39-AA40</f>
        <v>9396.6195867187507</v>
      </c>
      <c r="AB41" s="210">
        <f t="shared" ref="AB41:AC41" si="133">AB39-AB40</f>
        <v>-7705.6173542968754</v>
      </c>
      <c r="AC41" s="45">
        <f t="shared" si="133"/>
        <v>19047.689510466789</v>
      </c>
      <c r="AD41" s="45">
        <f t="shared" ref="AD41" si="134">AD39-AD40</f>
        <v>42742.110776076574</v>
      </c>
      <c r="AE41" s="45">
        <f t="shared" ref="AE41:AF41" si="135">AE39-AE40</f>
        <v>53429.355032948399</v>
      </c>
      <c r="AF41" s="205">
        <f t="shared" si="135"/>
        <v>61592.974549453094</v>
      </c>
      <c r="AG41" s="210">
        <f t="shared" ref="AG41" si="136">AG39-AG40</f>
        <v>176812.12986894487</v>
      </c>
      <c r="AH41" s="45">
        <f t="shared" ref="AH41:AI41" si="137">AH39-AH40</f>
        <v>77756.80612407357</v>
      </c>
      <c r="AI41" s="45">
        <f t="shared" si="137"/>
        <v>139576.37503497605</v>
      </c>
      <c r="AJ41" s="45">
        <f t="shared" ref="AJ41" si="138">AJ39-AJ40</f>
        <v>175335.03682578134</v>
      </c>
      <c r="AK41" s="205">
        <f t="shared" ref="AK41:AL41" si="139">AK39-AK40</f>
        <v>238823.36171374211</v>
      </c>
      <c r="AL41" s="210">
        <f t="shared" si="139"/>
        <v>631491.5796985731</v>
      </c>
      <c r="AM41" s="80"/>
    </row>
    <row r="42" spans="1:39" ht="15" customHeight="1" x14ac:dyDescent="0.5">
      <c r="A42" s="99" t="s">
        <v>100</v>
      </c>
      <c r="B42" s="100">
        <f>B41</f>
        <v>-70.2</v>
      </c>
      <c r="C42" s="100">
        <f>B42+C41</f>
        <v>-150.80000000000001</v>
      </c>
      <c r="D42" s="100">
        <f t="shared" ref="D42:I42" si="140">C42+D41</f>
        <v>-231.8</v>
      </c>
      <c r="E42" s="100">
        <f t="shared" si="140"/>
        <v>-463.6</v>
      </c>
      <c r="F42" s="100">
        <f t="shared" si="140"/>
        <v>-672.73781290796489</v>
      </c>
      <c r="G42" s="100">
        <f t="shared" si="140"/>
        <v>-785.88728894472342</v>
      </c>
      <c r="H42" s="100">
        <f t="shared" si="140"/>
        <v>-4974.1990517317809</v>
      </c>
      <c r="I42" s="100">
        <f t="shared" si="140"/>
        <v>-9082.5884775645445</v>
      </c>
      <c r="J42" s="100">
        <f t="shared" ref="J42" si="141">I42+J41</f>
        <v>-13044.758625588061</v>
      </c>
      <c r="K42" s="100">
        <f t="shared" ref="K42" si="142">J42+K41</f>
        <v>-16932.432166818839</v>
      </c>
      <c r="L42" s="100">
        <f t="shared" ref="L42" si="143">K42+L41</f>
        <v>-20712.163122154867</v>
      </c>
      <c r="M42" s="100">
        <f t="shared" ref="M42" si="144">L42+M41</f>
        <v>-25382.971725793199</v>
      </c>
      <c r="N42" s="100">
        <f t="shared" ref="N42:O42" si="145">M42+N41</f>
        <v>-29813.940776046838</v>
      </c>
      <c r="O42" s="100">
        <f t="shared" si="145"/>
        <v>-33797.78971177496</v>
      </c>
      <c r="P42" s="100">
        <f t="shared" ref="P42" si="146">O42+P41</f>
        <v>-37148.123692653913</v>
      </c>
      <c r="Q42" s="206">
        <f t="shared" ref="Q42" si="147">P42+Q41</f>
        <v>-39987.585904392276</v>
      </c>
      <c r="R42" s="100">
        <f t="shared" ref="R42" si="148">Q42+R41</f>
        <v>-79511.57180878456</v>
      </c>
      <c r="S42" s="100">
        <f t="shared" ref="S42" si="149">R42+S41</f>
        <v>-105240.06026581582</v>
      </c>
      <c r="T42" s="100">
        <f t="shared" ref="T42:U42" si="150">S42+T41</f>
        <v>-115482.08900019081</v>
      </c>
      <c r="U42" s="100">
        <f t="shared" si="150"/>
        <v>-122095.73801581582</v>
      </c>
      <c r="V42" s="206">
        <f t="shared" ref="V42" si="151">U42+V41</f>
        <v>-126767.31848456583</v>
      </c>
      <c r="W42" s="211">
        <f t="shared" ref="W42" si="152">V42+W41</f>
        <v>-174023.06516034709</v>
      </c>
      <c r="X42" s="100">
        <f t="shared" ref="X42" si="153">W42+X41</f>
        <v>-193552.18861151897</v>
      </c>
      <c r="Y42" s="100">
        <f t="shared" ref="Y42" si="154">X42+Y41</f>
        <v>-194613.45470058147</v>
      </c>
      <c r="Z42" s="100">
        <f t="shared" ref="Z42:AA42" si="155">Y42+Z41</f>
        <v>-193573.40881669085</v>
      </c>
      <c r="AA42" s="206">
        <f t="shared" si="155"/>
        <v>-184176.78922997208</v>
      </c>
      <c r="AB42" s="211">
        <f t="shared" ref="AB42" si="156">AA42+AB41</f>
        <v>-191882.40658426896</v>
      </c>
      <c r="AC42" s="100">
        <f t="shared" ref="AC42" si="157">AB42+AC41</f>
        <v>-172834.71707380217</v>
      </c>
      <c r="AD42" s="100">
        <f t="shared" ref="AD42" si="158">AC42+AD41</f>
        <v>-130092.60629772559</v>
      </c>
      <c r="AE42" s="100">
        <f t="shared" ref="AE42" si="159">AD42+AE41</f>
        <v>-76663.251264777195</v>
      </c>
      <c r="AF42" s="206">
        <f t="shared" ref="AF42:AG42" si="160">AE42+AF41</f>
        <v>-15070.2767153241</v>
      </c>
      <c r="AG42" s="211">
        <f t="shared" si="160"/>
        <v>161741.85315362079</v>
      </c>
      <c r="AH42" s="100">
        <f t="shared" ref="AH42" si="161">AG42+AH41</f>
        <v>239498.65927769436</v>
      </c>
      <c r="AI42" s="100">
        <f t="shared" ref="AI42" si="162">AH42+AI41</f>
        <v>379075.03431267041</v>
      </c>
      <c r="AJ42" s="100">
        <f t="shared" ref="AJ42" si="163">AI42+AJ41</f>
        <v>554410.07113845181</v>
      </c>
      <c r="AK42" s="206">
        <f t="shared" ref="AK42" si="164">AJ42+AK41</f>
        <v>793233.43285219395</v>
      </c>
      <c r="AL42" s="211">
        <f t="shared" ref="AL42" si="165">AK42+AL41</f>
        <v>1424725.012550767</v>
      </c>
    </row>
    <row r="43" spans="1:39" ht="15" customHeight="1" x14ac:dyDescent="0.5">
      <c r="A43" s="174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</row>
    <row r="44" spans="1:39" ht="15" customHeight="1" x14ac:dyDescent="0.5">
      <c r="A44" s="174" t="s">
        <v>117</v>
      </c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</row>
    <row r="45" spans="1:39" ht="15" customHeight="1" x14ac:dyDescent="0.5">
      <c r="A45" s="174" t="s">
        <v>118</v>
      </c>
      <c r="B45" s="100"/>
      <c r="C45" s="100"/>
      <c r="D45" s="100"/>
      <c r="E45" s="100"/>
      <c r="F45" s="100">
        <v>0</v>
      </c>
      <c r="G45" s="100">
        <f>F48</f>
        <v>39790.862187092032</v>
      </c>
      <c r="H45" s="100">
        <f t="shared" ref="H45:Q45" si="166">G48</f>
        <v>39677.712711055276</v>
      </c>
      <c r="I45" s="100">
        <f t="shared" si="166"/>
        <v>35489.400948268216</v>
      </c>
      <c r="J45" s="100">
        <f t="shared" si="166"/>
        <v>31381.011522435452</v>
      </c>
      <c r="K45" s="100">
        <f t="shared" si="166"/>
        <v>27418.841374411935</v>
      </c>
      <c r="L45" s="100">
        <f t="shared" si="166"/>
        <v>23531.167833181156</v>
      </c>
      <c r="M45" s="100">
        <f t="shared" si="166"/>
        <v>19751.436877845128</v>
      </c>
      <c r="N45" s="100">
        <f t="shared" si="166"/>
        <v>15080.628274206794</v>
      </c>
      <c r="O45" s="100">
        <f t="shared" si="166"/>
        <v>10649.659223953155</v>
      </c>
      <c r="P45" s="100">
        <f t="shared" si="166"/>
        <v>6665.8102882250314</v>
      </c>
      <c r="Q45" s="100">
        <f t="shared" si="166"/>
        <v>3315.4763073460763</v>
      </c>
      <c r="R45" s="100"/>
      <c r="S45" s="100">
        <f>Q48</f>
        <v>476.01409560771526</v>
      </c>
      <c r="T45" s="100">
        <f>S48</f>
        <v>74747.525638576451</v>
      </c>
      <c r="U45" s="100">
        <f t="shared" ref="U45:V45" si="167">T48</f>
        <v>64505.496904201456</v>
      </c>
      <c r="V45" s="100">
        <f t="shared" si="167"/>
        <v>57891.847888576456</v>
      </c>
      <c r="W45" s="100"/>
      <c r="X45" s="100">
        <f>V48</f>
        <v>53220.267419826458</v>
      </c>
      <c r="Y45" s="100">
        <f>X48</f>
        <v>33691.143968654578</v>
      </c>
      <c r="Z45" s="100">
        <f t="shared" ref="Z45:AA45" si="168">Y48</f>
        <v>32629.877879592081</v>
      </c>
      <c r="AA45" s="100">
        <f t="shared" si="168"/>
        <v>33913.885143654581</v>
      </c>
      <c r="AB45" s="100"/>
      <c r="AC45" s="100">
        <f>AA48</f>
        <v>45514.650065529582</v>
      </c>
      <c r="AD45" s="100">
        <f>AC48</f>
        <v>69030.31612783426</v>
      </c>
      <c r="AE45" s="100">
        <f t="shared" ref="AE45:AF45" si="169">AD48</f>
        <v>121798.35412299052</v>
      </c>
      <c r="AF45" s="100">
        <f t="shared" si="169"/>
        <v>187760.52083033422</v>
      </c>
      <c r="AG45" s="100"/>
      <c r="AH45" s="100">
        <f>AF48</f>
        <v>263801.2301506467</v>
      </c>
      <c r="AI45" s="100">
        <f>AH48</f>
        <v>359797.28709394741</v>
      </c>
      <c r="AJ45" s="100">
        <f t="shared" ref="AJ45:AK45" si="170">AI48</f>
        <v>532113.7994828067</v>
      </c>
      <c r="AK45" s="100">
        <f t="shared" si="170"/>
        <v>748576.80790969729</v>
      </c>
      <c r="AL45" s="100"/>
    </row>
    <row r="46" spans="1:39" ht="15" customHeight="1" x14ac:dyDescent="0.5">
      <c r="A46" s="174" t="s">
        <v>113</v>
      </c>
      <c r="B46" s="100"/>
      <c r="C46" s="100"/>
      <c r="D46" s="100"/>
      <c r="E46" s="100"/>
      <c r="F46" s="100">
        <f t="shared" ref="F46:Q46" si="171">(F12+F4)</f>
        <v>40100.356363617568</v>
      </c>
      <c r="G46" s="100">
        <f t="shared" si="171"/>
        <v>143.36623373938659</v>
      </c>
      <c r="H46" s="100">
        <f t="shared" si="171"/>
        <v>240.65046377682745</v>
      </c>
      <c r="I46" s="100">
        <f t="shared" si="171"/>
        <v>380.94456393608436</v>
      </c>
      <c r="J46" s="100">
        <f t="shared" si="171"/>
        <v>479.25283850023521</v>
      </c>
      <c r="K46" s="100">
        <f t="shared" si="171"/>
        <v>642.07591824710994</v>
      </c>
      <c r="L46" s="100">
        <f t="shared" si="171"/>
        <v>963.62589963401979</v>
      </c>
      <c r="M46" s="100">
        <f t="shared" si="171"/>
        <v>1276.9835248072504</v>
      </c>
      <c r="N46" s="100">
        <f t="shared" si="171"/>
        <v>1787.9817436354929</v>
      </c>
      <c r="O46" s="100">
        <f t="shared" si="171"/>
        <v>2433.1297954627321</v>
      </c>
      <c r="P46" s="100">
        <f t="shared" si="171"/>
        <v>3015.8111311606681</v>
      </c>
      <c r="Q46" s="100">
        <f t="shared" si="171"/>
        <v>3748.0029677582493</v>
      </c>
      <c r="R46" s="100"/>
      <c r="S46" s="100">
        <f>(S12+S4)</f>
        <v>118893.2421875</v>
      </c>
      <c r="T46" s="100">
        <f>(T12+T4)</f>
        <v>21686.15625</v>
      </c>
      <c r="U46" s="100">
        <f>(U12+U4)</f>
        <v>25629.09375</v>
      </c>
      <c r="V46" s="100">
        <f>(V12+V4)</f>
        <v>32857.8125</v>
      </c>
      <c r="W46" s="100"/>
      <c r="X46" s="100">
        <f>(X12+X4)</f>
        <v>43454.457031249993</v>
      </c>
      <c r="Y46" s="100">
        <f>(Y12+Y4)</f>
        <v>55878.159375000003</v>
      </c>
      <c r="Z46" s="100">
        <f>(Z12+Z4)</f>
        <v>64946.915625000001</v>
      </c>
      <c r="AA46" s="100">
        <f>(AA12+AA4)</f>
        <v>81572.96875</v>
      </c>
      <c r="AB46" s="100"/>
      <c r="AC46" s="100">
        <f>(AC12+AC4)</f>
        <v>122445.25117187497</v>
      </c>
      <c r="AD46" s="100">
        <f>(AD12+AD4)</f>
        <v>137219.76656250001</v>
      </c>
      <c r="AE46" s="100">
        <f>(AE12+AE4)</f>
        <v>158077.90593749995</v>
      </c>
      <c r="AF46" s="100">
        <f>(AF12+AF4)</f>
        <v>196317.82812499997</v>
      </c>
      <c r="AG46" s="100"/>
      <c r="AH46" s="100">
        <f>(AH12+AH4)</f>
        <v>279874.07769531239</v>
      </c>
      <c r="AI46" s="100">
        <f>(AI12+AI4)</f>
        <v>313855.46309374995</v>
      </c>
      <c r="AJ46" s="100">
        <f>(AJ12+AJ4)</f>
        <v>361829.18365624989</v>
      </c>
      <c r="AK46" s="100">
        <f>(AK12+AK4)</f>
        <v>449781.0046874999</v>
      </c>
      <c r="AL46" s="100"/>
    </row>
    <row r="47" spans="1:39" ht="15" customHeight="1" x14ac:dyDescent="0.5">
      <c r="A47" s="174" t="s">
        <v>114</v>
      </c>
      <c r="B47" s="100"/>
      <c r="C47" s="100"/>
      <c r="D47" s="100"/>
      <c r="E47" s="100"/>
      <c r="F47" s="100">
        <f t="shared" ref="F47:Q47" si="172">F38+F18</f>
        <v>309.49417652553547</v>
      </c>
      <c r="G47" s="100">
        <f t="shared" si="172"/>
        <v>256.51570977614506</v>
      </c>
      <c r="H47" s="100">
        <f t="shared" si="172"/>
        <v>4428.9622265638845</v>
      </c>
      <c r="I47" s="100">
        <f t="shared" si="172"/>
        <v>4489.3339897688484</v>
      </c>
      <c r="J47" s="100">
        <f t="shared" si="172"/>
        <v>4441.4229865237521</v>
      </c>
      <c r="K47" s="100">
        <f t="shared" si="172"/>
        <v>4529.7494594778873</v>
      </c>
      <c r="L47" s="100">
        <f t="shared" si="172"/>
        <v>4743.3568549700467</v>
      </c>
      <c r="M47" s="100">
        <f t="shared" si="172"/>
        <v>5947.7921284455842</v>
      </c>
      <c r="N47" s="100">
        <f t="shared" si="172"/>
        <v>6218.950793889132</v>
      </c>
      <c r="O47" s="100">
        <f t="shared" si="172"/>
        <v>6416.9787311908549</v>
      </c>
      <c r="P47" s="100">
        <f t="shared" si="172"/>
        <v>6366.1451120396232</v>
      </c>
      <c r="Q47" s="100">
        <f t="shared" si="172"/>
        <v>6587.4651794966103</v>
      </c>
      <c r="R47" s="100"/>
      <c r="S47" s="100">
        <f>S38+S18</f>
        <v>44621.73064453125</v>
      </c>
      <c r="T47" s="100">
        <f>T38+T18</f>
        <v>31928.184984374999</v>
      </c>
      <c r="U47" s="100">
        <f>U38+U18</f>
        <v>32242.742765625</v>
      </c>
      <c r="V47" s="100">
        <f>V38+V18</f>
        <v>37529.392968749999</v>
      </c>
      <c r="W47" s="100"/>
      <c r="X47" s="100">
        <f>X38+X18</f>
        <v>62983.580482421872</v>
      </c>
      <c r="Y47" s="100">
        <f>Y38+Y18</f>
        <v>56939.4254640625</v>
      </c>
      <c r="Z47" s="100">
        <f>Z38+Z18</f>
        <v>63662.908360937501</v>
      </c>
      <c r="AA47" s="100">
        <f>AA38+AA18</f>
        <v>69972.203828124999</v>
      </c>
      <c r="AB47" s="100"/>
      <c r="AC47" s="100">
        <f>AC38+AC18</f>
        <v>98929.585109570296</v>
      </c>
      <c r="AD47" s="100">
        <f>AD38+AD18</f>
        <v>84451.728567343744</v>
      </c>
      <c r="AE47" s="100">
        <f>AE38+AE18</f>
        <v>92115.73923015625</v>
      </c>
      <c r="AF47" s="100">
        <f>AF38+AF18</f>
        <v>120277.1188046875</v>
      </c>
      <c r="AG47" s="100"/>
      <c r="AH47" s="100">
        <f>AH38+AH18</f>
        <v>183878.02075201168</v>
      </c>
      <c r="AI47" s="100">
        <f>AI38+AI18</f>
        <v>141538.95070489062</v>
      </c>
      <c r="AJ47" s="100">
        <f>AJ38+AJ18</f>
        <v>145366.17522935936</v>
      </c>
      <c r="AK47" s="100">
        <f>AK38+AK18</f>
        <v>154937.34825078124</v>
      </c>
      <c r="AL47" s="100"/>
    </row>
    <row r="48" spans="1:39" ht="15" customHeight="1" x14ac:dyDescent="0.5">
      <c r="A48" s="174" t="s">
        <v>115</v>
      </c>
      <c r="B48" s="100"/>
      <c r="C48" s="100"/>
      <c r="D48" s="100"/>
      <c r="E48" s="100"/>
      <c r="F48" s="100">
        <f>F46-F47</f>
        <v>39790.862187092032</v>
      </c>
      <c r="G48" s="100">
        <f>G45+(G46-G47)</f>
        <v>39677.712711055276</v>
      </c>
      <c r="H48" s="100">
        <f t="shared" ref="H48:S48" si="173">H45+(H46-H47)</f>
        <v>35489.400948268216</v>
      </c>
      <c r="I48" s="100">
        <f t="shared" si="173"/>
        <v>31381.011522435452</v>
      </c>
      <c r="J48" s="100">
        <f t="shared" si="173"/>
        <v>27418.841374411935</v>
      </c>
      <c r="K48" s="100">
        <f t="shared" si="173"/>
        <v>23531.167833181156</v>
      </c>
      <c r="L48" s="100">
        <f t="shared" si="173"/>
        <v>19751.436877845128</v>
      </c>
      <c r="M48" s="100">
        <f t="shared" si="173"/>
        <v>15080.628274206794</v>
      </c>
      <c r="N48" s="100">
        <f t="shared" si="173"/>
        <v>10649.659223953155</v>
      </c>
      <c r="O48" s="100">
        <f t="shared" si="173"/>
        <v>6665.8102882250314</v>
      </c>
      <c r="P48" s="100">
        <f t="shared" si="173"/>
        <v>3315.4763073460763</v>
      </c>
      <c r="Q48" s="100">
        <f t="shared" si="173"/>
        <v>476.01409560771526</v>
      </c>
      <c r="R48" s="100"/>
      <c r="S48" s="100">
        <f t="shared" si="173"/>
        <v>74747.525638576451</v>
      </c>
      <c r="T48" s="100">
        <f t="shared" ref="T48" si="174">T45+(T46-T47)</f>
        <v>64505.496904201456</v>
      </c>
      <c r="U48" s="100">
        <f t="shared" ref="U48" si="175">U45+(U46-U47)</f>
        <v>57891.847888576456</v>
      </c>
      <c r="V48" s="100">
        <f t="shared" ref="V48:X48" si="176">V45+(V46-V47)</f>
        <v>53220.267419826458</v>
      </c>
      <c r="W48" s="100"/>
      <c r="X48" s="100">
        <f t="shared" si="176"/>
        <v>33691.143968654578</v>
      </c>
      <c r="Y48" s="100">
        <f t="shared" ref="Y48" si="177">Y45+(Y46-Y47)</f>
        <v>32629.877879592081</v>
      </c>
      <c r="Z48" s="100">
        <f t="shared" ref="Z48" si="178">Z45+(Z46-Z47)</f>
        <v>33913.885143654581</v>
      </c>
      <c r="AA48" s="100">
        <f t="shared" ref="AA48:AD48" si="179">AA45+(AA46-AA47)</f>
        <v>45514.650065529582</v>
      </c>
      <c r="AB48" s="100"/>
      <c r="AC48" s="100">
        <f t="shared" si="179"/>
        <v>69030.31612783426</v>
      </c>
      <c r="AD48" s="100">
        <f t="shared" si="179"/>
        <v>121798.35412299052</v>
      </c>
      <c r="AE48" s="100">
        <f t="shared" ref="AE48" si="180">AE45+(AE46-AE47)</f>
        <v>187760.52083033422</v>
      </c>
      <c r="AF48" s="100">
        <f t="shared" ref="AF48:AI48" si="181">AF45+(AF46-AF47)</f>
        <v>263801.2301506467</v>
      </c>
      <c r="AG48" s="100"/>
      <c r="AH48" s="100">
        <f t="shared" si="181"/>
        <v>359797.28709394741</v>
      </c>
      <c r="AI48" s="100">
        <f t="shared" si="181"/>
        <v>532113.7994828067</v>
      </c>
      <c r="AJ48" s="100">
        <f t="shared" ref="AJ48" si="182">AJ45+(AJ46-AJ47)</f>
        <v>748576.80790969729</v>
      </c>
      <c r="AK48" s="100">
        <f t="shared" ref="AK48" si="183">AK45+(AK46-AK47)</f>
        <v>1043420.4643464159</v>
      </c>
      <c r="AL48" s="100"/>
    </row>
    <row r="49" spans="1:38" ht="15" customHeight="1" x14ac:dyDescent="0.5">
      <c r="A49" s="174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</row>
    <row r="50" spans="1:38" ht="15" customHeight="1" x14ac:dyDescent="0.5">
      <c r="A50" s="174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</row>
    <row r="51" spans="1:38" ht="16" thickBot="1" x14ac:dyDescent="0.6">
      <c r="A51" s="46" t="s">
        <v>56</v>
      </c>
      <c r="B51" s="47">
        <v>0.01</v>
      </c>
      <c r="C51" s="47">
        <v>0.02</v>
      </c>
      <c r="D51" s="47">
        <v>0.03</v>
      </c>
      <c r="E51" s="47"/>
      <c r="F51" s="47">
        <v>4.4999999999999998E-2</v>
      </c>
      <c r="G51" s="47">
        <v>5.5E-2</v>
      </c>
      <c r="H51" s="47">
        <v>7.4999999999999997E-2</v>
      </c>
      <c r="I51" s="47">
        <v>8.5000000000000006E-2</v>
      </c>
      <c r="J51" s="47">
        <v>0.1</v>
      </c>
      <c r="K51" s="47">
        <v>0.115</v>
      </c>
      <c r="L51" s="47">
        <v>0.13500000000000001</v>
      </c>
      <c r="M51" s="47">
        <v>0.15</v>
      </c>
      <c r="N51" s="47">
        <v>0.18</v>
      </c>
      <c r="P51">
        <f>0.15</f>
        <v>0.15</v>
      </c>
      <c r="Q51">
        <v>0.2</v>
      </c>
      <c r="R51">
        <v>0.28000000000000003</v>
      </c>
      <c r="S51">
        <v>0.37</v>
      </c>
      <c r="AI51" s="19"/>
    </row>
    <row r="52" spans="1:38" ht="16.350000000000001" thickTop="1" thickBot="1" x14ac:dyDescent="0.6">
      <c r="A52" s="46" t="s">
        <v>57</v>
      </c>
      <c r="B52" s="48">
        <v>2.6779549998017505E-2</v>
      </c>
      <c r="C52" s="48">
        <v>3.8256499997167868E-2</v>
      </c>
      <c r="D52" s="48">
        <v>6.4216267852388917E-2</v>
      </c>
      <c r="E52" s="48"/>
      <c r="F52" s="48">
        <v>0.10165298570676033</v>
      </c>
      <c r="G52" s="48">
        <v>0.12788601427624688</v>
      </c>
      <c r="H52" s="48">
        <v>0.17133446784445894</v>
      </c>
      <c r="I52" s="48">
        <v>0.25713833212382115</v>
      </c>
      <c r="J52" s="48">
        <v>0.34075611068905948</v>
      </c>
      <c r="K52" s="48">
        <v>0.47711320710753641</v>
      </c>
      <c r="L52" s="48">
        <v>0.64926745709479183</v>
      </c>
      <c r="M52" s="48">
        <v>0.80475280351185263</v>
      </c>
      <c r="N52" s="48">
        <v>1.0001342142116743</v>
      </c>
      <c r="P52" s="48">
        <v>0.57499999999999996</v>
      </c>
      <c r="Q52" s="48">
        <v>0.66</v>
      </c>
      <c r="R52" s="48">
        <v>0.78</v>
      </c>
      <c r="S52" s="48">
        <v>1</v>
      </c>
    </row>
    <row r="53" spans="1:38" ht="14.7" thickTop="1" x14ac:dyDescent="0.5"/>
    <row r="54" spans="1:38" x14ac:dyDescent="0.5">
      <c r="A54" t="s">
        <v>58</v>
      </c>
      <c r="B54" t="s">
        <v>59</v>
      </c>
    </row>
    <row r="55" spans="1:38" x14ac:dyDescent="0.5">
      <c r="A55" s="49" t="s">
        <v>61</v>
      </c>
      <c r="B55" s="49">
        <v>0.1</v>
      </c>
    </row>
    <row r="56" spans="1:38" x14ac:dyDescent="0.5">
      <c r="A56" s="49" t="s">
        <v>62</v>
      </c>
      <c r="B56" s="51"/>
    </row>
    <row r="57" spans="1:38" x14ac:dyDescent="0.5">
      <c r="A57" s="49" t="s">
        <v>60</v>
      </c>
      <c r="B57" s="49">
        <v>7.0000000000000007E-2</v>
      </c>
    </row>
    <row r="59" spans="1:38" x14ac:dyDescent="0.5">
      <c r="A59" t="s">
        <v>84</v>
      </c>
      <c r="B59" t="s">
        <v>63</v>
      </c>
    </row>
    <row r="60" spans="1:38" x14ac:dyDescent="0.5">
      <c r="A60" s="49" t="s">
        <v>78</v>
      </c>
      <c r="B60" s="53">
        <v>14.99</v>
      </c>
    </row>
    <row r="61" spans="1:38" x14ac:dyDescent="0.5">
      <c r="A61" s="49" t="s">
        <v>79</v>
      </c>
      <c r="B61" s="79">
        <f>B60*3</f>
        <v>44.97</v>
      </c>
    </row>
    <row r="62" spans="1:38" x14ac:dyDescent="0.5">
      <c r="A62" s="49" t="s">
        <v>80</v>
      </c>
      <c r="B62" s="79">
        <f>B60*12</f>
        <v>179.88</v>
      </c>
      <c r="D62" s="54"/>
      <c r="E62" s="63"/>
      <c r="G62" s="16"/>
    </row>
    <row r="63" spans="1:38" x14ac:dyDescent="0.5">
      <c r="A63" t="s">
        <v>85</v>
      </c>
      <c r="B63" t="s">
        <v>63</v>
      </c>
      <c r="D63" s="56"/>
      <c r="E63" s="97"/>
      <c r="G63" s="50"/>
    </row>
    <row r="64" spans="1:38" x14ac:dyDescent="0.5">
      <c r="A64" s="49" t="s">
        <v>78</v>
      </c>
      <c r="B64" s="53">
        <v>34.99</v>
      </c>
      <c r="D64" s="57"/>
      <c r="E64" s="97"/>
      <c r="G64" s="58"/>
    </row>
    <row r="65" spans="1:15" x14ac:dyDescent="0.5">
      <c r="A65" s="49" t="s">
        <v>79</v>
      </c>
      <c r="B65" s="79">
        <f>B64*3</f>
        <v>104.97</v>
      </c>
    </row>
    <row r="66" spans="1:15" x14ac:dyDescent="0.5">
      <c r="A66" s="49" t="s">
        <v>80</v>
      </c>
      <c r="B66" s="79">
        <f>B64*12</f>
        <v>419.88</v>
      </c>
    </row>
    <row r="68" spans="1:15" x14ac:dyDescent="0.5">
      <c r="A68" t="s">
        <v>58</v>
      </c>
      <c r="B68" t="s">
        <v>64</v>
      </c>
    </row>
    <row r="69" spans="1:15" x14ac:dyDescent="0.5">
      <c r="A69" s="49" t="s">
        <v>65</v>
      </c>
      <c r="B69" s="52">
        <v>0.1</v>
      </c>
    </row>
    <row r="70" spans="1:15" x14ac:dyDescent="0.5">
      <c r="A70" s="49" t="s">
        <v>66</v>
      </c>
      <c r="B70" s="55">
        <v>0.05</v>
      </c>
    </row>
    <row r="71" spans="1:15" x14ac:dyDescent="0.5">
      <c r="A71" s="49" t="s">
        <v>67</v>
      </c>
      <c r="B71" s="55">
        <v>0.05</v>
      </c>
    </row>
    <row r="74" spans="1:15" x14ac:dyDescent="0.5">
      <c r="A74" s="64"/>
      <c r="B74" s="64"/>
    </row>
    <row r="75" spans="1:15" ht="16" thickBot="1" x14ac:dyDescent="0.6">
      <c r="A75" s="46" t="s">
        <v>58</v>
      </c>
      <c r="B75" s="59" t="s">
        <v>64</v>
      </c>
      <c r="C75">
        <v>20</v>
      </c>
      <c r="O75" s="50"/>
    </row>
    <row r="76" spans="1:15" ht="14.7" thickTop="1" x14ac:dyDescent="0.5">
      <c r="A76" s="47" t="s">
        <v>49</v>
      </c>
      <c r="B76" s="54">
        <v>1.35E-2</v>
      </c>
      <c r="C76">
        <v>50</v>
      </c>
    </row>
    <row r="78" spans="1:15" ht="16" thickBot="1" x14ac:dyDescent="0.6">
      <c r="A78" s="46" t="s">
        <v>74</v>
      </c>
      <c r="B78" s="59" t="s">
        <v>81</v>
      </c>
    </row>
    <row r="79" spans="1:15" ht="14.7" thickTop="1" x14ac:dyDescent="0.5">
      <c r="A79" s="65" t="s">
        <v>82</v>
      </c>
      <c r="B79" s="66">
        <v>0.25</v>
      </c>
    </row>
    <row r="80" spans="1:15" x14ac:dyDescent="0.5">
      <c r="A80" s="65"/>
      <c r="B80" s="56"/>
    </row>
    <row r="82" spans="1:1" x14ac:dyDescent="0.5">
      <c r="A82" s="17" t="s">
        <v>26</v>
      </c>
    </row>
    <row r="83" spans="1:1" x14ac:dyDescent="0.5">
      <c r="A83" t="s">
        <v>29</v>
      </c>
    </row>
    <row r="84" spans="1:1" x14ac:dyDescent="0.5">
      <c r="A84" t="s">
        <v>34</v>
      </c>
    </row>
    <row r="85" spans="1:1" x14ac:dyDescent="0.5">
      <c r="A85" t="s">
        <v>68</v>
      </c>
    </row>
    <row r="86" spans="1:1" x14ac:dyDescent="0.5">
      <c r="A86" s="60" t="s">
        <v>69</v>
      </c>
    </row>
    <row r="87" spans="1:1" x14ac:dyDescent="0.5">
      <c r="A87" s="60" t="s">
        <v>70</v>
      </c>
    </row>
  </sheetData>
  <mergeCells count="13">
    <mergeCell ref="AH1:AL1"/>
    <mergeCell ref="AH2:AL2"/>
    <mergeCell ref="AC1:AG1"/>
    <mergeCell ref="AC2:AG2"/>
    <mergeCell ref="A1:A3"/>
    <mergeCell ref="B1:D1"/>
    <mergeCell ref="B2:D2"/>
    <mergeCell ref="X1:AB1"/>
    <mergeCell ref="X2:AB2"/>
    <mergeCell ref="S1:W1"/>
    <mergeCell ref="S2:W2"/>
    <mergeCell ref="F1:R1"/>
    <mergeCell ref="F2:R2"/>
  </mergeCells>
  <phoneticPr fontId="16" type="noConversion"/>
  <pageMargins left="0.7" right="0.7" top="0.75" bottom="0.75" header="0.3" footer="0.3"/>
  <pageSetup paperSize="9" scale="78" orientation="landscape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21"/>
  <sheetViews>
    <sheetView zoomScale="67" zoomScaleNormal="25" workbookViewId="0">
      <selection activeCell="D23" sqref="D23"/>
    </sheetView>
  </sheetViews>
  <sheetFormatPr defaultColWidth="11.46875" defaultRowHeight="14.35" x14ac:dyDescent="0.5"/>
  <cols>
    <col min="1" max="1" width="21.234375" style="80" bestFit="1" customWidth="1"/>
    <col min="2" max="2" width="12.64453125" style="80" bestFit="1" customWidth="1"/>
    <col min="3" max="3" width="1.17578125" customWidth="1"/>
    <col min="4" max="4" width="15.41015625" customWidth="1"/>
    <col min="5" max="5" width="1.05859375" customWidth="1"/>
    <col min="6" max="6" width="12.64453125" bestFit="1" customWidth="1"/>
    <col min="7" max="7" width="1.05859375" customWidth="1"/>
    <col min="8" max="8" width="12.64453125" bestFit="1" customWidth="1"/>
    <col min="9" max="9" width="1" customWidth="1"/>
    <col min="10" max="10" width="14.29296875" bestFit="1" customWidth="1"/>
    <col min="11" max="11" width="1.5859375" customWidth="1"/>
    <col min="12" max="12" width="17.64453125" customWidth="1"/>
  </cols>
  <sheetData>
    <row r="2" spans="1:10" x14ac:dyDescent="0.5">
      <c r="A2" s="149" t="s">
        <v>108</v>
      </c>
      <c r="B2" s="150" t="s">
        <v>0</v>
      </c>
      <c r="C2" s="151" t="s">
        <v>109</v>
      </c>
      <c r="D2" s="150" t="s">
        <v>1</v>
      </c>
      <c r="E2" s="151" t="s">
        <v>110</v>
      </c>
      <c r="F2" s="150" t="s">
        <v>2</v>
      </c>
      <c r="G2" s="151" t="s">
        <v>111</v>
      </c>
      <c r="H2" s="150" t="s">
        <v>3</v>
      </c>
      <c r="I2" s="151" t="s">
        <v>112</v>
      </c>
      <c r="J2" s="150" t="s">
        <v>4</v>
      </c>
    </row>
    <row r="3" spans="1:10" x14ac:dyDescent="0.5">
      <c r="A3" s="152" t="str">
        <f>'P&amp;L Statement'!A13</f>
        <v>Cost of Sales</v>
      </c>
      <c r="B3" s="153">
        <f>'P&amp;L Statement'!R12</f>
        <v>15212.181444275628</v>
      </c>
      <c r="C3" s="153"/>
      <c r="D3" s="154">
        <f>'P&amp;L Statement'!W12</f>
        <v>99066.3046875</v>
      </c>
      <c r="E3" s="153"/>
      <c r="F3" s="154">
        <f>'P&amp;L Statement'!AB12</f>
        <v>245852.50078124998</v>
      </c>
      <c r="G3" s="153"/>
      <c r="H3" s="153">
        <f>'P&amp;L Statement'!AG12</f>
        <v>614060.75179687492</v>
      </c>
      <c r="I3" s="153"/>
      <c r="J3" s="153">
        <f>'P&amp;L Statement'!AL12</f>
        <v>1405339.7291328122</v>
      </c>
    </row>
    <row r="4" spans="1:10" x14ac:dyDescent="0.5">
      <c r="A4" s="152" t="str">
        <f>'P&amp;L Statement'!A18</f>
        <v>Total Cost of Sales</v>
      </c>
      <c r="B4" s="155">
        <f>'P&amp;L Statement'!R18</f>
        <v>7338.8028991701849</v>
      </c>
      <c r="C4" s="155"/>
      <c r="D4" s="155">
        <f>'P&amp;L Statement'!W18</f>
        <v>7992.65625</v>
      </c>
      <c r="E4" s="155"/>
      <c r="F4" s="155">
        <f>'P&amp;L Statement'!AB18</f>
        <v>17447.109375</v>
      </c>
      <c r="G4" s="155"/>
      <c r="H4" s="155">
        <f>'P&amp;L Statement'!AG18</f>
        <v>39192.351562499993</v>
      </c>
      <c r="I4" s="155"/>
      <c r="J4" s="155">
        <f>'P&amp;L Statement'!AL18</f>
        <v>89206.408593749962</v>
      </c>
    </row>
    <row r="5" spans="1:10" x14ac:dyDescent="0.5">
      <c r="A5" s="152" t="str">
        <f>'P&amp;L Statement'!A19</f>
        <v>Gross Profit/Loss</v>
      </c>
      <c r="B5" s="155">
        <f>'P&amp;L Statement'!R19</f>
        <v>7873.3785451054428</v>
      </c>
      <c r="C5" s="155"/>
      <c r="D5" s="154">
        <f>'P&amp;L Statement'!W19</f>
        <v>91073.6484375</v>
      </c>
      <c r="E5" s="153"/>
      <c r="F5" s="154">
        <f>'P&amp;L Statement'!AB19</f>
        <v>228405.39140624998</v>
      </c>
      <c r="G5" s="153"/>
      <c r="H5" s="155">
        <f>'P&amp;L Statement'!AG19</f>
        <v>574868.40023437492</v>
      </c>
      <c r="I5" s="153"/>
      <c r="J5" s="155">
        <f>'P&amp;L Statement'!AL19</f>
        <v>1316133.3205390624</v>
      </c>
    </row>
    <row r="6" spans="1:10" x14ac:dyDescent="0.5">
      <c r="A6" s="152" t="str">
        <f>'P&amp;L Statement'!A38</f>
        <v>Total Oveheads</v>
      </c>
      <c r="B6" s="153">
        <f>'P&amp;L Statement'!R38</f>
        <v>47397.36444949772</v>
      </c>
      <c r="C6" s="153"/>
      <c r="D6" s="155">
        <f>'P&amp;L Statement'!W38</f>
        <v>137992</v>
      </c>
      <c r="E6" s="155"/>
      <c r="F6" s="155">
        <f>'P&amp;L Statement'!AB38</f>
        <v>236111.00876054689</v>
      </c>
      <c r="G6" s="155"/>
      <c r="H6" s="155">
        <f>'P&amp;L Statement'!AG38</f>
        <v>356581.82014925784</v>
      </c>
      <c r="I6" s="155"/>
      <c r="J6" s="155">
        <f>'P&amp;L Statement'!AL38</f>
        <v>536514.08634329296</v>
      </c>
    </row>
    <row r="7" spans="1:10" x14ac:dyDescent="0.5">
      <c r="A7" s="152" t="str">
        <f>'P&amp;L Statement'!A39</f>
        <v>Profit/Loss before Tax</v>
      </c>
      <c r="B7" s="156">
        <f>'P&amp;L Statement'!R39</f>
        <v>-39523.985904392277</v>
      </c>
      <c r="C7" s="156"/>
      <c r="D7" s="156">
        <f>'P&amp;L Statement'!W39</f>
        <v>-47255.746675781251</v>
      </c>
      <c r="E7" s="156"/>
      <c r="F7" s="156">
        <f>'P&amp;L Statement'!AB39</f>
        <v>-7705.6173542968754</v>
      </c>
      <c r="G7" s="156"/>
      <c r="H7" s="155">
        <f>'P&amp;L Statement'!AG39</f>
        <v>218286.58008511714</v>
      </c>
      <c r="I7" s="156"/>
      <c r="J7" s="155">
        <f>'P&amp;L Statement'!AL39</f>
        <v>779619.2341957693</v>
      </c>
    </row>
    <row r="8" spans="1:10" ht="14.7" thickBot="1" x14ac:dyDescent="0.55000000000000004">
      <c r="A8" s="157" t="s">
        <v>55</v>
      </c>
      <c r="B8" s="158">
        <f>'P&amp;L Statement'!R41</f>
        <v>-39523.985904392277</v>
      </c>
      <c r="C8" s="158"/>
      <c r="D8" s="158">
        <f>'P&amp;L Statement'!W41</f>
        <v>-47255.746675781251</v>
      </c>
      <c r="E8" s="158"/>
      <c r="F8" s="158">
        <f>'P&amp;L Statement'!AB41</f>
        <v>-7705.6173542968754</v>
      </c>
      <c r="G8" s="158"/>
      <c r="H8" s="158">
        <f>'P&amp;L Statement'!AG41</f>
        <v>176812.12986894487</v>
      </c>
      <c r="I8" s="158"/>
      <c r="J8" s="158">
        <f>'P&amp;L Statement'!AL41</f>
        <v>631491.5796985731</v>
      </c>
    </row>
    <row r="9" spans="1:10" x14ac:dyDescent="0.5">
      <c r="A9"/>
      <c r="B9"/>
    </row>
    <row r="10" spans="1:10" x14ac:dyDescent="0.5">
      <c r="A10" s="172" t="s">
        <v>108</v>
      </c>
      <c r="B10" s="159" t="s">
        <v>0</v>
      </c>
      <c r="C10" s="160" t="s">
        <v>109</v>
      </c>
      <c r="D10" s="159" t="s">
        <v>1</v>
      </c>
      <c r="E10" s="160" t="s">
        <v>110</v>
      </c>
      <c r="F10" s="159" t="s">
        <v>2</v>
      </c>
      <c r="G10" s="160" t="s">
        <v>111</v>
      </c>
      <c r="H10" s="159" t="s">
        <v>3</v>
      </c>
      <c r="I10" s="160" t="s">
        <v>112</v>
      </c>
      <c r="J10" s="161" t="s">
        <v>4</v>
      </c>
    </row>
    <row r="11" spans="1:10" x14ac:dyDescent="0.5">
      <c r="A11" s="173" t="str">
        <f>'P&amp;L Statement'!A45</f>
        <v>Balance b/f</v>
      </c>
      <c r="B11" s="162">
        <f>'P&amp;L Statement'!F45</f>
        <v>0</v>
      </c>
      <c r="C11" s="162"/>
      <c r="D11" s="163">
        <f>B14</f>
        <v>476.01409560771526</v>
      </c>
      <c r="E11" s="164"/>
      <c r="F11" s="163">
        <f>D14</f>
        <v>53220.267419826458</v>
      </c>
      <c r="G11" s="164">
        <f t="shared" ref="G11:J11" si="0">E14</f>
        <v>0</v>
      </c>
      <c r="H11" s="164">
        <f t="shared" si="0"/>
        <v>45514.650065529582</v>
      </c>
      <c r="I11" s="164">
        <f t="shared" si="0"/>
        <v>0</v>
      </c>
      <c r="J11" s="165">
        <f t="shared" si="0"/>
        <v>263801.2301506467</v>
      </c>
    </row>
    <row r="12" spans="1:10" x14ac:dyDescent="0.5">
      <c r="A12" s="173" t="str">
        <f>'P&amp;L Statement'!A46</f>
        <v>Total Income</v>
      </c>
      <c r="B12" s="166">
        <f>SUM('P&amp;L Statement'!F46:Q46)</f>
        <v>55212.181444275622</v>
      </c>
      <c r="C12" s="166"/>
      <c r="D12" s="167">
        <f>SUM('P&amp;L Statement'!S46:V46)</f>
        <v>199066.3046875</v>
      </c>
      <c r="E12" s="167"/>
      <c r="F12" s="167">
        <f>SUM('P&amp;L Statement'!X46:AA46)</f>
        <v>245852.50078124998</v>
      </c>
      <c r="G12" s="167"/>
      <c r="H12" s="167">
        <f>SUM('P&amp;L Statement'!AC46:AF46)</f>
        <v>614060.75179687492</v>
      </c>
      <c r="I12" s="167">
        <f>SUM('[1]Cash Flow'!W39:Z39)</f>
        <v>3815696.0757377725</v>
      </c>
      <c r="J12" s="168">
        <f>SUM('P&amp;L Statement'!AH46:AK46)</f>
        <v>1405339.7291328122</v>
      </c>
    </row>
    <row r="13" spans="1:10" x14ac:dyDescent="0.5">
      <c r="A13" s="173" t="str">
        <f>'P&amp;L Statement'!A47</f>
        <v>Total Expenditure</v>
      </c>
      <c r="B13" s="169">
        <f>SUM('P&amp;L Statement'!F47:Q47)</f>
        <v>54736.167348667914</v>
      </c>
      <c r="C13" s="169"/>
      <c r="D13" s="169">
        <f>SUM('P&amp;L Statement'!S47:V47)</f>
        <v>146322.05136328127</v>
      </c>
      <c r="E13" s="169"/>
      <c r="F13" s="169">
        <f>SUM('P&amp;L Statement'!X47:AA47)</f>
        <v>253558.11813554686</v>
      </c>
      <c r="G13" s="169"/>
      <c r="H13" s="169">
        <f>SUM('P&amp;L Statement'!AC47:AF47)</f>
        <v>395774.17171175778</v>
      </c>
      <c r="I13" s="169"/>
      <c r="J13" s="170">
        <f>SUM('P&amp;L Statement'!AH47:AK47)</f>
        <v>625720.49493704294</v>
      </c>
    </row>
    <row r="14" spans="1:10" ht="14.7" thickBot="1" x14ac:dyDescent="0.55000000000000004">
      <c r="A14" s="173" t="str">
        <f>'P&amp;L Statement'!A48</f>
        <v>Balance c/f</v>
      </c>
      <c r="B14" s="158">
        <f>'P&amp;L Statement'!Q48</f>
        <v>476.01409560771526</v>
      </c>
      <c r="C14" s="158"/>
      <c r="D14" s="158">
        <f>'P&amp;L Statement'!V48</f>
        <v>53220.267419826458</v>
      </c>
      <c r="E14" s="158"/>
      <c r="F14" s="158">
        <f>'P&amp;L Statement'!AA48</f>
        <v>45514.650065529582</v>
      </c>
      <c r="G14" s="158"/>
      <c r="H14" s="158">
        <f>'P&amp;L Statement'!AF48</f>
        <v>263801.2301506467</v>
      </c>
      <c r="I14" s="158">
        <f>'[1]Cash Flow'!Z41</f>
        <v>2912885.4124618201</v>
      </c>
      <c r="J14" s="171">
        <f>'P&amp;L Statement'!AK48</f>
        <v>1043420.4643464159</v>
      </c>
    </row>
    <row r="21" spans="4:12" x14ac:dyDescent="0.5">
      <c r="D21" s="50"/>
      <c r="E21" s="50"/>
      <c r="F21" s="50"/>
      <c r="G21" s="50"/>
      <c r="H21" s="50"/>
      <c r="I21" s="50"/>
      <c r="J21" s="50"/>
      <c r="K21" s="50"/>
      <c r="L21" s="50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Growth Forecast</vt:lpstr>
      <vt:lpstr>Cost Analysis</vt:lpstr>
      <vt:lpstr>P&amp;L Statement</vt:lpstr>
      <vt:lpstr>Qualms-forecast-summary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Carey</dc:creator>
  <cp:lastModifiedBy>Josh Carey</cp:lastModifiedBy>
  <cp:lastPrinted>2022-01-31T20:47:03Z</cp:lastPrinted>
  <dcterms:created xsi:type="dcterms:W3CDTF">2022-01-28T10:39:41Z</dcterms:created>
  <dcterms:modified xsi:type="dcterms:W3CDTF">2022-01-31T23:53:27Z</dcterms:modified>
</cp:coreProperties>
</file>