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imitri\Desktop\mvpf_ESF\"/>
    </mc:Choice>
  </mc:AlternateContent>
  <xr:revisionPtr revIDLastSave="0" documentId="13_ncr:1_{506F4D7C-0E70-4CC8-906B-43AE2F7F47A9}" xr6:coauthVersionLast="47" xr6:coauthVersionMax="47" xr10:uidLastSave="{00000000-0000-0000-0000-000000000000}"/>
  <bookViews>
    <workbookView xWindow="20370" yWindow="-120" windowWidth="20730" windowHeight="11040" activeTab="2" xr2:uid="{00000000-000D-0000-FFFF-FFFF00000000}"/>
  </bookViews>
  <sheets>
    <sheet name="Referências" sheetId="1" r:id="rId1"/>
    <sheet name="Dados" sheetId="2" r:id="rId2"/>
    <sheet name="Cálcul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J12" i="3"/>
  <c r="I12" i="3"/>
  <c r="H12" i="3"/>
  <c r="G12" i="3"/>
  <c r="E12" i="3"/>
  <c r="D12" i="3"/>
  <c r="C12" i="3"/>
  <c r="B12" i="3"/>
  <c r="J11" i="3"/>
  <c r="I11" i="3"/>
  <c r="H11" i="3"/>
  <c r="G11" i="3"/>
  <c r="E11" i="3"/>
  <c r="D11" i="3"/>
  <c r="C11" i="3"/>
  <c r="B11" i="3"/>
  <c r="J10" i="3"/>
  <c r="I10" i="3"/>
  <c r="M10" i="3" s="1"/>
  <c r="H10" i="3"/>
  <c r="G10" i="3"/>
  <c r="E10" i="3"/>
  <c r="D10" i="3"/>
  <c r="C10" i="3"/>
  <c r="B10" i="3"/>
  <c r="J9" i="3"/>
  <c r="I9" i="3"/>
  <c r="H9" i="3"/>
  <c r="G9" i="3"/>
  <c r="E9" i="3"/>
  <c r="D9" i="3"/>
  <c r="C9" i="3"/>
  <c r="B9" i="3"/>
  <c r="J8" i="3"/>
  <c r="I8" i="3"/>
  <c r="H8" i="3"/>
  <c r="G8" i="3"/>
  <c r="E8" i="3"/>
  <c r="D8" i="3"/>
  <c r="C8" i="3"/>
  <c r="B8" i="3"/>
  <c r="J7" i="3"/>
  <c r="I7" i="3"/>
  <c r="H7" i="3"/>
  <c r="G7" i="3"/>
  <c r="E7" i="3"/>
  <c r="D7" i="3"/>
  <c r="C7" i="3"/>
  <c r="B7" i="3"/>
  <c r="J6" i="3"/>
  <c r="I6" i="3"/>
  <c r="H6" i="3"/>
  <c r="G6" i="3"/>
  <c r="E6" i="3"/>
  <c r="D6" i="3"/>
  <c r="C6" i="3"/>
  <c r="B6" i="3"/>
  <c r="J5" i="3"/>
  <c r="I5" i="3"/>
  <c r="H5" i="3"/>
  <c r="G5" i="3"/>
  <c r="E5" i="3"/>
  <c r="D5" i="3"/>
  <c r="C5" i="3"/>
  <c r="F67" i="2"/>
  <c r="F9" i="3" l="1"/>
  <c r="L9" i="3" s="1"/>
  <c r="F8" i="3"/>
  <c r="L8" i="3" s="1"/>
  <c r="F7" i="3"/>
  <c r="L7" i="3" s="1"/>
  <c r="F6" i="3"/>
  <c r="L6" i="3" s="1"/>
  <c r="M12" i="3"/>
  <c r="F5" i="3"/>
  <c r="L5" i="3" s="1"/>
  <c r="M11" i="3"/>
  <c r="M9" i="3"/>
  <c r="M8" i="3"/>
  <c r="M7" i="3"/>
  <c r="M6" i="3"/>
  <c r="F12" i="3"/>
  <c r="L12" i="3" s="1"/>
  <c r="M5" i="3"/>
  <c r="F11" i="3"/>
  <c r="L11" i="3" s="1"/>
  <c r="F10" i="3"/>
  <c r="L10" i="3" s="1"/>
  <c r="L13" i="3" l="1"/>
  <c r="M13" i="3"/>
  <c r="L14" i="3" l="1"/>
</calcChain>
</file>

<file path=xl/sharedStrings.xml><?xml version="1.0" encoding="utf-8"?>
<sst xmlns="http://schemas.openxmlformats.org/spreadsheetml/2006/main" count="91" uniqueCount="72">
  <si>
    <t>Referencias</t>
  </si>
  <si>
    <t>[1]</t>
  </si>
  <si>
    <r>
      <rPr>
        <sz val="10"/>
        <color theme="1"/>
        <rFont val="Arial"/>
      </rPr>
      <t xml:space="preserve">Rocha, R. and Soares, R.R. (2010), Evaluating the impact of community-based health interventions: evidence from Brazil's Family Health Program. </t>
    </r>
    <r>
      <rPr>
        <i/>
        <sz val="10"/>
        <color theme="1"/>
        <rFont val="Arial"/>
      </rPr>
      <t>Health Econ</t>
    </r>
    <r>
      <rPr>
        <sz val="10"/>
        <color theme="1"/>
        <rFont val="Arial"/>
      </rPr>
      <t>., 19: 126-158.</t>
    </r>
  </si>
  <si>
    <t>https://doi.org/10.1002/hec.1607</t>
  </si>
  <si>
    <t>[2]</t>
  </si>
  <si>
    <t>Marinho, C. R. V. (2020) ESSAYS ON HEALTH ECONOMICS. Tese doutorado Insper.</t>
  </si>
  <si>
    <t>https://repositorio-api.insper.edu.br/server/api/core/bitstreams/6a108d66-29e3-4684-ab40-0bf3cb54e724/content</t>
  </si>
  <si>
    <t>[3]</t>
  </si>
  <si>
    <r>
      <rPr>
        <sz val="10"/>
        <color theme="1"/>
        <rFont val="Arial"/>
      </rPr>
      <t xml:space="preserve">Ferreira-Batista, N. N., Teixeira, A. D., Diaz, M. D. M., Postali, F. A. S., Moreno-Serra, R., &amp; Love-Koh, J. (2023). Is primary health care worth it in the long run? Evidence from Brazil. </t>
    </r>
    <r>
      <rPr>
        <i/>
        <sz val="10"/>
        <color theme="1"/>
        <rFont val="Arial"/>
      </rPr>
      <t>Health Economics</t>
    </r>
    <r>
      <rPr>
        <sz val="10"/>
        <color theme="1"/>
        <rFont val="Arial"/>
      </rPr>
      <t>, 32(7), 1504–1524.</t>
    </r>
  </si>
  <si>
    <t>https://doi.org/10.1002/hec.4676</t>
  </si>
  <si>
    <t>[4]</t>
  </si>
  <si>
    <t>IBGE. Censo Demográfico 2010. Microdados tratados no meu github (github.com/maturanodc/labpub)</t>
  </si>
  <si>
    <t>https://www.ibge.gov.br/estatisticas/sociais/populacao/9662-censo-demografico-2010.html</t>
  </si>
  <si>
    <t>[5]</t>
  </si>
  <si>
    <t>Ministério da Saúde. e-Gestor Atenção Básica. (2021)</t>
  </si>
  <si>
    <t>https://egestorab.saude.gov.br/paginas/acessoPublico/relatorios/relHistoricoCoberturaAB.xhtml</t>
  </si>
  <si>
    <t>[6]</t>
  </si>
  <si>
    <r>
      <rPr>
        <sz val="10"/>
        <color theme="1"/>
        <rFont val="Arial"/>
      </rPr>
      <t xml:space="preserve">Pereira, R. M., de Almeida, A. N., &amp; de Oliveira, C. A. (2020). O valor estatístico de uma vida: estimativas para o Brasil. </t>
    </r>
    <r>
      <rPr>
        <i/>
        <sz val="10"/>
        <color theme="1"/>
        <rFont val="Arial"/>
      </rPr>
      <t>Estudos Econômicos</t>
    </r>
    <r>
      <rPr>
        <sz val="10"/>
        <color theme="1"/>
        <rFont val="Arial"/>
      </rPr>
      <t xml:space="preserve">, 50(2), 227–259. </t>
    </r>
  </si>
  <si>
    <t>https://doi.org/10.1590/0101-41615022rac</t>
  </si>
  <si>
    <t>De [1] tiramos: impacto sobre a mortalidade infantil; sobre a oferta de trabalho das mulheres elegíveis; e sobre a saúde e rendimentos dos filhos</t>
  </si>
  <si>
    <t>De [2] tiramos: impacto no crowding out da cobertura de saúde privada</t>
  </si>
  <si>
    <t>De [3] tiramos: custo de manutenção das equipes</t>
  </si>
  <si>
    <t>De [4] tiramos: fração de pessoas em cada faixa etária, macrorregião e rendimento médio de beneficiários</t>
  </si>
  <si>
    <t>De [5] tiramos: fração de pessoas beneficiárias e número de equipes</t>
  </si>
  <si>
    <t>Impacto sobre mortalidade [1: 136, Tabela 2b]</t>
  </si>
  <si>
    <t>Menores de 1 ano de idade:</t>
  </si>
  <si>
    <t>Entre 1 e 4 anos de idade:</t>
  </si>
  <si>
    <t>Entre 15 e 59 anos de idade:</t>
  </si>
  <si>
    <t>Maiores de 59 anos de idade:</t>
  </si>
  <si>
    <t>t</t>
  </si>
  <si>
    <t>Estimativa</t>
  </si>
  <si>
    <t>Erro padrão</t>
  </si>
  <si>
    <t>Impacto sobre cobertura privada [2: 49, Tabela 1.4]</t>
  </si>
  <si>
    <t>Impacto sobre matrícula escolar (Norte e Nordeste) [1: 145, Tabela 8]</t>
  </si>
  <si>
    <t>Erro Padrão</t>
  </si>
  <si>
    <t>Impacto sobre oferta de trabalho (Norte e Nordeste) [1: 147, Tabela 9]</t>
  </si>
  <si>
    <t>Oferta de trabalho</t>
  </si>
  <si>
    <t>Emprego</t>
  </si>
  <si>
    <t>Impacto sobre taxa de natalidade (Norte e Nordeste) [1: 148, Tabela 10]</t>
  </si>
  <si>
    <t>Cobertura da população brasileira (Janeiro 2010) [5]:</t>
  </si>
  <si>
    <t>da população brasileira, ou</t>
  </si>
  <si>
    <t>pessoas</t>
  </si>
  <si>
    <t>Número de equipes atuantes do ESF (Janeiro 2010) [5]:</t>
  </si>
  <si>
    <t>Custo mensal de uma equipe [3: 1514, Tabela 5]:</t>
  </si>
  <si>
    <t>Custo anual por beneficiário [cálculo próprio]:</t>
  </si>
  <si>
    <t>Valor Estatístico da Vida [6: 255, Tabela 7]:</t>
  </si>
  <si>
    <t>Fração de pessoas no Norte e Nordeste [4]:</t>
  </si>
  <si>
    <t>Fração de pessoas 0 | - 1 ano de idade [4]:</t>
  </si>
  <si>
    <t>Fração de pessoas 1 | - 4 anos de idade [4]:</t>
  </si>
  <si>
    <t>Fração de pessoas 15 | - 59 anos de idade [4]:</t>
  </si>
  <si>
    <t>Fração de pessoas 59+ anos de idade [4]:</t>
  </si>
  <si>
    <t>Rendimento domiciliar mensal per capita beneficiários [4]:</t>
  </si>
  <si>
    <t>Alíquota tributária rendimentos:</t>
  </si>
  <si>
    <t>Retorno da educação:</t>
  </si>
  <si>
    <t>Taxa de desconto intertemporal (ao ano):</t>
  </si>
  <si>
    <t>Fluxos de parcelas de benefícios/custos MVPF</t>
  </si>
  <si>
    <t>Componentes de montagem dos fluxos</t>
  </si>
  <si>
    <t>WTP vidas salvas por faixa etária</t>
  </si>
  <si>
    <t>Efeito substit. cobertura priv.</t>
  </si>
  <si>
    <t>WTP aumento oferta de trab.</t>
  </si>
  <si>
    <t>WTP matricula escolar</t>
  </si>
  <si>
    <t>Externalidade fiscal (trabalho)</t>
  </si>
  <si>
    <t>Externalidade fiscal (educ.)</t>
  </si>
  <si>
    <t>t (anos)</t>
  </si>
  <si>
    <t>0 |- 1 anos</t>
  </si>
  <si>
    <t>1 |- 4 anos</t>
  </si>
  <si>
    <t>15 |- 59 anos</t>
  </si>
  <si>
    <t>59+ anos</t>
  </si>
  <si>
    <t>WTP (VP)</t>
  </si>
  <si>
    <t>Net Costs (VP)</t>
  </si>
  <si>
    <t>Total</t>
  </si>
  <si>
    <t>MVPF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</si>
</sst>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 -416]#,##0"/>
    <numFmt numFmtId="165" formatCode="[$R$ -416]#,##0.00"/>
    <numFmt numFmtId="166" formatCode="0.0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i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1" xfId="0" applyFont="1" applyBorder="1" applyAlignment="1"/>
    <xf numFmtId="9" fontId="1" fillId="0" borderId="0" xfId="0" applyNumberFormat="1" applyFont="1" applyAlignment="1"/>
    <xf numFmtId="10" fontId="1" fillId="0" borderId="0" xfId="0" applyNumberFormat="1" applyFont="1" applyAlignment="1"/>
    <xf numFmtId="3" fontId="1" fillId="0" borderId="0" xfId="0" applyNumberFormat="1" applyFont="1" applyAlignment="1"/>
    <xf numFmtId="164" fontId="1" fillId="0" borderId="0" xfId="0" applyNumberFormat="1" applyFont="1" applyAlignment="1"/>
    <xf numFmtId="165" fontId="1" fillId="0" borderId="0" xfId="0" applyNumberFormat="1" applyFo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3" fillId="2" borderId="0" xfId="0" applyFont="1" applyFill="1" applyAlignment="1"/>
    <xf numFmtId="0" fontId="1" fillId="2" borderId="0" xfId="0" applyFont="1" applyFill="1"/>
    <xf numFmtId="9" fontId="1" fillId="2" borderId="0" xfId="0" applyNumberFormat="1" applyFont="1" applyFill="1" applyAlignment="1"/>
    <xf numFmtId="4" fontId="1" fillId="0" borderId="0" xfId="0" applyNumberFormat="1" applyFont="1"/>
    <xf numFmtId="4" fontId="1" fillId="0" borderId="1" xfId="0" applyNumberFormat="1" applyFont="1" applyBorder="1"/>
    <xf numFmtId="0" fontId="1" fillId="0" borderId="1" xfId="0" applyFont="1" applyBorder="1"/>
    <xf numFmtId="166" fontId="3" fillId="0" borderId="0" xfId="0" applyNumberFormat="1" applyFont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hec.4676" TargetMode="External"/><Relationship Id="rId2" Type="http://schemas.openxmlformats.org/officeDocument/2006/relationships/hyperlink" Target="https://repositorio-api.insper.edu.br/server/api/core/bitstreams/6a108d66-29e3-4684-ab40-0bf3cb54e724/content" TargetMode="External"/><Relationship Id="rId1" Type="http://schemas.openxmlformats.org/officeDocument/2006/relationships/hyperlink" Target="https://doi.org/10.1002/hec.1607" TargetMode="External"/><Relationship Id="rId6" Type="http://schemas.openxmlformats.org/officeDocument/2006/relationships/hyperlink" Target="https://doi.org/10.1590/0101-41615022rac" TargetMode="External"/><Relationship Id="rId5" Type="http://schemas.openxmlformats.org/officeDocument/2006/relationships/hyperlink" Target="https://egestorab.saude.gov.br/paginas/acessoPublico/relatorios/relHistoricoCoberturaAB.xhtml" TargetMode="External"/><Relationship Id="rId4" Type="http://schemas.openxmlformats.org/officeDocument/2006/relationships/hyperlink" Target="https://www.ibge.gov.br/estatisticas/sociais/populacao/9662-censo-demografico-20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5"/>
  <sheetViews>
    <sheetView workbookViewId="0"/>
  </sheetViews>
  <sheetFormatPr defaultColWidth="12.5703125" defaultRowHeight="15.75" customHeight="1" x14ac:dyDescent="0.2"/>
  <sheetData>
    <row r="1" spans="1:12" x14ac:dyDescent="0.2">
      <c r="A1" s="1" t="s">
        <v>0</v>
      </c>
    </row>
    <row r="2" spans="1:12" x14ac:dyDescent="0.2">
      <c r="A2" s="1" t="s">
        <v>1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s="1"/>
      <c r="B3" s="2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 t="s">
        <v>4</v>
      </c>
      <c r="B5" s="1" t="s">
        <v>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2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1" t="s">
        <v>7</v>
      </c>
      <c r="B8" s="1" t="s">
        <v>8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2" t="s">
        <v>9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1" spans="1:12" x14ac:dyDescent="0.2">
      <c r="A11" s="1" t="s">
        <v>10</v>
      </c>
      <c r="B11" s="1" t="s">
        <v>11</v>
      </c>
    </row>
    <row r="12" spans="1:12" x14ac:dyDescent="0.2">
      <c r="B12" s="2" t="s">
        <v>12</v>
      </c>
    </row>
    <row r="14" spans="1:12" x14ac:dyDescent="0.2">
      <c r="A14" s="1" t="s">
        <v>13</v>
      </c>
      <c r="B14" s="1" t="s">
        <v>14</v>
      </c>
    </row>
    <row r="15" spans="1:12" x14ac:dyDescent="0.2">
      <c r="A15" s="1"/>
      <c r="B15" s="2" t="s">
        <v>15</v>
      </c>
    </row>
    <row r="16" spans="1:12" x14ac:dyDescent="0.2">
      <c r="A16" s="1"/>
    </row>
    <row r="17" spans="1:2" x14ac:dyDescent="0.2">
      <c r="A17" s="1" t="s">
        <v>16</v>
      </c>
      <c r="B17" s="1" t="s">
        <v>17</v>
      </c>
    </row>
    <row r="18" spans="1:2" x14ac:dyDescent="0.2">
      <c r="A18" s="1"/>
      <c r="B18" s="2" t="s">
        <v>18</v>
      </c>
    </row>
    <row r="19" spans="1:2" x14ac:dyDescent="0.2">
      <c r="A19" s="1"/>
    </row>
    <row r="20" spans="1:2" x14ac:dyDescent="0.2">
      <c r="A20" s="1"/>
    </row>
    <row r="21" spans="1:2" x14ac:dyDescent="0.2">
      <c r="A21" s="1" t="s">
        <v>19</v>
      </c>
    </row>
    <row r="22" spans="1:2" x14ac:dyDescent="0.2">
      <c r="A22" s="1" t="s">
        <v>20</v>
      </c>
    </row>
    <row r="23" spans="1:2" x14ac:dyDescent="0.2">
      <c r="A23" s="1" t="s">
        <v>21</v>
      </c>
    </row>
    <row r="24" spans="1:2" x14ac:dyDescent="0.2">
      <c r="A24" s="1" t="s">
        <v>22</v>
      </c>
    </row>
    <row r="25" spans="1:2" x14ac:dyDescent="0.2">
      <c r="A25" s="1" t="s">
        <v>23</v>
      </c>
    </row>
  </sheetData>
  <hyperlinks>
    <hyperlink ref="B3" r:id="rId1" xr:uid="{00000000-0004-0000-0000-000000000000}"/>
    <hyperlink ref="B6" r:id="rId2" xr:uid="{00000000-0004-0000-0000-000001000000}"/>
    <hyperlink ref="B9" r:id="rId3" xr:uid="{00000000-0004-0000-0000-000002000000}"/>
    <hyperlink ref="B12" r:id="rId4" xr:uid="{00000000-0004-0000-0000-000003000000}"/>
    <hyperlink ref="B15" r:id="rId5" xr:uid="{00000000-0004-0000-0000-000004000000}"/>
    <hyperlink ref="B18" r:id="rId6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77"/>
  <sheetViews>
    <sheetView topLeftCell="A61" workbookViewId="0">
      <selection activeCell="F67" sqref="F67"/>
    </sheetView>
  </sheetViews>
  <sheetFormatPr defaultColWidth="12.5703125" defaultRowHeight="15.75" customHeight="1" x14ac:dyDescent="0.2"/>
  <cols>
    <col min="1" max="1" width="4.7109375" customWidth="1"/>
    <col min="4" max="4" width="4" customWidth="1"/>
    <col min="7" max="7" width="4" customWidth="1"/>
    <col min="10" max="10" width="4" customWidth="1"/>
  </cols>
  <sheetData>
    <row r="1" spans="1:12" x14ac:dyDescent="0.2">
      <c r="A1" s="3" t="s">
        <v>24</v>
      </c>
    </row>
    <row r="2" spans="1:12" x14ac:dyDescent="0.2">
      <c r="B2" s="19" t="s">
        <v>25</v>
      </c>
      <c r="C2" s="20"/>
      <c r="E2" s="19" t="s">
        <v>26</v>
      </c>
      <c r="F2" s="20"/>
      <c r="H2" s="19" t="s">
        <v>27</v>
      </c>
      <c r="I2" s="20"/>
      <c r="K2" s="19" t="s">
        <v>28</v>
      </c>
      <c r="L2" s="20"/>
    </row>
    <row r="3" spans="1:12" x14ac:dyDescent="0.2">
      <c r="A3" s="1" t="s">
        <v>29</v>
      </c>
      <c r="B3" s="1" t="s">
        <v>30</v>
      </c>
      <c r="C3" s="1" t="s">
        <v>31</v>
      </c>
      <c r="E3" s="1" t="s">
        <v>30</v>
      </c>
      <c r="F3" s="1" t="s">
        <v>31</v>
      </c>
      <c r="H3" s="1" t="s">
        <v>30</v>
      </c>
      <c r="I3" s="1" t="s">
        <v>31</v>
      </c>
      <c r="K3" s="1" t="s">
        <v>30</v>
      </c>
      <c r="L3" s="1" t="s">
        <v>31</v>
      </c>
    </row>
    <row r="4" spans="1:12" x14ac:dyDescent="0.2">
      <c r="A4" s="1">
        <v>1</v>
      </c>
      <c r="B4" s="1">
        <v>-0.56899999999999995</v>
      </c>
      <c r="C4" s="1">
        <v>0.27010000000000001</v>
      </c>
      <c r="E4" s="1">
        <v>-3.2199999999999999E-2</v>
      </c>
      <c r="F4" s="1">
        <v>1.5599999999999999E-2</v>
      </c>
      <c r="H4" s="1">
        <v>-3.9699999999999999E-2</v>
      </c>
      <c r="I4" s="1">
        <v>1.6500000000000001E-2</v>
      </c>
      <c r="K4" s="1">
        <v>-7.1300000000000002E-2</v>
      </c>
      <c r="L4" s="1">
        <v>0.1832</v>
      </c>
    </row>
    <row r="5" spans="1:12" x14ac:dyDescent="0.2">
      <c r="A5" s="1">
        <v>2</v>
      </c>
      <c r="B5" s="1">
        <v>-0.76139999999999997</v>
      </c>
      <c r="C5" s="1">
        <v>0.33860000000000001</v>
      </c>
      <c r="E5" s="1">
        <v>-4.9399999999999999E-2</v>
      </c>
      <c r="F5" s="1">
        <v>1.72E-2</v>
      </c>
      <c r="H5" s="1">
        <v>-7.9000000000000001E-2</v>
      </c>
      <c r="I5" s="1">
        <v>0.02</v>
      </c>
      <c r="K5" s="1">
        <v>-0.23960000000000001</v>
      </c>
      <c r="L5" s="1">
        <v>0.22339999999999999</v>
      </c>
    </row>
    <row r="6" spans="1:12" x14ac:dyDescent="0.2">
      <c r="A6" s="1">
        <v>3</v>
      </c>
      <c r="B6" s="1">
        <v>-1.8144</v>
      </c>
      <c r="C6" s="1">
        <v>0.47060000000000002</v>
      </c>
      <c r="E6" s="1">
        <v>-7.0699999999999999E-2</v>
      </c>
      <c r="F6" s="1">
        <v>2.3099999999999999E-2</v>
      </c>
      <c r="H6" s="1">
        <v>-0.1142</v>
      </c>
      <c r="I6" s="1">
        <v>2.52E-2</v>
      </c>
      <c r="K6" s="1">
        <v>-0.55900000000000005</v>
      </c>
      <c r="L6" s="1">
        <v>0.25440000000000002</v>
      </c>
    </row>
    <row r="7" spans="1:12" x14ac:dyDescent="0.2">
      <c r="A7" s="1">
        <v>4</v>
      </c>
      <c r="B7" s="1">
        <v>-2.6899000000000002</v>
      </c>
      <c r="C7" s="1">
        <v>0.67059999999999997</v>
      </c>
      <c r="E7" s="1">
        <v>-0.1159</v>
      </c>
      <c r="F7" s="1">
        <v>2.7900000000000001E-2</v>
      </c>
      <c r="H7" s="1">
        <v>-0.1595</v>
      </c>
      <c r="I7" s="1">
        <v>3.2300000000000002E-2</v>
      </c>
      <c r="K7" s="1">
        <v>-0.83099999999999996</v>
      </c>
      <c r="L7" s="1">
        <v>0.38019999999999998</v>
      </c>
    </row>
    <row r="8" spans="1:12" x14ac:dyDescent="0.2">
      <c r="A8" s="1">
        <v>5</v>
      </c>
      <c r="B8" s="1">
        <v>-3.6591999999999998</v>
      </c>
      <c r="C8" s="1">
        <v>0.82020000000000004</v>
      </c>
      <c r="E8" s="1">
        <v>-0.16259999999999999</v>
      </c>
      <c r="F8" s="1">
        <v>3.73E-2</v>
      </c>
      <c r="H8" s="1">
        <v>-0.19889999999999999</v>
      </c>
      <c r="I8" s="1">
        <v>4.07E-2</v>
      </c>
      <c r="K8" s="1">
        <v>-0.90349999999999997</v>
      </c>
      <c r="L8" s="1">
        <v>0.39169999999999999</v>
      </c>
    </row>
    <row r="9" spans="1:12" x14ac:dyDescent="0.2">
      <c r="A9" s="1">
        <v>6</v>
      </c>
      <c r="B9" s="1">
        <v>-4.5655000000000001</v>
      </c>
      <c r="C9" s="1">
        <v>1.1021000000000001</v>
      </c>
      <c r="E9" s="1">
        <v>-0.21579999999999999</v>
      </c>
      <c r="F9" s="1">
        <v>4.3200000000000002E-2</v>
      </c>
      <c r="H9" s="1">
        <v>-0.26419999999999999</v>
      </c>
      <c r="I9" s="1">
        <v>4.7E-2</v>
      </c>
      <c r="K9" s="1">
        <v>-1.0685</v>
      </c>
      <c r="L9" s="1">
        <v>0.49259999999999998</v>
      </c>
    </row>
    <row r="10" spans="1:12" x14ac:dyDescent="0.2">
      <c r="A10" s="1">
        <v>7</v>
      </c>
      <c r="B10" s="1">
        <v>-4.0427</v>
      </c>
      <c r="C10" s="1">
        <v>1.2616000000000001</v>
      </c>
      <c r="E10" s="1">
        <v>-0.216</v>
      </c>
      <c r="F10" s="1">
        <v>5.1499999999999997E-2</v>
      </c>
      <c r="H10" s="1">
        <v>-0.28820000000000001</v>
      </c>
      <c r="I10" s="1">
        <v>6.3100000000000003E-2</v>
      </c>
      <c r="K10" s="1">
        <v>-1.2634000000000001</v>
      </c>
      <c r="L10" s="1">
        <v>0.58709999999999996</v>
      </c>
    </row>
    <row r="11" spans="1:12" x14ac:dyDescent="0.2">
      <c r="A11" s="1">
        <v>8</v>
      </c>
      <c r="B11" s="1">
        <v>-5.4047999999999998</v>
      </c>
      <c r="C11" s="1">
        <v>1.5642</v>
      </c>
      <c r="E11" s="1">
        <v>-0.25600000000000001</v>
      </c>
      <c r="F11" s="1">
        <v>5.62E-2</v>
      </c>
      <c r="H11" s="1">
        <v>-0.38340000000000002</v>
      </c>
      <c r="I11" s="1">
        <v>7.0199999999999999E-2</v>
      </c>
      <c r="K11" s="1">
        <v>-1.2114</v>
      </c>
      <c r="L11" s="1">
        <v>0.71699999999999997</v>
      </c>
    </row>
    <row r="12" spans="1:12" x14ac:dyDescent="0.2">
      <c r="B12" s="1"/>
      <c r="C12" s="1"/>
    </row>
    <row r="13" spans="1:12" x14ac:dyDescent="0.2">
      <c r="A13" s="3" t="s">
        <v>32</v>
      </c>
    </row>
    <row r="14" spans="1:12" x14ac:dyDescent="0.2">
      <c r="A14" s="1" t="s">
        <v>29</v>
      </c>
      <c r="B14" s="1" t="s">
        <v>30</v>
      </c>
      <c r="C14" s="1" t="s">
        <v>31</v>
      </c>
    </row>
    <row r="15" spans="1:12" x14ac:dyDescent="0.2">
      <c r="A15" s="1">
        <v>0</v>
      </c>
      <c r="B15" s="1">
        <v>-3.64E-3</v>
      </c>
      <c r="C15" s="1">
        <v>9.0300000000000005E-4</v>
      </c>
    </row>
    <row r="16" spans="1:12" x14ac:dyDescent="0.2">
      <c r="A16" s="1">
        <v>1</v>
      </c>
      <c r="B16" s="1">
        <v>-6.4099999999999999E-3</v>
      </c>
      <c r="C16" s="1">
        <v>1.3799999999999999E-3</v>
      </c>
    </row>
    <row r="17" spans="1:3" x14ac:dyDescent="0.2">
      <c r="A17" s="1">
        <v>2</v>
      </c>
      <c r="B17" s="1">
        <v>-8.9200000000000008E-3</v>
      </c>
      <c r="C17" s="1">
        <v>1.89E-3</v>
      </c>
    </row>
    <row r="18" spans="1:3" x14ac:dyDescent="0.2">
      <c r="A18" s="1">
        <v>3</v>
      </c>
      <c r="B18" s="1">
        <v>-1.21E-2</v>
      </c>
      <c r="C18" s="1">
        <v>2.4299999999999999E-3</v>
      </c>
    </row>
    <row r="19" spans="1:3" x14ac:dyDescent="0.2">
      <c r="A19" s="1">
        <v>4</v>
      </c>
      <c r="B19" s="1">
        <v>-1.49E-2</v>
      </c>
      <c r="C19" s="1">
        <v>2.9499999999999999E-3</v>
      </c>
    </row>
    <row r="20" spans="1:3" x14ac:dyDescent="0.2">
      <c r="A20" s="1">
        <v>5</v>
      </c>
      <c r="B20" s="1">
        <v>-1.72E-2</v>
      </c>
      <c r="C20" s="1">
        <v>3.4399999999999999E-3</v>
      </c>
    </row>
    <row r="21" spans="1:3" x14ac:dyDescent="0.2">
      <c r="A21" s="1">
        <v>6</v>
      </c>
      <c r="B21" s="1">
        <v>-1.9599999999999999E-2</v>
      </c>
      <c r="C21" s="1">
        <v>3.9300000000000003E-3</v>
      </c>
    </row>
    <row r="22" spans="1:3" x14ac:dyDescent="0.2">
      <c r="A22" s="1">
        <v>7</v>
      </c>
      <c r="B22" s="1">
        <v>-2.1899999999999999E-2</v>
      </c>
      <c r="C22" s="1">
        <v>4.3899999999999998E-3</v>
      </c>
    </row>
    <row r="23" spans="1:3" x14ac:dyDescent="0.2">
      <c r="A23" s="1">
        <v>8</v>
      </c>
      <c r="B23" s="1">
        <v>-2.41E-2</v>
      </c>
      <c r="C23" s="1">
        <v>4.8399999999999997E-3</v>
      </c>
    </row>
    <row r="24" spans="1:3" x14ac:dyDescent="0.2">
      <c r="A24" s="1">
        <v>9</v>
      </c>
      <c r="B24" s="1">
        <v>-2.6100000000000002E-2</v>
      </c>
      <c r="C24" s="1">
        <v>5.2700000000000004E-3</v>
      </c>
    </row>
    <row r="25" spans="1:3" x14ac:dyDescent="0.2">
      <c r="A25" s="1">
        <v>10</v>
      </c>
      <c r="B25" s="1">
        <v>-2.8299999999999999E-2</v>
      </c>
      <c r="C25" s="1">
        <v>5.6499999999999996E-3</v>
      </c>
    </row>
    <row r="26" spans="1:3" x14ac:dyDescent="0.2">
      <c r="A26" s="1">
        <v>11</v>
      </c>
      <c r="B26" s="1">
        <v>-2.9600000000000001E-2</v>
      </c>
      <c r="C26" s="1">
        <v>6.0400000000000002E-3</v>
      </c>
    </row>
    <row r="27" spans="1:3" x14ac:dyDescent="0.2">
      <c r="A27" s="1">
        <v>12</v>
      </c>
      <c r="B27" s="1">
        <v>-3.15E-2</v>
      </c>
      <c r="C27" s="1">
        <v>6.6499999999999997E-3</v>
      </c>
    </row>
    <row r="29" spans="1:3" x14ac:dyDescent="0.2">
      <c r="A29" s="3" t="s">
        <v>33</v>
      </c>
    </row>
    <row r="30" spans="1:3" x14ac:dyDescent="0.2">
      <c r="A30" s="1" t="s">
        <v>29</v>
      </c>
      <c r="B30" s="1" t="s">
        <v>30</v>
      </c>
      <c r="C30" s="1" t="s">
        <v>34</v>
      </c>
    </row>
    <row r="31" spans="1:3" x14ac:dyDescent="0.2">
      <c r="A31" s="1">
        <v>1</v>
      </c>
      <c r="B31" s="1">
        <v>6.8999999999999999E-3</v>
      </c>
      <c r="C31" s="1">
        <v>4.1000000000000003E-3</v>
      </c>
    </row>
    <row r="32" spans="1:3" x14ac:dyDescent="0.2">
      <c r="A32" s="1">
        <v>2</v>
      </c>
      <c r="B32" s="1">
        <v>5.4999999999999997E-3</v>
      </c>
      <c r="C32" s="1">
        <v>5.7999999999999996E-3</v>
      </c>
    </row>
    <row r="33" spans="1:6" x14ac:dyDescent="0.2">
      <c r="A33" s="1">
        <v>3</v>
      </c>
      <c r="B33" s="1">
        <v>1.6199999999999999E-2</v>
      </c>
      <c r="C33" s="1">
        <v>7.4999999999999997E-3</v>
      </c>
    </row>
    <row r="34" spans="1:6" x14ac:dyDescent="0.2">
      <c r="A34" s="1">
        <v>4</v>
      </c>
      <c r="B34" s="1">
        <v>2.18E-2</v>
      </c>
      <c r="C34" s="1">
        <v>9.7000000000000003E-3</v>
      </c>
    </row>
    <row r="35" spans="1:6" x14ac:dyDescent="0.2">
      <c r="A35" s="1">
        <v>5</v>
      </c>
      <c r="B35" s="1">
        <v>2.3900000000000001E-2</v>
      </c>
      <c r="C35" s="1">
        <v>1.21E-2</v>
      </c>
    </row>
    <row r="36" spans="1:6" x14ac:dyDescent="0.2">
      <c r="A36" s="1">
        <v>6</v>
      </c>
      <c r="B36" s="1">
        <v>2.8000000000000001E-2</v>
      </c>
      <c r="C36" s="1">
        <v>1.46E-2</v>
      </c>
    </row>
    <row r="37" spans="1:6" x14ac:dyDescent="0.2">
      <c r="A37" s="1">
        <v>7</v>
      </c>
      <c r="B37" s="1">
        <v>3.61E-2</v>
      </c>
      <c r="C37" s="1">
        <v>1.38E-2</v>
      </c>
    </row>
    <row r="38" spans="1:6" x14ac:dyDescent="0.2">
      <c r="A38" s="1">
        <v>8</v>
      </c>
      <c r="B38" s="1">
        <v>4.5400000000000003E-2</v>
      </c>
      <c r="C38" s="1">
        <v>0.01</v>
      </c>
    </row>
    <row r="40" spans="1:6" x14ac:dyDescent="0.2">
      <c r="A40" s="3" t="s">
        <v>35</v>
      </c>
    </row>
    <row r="41" spans="1:6" x14ac:dyDescent="0.2">
      <c r="A41" s="1"/>
      <c r="B41" s="21" t="s">
        <v>36</v>
      </c>
      <c r="C41" s="20"/>
      <c r="E41" s="21" t="s">
        <v>37</v>
      </c>
      <c r="F41" s="20"/>
    </row>
    <row r="42" spans="1:6" x14ac:dyDescent="0.2">
      <c r="A42" s="1" t="s">
        <v>29</v>
      </c>
      <c r="B42" s="1" t="s">
        <v>30</v>
      </c>
      <c r="C42" s="1" t="s">
        <v>34</v>
      </c>
      <c r="E42" s="1" t="s">
        <v>30</v>
      </c>
      <c r="F42" s="1" t="s">
        <v>34</v>
      </c>
    </row>
    <row r="43" spans="1:6" x14ac:dyDescent="0.2">
      <c r="A43" s="1">
        <v>1</v>
      </c>
      <c r="B43" s="1">
        <v>1.03E-2</v>
      </c>
      <c r="C43" s="1">
        <v>5.5999999999999999E-3</v>
      </c>
      <c r="E43" s="1">
        <v>8.9999999999999993E-3</v>
      </c>
      <c r="F43" s="1">
        <v>6.6E-3</v>
      </c>
    </row>
    <row r="44" spans="1:6" x14ac:dyDescent="0.2">
      <c r="A44" s="1">
        <v>2</v>
      </c>
      <c r="B44" s="1">
        <v>1.7000000000000001E-2</v>
      </c>
      <c r="C44" s="1">
        <v>8.6999999999999994E-3</v>
      </c>
      <c r="E44" s="1">
        <v>1.6799999999999999E-2</v>
      </c>
      <c r="F44" s="1">
        <v>1.0699999999999999E-2</v>
      </c>
    </row>
    <row r="45" spans="1:6" x14ac:dyDescent="0.2">
      <c r="A45" s="1">
        <v>3</v>
      </c>
      <c r="B45" s="1">
        <v>2.4799999999999999E-2</v>
      </c>
      <c r="C45" s="1">
        <v>1.2200000000000001E-2</v>
      </c>
      <c r="E45" s="1">
        <v>3.32E-2</v>
      </c>
      <c r="F45" s="1">
        <v>1.29E-2</v>
      </c>
    </row>
    <row r="46" spans="1:6" x14ac:dyDescent="0.2">
      <c r="A46" s="1">
        <v>4</v>
      </c>
      <c r="B46" s="1">
        <v>3.1699999999999999E-2</v>
      </c>
      <c r="C46" s="1">
        <v>1.6400000000000001E-2</v>
      </c>
      <c r="E46" s="1">
        <v>3.9899999999999998E-2</v>
      </c>
      <c r="F46" s="1">
        <v>1.7500000000000002E-2</v>
      </c>
    </row>
    <row r="47" spans="1:6" x14ac:dyDescent="0.2">
      <c r="A47" s="1">
        <v>5</v>
      </c>
      <c r="B47" s="1">
        <v>5.1799999999999999E-2</v>
      </c>
      <c r="C47" s="1">
        <v>2.1100000000000001E-2</v>
      </c>
      <c r="E47" s="1">
        <v>6.6799999999999998E-2</v>
      </c>
      <c r="F47" s="1">
        <v>2.24E-2</v>
      </c>
    </row>
    <row r="48" spans="1:6" x14ac:dyDescent="0.2">
      <c r="A48" s="1">
        <v>6</v>
      </c>
      <c r="B48" s="1">
        <v>5.6800000000000003E-2</v>
      </c>
      <c r="C48" s="1">
        <v>2.7199999999999998E-2</v>
      </c>
      <c r="E48" s="1">
        <v>8.0199999999999994E-2</v>
      </c>
      <c r="F48" s="1">
        <v>2.8500000000000001E-2</v>
      </c>
    </row>
    <row r="49" spans="1:7" x14ac:dyDescent="0.2">
      <c r="A49" s="1">
        <v>7</v>
      </c>
      <c r="B49" s="1">
        <v>7.46E-2</v>
      </c>
      <c r="C49" s="1">
        <v>3.27E-2</v>
      </c>
      <c r="E49" s="1">
        <v>0.10929999999999999</v>
      </c>
      <c r="F49" s="1">
        <v>3.3300000000000003E-2</v>
      </c>
    </row>
    <row r="50" spans="1:7" x14ac:dyDescent="0.2">
      <c r="A50" s="1">
        <v>8</v>
      </c>
      <c r="B50" s="1">
        <v>6.8000000000000005E-2</v>
      </c>
      <c r="C50" s="1">
        <v>4.1200000000000001E-2</v>
      </c>
      <c r="E50" s="1">
        <v>0.11360000000000001</v>
      </c>
      <c r="F50" s="1">
        <v>4.1000000000000002E-2</v>
      </c>
    </row>
    <row r="52" spans="1:7" x14ac:dyDescent="0.2">
      <c r="A52" s="3" t="s">
        <v>38</v>
      </c>
    </row>
    <row r="53" spans="1:7" x14ac:dyDescent="0.2">
      <c r="A53" s="1" t="s">
        <v>29</v>
      </c>
      <c r="B53" s="1" t="s">
        <v>30</v>
      </c>
      <c r="C53" s="1" t="s">
        <v>34</v>
      </c>
    </row>
    <row r="54" spans="1:7" x14ac:dyDescent="0.2">
      <c r="A54" s="1">
        <v>1</v>
      </c>
      <c r="B54" s="1">
        <v>-1.2800000000000001E-2</v>
      </c>
      <c r="C54" s="1">
        <v>3.0999999999999999E-3</v>
      </c>
    </row>
    <row r="55" spans="1:7" x14ac:dyDescent="0.2">
      <c r="A55" s="1">
        <v>2</v>
      </c>
      <c r="B55" s="1">
        <v>-1.2500000000000001E-2</v>
      </c>
      <c r="C55" s="1">
        <v>4.1999999999999997E-3</v>
      </c>
    </row>
    <row r="56" spans="1:7" x14ac:dyDescent="0.2">
      <c r="A56" s="1">
        <v>3</v>
      </c>
      <c r="B56" s="1">
        <v>-1.7999999999999999E-2</v>
      </c>
      <c r="C56" s="1">
        <v>5.7999999999999996E-3</v>
      </c>
    </row>
    <row r="57" spans="1:7" x14ac:dyDescent="0.2">
      <c r="A57" s="1">
        <v>4</v>
      </c>
      <c r="B57" s="1">
        <v>-2.4500000000000001E-2</v>
      </c>
      <c r="C57" s="1">
        <v>7.1000000000000004E-3</v>
      </c>
    </row>
    <row r="58" spans="1:7" x14ac:dyDescent="0.2">
      <c r="A58" s="1">
        <v>5</v>
      </c>
      <c r="B58" s="1">
        <v>-2.76E-2</v>
      </c>
      <c r="C58" s="1">
        <v>8.8000000000000005E-3</v>
      </c>
    </row>
    <row r="59" spans="1:7" x14ac:dyDescent="0.2">
      <c r="A59" s="1">
        <v>6</v>
      </c>
      <c r="B59" s="1">
        <v>-3.5299999999999998E-2</v>
      </c>
      <c r="C59" s="1">
        <v>9.7999999999999997E-3</v>
      </c>
    </row>
    <row r="60" spans="1:7" x14ac:dyDescent="0.2">
      <c r="A60" s="1">
        <v>7</v>
      </c>
      <c r="B60" s="1">
        <v>-3.73E-2</v>
      </c>
      <c r="C60" s="1">
        <v>1.15E-2</v>
      </c>
    </row>
    <row r="61" spans="1:7" x14ac:dyDescent="0.2">
      <c r="A61" s="1">
        <v>8</v>
      </c>
      <c r="B61" s="1">
        <v>-4.5600000000000002E-2</v>
      </c>
      <c r="C61" s="1">
        <v>1.0500000000000001E-2</v>
      </c>
    </row>
    <row r="63" spans="1:7" x14ac:dyDescent="0.2">
      <c r="A63" s="3" t="s">
        <v>39</v>
      </c>
      <c r="C63" s="5"/>
      <c r="D63" s="5"/>
      <c r="F63" s="6">
        <v>0.5131</v>
      </c>
      <c r="G63" s="1" t="s">
        <v>40</v>
      </c>
    </row>
    <row r="64" spans="1:7" x14ac:dyDescent="0.2">
      <c r="A64" s="3"/>
      <c r="F64" s="7">
        <v>98270806</v>
      </c>
      <c r="G64" s="1" t="s">
        <v>41</v>
      </c>
    </row>
    <row r="65" spans="1:6" x14ac:dyDescent="0.2">
      <c r="A65" s="3" t="s">
        <v>42</v>
      </c>
      <c r="F65" s="7">
        <v>31107</v>
      </c>
    </row>
    <row r="66" spans="1:6" x14ac:dyDescent="0.2">
      <c r="A66" s="3" t="s">
        <v>43</v>
      </c>
      <c r="F66" s="8">
        <v>58411</v>
      </c>
    </row>
    <row r="67" spans="1:6" x14ac:dyDescent="0.2">
      <c r="A67" s="3" t="s">
        <v>44</v>
      </c>
      <c r="F67" s="9">
        <f>F66*F65*12/F64</f>
        <v>221.87557639447874</v>
      </c>
    </row>
    <row r="68" spans="1:6" x14ac:dyDescent="0.2">
      <c r="A68" s="3" t="s">
        <v>45</v>
      </c>
      <c r="F68" s="10">
        <v>3294000</v>
      </c>
    </row>
    <row r="69" spans="1:6" x14ac:dyDescent="0.2">
      <c r="A69" s="3" t="s">
        <v>46</v>
      </c>
      <c r="F69" s="6">
        <v>0.36143799999999998</v>
      </c>
    </row>
    <row r="70" spans="1:6" x14ac:dyDescent="0.2">
      <c r="A70" s="3" t="s">
        <v>47</v>
      </c>
      <c r="F70" s="6">
        <v>1.430583E-2</v>
      </c>
    </row>
    <row r="71" spans="1:6" x14ac:dyDescent="0.2">
      <c r="A71" s="3" t="s">
        <v>48</v>
      </c>
      <c r="F71" s="6">
        <v>4.3039290000000001E-2</v>
      </c>
    </row>
    <row r="72" spans="1:6" x14ac:dyDescent="0.2">
      <c r="A72" s="3" t="s">
        <v>49</v>
      </c>
      <c r="F72" s="6">
        <v>0.64335869999999995</v>
      </c>
    </row>
    <row r="73" spans="1:6" x14ac:dyDescent="0.2">
      <c r="A73" s="3" t="s">
        <v>50</v>
      </c>
      <c r="F73" s="6">
        <v>0.1158013</v>
      </c>
    </row>
    <row r="74" spans="1:6" x14ac:dyDescent="0.2">
      <c r="A74" s="3" t="s">
        <v>51</v>
      </c>
      <c r="F74" s="11">
        <v>195.87289999999999</v>
      </c>
    </row>
    <row r="75" spans="1:6" x14ac:dyDescent="0.2">
      <c r="A75" s="12" t="s">
        <v>52</v>
      </c>
      <c r="B75" s="13"/>
      <c r="C75" s="13"/>
      <c r="D75" s="13"/>
      <c r="E75" s="13"/>
      <c r="F75" s="14">
        <v>0.22</v>
      </c>
    </row>
    <row r="76" spans="1:6" x14ac:dyDescent="0.2">
      <c r="A76" s="12" t="s">
        <v>53</v>
      </c>
      <c r="B76" s="13"/>
      <c r="C76" s="13"/>
      <c r="D76" s="13"/>
      <c r="E76" s="13"/>
      <c r="F76" s="14">
        <v>0.17</v>
      </c>
    </row>
    <row r="77" spans="1:6" x14ac:dyDescent="0.2">
      <c r="A77" s="12" t="s">
        <v>54</v>
      </c>
      <c r="B77" s="13"/>
      <c r="C77" s="13"/>
      <c r="D77" s="13"/>
      <c r="E77" s="13"/>
      <c r="F77" s="14">
        <v>0.03</v>
      </c>
    </row>
  </sheetData>
  <mergeCells count="6">
    <mergeCell ref="B2:C2"/>
    <mergeCell ref="E2:F2"/>
    <mergeCell ref="H2:I2"/>
    <mergeCell ref="K2:L2"/>
    <mergeCell ref="B41:C41"/>
    <mergeCell ref="E41:F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4"/>
  <sheetViews>
    <sheetView tabSelected="1" workbookViewId="0">
      <selection activeCell="C15" sqref="C15"/>
    </sheetView>
  </sheetViews>
  <sheetFormatPr defaultColWidth="12.5703125" defaultRowHeight="15.75" customHeight="1" x14ac:dyDescent="0.2"/>
  <cols>
    <col min="11" max="11" width="5.42578125" customWidth="1"/>
  </cols>
  <sheetData>
    <row r="1" spans="1:13" x14ac:dyDescent="0.2">
      <c r="A1" s="3" t="s">
        <v>55</v>
      </c>
    </row>
    <row r="2" spans="1:13" x14ac:dyDescent="0.2">
      <c r="B2" s="19" t="s">
        <v>56</v>
      </c>
      <c r="C2" s="20"/>
      <c r="D2" s="20"/>
      <c r="E2" s="20"/>
      <c r="F2" s="20"/>
      <c r="G2" s="20"/>
      <c r="H2" s="20"/>
      <c r="I2" s="20"/>
      <c r="J2" s="20"/>
    </row>
    <row r="3" spans="1:13" x14ac:dyDescent="0.2">
      <c r="A3" s="1"/>
      <c r="B3" s="19" t="s">
        <v>57</v>
      </c>
      <c r="C3" s="20"/>
      <c r="D3" s="20"/>
      <c r="E3" s="20"/>
      <c r="F3" s="22" t="s">
        <v>58</v>
      </c>
      <c r="G3" s="22" t="s">
        <v>59</v>
      </c>
      <c r="H3" s="22" t="s">
        <v>60</v>
      </c>
      <c r="I3" s="22" t="s">
        <v>61</v>
      </c>
      <c r="J3" s="22" t="s">
        <v>62</v>
      </c>
    </row>
    <row r="4" spans="1:13" x14ac:dyDescent="0.2">
      <c r="A4" s="4" t="s">
        <v>63</v>
      </c>
      <c r="B4" s="4" t="s">
        <v>64</v>
      </c>
      <c r="C4" s="4" t="s">
        <v>65</v>
      </c>
      <c r="D4" s="4" t="s">
        <v>66</v>
      </c>
      <c r="E4" s="4" t="s">
        <v>67</v>
      </c>
      <c r="F4" s="20"/>
      <c r="G4" s="20"/>
      <c r="H4" s="20"/>
      <c r="I4" s="20"/>
      <c r="J4" s="20"/>
      <c r="L4" s="4" t="s">
        <v>68</v>
      </c>
      <c r="M4" s="4" t="s">
        <v>69</v>
      </c>
    </row>
    <row r="5" spans="1:13" x14ac:dyDescent="0.2">
      <c r="A5" s="1">
        <v>1</v>
      </c>
      <c r="B5" s="15">
        <f>-Dados!B4*Dados!$F$70*Dados!$F$68/1000</f>
        <v>26.813216887379998</v>
      </c>
      <c r="C5" s="15">
        <f>-Dados!E4*Dados!$F$71*Dados!$F$68/1000</f>
        <v>4.565039764572</v>
      </c>
      <c r="D5" s="15">
        <f>-Dados!H4*Dados!$F$72*Dados!$F$68/1000</f>
        <v>84.133175244659981</v>
      </c>
      <c r="E5" s="15">
        <f>-Dados!K4*Dados!$F$73*Dados!$F$68/1000</f>
        <v>27.197348080859999</v>
      </c>
      <c r="F5" s="15">
        <f>Dados!B16*Dados!$F$67</f>
        <v>-1.4222224446886087</v>
      </c>
      <c r="G5" s="15">
        <f>Dados!E43*Dados!$F$74*Dados!$F$69*(1-Dados!$F$75)</f>
        <v>0.4969872827960039</v>
      </c>
      <c r="H5" s="15">
        <f>Dados!B31*Dados!$F$74*Dados!$F$69*(1-Dados!$F$75)*Dados!$F$76</f>
        <v>6.4774009191079188E-2</v>
      </c>
      <c r="I5" s="15">
        <f>Dados!E43*Dados!$F$74*Dados!$F$69*Dados!$F$75</f>
        <v>0.14017590027579596</v>
      </c>
      <c r="J5" s="15">
        <f>Dados!B31*Dados!$F$74*Dados!$F$69*Dados!$F$75*Dados!$F$76</f>
        <v>1.8269592335945412E-2</v>
      </c>
      <c r="L5" s="15">
        <f>SUM(B5:H5)/(1+Dados!$F$77)^A5</f>
        <v>137.71681439298101</v>
      </c>
      <c r="M5" s="15">
        <f>(Dados!$F$67-SUM(I5:J5))/(1+Dados!$F$77)^A5</f>
        <v>215.25935039016213</v>
      </c>
    </row>
    <row r="6" spans="1:13" x14ac:dyDescent="0.2">
      <c r="A6" s="1">
        <v>2</v>
      </c>
      <c r="B6" s="15">
        <f>-Dados!B5*Dados!$F$70*Dados!$F$68/1000</f>
        <v>35.879759820827999</v>
      </c>
      <c r="C6" s="15">
        <f>-Dados!E5*Dados!$F$71*Dados!$F$68/1000</f>
        <v>7.0035082102440001</v>
      </c>
      <c r="D6" s="15">
        <f>-Dados!H5*Dados!$F$72*Dados!$F$68/1000</f>
        <v>167.41866106619997</v>
      </c>
      <c r="E6" s="15">
        <f>-Dados!K5*Dados!$F$73*Dados!$F$68/1000</f>
        <v>91.395295935120004</v>
      </c>
      <c r="F6" s="15">
        <f>Dados!B17*Dados!$F$67</f>
        <v>-1.9791301414387505</v>
      </c>
      <c r="G6" s="15">
        <f>Dados!E44*Dados!$F$74*Dados!$F$69*(1-Dados!$F$75)</f>
        <v>0.92770959455254065</v>
      </c>
      <c r="H6" s="15">
        <f>Dados!B32*Dados!$F$74*Dados!$F$69*(1-Dados!$F$75)*Dados!$F$76</f>
        <v>5.1631456601584858E-2</v>
      </c>
      <c r="I6" s="15">
        <f>Dados!E44*Dados!$F$74*Dados!$F$69*Dados!$F$75</f>
        <v>0.26166168051481914</v>
      </c>
      <c r="J6" s="15">
        <f>Dados!B32*Dados!$F$74*Dados!$F$69*Dados!$F$75*Dados!$F$76</f>
        <v>1.456271852865214E-2</v>
      </c>
      <c r="L6" s="15">
        <f>SUM(B6:H6)/(1+Dados!$F$77)^A6</f>
        <v>283.43617300603955</v>
      </c>
      <c r="M6" s="15">
        <f>(Dados!$F$67-SUM(I6:J6))/(1+Dados!$F$77)^A6</f>
        <v>208.87864265758816</v>
      </c>
    </row>
    <row r="7" spans="1:13" x14ac:dyDescent="0.2">
      <c r="A7" s="1">
        <v>3</v>
      </c>
      <c r="B7" s="15">
        <f>-Dados!B6*Dados!$F$70*Dados!$F$68/1000</f>
        <v>85.500704253888003</v>
      </c>
      <c r="C7" s="15">
        <f>-Dados!E6*Dados!$F$71*Dados!$F$68/1000</f>
        <v>10.023239483082</v>
      </c>
      <c r="D7" s="15">
        <f>-Dados!H6*Dados!$F$72*Dados!$F$68/1000</f>
        <v>242.01533030075998</v>
      </c>
      <c r="E7" s="15">
        <f>-Dados!K6*Dados!$F$73*Dados!$F$68/1000</f>
        <v>213.23026054979999</v>
      </c>
      <c r="F7" s="15">
        <f>Dados!B18*Dados!$F$67</f>
        <v>-2.6846944743731926</v>
      </c>
      <c r="G7" s="15">
        <f>Dados!E45*Dados!$F$74*Dados!$F$69*(1-Dados!$F$75)</f>
        <v>1.8333308654252591</v>
      </c>
      <c r="H7" s="15">
        <f>Dados!B33*Dados!$F$74*Dados!$F$69*(1-Dados!$F$75)*Dados!$F$76</f>
        <v>0.15207810853557721</v>
      </c>
      <c r="I7" s="15">
        <f>Dados!E45*Dados!$F$74*Dados!$F$69*Dados!$F$75</f>
        <v>0.51709332101738081</v>
      </c>
      <c r="J7" s="15">
        <f>Dados!B33*Dados!$F$74*Dados!$F$69*Dados!$F$75*Dados!$F$76</f>
        <v>4.2893825484393577E-2</v>
      </c>
      <c r="L7" s="15">
        <f>SUM(B7:H7)/(1+Dados!$F$77)^A7</f>
        <v>503.39220051039064</v>
      </c>
      <c r="M7" s="15">
        <f>(Dados!$F$67-SUM(I7:J7))/(1+Dados!$F$77)^A7</f>
        <v>202.5351155851159</v>
      </c>
    </row>
    <row r="8" spans="1:13" x14ac:dyDescent="0.2">
      <c r="A8" s="1">
        <v>4</v>
      </c>
      <c r="B8" s="15">
        <f>-Dados!B7*Dados!$F$70*Dados!$F$68/1000</f>
        <v>126.757244473398</v>
      </c>
      <c r="C8" s="15">
        <f>-Dados!E7*Dados!$F$71*Dados!$F$68/1000</f>
        <v>16.431307724033999</v>
      </c>
      <c r="D8" s="15">
        <f>-Dados!H7*Dados!$F$72*Dados!$F$68/1000</f>
        <v>338.01615746909999</v>
      </c>
      <c r="E8" s="15">
        <f>-Dados!K7*Dados!$F$73*Dados!$F$68/1000</f>
        <v>316.98451970819997</v>
      </c>
      <c r="F8" s="15">
        <f>Dados!B19*Dados!$F$67</f>
        <v>-3.3059460882777332</v>
      </c>
      <c r="G8" s="15">
        <f>Dados!E46*Dados!$F$74*Dados!$F$69*(1-Dados!$F$75)</f>
        <v>2.2033102870622838</v>
      </c>
      <c r="H8" s="15">
        <f>Dados!B34*Dados!$F$74*Dados!$F$69*(1-Dados!$F$75)*Dados!$F$76</f>
        <v>0.2046483188935545</v>
      </c>
      <c r="I8" s="15">
        <f>Dados!E46*Dados!$F$74*Dados!$F$69*Dados!$F$75</f>
        <v>0.62144649122269546</v>
      </c>
      <c r="J8" s="15">
        <f>Dados!B34*Dados!$F$74*Dados!$F$69*Dados!$F$75*Dados!$F$76</f>
        <v>5.7721320713566664E-2</v>
      </c>
      <c r="L8" s="15">
        <f>SUM(B8:H8)/(1+Dados!$F$77)^A8</f>
        <v>708.38294183802077</v>
      </c>
      <c r="M8" s="15">
        <f>(Dados!$F$67-SUM(I8:J8))/(1+Dados!$F$77)^A8</f>
        <v>196.53014407105573</v>
      </c>
    </row>
    <row r="9" spans="1:13" x14ac:dyDescent="0.2">
      <c r="A9" s="1">
        <v>5</v>
      </c>
      <c r="B9" s="15">
        <f>-Dados!B8*Dados!$F$70*Dados!$F$68/1000</f>
        <v>172.433959989984</v>
      </c>
      <c r="C9" s="15">
        <f>-Dados!E8*Dados!$F$71*Dados!$F$68/1000</f>
        <v>23.052033096875999</v>
      </c>
      <c r="D9" s="15">
        <f>-Dados!H8*Dados!$F$72*Dados!$F$68/1000</f>
        <v>421.51356564641992</v>
      </c>
      <c r="E9" s="15">
        <f>-Dados!K8*Dados!$F$73*Dados!$F$68/1000</f>
        <v>344.63960716769998</v>
      </c>
      <c r="F9" s="15">
        <f>Dados!B20*Dados!$F$67</f>
        <v>-3.8162599139850344</v>
      </c>
      <c r="G9" s="15">
        <f>Dados!E47*Dados!$F$74*Dados!$F$69*(1-Dados!$F$75)</f>
        <v>3.6887500545303404</v>
      </c>
      <c r="H9" s="15">
        <f>Dados!B35*Dados!$F$74*Dados!$F$69*(1-Dados!$F$75)*Dados!$F$76</f>
        <v>0.22436214777779603</v>
      </c>
      <c r="I9" s="15">
        <f>Dados!E47*Dados!$F$74*Dados!$F$69*Dados!$F$75</f>
        <v>1.0404166820470191</v>
      </c>
      <c r="J9" s="15">
        <f>Dados!B35*Dados!$F$74*Dados!$F$69*Dados!$F$75*Dados!$F$76</f>
        <v>6.3281631424506574E-2</v>
      </c>
      <c r="L9" s="15">
        <f>SUM(B9:H9)/(1+Dados!$F$77)^A9</f>
        <v>829.60193754874092</v>
      </c>
      <c r="M9" s="15">
        <f>(Dados!$F$67-SUM(I9:J9))/(1+Dados!$F$77)^A9</f>
        <v>190.43976137766654</v>
      </c>
    </row>
    <row r="10" spans="1:13" x14ac:dyDescent="0.2">
      <c r="A10" s="1">
        <v>6</v>
      </c>
      <c r="B10" s="15">
        <f>-Dados!B9*Dados!$F$70*Dados!$F$68/1000</f>
        <v>215.14190105330999</v>
      </c>
      <c r="C10" s="15">
        <f>-Dados!E9*Dados!$F$71*Dados!$F$68/1000</f>
        <v>30.594272707908004</v>
      </c>
      <c r="D10" s="15">
        <f>-Dados!H9*Dados!$F$72*Dados!$F$68/1000</f>
        <v>559.89886397075986</v>
      </c>
      <c r="E10" s="15">
        <f>-Dados!K9*Dados!$F$73*Dados!$F$68/1000</f>
        <v>407.5787717307</v>
      </c>
      <c r="F10" s="15">
        <f>Dados!B21*Dados!$F$67</f>
        <v>-4.3487612973317828</v>
      </c>
      <c r="G10" s="15">
        <f>Dados!E48*Dados!$F$74*Dados!$F$69*(1-Dados!$F$75)</f>
        <v>4.4287088978043903</v>
      </c>
      <c r="H10" s="15">
        <f>Dados!B36*Dados!$F$74*Dados!$F$69*(1-Dados!$F$75)*Dados!$F$76</f>
        <v>0.2628510517898866</v>
      </c>
      <c r="I10" s="15">
        <f>Dados!E48*Dados!$F$74*Dados!$F$69*Dados!$F$75</f>
        <v>1.2491230224576484</v>
      </c>
      <c r="J10" s="15">
        <f>Dados!B36*Dados!$F$74*Dados!$F$69*Dados!$F$75*Dados!$F$76</f>
        <v>7.4137476145865439E-2</v>
      </c>
      <c r="L10" s="15">
        <f>SUM(B10:H10)/(1+Dados!$F$77)^A10</f>
        <v>1016.3345538906777</v>
      </c>
      <c r="M10" s="15">
        <f>(Dados!$F$67-SUM(I10:J10))/(1+Dados!$F$77)^A10</f>
        <v>184.70909233791562</v>
      </c>
    </row>
    <row r="11" spans="1:13" x14ac:dyDescent="0.2">
      <c r="A11" s="1">
        <v>7</v>
      </c>
      <c r="B11" s="15">
        <f>-Dados!B10*Dados!$F$70*Dados!$F$68/1000</f>
        <v>190.50578543165398</v>
      </c>
      <c r="C11" s="15">
        <f>-Dados!E10*Dados!$F$71*Dados!$F$68/1000</f>
        <v>30.622626992160004</v>
      </c>
      <c r="D11" s="15">
        <f>-Dados!H10*Dados!$F$72*Dados!$F$68/1000</f>
        <v>610.76022935795993</v>
      </c>
      <c r="E11" s="15">
        <f>-Dados!K10*Dados!$F$73*Dados!$F$68/1000</f>
        <v>481.92327581147998</v>
      </c>
      <c r="F11" s="15">
        <f>Dados!B22*Dados!$F$67</f>
        <v>-4.8590751230390845</v>
      </c>
      <c r="G11" s="15">
        <f>Dados!E49*Dados!$F$74*Dados!$F$69*(1-Dados!$F$75)</f>
        <v>6.0356344455114703</v>
      </c>
      <c r="H11" s="15">
        <f>Dados!B37*Dados!$F$74*Dados!$F$69*(1-Dados!$F$75)*Dados!$F$76</f>
        <v>0.33889010605767517</v>
      </c>
      <c r="I11" s="15">
        <f>Dados!E49*Dados!$F$74*Dados!$F$69*Dados!$F$75</f>
        <v>1.7023584333493891</v>
      </c>
      <c r="J11" s="15">
        <f>Dados!B37*Dados!$F$74*Dados!$F$69*Dados!$F$75*Dados!$F$76</f>
        <v>9.5584388888062227E-2</v>
      </c>
      <c r="L11" s="15">
        <f>SUM(B11:H11)/(1+Dados!$F$77)^A11</f>
        <v>1069.4815167630165</v>
      </c>
      <c r="M11" s="15">
        <f>(Dados!$F$67-SUM(I11:J11))/(1+Dados!$F$77)^A11</f>
        <v>178.94325569412248</v>
      </c>
    </row>
    <row r="12" spans="1:13" x14ac:dyDescent="0.2">
      <c r="A12" s="4">
        <v>8</v>
      </c>
      <c r="B12" s="16">
        <f>-Dados!B11*Dados!$F$70*Dados!$F$68/1000</f>
        <v>254.69257404729598</v>
      </c>
      <c r="C12" s="16">
        <f>-Dados!E11*Dados!$F$71*Dados!$F$68/1000</f>
        <v>36.293483842560001</v>
      </c>
      <c r="D12" s="16">
        <f>-Dados!H11*Dados!$F$72*Dados!$F$68/1000</f>
        <v>812.51031206051994</v>
      </c>
      <c r="E12" s="16">
        <f>-Dados!K11*Dados!$F$73*Dados!$F$68/1000</f>
        <v>462.08790273708001</v>
      </c>
      <c r="F12" s="16">
        <f>Dados!B23*Dados!$F$67</f>
        <v>-5.347201391106938</v>
      </c>
      <c r="G12" s="16">
        <f>Dados!E50*Dados!$F$74*Dados!$F$69*(1-Dados!$F$75)</f>
        <v>6.2730839250695611</v>
      </c>
      <c r="H12" s="16">
        <f>Dados!B38*Dados!$F$74*Dados!$F$69*(1-Dados!$F$75)*Dados!$F$76</f>
        <v>0.42619420540217323</v>
      </c>
      <c r="I12" s="16">
        <f>Dados!E50*Dados!$F$74*Dados!$F$69*Dados!$F$75</f>
        <v>1.7693313634811583</v>
      </c>
      <c r="J12" s="16">
        <f>Dados!B38*Dados!$F$74*Dados!$F$69*Dados!$F$75*Dados!$F$76</f>
        <v>0.12020862203651041</v>
      </c>
      <c r="K12" s="17"/>
      <c r="L12" s="16">
        <f>SUM(B12:H12)/(1+Dados!$F$77)^A12</f>
        <v>1236.9540238197005</v>
      </c>
      <c r="M12" s="16">
        <f>(Dados!$F$67-SUM(I12:J12))/(1+Dados!$F$77)^A12</f>
        <v>173.65900856135556</v>
      </c>
    </row>
    <row r="13" spans="1:13" x14ac:dyDescent="0.2">
      <c r="K13" s="1" t="s">
        <v>70</v>
      </c>
      <c r="L13" s="15">
        <f t="shared" ref="L13:M13" si="0">SUM(L5:L12)</f>
        <v>5785.3001617695681</v>
      </c>
      <c r="M13" s="15">
        <f t="shared" si="0"/>
        <v>1550.9543706749819</v>
      </c>
    </row>
    <row r="14" spans="1:13" x14ac:dyDescent="0.2">
      <c r="K14" s="3" t="s">
        <v>71</v>
      </c>
      <c r="L14" s="18">
        <f>L13/M13</f>
        <v>3.7301549749988978</v>
      </c>
    </row>
  </sheetData>
  <mergeCells count="7">
    <mergeCell ref="B2:J2"/>
    <mergeCell ref="B3:E3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Referências</vt:lpstr>
      <vt:lpstr>Dados</vt:lpstr>
      <vt:lpstr>Cálculos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 cm</cp:lastModifiedBy>
  <dcterms:modified xsi:type="dcterms:W3CDTF">2024-07-09T23:19:38Z</dcterms:modified>
</cp:coreProperties>
</file>