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werberm/Desktop/"/>
    </mc:Choice>
  </mc:AlternateContent>
  <xr:revisionPtr revIDLastSave="0" documentId="13_ncr:1_{7699FFC5-7EF4-BF4B-B247-FFE66E646DC3}" xr6:coauthVersionLast="45" xr6:coauthVersionMax="45" xr10:uidLastSave="{00000000-0000-0000-0000-000000000000}"/>
  <bookViews>
    <workbookView xWindow="380" yWindow="460" windowWidth="28040" windowHeight="15780" xr2:uid="{B4957CD9-AF00-5545-9F8D-93BCD401CFFB}"/>
  </bookViews>
  <sheets>
    <sheet name="API GW Cost" sheetId="3" r:id="rId1"/>
    <sheet name="Pricing"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9" i="3" l="1"/>
  <c r="H39" i="3" s="1"/>
  <c r="J39" i="3" s="1"/>
  <c r="L39" i="3" s="1"/>
  <c r="N39" i="3" s="1"/>
  <c r="P39" i="3" s="1"/>
  <c r="E39" i="3"/>
  <c r="G39" i="3" l="1"/>
  <c r="I39" i="3" l="1"/>
  <c r="K39" i="3" l="1"/>
  <c r="F13" i="3"/>
  <c r="G13" i="3" s="1"/>
  <c r="H13" i="3" s="1"/>
  <c r="I13" i="3" s="1"/>
  <c r="J13" i="3" s="1"/>
  <c r="K13" i="3" s="1"/>
  <c r="L13" i="3" s="1"/>
  <c r="M13" i="3" s="1"/>
  <c r="N13" i="3" s="1"/>
  <c r="O13" i="3" s="1"/>
  <c r="P13" i="3" s="1"/>
  <c r="P40" i="3" s="1"/>
  <c r="P41" i="3" s="1"/>
  <c r="F12" i="3"/>
  <c r="G12" i="3" s="1"/>
  <c r="H12" i="3" s="1"/>
  <c r="I12" i="3" s="1"/>
  <c r="J12" i="3" s="1"/>
  <c r="K12" i="3" s="1"/>
  <c r="L12" i="3" s="1"/>
  <c r="M12" i="3" s="1"/>
  <c r="N12" i="3" s="1"/>
  <c r="O12" i="3" s="1"/>
  <c r="P12" i="3" s="1"/>
  <c r="F11" i="3"/>
  <c r="G11" i="3" s="1"/>
  <c r="H11" i="3" s="1"/>
  <c r="I11" i="3" s="1"/>
  <c r="J11" i="3" s="1"/>
  <c r="K11" i="3" s="1"/>
  <c r="L11" i="3" s="1"/>
  <c r="M11" i="3" s="1"/>
  <c r="N11" i="3" s="1"/>
  <c r="O11" i="3" s="1"/>
  <c r="P11" i="3" s="1"/>
  <c r="P28" i="3" s="1"/>
  <c r="M39" i="3" l="1"/>
  <c r="N40" i="3"/>
  <c r="N41" i="3" s="1"/>
  <c r="P27" i="3"/>
  <c r="P29" i="3" s="1"/>
  <c r="N27" i="3"/>
  <c r="O28" i="3"/>
  <c r="O40" i="3"/>
  <c r="N28" i="3"/>
  <c r="O27" i="3"/>
  <c r="Q11" i="3"/>
  <c r="Q12" i="3"/>
  <c r="Q13" i="3"/>
  <c r="Q40" i="3" s="1"/>
  <c r="D24" i="3"/>
  <c r="E29" i="1"/>
  <c r="E28" i="1"/>
  <c r="E27" i="1"/>
  <c r="E26" i="1"/>
  <c r="E25" i="1"/>
  <c r="E24" i="1"/>
  <c r="E23" i="1"/>
  <c r="E22" i="1"/>
  <c r="E21" i="1"/>
  <c r="C35" i="3"/>
  <c r="C34" i="3"/>
  <c r="C33" i="3"/>
  <c r="C32" i="3"/>
  <c r="M40" i="3"/>
  <c r="L40" i="3"/>
  <c r="L41" i="3" s="1"/>
  <c r="K40" i="3"/>
  <c r="K41" i="3" s="1"/>
  <c r="J40" i="3"/>
  <c r="J41" i="3" s="1"/>
  <c r="I40" i="3"/>
  <c r="I41" i="3" s="1"/>
  <c r="H40" i="3"/>
  <c r="H41" i="3" s="1"/>
  <c r="G40" i="3"/>
  <c r="G41" i="3" s="1"/>
  <c r="F40" i="3"/>
  <c r="F41" i="3" s="1"/>
  <c r="E40" i="3"/>
  <c r="E41" i="3" s="1"/>
  <c r="M28" i="3"/>
  <c r="L28" i="3"/>
  <c r="K28" i="3"/>
  <c r="J28" i="3"/>
  <c r="I28" i="3"/>
  <c r="H28" i="3"/>
  <c r="G28" i="3"/>
  <c r="F28" i="3"/>
  <c r="M27" i="3"/>
  <c r="L27" i="3"/>
  <c r="L29" i="3" s="1"/>
  <c r="K27" i="3"/>
  <c r="K29" i="3" s="1"/>
  <c r="J27" i="3"/>
  <c r="I27" i="3"/>
  <c r="I29" i="3" s="1"/>
  <c r="H27" i="3"/>
  <c r="H29" i="3" s="1"/>
  <c r="G27" i="3"/>
  <c r="G29" i="3" s="1"/>
  <c r="F27" i="3"/>
  <c r="F29" i="3" s="1"/>
  <c r="E27" i="3"/>
  <c r="E28" i="3"/>
  <c r="O39" i="3" l="1"/>
  <c r="M41" i="3"/>
  <c r="Q28" i="3"/>
  <c r="O29" i="3"/>
  <c r="Q27" i="3"/>
  <c r="N29" i="3"/>
  <c r="N18" i="3" s="1"/>
  <c r="O24" i="3"/>
  <c r="K24" i="3"/>
  <c r="G24" i="3"/>
  <c r="M24" i="3"/>
  <c r="L24" i="3"/>
  <c r="N24" i="3"/>
  <c r="J24" i="3"/>
  <c r="F24" i="3"/>
  <c r="I24" i="3"/>
  <c r="E24" i="3"/>
  <c r="P24" i="3"/>
  <c r="H24" i="3"/>
  <c r="K34" i="3"/>
  <c r="O34" i="3"/>
  <c r="N34" i="3"/>
  <c r="P34" i="3"/>
  <c r="M35" i="3"/>
  <c r="P35" i="3"/>
  <c r="N35" i="3"/>
  <c r="O35" i="3"/>
  <c r="M32" i="3"/>
  <c r="O32" i="3"/>
  <c r="P32" i="3"/>
  <c r="N32" i="3"/>
  <c r="M33" i="3"/>
  <c r="N33" i="3"/>
  <c r="O33" i="3"/>
  <c r="P33" i="3"/>
  <c r="J29" i="3"/>
  <c r="M29" i="3"/>
  <c r="M18" i="3" s="1"/>
  <c r="O18" i="3"/>
  <c r="P18" i="3"/>
  <c r="J18" i="3"/>
  <c r="L18" i="3"/>
  <c r="I18" i="3"/>
  <c r="G18" i="3"/>
  <c r="K18" i="3"/>
  <c r="H18" i="3"/>
  <c r="F18" i="3"/>
  <c r="F35" i="3"/>
  <c r="J35" i="3"/>
  <c r="E33" i="3"/>
  <c r="J33" i="3"/>
  <c r="G35" i="3"/>
  <c r="K35" i="3"/>
  <c r="F33" i="3"/>
  <c r="K33" i="3"/>
  <c r="H35" i="3"/>
  <c r="L35" i="3"/>
  <c r="H33" i="3"/>
  <c r="G33" i="3"/>
  <c r="E35" i="3"/>
  <c r="I35" i="3"/>
  <c r="E34" i="3"/>
  <c r="L34" i="3"/>
  <c r="I34" i="3"/>
  <c r="M34" i="3"/>
  <c r="H34" i="3"/>
  <c r="F34" i="3"/>
  <c r="J34" i="3"/>
  <c r="G34" i="3"/>
  <c r="L33" i="3"/>
  <c r="I33" i="3"/>
  <c r="F32" i="3"/>
  <c r="J32" i="3"/>
  <c r="E32" i="3"/>
  <c r="G32" i="3"/>
  <c r="K32" i="3"/>
  <c r="H32" i="3"/>
  <c r="L32" i="3"/>
  <c r="I32" i="3"/>
  <c r="E29" i="3"/>
  <c r="E18" i="3" s="1"/>
  <c r="Q39" i="3" l="1"/>
  <c r="Q41" i="3" s="1"/>
  <c r="O41" i="3"/>
  <c r="Q29" i="3"/>
  <c r="Q34" i="3"/>
  <c r="Q32" i="3"/>
  <c r="Q35" i="3"/>
  <c r="Q24" i="3"/>
  <c r="Q33" i="3"/>
  <c r="N36" i="3"/>
  <c r="N19" i="3" s="1"/>
  <c r="M36" i="3"/>
  <c r="M19" i="3" s="1"/>
  <c r="P36" i="3"/>
  <c r="P19" i="3" s="1"/>
  <c r="O36" i="3"/>
  <c r="O19" i="3" s="1"/>
  <c r="Q18" i="3"/>
  <c r="E36" i="3"/>
  <c r="H36" i="3"/>
  <c r="H19" i="3" s="1"/>
  <c r="K36" i="3"/>
  <c r="K19" i="3" s="1"/>
  <c r="I36" i="3"/>
  <c r="I19" i="3" s="1"/>
  <c r="F36" i="3"/>
  <c r="F19" i="3" s="1"/>
  <c r="L36" i="3"/>
  <c r="L19" i="3" s="1"/>
  <c r="G36" i="3"/>
  <c r="G19" i="3" s="1"/>
  <c r="J36" i="3"/>
  <c r="J19" i="3" s="1"/>
  <c r="E19" i="3" l="1"/>
  <c r="Q19" i="3" s="1"/>
  <c r="Q36" i="3"/>
</calcChain>
</file>

<file path=xl/sharedStrings.xml><?xml version="1.0" encoding="utf-8"?>
<sst xmlns="http://schemas.openxmlformats.org/spreadsheetml/2006/main" count="210" uniqueCount="95">
  <si>
    <t>Request (GB)</t>
  </si>
  <si>
    <t>Response (GB)</t>
  </si>
  <si>
    <t>Pricing</t>
  </si>
  <si>
    <t>HTTP API</t>
  </si>
  <si>
    <t>REST API</t>
  </si>
  <si>
    <t>WebSocket API</t>
  </si>
  <si>
    <t>First 750,000 connected minutes</t>
  </si>
  <si>
    <t>Price examples for US West Oregon Region as of July 23, 2020</t>
  </si>
  <si>
    <t>Type</t>
  </si>
  <si>
    <t>First 300M API calls</t>
  </si>
  <si>
    <t>Additional API calls after 300M</t>
  </si>
  <si>
    <t>Cost unit</t>
  </si>
  <si>
    <t>Notes</t>
  </si>
  <si>
    <t>Metered at 512 KB / call. If single request &gt; 512 KB, it counts as 1 billed call for each 512 KB increment, rounded up</t>
  </si>
  <si>
    <t>Same as above</t>
  </si>
  <si>
    <t>Next 19 Billion API Calls</t>
  </si>
  <si>
    <t>Over 20 billion API calls</t>
  </si>
  <si>
    <t>First 333 million API calls</t>
  </si>
  <si>
    <t>Next 667 million API calls</t>
  </si>
  <si>
    <t>Cache storage, 0.5 GB</t>
  </si>
  <si>
    <t>Cache storage, 1.6 GB</t>
  </si>
  <si>
    <t>Cache storage, 6.1 GB</t>
  </si>
  <si>
    <t>Cache storage, 13.5 GB</t>
  </si>
  <si>
    <t>Cache storage, 28.4 GB</t>
  </si>
  <si>
    <t>Cache storage, 58.2 GB</t>
  </si>
  <si>
    <t>Cache storage, 118 GB</t>
  </si>
  <si>
    <t>Cache storage, 237 GB</t>
  </si>
  <si>
    <t>Cache storage</t>
  </si>
  <si>
    <t>Price per hour</t>
  </si>
  <si>
    <t>First 1 billion messages</t>
  </si>
  <si>
    <t>Over 1 billion messages</t>
  </si>
  <si>
    <t>Metered at 32 KB / call. If single request &gt; 32 KB, it counts as 1 billed call for each 32 KB increment, rounded up</t>
  </si>
  <si>
    <t>Price per 1M connected minutes</t>
  </si>
  <si>
    <t>Price per 1M API calls</t>
  </si>
  <si>
    <t>HTTP API Pricing</t>
  </si>
  <si>
    <t>REST API Pricing</t>
  </si>
  <si>
    <t>WebSocket API Pricing</t>
  </si>
  <si>
    <t>Caching Pricing</t>
  </si>
  <si>
    <t>Data Transfer</t>
  </si>
  <si>
    <t>Request data transferred IN</t>
  </si>
  <si>
    <t>Price per GB</t>
  </si>
  <si>
    <t>Response data transferred OUT</t>
  </si>
  <si>
    <t>Only applies to REST and HTTP APIs. Does not apply to WebSockets APIs; note - pricing varies by region and destination, but $0.09 / GB is good estimate for US transfer</t>
  </si>
  <si>
    <t>First 300M API calls, cost per million</t>
  </si>
  <si>
    <t>Additional API calls after 300M, cost per million</t>
  </si>
  <si>
    <t>Cost per 1M API calls</t>
  </si>
  <si>
    <t>Total Cost for HTTP APIs</t>
  </si>
  <si>
    <t>AWS Cost - API Gateway - HTTP APIs</t>
  </si>
  <si>
    <t>AWS Cost - API Gateway - Data Transfer</t>
  </si>
  <si>
    <t>AWS Cost - API Gateway - REST APIs</t>
  </si>
  <si>
    <t>Used in calculation</t>
  </si>
  <si>
    <t>Total Cost for REST APIs</t>
  </si>
  <si>
    <t>Over 20 Billion API Calls</t>
  </si>
  <si>
    <t>No cache will be used</t>
  </si>
  <si>
    <t>Cost / month</t>
  </si>
  <si>
    <t>Unit Cost</t>
  </si>
  <si>
    <t>n/a</t>
  </si>
  <si>
    <t>What size cache (if any) will you use for API responses?</t>
  </si>
  <si>
    <t>AWS Cost - Response Cache</t>
  </si>
  <si>
    <t>Monthly Cost</t>
  </si>
  <si>
    <t>SELECT AN OPTION</t>
  </si>
  <si>
    <t>AWS Cost</t>
  </si>
  <si>
    <t xml:space="preserve">Pricing varies by AWS region; us-west oregon was used for this example. </t>
  </si>
  <si>
    <t>These examples do not include ancillary services that are commonly used with API Gateway, such as AWS Lambda for request processing.</t>
  </si>
  <si>
    <t>This doc is based on public pricing as of July 2020 from https://aws.amazon.com/api-gateway/pricing/</t>
  </si>
  <si>
    <t>You are responsible for your costs! Please double-check my math</t>
  </si>
  <si>
    <t>Usage</t>
  </si>
  <si>
    <t>Total API Calls</t>
  </si>
  <si>
    <t>This spreadsheet focuses on REST and HTTP request cost. It does not include an example of WebSocket costs.</t>
  </si>
  <si>
    <t>Projected Usage</t>
  </si>
  <si>
    <t>Month 1</t>
  </si>
  <si>
    <t>Month 2</t>
  </si>
  <si>
    <t>Month 3</t>
  </si>
  <si>
    <t>Month 4</t>
  </si>
  <si>
    <t>Month 5</t>
  </si>
  <si>
    <t>Month 6</t>
  </si>
  <si>
    <t>Month 7</t>
  </si>
  <si>
    <t>Month 8</t>
  </si>
  <si>
    <t>Month 9</t>
  </si>
  <si>
    <t>Month 10</t>
  </si>
  <si>
    <t>Month 11</t>
  </si>
  <si>
    <t>Month 12</t>
  </si>
  <si>
    <t>12-month total</t>
  </si>
  <si>
    <t>Cells in yellow should be edited as needed</t>
  </si>
  <si>
    <t xml:space="preserve">What monthly % growth rate do you expect? </t>
  </si>
  <si>
    <r>
      <t xml:space="preserve">Cost </t>
    </r>
    <r>
      <rPr>
        <b/>
        <u/>
        <sz val="12"/>
        <color theme="1"/>
        <rFont val="Calibri (Body)"/>
      </rPr>
      <t>if</t>
    </r>
    <r>
      <rPr>
        <sz val="12"/>
        <color theme="1"/>
        <rFont val="Calibri"/>
        <family val="2"/>
        <scheme val="minor"/>
      </rPr>
      <t xml:space="preserve"> using REST APIs</t>
    </r>
  </si>
  <si>
    <r>
      <t xml:space="preserve">Cost </t>
    </r>
    <r>
      <rPr>
        <b/>
        <u/>
        <sz val="12"/>
        <color theme="1"/>
        <rFont val="Calibri (Body)"/>
      </rPr>
      <t>if</t>
    </r>
    <r>
      <rPr>
        <sz val="12"/>
        <color theme="1"/>
        <rFont val="Calibri"/>
        <family val="2"/>
        <scheme val="minor"/>
      </rPr>
      <t xml:space="preserve"> using HTTP APIs</t>
    </r>
  </si>
  <si>
    <t>Projected Total Cost</t>
  </si>
  <si>
    <t>Per-feature cost</t>
  </si>
  <si>
    <r>
      <rPr>
        <b/>
        <sz val="12"/>
        <color theme="1"/>
        <rFont val="Calibri"/>
        <family val="2"/>
        <scheme val="minor"/>
      </rPr>
      <t xml:space="preserve">Note - </t>
    </r>
    <r>
      <rPr>
        <sz val="12"/>
        <color theme="1"/>
        <rFont val="Calibri"/>
        <family val="2"/>
        <scheme val="minor"/>
      </rPr>
      <t>this is an example pricing estimate for API Gateway .</t>
    </r>
  </si>
  <si>
    <t>Price per GB transferred OUT in response</t>
  </si>
  <si>
    <t>Total data transfer cost</t>
  </si>
  <si>
    <t>Price per GB transferred IN via request</t>
  </si>
  <si>
    <t>Cost per GB (**)</t>
  </si>
  <si>
    <t>** Data transfer varies depending on the target of the data transfer out (and whether or not the target is an AWS region, whether it goes through an internet or NAT gateway, etc.). That being said, $0.09 is a generalized estimate (it’s the starting tier for S3 pricing in this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</si>
</sst>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_(* #,##0.0_);_(* \(#,##0.0\);_(* &quot;-&quot;??_);_(@_)"/>
  </numFmts>
  <fonts count="11">
    <font>
      <sz val="12"/>
      <color theme="1"/>
      <name val="Calibri"/>
      <family val="2"/>
      <scheme val="minor"/>
    </font>
    <font>
      <sz val="12"/>
      <color theme="1"/>
      <name val="Calibri"/>
      <family val="2"/>
      <scheme val="minor"/>
    </font>
    <font>
      <b/>
      <sz val="12"/>
      <color theme="1"/>
      <name val="Calibri"/>
      <family val="2"/>
      <scheme val="minor"/>
    </font>
    <font>
      <b/>
      <sz val="10"/>
      <color theme="1"/>
      <name val="Arial"/>
      <family val="2"/>
    </font>
    <font>
      <sz val="10"/>
      <color theme="1"/>
      <name val="Arial"/>
      <family val="2"/>
    </font>
    <font>
      <i/>
      <sz val="12"/>
      <color theme="1"/>
      <name val="Calibri"/>
      <family val="2"/>
      <scheme val="minor"/>
    </font>
    <font>
      <sz val="12"/>
      <color rgb="FF000000"/>
      <name val="Calibri"/>
      <family val="2"/>
      <scheme val="minor"/>
    </font>
    <font>
      <b/>
      <u/>
      <sz val="20"/>
      <color theme="1"/>
      <name val="Calibri"/>
      <family val="2"/>
      <scheme val="minor"/>
    </font>
    <font>
      <b/>
      <sz val="20"/>
      <color theme="1"/>
      <name val="Calibri"/>
      <family val="2"/>
      <scheme val="minor"/>
    </font>
    <font>
      <b/>
      <u/>
      <sz val="12"/>
      <color theme="1"/>
      <name val="Calibri (Body)"/>
    </font>
    <font>
      <sz val="8"/>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2"/>
        <bgColor indexed="64"/>
      </patternFill>
    </fill>
  </fills>
  <borders count="6">
    <border>
      <left/>
      <right/>
      <top/>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2">
    <xf numFmtId="0" fontId="0" fillId="0" borderId="0"/>
    <xf numFmtId="43" fontId="1" fillId="0" borderId="0" applyFont="0" applyFill="0" applyBorder="0" applyAlignment="0" applyProtection="0"/>
  </cellStyleXfs>
  <cellXfs count="58">
    <xf numFmtId="0" fontId="0" fillId="0" borderId="0" xfId="0"/>
    <xf numFmtId="0" fontId="0" fillId="2" borderId="0" xfId="0" applyFill="1"/>
    <xf numFmtId="0" fontId="2" fillId="2" borderId="0" xfId="0" applyFont="1" applyFill="1"/>
    <xf numFmtId="0" fontId="5" fillId="2" borderId="0" xfId="0" applyFont="1" applyFill="1"/>
    <xf numFmtId="0" fontId="6" fillId="3" borderId="0" xfId="0" applyFont="1" applyFill="1"/>
    <xf numFmtId="43" fontId="0" fillId="2" borderId="0" xfId="1" applyFont="1" applyFill="1"/>
    <xf numFmtId="0" fontId="7" fillId="2" borderId="0" xfId="0" applyFont="1" applyFill="1"/>
    <xf numFmtId="0" fontId="2" fillId="2" borderId="1" xfId="0" applyFont="1" applyFill="1" applyBorder="1"/>
    <xf numFmtId="2" fontId="0" fillId="2" borderId="0" xfId="0" applyNumberFormat="1" applyFill="1"/>
    <xf numFmtId="164" fontId="0" fillId="2" borderId="0" xfId="1" applyNumberFormat="1" applyFont="1" applyFill="1"/>
    <xf numFmtId="0" fontId="0" fillId="2" borderId="1" xfId="0" applyFill="1" applyBorder="1"/>
    <xf numFmtId="164" fontId="0" fillId="2" borderId="1" xfId="1" applyNumberFormat="1" applyFont="1" applyFill="1" applyBorder="1"/>
    <xf numFmtId="0" fontId="0" fillId="2" borderId="0" xfId="0" applyFill="1" applyBorder="1"/>
    <xf numFmtId="164" fontId="0" fillId="2" borderId="0" xfId="1" applyNumberFormat="1" applyFont="1" applyFill="1" applyBorder="1"/>
    <xf numFmtId="0" fontId="2" fillId="2" borderId="1" xfId="0" applyFont="1" applyFill="1" applyBorder="1" applyAlignment="1">
      <alignment horizontal="center"/>
    </xf>
    <xf numFmtId="0" fontId="0" fillId="5" borderId="0" xfId="0" applyFill="1"/>
    <xf numFmtId="0" fontId="3" fillId="2" borderId="1" xfId="0" applyFont="1" applyFill="1" applyBorder="1"/>
    <xf numFmtId="0" fontId="8" fillId="6" borderId="0" xfId="0" applyFont="1" applyFill="1"/>
    <xf numFmtId="0" fontId="4" fillId="6" borderId="0" xfId="0" applyFont="1" applyFill="1"/>
    <xf numFmtId="0" fontId="0" fillId="4" borderId="0" xfId="0" applyFill="1"/>
    <xf numFmtId="3" fontId="4" fillId="6" borderId="0" xfId="0" applyNumberFormat="1" applyFont="1" applyFill="1" applyBorder="1"/>
    <xf numFmtId="164" fontId="0" fillId="4" borderId="0" xfId="0" applyNumberFormat="1" applyFill="1" applyBorder="1"/>
    <xf numFmtId="164" fontId="0" fillId="2" borderId="0" xfId="0" applyNumberFormat="1" applyFill="1" applyBorder="1"/>
    <xf numFmtId="0" fontId="0" fillId="2" borderId="0" xfId="0" applyFont="1" applyFill="1"/>
    <xf numFmtId="9" fontId="0" fillId="5" borderId="0" xfId="0" applyNumberFormat="1" applyFill="1"/>
    <xf numFmtId="17" fontId="3" fillId="6" borderId="0" xfId="0" applyNumberFormat="1" applyFont="1" applyFill="1" applyBorder="1" applyAlignment="1">
      <alignment horizontal="center"/>
    </xf>
    <xf numFmtId="3" fontId="4" fillId="5" borderId="0" xfId="0" applyNumberFormat="1" applyFont="1" applyFill="1" applyBorder="1"/>
    <xf numFmtId="0" fontId="2" fillId="5" borderId="0" xfId="0" applyFont="1" applyFill="1"/>
    <xf numFmtId="0" fontId="8" fillId="7" borderId="1" xfId="0" applyFont="1" applyFill="1" applyBorder="1" applyAlignment="1"/>
    <xf numFmtId="0" fontId="2" fillId="8" borderId="2" xfId="0" applyFont="1" applyFill="1" applyBorder="1"/>
    <xf numFmtId="3" fontId="0" fillId="8" borderId="3" xfId="0" applyNumberFormat="1" applyFill="1" applyBorder="1"/>
    <xf numFmtId="164" fontId="0" fillId="4" borderId="3" xfId="0" applyNumberFormat="1" applyFill="1" applyBorder="1"/>
    <xf numFmtId="0" fontId="3" fillId="4" borderId="1" xfId="0" applyFont="1" applyFill="1" applyBorder="1"/>
    <xf numFmtId="0" fontId="0" fillId="4" borderId="1" xfId="0" applyFill="1" applyBorder="1"/>
    <xf numFmtId="17" fontId="3" fillId="4" borderId="1" xfId="0" applyNumberFormat="1" applyFont="1" applyFill="1" applyBorder="1" applyAlignment="1">
      <alignment horizontal="center"/>
    </xf>
    <xf numFmtId="0" fontId="2" fillId="4" borderId="4" xfId="0" applyFont="1" applyFill="1" applyBorder="1"/>
    <xf numFmtId="0" fontId="0" fillId="4" borderId="0" xfId="0" applyFont="1" applyFill="1"/>
    <xf numFmtId="164" fontId="0" fillId="2" borderId="0" xfId="1" applyNumberFormat="1" applyFont="1" applyFill="1" applyBorder="1" applyAlignment="1">
      <alignment horizontal="center"/>
    </xf>
    <xf numFmtId="164" fontId="0" fillId="2" borderId="1" xfId="1" applyNumberFormat="1" applyFont="1" applyFill="1" applyBorder="1" applyAlignment="1">
      <alignment horizontal="center"/>
    </xf>
    <xf numFmtId="164" fontId="0" fillId="2" borderId="0" xfId="0" applyNumberFormat="1" applyFill="1" applyBorder="1" applyAlignment="1">
      <alignment horizontal="center"/>
    </xf>
    <xf numFmtId="0" fontId="0" fillId="2" borderId="0" xfId="0" applyFill="1" applyBorder="1" applyAlignment="1">
      <alignment horizontal="center"/>
    </xf>
    <xf numFmtId="0" fontId="4" fillId="2" borderId="1" xfId="0" applyFont="1" applyFill="1" applyBorder="1"/>
    <xf numFmtId="17" fontId="3" fillId="2" borderId="1" xfId="0" applyNumberFormat="1" applyFont="1" applyFill="1" applyBorder="1" applyAlignment="1">
      <alignment horizontal="center"/>
    </xf>
    <xf numFmtId="0" fontId="2" fillId="2" borderId="5" xfId="0" applyFont="1" applyFill="1" applyBorder="1"/>
    <xf numFmtId="17" fontId="3" fillId="2" borderId="5" xfId="0" applyNumberFormat="1" applyFont="1" applyFill="1" applyBorder="1" applyAlignment="1">
      <alignment horizontal="center"/>
    </xf>
    <xf numFmtId="164" fontId="0" fillId="2" borderId="3" xfId="1" applyNumberFormat="1" applyFont="1" applyFill="1" applyBorder="1"/>
    <xf numFmtId="164" fontId="0" fillId="2" borderId="5" xfId="1" applyNumberFormat="1" applyFont="1" applyFill="1" applyBorder="1" applyAlignment="1">
      <alignment horizontal="center"/>
    </xf>
    <xf numFmtId="164" fontId="0" fillId="2" borderId="3" xfId="1" applyNumberFormat="1" applyFont="1" applyFill="1" applyBorder="1" applyAlignment="1">
      <alignment horizontal="center"/>
    </xf>
    <xf numFmtId="164" fontId="0" fillId="2" borderId="2" xfId="1" applyNumberFormat="1" applyFont="1" applyFill="1" applyBorder="1" applyAlignment="1">
      <alignment horizontal="center"/>
    </xf>
    <xf numFmtId="0" fontId="0" fillId="9" borderId="1" xfId="0" applyFill="1" applyBorder="1"/>
    <xf numFmtId="164" fontId="0" fillId="9" borderId="1" xfId="0" applyNumberFormat="1" applyFill="1" applyBorder="1"/>
    <xf numFmtId="0" fontId="2" fillId="2" borderId="0" xfId="0" applyFont="1" applyFill="1" applyBorder="1" applyAlignment="1">
      <alignment horizontal="center"/>
    </xf>
    <xf numFmtId="0" fontId="0" fillId="2" borderId="0" xfId="0" applyFont="1" applyFill="1" applyBorder="1" applyAlignment="1">
      <alignment horizontal="right"/>
    </xf>
    <xf numFmtId="165" fontId="4" fillId="2" borderId="0" xfId="1" applyNumberFormat="1" applyFont="1" applyFill="1" applyBorder="1" applyAlignment="1">
      <alignment horizontal="center"/>
    </xf>
    <xf numFmtId="165" fontId="4" fillId="2" borderId="2" xfId="1" applyNumberFormat="1" applyFont="1" applyFill="1" applyBorder="1" applyAlignment="1">
      <alignment horizontal="center"/>
    </xf>
    <xf numFmtId="1" fontId="0" fillId="2" borderId="1" xfId="0" applyNumberFormat="1" applyFill="1" applyBorder="1" applyAlignment="1">
      <alignment horizontal="center"/>
    </xf>
    <xf numFmtId="0" fontId="4" fillId="2" borderId="0" xfId="0" applyFont="1" applyFill="1" applyBorder="1"/>
    <xf numFmtId="165" fontId="0" fillId="2" borderId="0" xfId="0" applyNumberFormat="1" applyFill="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46449-D7CC-3D44-BACF-F5B49C14F223}">
  <dimension ref="A1:Q43"/>
  <sheetViews>
    <sheetView tabSelected="1" workbookViewId="0">
      <selection activeCell="C12" sqref="C12"/>
    </sheetView>
  </sheetViews>
  <sheetFormatPr baseColWidth="10" defaultColWidth="11" defaultRowHeight="16"/>
  <cols>
    <col min="1" max="1" width="48.33203125" style="1" customWidth="1"/>
    <col min="2" max="2" width="15.6640625" style="1" hidden="1" customWidth="1"/>
    <col min="3" max="3" width="19.33203125" style="1" bestFit="1" customWidth="1"/>
    <col min="4" max="4" width="12" style="1" bestFit="1" customWidth="1"/>
    <col min="5" max="5" width="11.1640625" style="1" bestFit="1" customWidth="1"/>
    <col min="6" max="6" width="12" style="1" bestFit="1" customWidth="1"/>
    <col min="7" max="13" width="11.1640625" style="1" bestFit="1" customWidth="1"/>
    <col min="14" max="14" width="11.1640625" style="12" bestFit="1" customWidth="1"/>
    <col min="15" max="16" width="11.1640625" style="1" bestFit="1" customWidth="1"/>
    <col min="17" max="17" width="13.5" style="1" bestFit="1" customWidth="1"/>
    <col min="18" max="16384" width="11" style="1"/>
  </cols>
  <sheetData>
    <row r="1" spans="1:17">
      <c r="A1" s="1" t="s">
        <v>89</v>
      </c>
    </row>
    <row r="2" spans="1:17">
      <c r="A2" s="1" t="s">
        <v>64</v>
      </c>
    </row>
    <row r="3" spans="1:17">
      <c r="A3" s="1" t="s">
        <v>62</v>
      </c>
    </row>
    <row r="4" spans="1:17">
      <c r="A4" s="1" t="s">
        <v>63</v>
      </c>
    </row>
    <row r="5" spans="1:17">
      <c r="A5" s="1" t="s">
        <v>68</v>
      </c>
    </row>
    <row r="6" spans="1:17">
      <c r="A6" s="1" t="s">
        <v>65</v>
      </c>
    </row>
    <row r="7" spans="1:17">
      <c r="A7" s="27" t="s">
        <v>83</v>
      </c>
    </row>
    <row r="9" spans="1:17" ht="26">
      <c r="A9" s="28" t="s">
        <v>69</v>
      </c>
      <c r="C9" s="28"/>
      <c r="D9" s="28"/>
      <c r="E9" s="28"/>
      <c r="F9" s="28"/>
      <c r="G9" s="28"/>
      <c r="H9" s="28"/>
      <c r="I9" s="28"/>
      <c r="J9" s="28"/>
      <c r="K9" s="28"/>
      <c r="L9" s="28"/>
      <c r="M9" s="28"/>
      <c r="N9" s="28"/>
      <c r="O9" s="28"/>
      <c r="P9" s="28"/>
      <c r="Q9" s="28"/>
    </row>
    <row r="10" spans="1:17" ht="26">
      <c r="A10" s="17" t="s">
        <v>66</v>
      </c>
      <c r="B10" s="17"/>
      <c r="C10" s="17"/>
      <c r="D10" s="17"/>
      <c r="E10" s="25" t="s">
        <v>70</v>
      </c>
      <c r="F10" s="25" t="s">
        <v>71</v>
      </c>
      <c r="G10" s="25" t="s">
        <v>72</v>
      </c>
      <c r="H10" s="25" t="s">
        <v>73</v>
      </c>
      <c r="I10" s="25" t="s">
        <v>74</v>
      </c>
      <c r="J10" s="25" t="s">
        <v>75</v>
      </c>
      <c r="K10" s="25" t="s">
        <v>76</v>
      </c>
      <c r="L10" s="25" t="s">
        <v>77</v>
      </c>
      <c r="M10" s="25" t="s">
        <v>78</v>
      </c>
      <c r="N10" s="25" t="s">
        <v>79</v>
      </c>
      <c r="O10" s="25" t="s">
        <v>80</v>
      </c>
      <c r="P10" s="25" t="s">
        <v>81</v>
      </c>
      <c r="Q10" s="29" t="s">
        <v>82</v>
      </c>
    </row>
    <row r="11" spans="1:17">
      <c r="A11" s="18" t="s">
        <v>67</v>
      </c>
      <c r="B11" s="18"/>
      <c r="C11" s="18"/>
      <c r="D11" s="18"/>
      <c r="E11" s="26">
        <v>5000000</v>
      </c>
      <c r="F11" s="20">
        <f>E11*(1+$C$14)</f>
        <v>5750000</v>
      </c>
      <c r="G11" s="20">
        <f>F11*(1+$C$14)</f>
        <v>6612499.9999999991</v>
      </c>
      <c r="H11" s="20">
        <f>G11*(1+$C$14)</f>
        <v>7604374.9999999981</v>
      </c>
      <c r="I11" s="20">
        <f>H11*(1+$C$14)</f>
        <v>8745031.2499999963</v>
      </c>
      <c r="J11" s="20">
        <f>I11*(1+$C$14)</f>
        <v>10056785.937499994</v>
      </c>
      <c r="K11" s="20">
        <f>J11*(1+$C$14)</f>
        <v>11565303.828124993</v>
      </c>
      <c r="L11" s="20">
        <f>K11*(1+$C$14)</f>
        <v>13300099.402343741</v>
      </c>
      <c r="M11" s="20">
        <f>L11*(1+$C$14)</f>
        <v>15295114.3126953</v>
      </c>
      <c r="N11" s="20">
        <f>M11*(1+$C$14)</f>
        <v>17589381.459599596</v>
      </c>
      <c r="O11" s="20">
        <f>N11*(1+$C$14)</f>
        <v>20227788.678539533</v>
      </c>
      <c r="P11" s="20">
        <f>O11*(1+$C$14)</f>
        <v>23261956.980320461</v>
      </c>
      <c r="Q11" s="30">
        <f>SUM(E11:P11)</f>
        <v>145008336.8491236</v>
      </c>
    </row>
    <row r="12" spans="1:17">
      <c r="A12" s="18" t="s">
        <v>0</v>
      </c>
      <c r="B12" s="18"/>
      <c r="C12" s="18"/>
      <c r="D12" s="18"/>
      <c r="E12" s="26">
        <v>5</v>
      </c>
      <c r="F12" s="20">
        <f>E12*(1+$C$14)</f>
        <v>5.75</v>
      </c>
      <c r="G12" s="20">
        <f>F12*(1+$C$14)</f>
        <v>6.6124999999999998</v>
      </c>
      <c r="H12" s="20">
        <f>G12*(1+$C$14)</f>
        <v>7.6043749999999992</v>
      </c>
      <c r="I12" s="20">
        <f>H12*(1+$C$14)</f>
        <v>8.7450312499999985</v>
      </c>
      <c r="J12" s="20">
        <f>I12*(1+$C$14)</f>
        <v>10.056785937499997</v>
      </c>
      <c r="K12" s="20">
        <f>J12*(1+$C$14)</f>
        <v>11.565303828124996</v>
      </c>
      <c r="L12" s="20">
        <f>K12*(1+$C$14)</f>
        <v>13.300099402343745</v>
      </c>
      <c r="M12" s="20">
        <f>L12*(1+$C$14)</f>
        <v>15.295114312695306</v>
      </c>
      <c r="N12" s="20">
        <f>M12*(1+$C$14)</f>
        <v>17.589381459599601</v>
      </c>
      <c r="O12" s="20">
        <f>N12*(1+$C$14)</f>
        <v>20.22778867853954</v>
      </c>
      <c r="P12" s="20">
        <f>O12*(1+$C$14)</f>
        <v>23.26195698032047</v>
      </c>
      <c r="Q12" s="30">
        <f>SUM(E12:P12)</f>
        <v>145.00833684912365</v>
      </c>
    </row>
    <row r="13" spans="1:17">
      <c r="A13" s="18" t="s">
        <v>1</v>
      </c>
      <c r="B13" s="18"/>
      <c r="C13" s="18"/>
      <c r="D13" s="18"/>
      <c r="E13" s="26">
        <v>20</v>
      </c>
      <c r="F13" s="20">
        <f>E13*(1+$C$14)</f>
        <v>23</v>
      </c>
      <c r="G13" s="20">
        <f>F13*(1+$C$14)</f>
        <v>26.45</v>
      </c>
      <c r="H13" s="20">
        <f>G13*(1+$C$14)</f>
        <v>30.417499999999997</v>
      </c>
      <c r="I13" s="20">
        <f>H13*(1+$C$14)</f>
        <v>34.980124999999994</v>
      </c>
      <c r="J13" s="20">
        <f>I13*(1+$C$14)</f>
        <v>40.227143749999989</v>
      </c>
      <c r="K13" s="20">
        <f>J13*(1+$C$14)</f>
        <v>46.261215312499985</v>
      </c>
      <c r="L13" s="20">
        <f>K13*(1+$C$14)</f>
        <v>53.200397609374981</v>
      </c>
      <c r="M13" s="20">
        <f>L13*(1+$C$14)</f>
        <v>61.180457250781224</v>
      </c>
      <c r="N13" s="20">
        <f>M13*(1+$C$14)</f>
        <v>70.357525838398402</v>
      </c>
      <c r="O13" s="20">
        <f>N13*(1+$C$14)</f>
        <v>80.911154714158158</v>
      </c>
      <c r="P13" s="20">
        <f>O13*(1+$C$14)</f>
        <v>93.047827921281879</v>
      </c>
      <c r="Q13" s="30">
        <f>SUM(E13:P13)</f>
        <v>580.03334739649461</v>
      </c>
    </row>
    <row r="14" spans="1:17">
      <c r="A14" s="2" t="s">
        <v>84</v>
      </c>
      <c r="C14" s="24">
        <v>0.15</v>
      </c>
    </row>
    <row r="16" spans="1:17" ht="26">
      <c r="A16" s="28" t="s">
        <v>87</v>
      </c>
      <c r="B16" s="28"/>
      <c r="C16" s="28"/>
      <c r="D16" s="28"/>
      <c r="E16" s="28"/>
      <c r="F16" s="28"/>
      <c r="G16" s="28"/>
      <c r="H16" s="28"/>
      <c r="I16" s="28"/>
      <c r="J16" s="28"/>
      <c r="K16" s="28"/>
      <c r="L16" s="28"/>
      <c r="M16" s="28"/>
      <c r="N16" s="28"/>
      <c r="O16" s="28"/>
      <c r="P16" s="28"/>
      <c r="Q16" s="28"/>
    </row>
    <row r="17" spans="1:17">
      <c r="A17" s="32" t="s">
        <v>61</v>
      </c>
      <c r="B17" s="33"/>
      <c r="C17" s="33"/>
      <c r="D17" s="33"/>
      <c r="E17" s="34" t="s">
        <v>70</v>
      </c>
      <c r="F17" s="34" t="s">
        <v>71</v>
      </c>
      <c r="G17" s="34" t="s">
        <v>72</v>
      </c>
      <c r="H17" s="34" t="s">
        <v>73</v>
      </c>
      <c r="I17" s="34" t="s">
        <v>74</v>
      </c>
      <c r="J17" s="34" t="s">
        <v>75</v>
      </c>
      <c r="K17" s="34" t="s">
        <v>76</v>
      </c>
      <c r="L17" s="34" t="s">
        <v>77</v>
      </c>
      <c r="M17" s="34" t="s">
        <v>78</v>
      </c>
      <c r="N17" s="34" t="s">
        <v>79</v>
      </c>
      <c r="O17" s="34" t="s">
        <v>80</v>
      </c>
      <c r="P17" s="34" t="s">
        <v>81</v>
      </c>
      <c r="Q17" s="35" t="s">
        <v>82</v>
      </c>
    </row>
    <row r="18" spans="1:17">
      <c r="A18" s="36" t="s">
        <v>86</v>
      </c>
      <c r="B18" s="19"/>
      <c r="C18" s="19"/>
      <c r="D18" s="19"/>
      <c r="E18" s="21">
        <f>E29+E40+$D$24</f>
        <v>21.68</v>
      </c>
      <c r="F18" s="21">
        <f>F29+F40+$D$24</f>
        <v>22.7</v>
      </c>
      <c r="G18" s="21">
        <f>G29+G40+$D$24</f>
        <v>23.872999999999998</v>
      </c>
      <c r="H18" s="21">
        <f>H29+H40+$D$24</f>
        <v>25.221949999999996</v>
      </c>
      <c r="I18" s="21">
        <f>I29+I40+$D$24</f>
        <v>26.773242499999995</v>
      </c>
      <c r="J18" s="21">
        <f>J29+J40+$D$24</f>
        <v>28.557228874999993</v>
      </c>
      <c r="K18" s="21">
        <f>K29+K40+$D$24</f>
        <v>30.608813206249991</v>
      </c>
      <c r="L18" s="21">
        <f>L29+L40+$D$24</f>
        <v>32.968135187187485</v>
      </c>
      <c r="M18" s="21">
        <f>M29+M40+$D$24</f>
        <v>35.681355465265611</v>
      </c>
      <c r="N18" s="21">
        <f>N29+N40+$D$24</f>
        <v>38.801558785055448</v>
      </c>
      <c r="O18" s="21">
        <f>O29+O40+$D$24</f>
        <v>42.38979260281377</v>
      </c>
      <c r="P18" s="21">
        <f>P29+P40+$D$24</f>
        <v>46.516261493235831</v>
      </c>
      <c r="Q18" s="31">
        <f>SUM(E18:P18)</f>
        <v>375.77133811480815</v>
      </c>
    </row>
    <row r="19" spans="1:17">
      <c r="A19" s="36" t="s">
        <v>85</v>
      </c>
      <c r="B19" s="19"/>
      <c r="C19" s="19"/>
      <c r="D19" s="19"/>
      <c r="E19" s="21">
        <f>E36+E40+$D$24</f>
        <v>34.18</v>
      </c>
      <c r="F19" s="21">
        <f>F36+F40+$D$24</f>
        <v>37.075000000000003</v>
      </c>
      <c r="G19" s="21">
        <f>G36+G40+$D$24</f>
        <v>40.404249999999998</v>
      </c>
      <c r="H19" s="21">
        <f>H36+H40+$D$24</f>
        <v>44.23288749999999</v>
      </c>
      <c r="I19" s="21">
        <f>I36+I40+$D$24</f>
        <v>48.63582062499998</v>
      </c>
      <c r="J19" s="21">
        <f>J36+J40+$D$24</f>
        <v>53.699193718749981</v>
      </c>
      <c r="K19" s="21">
        <f>K36+K40+$D$24</f>
        <v>59.522072776562467</v>
      </c>
      <c r="L19" s="21">
        <f>L36+L40+$D$24</f>
        <v>66.218383693046846</v>
      </c>
      <c r="M19" s="21">
        <f>M36+M40+$D$24</f>
        <v>73.919141247003864</v>
      </c>
      <c r="N19" s="21">
        <f>N36+N40+$D$24</f>
        <v>82.775012434054432</v>
      </c>
      <c r="O19" s="21">
        <f>O36+O40+$D$24</f>
        <v>92.959264299162598</v>
      </c>
      <c r="P19" s="21">
        <f>P36+P40+$D$24</f>
        <v>104.67115394403699</v>
      </c>
      <c r="Q19" s="31">
        <f>SUM(E19:P19)</f>
        <v>738.29218023761712</v>
      </c>
    </row>
    <row r="20" spans="1:17">
      <c r="A20" s="23"/>
      <c r="E20" s="22"/>
      <c r="F20" s="22"/>
      <c r="G20" s="22"/>
      <c r="H20" s="22"/>
      <c r="I20" s="22"/>
      <c r="J20" s="22"/>
      <c r="K20" s="22"/>
      <c r="L20" s="22"/>
      <c r="M20" s="22"/>
      <c r="N20" s="22"/>
      <c r="O20" s="22"/>
      <c r="P20" s="22"/>
      <c r="Q20" s="22"/>
    </row>
    <row r="21" spans="1:17">
      <c r="A21" s="23"/>
      <c r="E21" s="22"/>
      <c r="F21" s="22"/>
      <c r="G21" s="22"/>
      <c r="H21" s="22"/>
      <c r="I21" s="22"/>
      <c r="J21" s="22"/>
      <c r="K21" s="22"/>
      <c r="L21" s="22"/>
      <c r="M21" s="22"/>
      <c r="N21" s="22"/>
      <c r="O21" s="22"/>
      <c r="P21" s="22"/>
      <c r="Q21" s="22"/>
    </row>
    <row r="22" spans="1:17" ht="26">
      <c r="A22" s="28" t="s">
        <v>88</v>
      </c>
      <c r="C22" s="49"/>
      <c r="D22" s="49"/>
      <c r="E22" s="50"/>
      <c r="F22" s="50"/>
      <c r="G22" s="50"/>
      <c r="H22" s="50"/>
      <c r="I22" s="50"/>
      <c r="J22" s="50"/>
      <c r="K22" s="50"/>
      <c r="L22" s="50"/>
      <c r="M22" s="50"/>
      <c r="N22" s="50"/>
      <c r="O22" s="50"/>
      <c r="P22" s="50"/>
      <c r="Q22" s="50"/>
    </row>
    <row r="23" spans="1:17">
      <c r="A23" s="16" t="s">
        <v>58</v>
      </c>
      <c r="C23" s="7" t="s">
        <v>60</v>
      </c>
      <c r="D23" s="7" t="s">
        <v>59</v>
      </c>
      <c r="E23" s="42" t="s">
        <v>70</v>
      </c>
      <c r="F23" s="42" t="s">
        <v>71</v>
      </c>
      <c r="G23" s="42" t="s">
        <v>72</v>
      </c>
      <c r="H23" s="42" t="s">
        <v>73</v>
      </c>
      <c r="I23" s="42" t="s">
        <v>74</v>
      </c>
      <c r="J23" s="42" t="s">
        <v>75</v>
      </c>
      <c r="K23" s="42" t="s">
        <v>76</v>
      </c>
      <c r="L23" s="42" t="s">
        <v>77</v>
      </c>
      <c r="M23" s="42" t="s">
        <v>78</v>
      </c>
      <c r="N23" s="42" t="s">
        <v>79</v>
      </c>
      <c r="O23" s="42" t="s">
        <v>80</v>
      </c>
      <c r="P23" s="42" t="s">
        <v>81</v>
      </c>
      <c r="Q23" s="43" t="s">
        <v>82</v>
      </c>
    </row>
    <row r="24" spans="1:17">
      <c r="A24" s="23" t="s">
        <v>57</v>
      </c>
      <c r="C24" s="15" t="s">
        <v>19</v>
      </c>
      <c r="D24" s="9">
        <f>VLOOKUP($C24,Pricing!$A$21:$E$29,5,FALSE)</f>
        <v>14.879999999999999</v>
      </c>
      <c r="E24" s="9">
        <f>$D$24</f>
        <v>14.879999999999999</v>
      </c>
      <c r="F24" s="9">
        <f>$D$24</f>
        <v>14.879999999999999</v>
      </c>
      <c r="G24" s="9">
        <f>$D$24</f>
        <v>14.879999999999999</v>
      </c>
      <c r="H24" s="9">
        <f>$D$24</f>
        <v>14.879999999999999</v>
      </c>
      <c r="I24" s="9">
        <f>$D$24</f>
        <v>14.879999999999999</v>
      </c>
      <c r="J24" s="9">
        <f>$D$24</f>
        <v>14.879999999999999</v>
      </c>
      <c r="K24" s="9">
        <f>$D$24</f>
        <v>14.879999999999999</v>
      </c>
      <c r="L24" s="9">
        <f>$D$24</f>
        <v>14.879999999999999</v>
      </c>
      <c r="M24" s="9">
        <f>$D$24</f>
        <v>14.879999999999999</v>
      </c>
      <c r="N24" s="9">
        <f>$D$24</f>
        <v>14.879999999999999</v>
      </c>
      <c r="O24" s="9">
        <f>$D$24</f>
        <v>14.879999999999999</v>
      </c>
      <c r="P24" s="9">
        <f>$D$24</f>
        <v>14.879999999999999</v>
      </c>
      <c r="Q24" s="45">
        <f>SUM(E24:P24)</f>
        <v>178.55999999999997</v>
      </c>
    </row>
    <row r="25" spans="1:17">
      <c r="E25" s="12"/>
      <c r="F25" s="12"/>
      <c r="G25" s="12"/>
      <c r="H25" s="12"/>
      <c r="I25" s="12"/>
      <c r="J25" s="12"/>
      <c r="K25" s="12"/>
      <c r="L25" s="12"/>
      <c r="M25" s="12"/>
    </row>
    <row r="26" spans="1:17">
      <c r="A26" s="16" t="s">
        <v>47</v>
      </c>
      <c r="B26" s="41" t="s">
        <v>50</v>
      </c>
      <c r="C26" s="16" t="s">
        <v>45</v>
      </c>
      <c r="D26" s="16"/>
      <c r="E26" s="42" t="s">
        <v>70</v>
      </c>
      <c r="F26" s="42" t="s">
        <v>71</v>
      </c>
      <c r="G26" s="42" t="s">
        <v>72</v>
      </c>
      <c r="H26" s="42" t="s">
        <v>73</v>
      </c>
      <c r="I26" s="42" t="s">
        <v>74</v>
      </c>
      <c r="J26" s="42" t="s">
        <v>75</v>
      </c>
      <c r="K26" s="42" t="s">
        <v>76</v>
      </c>
      <c r="L26" s="42" t="s">
        <v>77</v>
      </c>
      <c r="M26" s="42" t="s">
        <v>78</v>
      </c>
      <c r="N26" s="42" t="s">
        <v>79</v>
      </c>
      <c r="O26" s="42" t="s">
        <v>80</v>
      </c>
      <c r="P26" s="42" t="s">
        <v>81</v>
      </c>
      <c r="Q26" s="44" t="s">
        <v>82</v>
      </c>
    </row>
    <row r="27" spans="1:17">
      <c r="A27" s="1" t="s">
        <v>43</v>
      </c>
      <c r="B27" s="9">
        <v>300000000</v>
      </c>
      <c r="C27" s="1">
        <v>1</v>
      </c>
      <c r="E27" s="37">
        <f>IF(E$11&lt;=$B27,E$11*$C27/1000000,IF(E$11&gt;$B27,$B27*$C27/1000000,0))</f>
        <v>5</v>
      </c>
      <c r="F27" s="37">
        <f>IF(F$11&lt;=$B27,F$11*$C27/1000000,IF(F$11&gt;$B27,$B27*$C27/1000000,0))</f>
        <v>5.75</v>
      </c>
      <c r="G27" s="37">
        <f>IF(G$11&lt;=$B27,G$11*$C27/1000000,IF(G$11&gt;$B27,$B27*$C27/1000000,0))</f>
        <v>6.6124999999999989</v>
      </c>
      <c r="H27" s="37">
        <f>IF(H$11&lt;=$B27,H$11*$C27/1000000,IF(H$11&gt;$B27,$B27*$C27/1000000,0))</f>
        <v>7.6043749999999983</v>
      </c>
      <c r="I27" s="37">
        <f>IF(I$11&lt;=$B27,I$11*$C27/1000000,IF(I$11&gt;$B27,$B27*$C27/1000000,0))</f>
        <v>8.7450312499999967</v>
      </c>
      <c r="J27" s="37">
        <f>IF(J$11&lt;=$B27,J$11*$C27/1000000,IF(J$11&gt;$B27,$B27*$C27/1000000,0))</f>
        <v>10.056785937499994</v>
      </c>
      <c r="K27" s="37">
        <f>IF(K$11&lt;=$B27,K$11*$C27/1000000,IF(K$11&gt;$B27,$B27*$C27/1000000,0))</f>
        <v>11.565303828124993</v>
      </c>
      <c r="L27" s="37">
        <f>IF(L$11&lt;=$B27,L$11*$C27/1000000,IF(L$11&gt;$B27,$B27*$C27/1000000,0))</f>
        <v>13.30009940234374</v>
      </c>
      <c r="M27" s="37">
        <f>IF(M$11&lt;=$B27,M$11*$C27/1000000,IF(M$11&gt;$B27,$B27*$C27/1000000,0))</f>
        <v>15.295114312695301</v>
      </c>
      <c r="N27" s="37">
        <f>IF(N$11&lt;=$B27,N$11*$C27/1000000,IF(N$11&gt;$B27,$B27*$C27/1000000,0))</f>
        <v>17.589381459599597</v>
      </c>
      <c r="O27" s="37">
        <f>IF(O$11&lt;=$B27,O$11*$C27/1000000,IF(O$11&gt;$B27,$B27*$C27/1000000,0))</f>
        <v>20.227788678539532</v>
      </c>
      <c r="P27" s="37">
        <f>IF(P$11&lt;=$B27,P$11*$C27/1000000,IF(P$11&gt;$B27,$B27*$C27/1000000,0))</f>
        <v>23.261956980320463</v>
      </c>
      <c r="Q27" s="45">
        <f>SUM(E27:P27)</f>
        <v>145.00833684912362</v>
      </c>
    </row>
    <row r="28" spans="1:17">
      <c r="A28" s="10" t="s">
        <v>44</v>
      </c>
      <c r="B28" s="11">
        <v>300000000</v>
      </c>
      <c r="C28" s="10">
        <v>0.9</v>
      </c>
      <c r="D28" s="10"/>
      <c r="E28" s="38">
        <f>IF(E$11&lt;=$B28,0,((E11-$B28)*$C28/1000000))</f>
        <v>0</v>
      </c>
      <c r="F28" s="38">
        <f>IF(F$11&lt;=$B28,0,((F11-$B28)*$C28/1000000))</f>
        <v>0</v>
      </c>
      <c r="G28" s="38">
        <f>IF(G$11&lt;=$B28,0,((G11-$B28)*$C28/1000000))</f>
        <v>0</v>
      </c>
      <c r="H28" s="38">
        <f>IF(H$11&lt;=$B28,0,((H11-$B28)*$C28/1000000))</f>
        <v>0</v>
      </c>
      <c r="I28" s="38">
        <f>IF(I$11&lt;=$B28,0,((I11-$B28)*$C28/1000000))</f>
        <v>0</v>
      </c>
      <c r="J28" s="38">
        <f>IF(J$11&lt;=$B28,0,((J11-$B28)*$C28/1000000))</f>
        <v>0</v>
      </c>
      <c r="K28" s="38">
        <f>IF(K$11&lt;=$B28,0,((K11-$B28)*$C28/1000000))</f>
        <v>0</v>
      </c>
      <c r="L28" s="38">
        <f>IF(L$11&lt;=$B28,0,((L11-$B28)*$C28/1000000))</f>
        <v>0</v>
      </c>
      <c r="M28" s="38">
        <f>IF(M$11&lt;=$B28,0,((M11-$B28)*$C28/1000000))</f>
        <v>0</v>
      </c>
      <c r="N28" s="38">
        <f>IF(N$11&lt;=$B28,0,((N11-$B28)*$C28/1000000))</f>
        <v>0</v>
      </c>
      <c r="O28" s="38">
        <f>IF(O$11&lt;=$B28,0,((O11-$B28)*$C28/1000000))</f>
        <v>0</v>
      </c>
      <c r="P28" s="38">
        <f>IF(P$11&lt;=$B28,0,((P11-$B28)*$C28/1000000))</f>
        <v>0</v>
      </c>
      <c r="Q28" s="46">
        <f>SUM(E28:P28)</f>
        <v>0</v>
      </c>
    </row>
    <row r="29" spans="1:17">
      <c r="A29" s="2" t="s">
        <v>46</v>
      </c>
      <c r="E29" s="37">
        <f>SUM(E27:E28)</f>
        <v>5</v>
      </c>
      <c r="F29" s="37">
        <f t="shared" ref="F29:M29" si="0">SUM(F27:F28)</f>
        <v>5.75</v>
      </c>
      <c r="G29" s="37">
        <f t="shared" si="0"/>
        <v>6.6124999999999989</v>
      </c>
      <c r="H29" s="37">
        <f t="shared" si="0"/>
        <v>7.6043749999999983</v>
      </c>
      <c r="I29" s="37">
        <f t="shared" si="0"/>
        <v>8.7450312499999967</v>
      </c>
      <c r="J29" s="37">
        <f t="shared" si="0"/>
        <v>10.056785937499994</v>
      </c>
      <c r="K29" s="37">
        <f t="shared" si="0"/>
        <v>11.565303828124993</v>
      </c>
      <c r="L29" s="37">
        <f t="shared" si="0"/>
        <v>13.30009940234374</v>
      </c>
      <c r="M29" s="37">
        <f t="shared" si="0"/>
        <v>15.295114312695301</v>
      </c>
      <c r="N29" s="37">
        <f t="shared" ref="N29:Q29" si="1">SUM(N27:N28)</f>
        <v>17.589381459599597</v>
      </c>
      <c r="O29" s="37">
        <f t="shared" si="1"/>
        <v>20.227788678539532</v>
      </c>
      <c r="P29" s="37">
        <f t="shared" si="1"/>
        <v>23.261956980320463</v>
      </c>
      <c r="Q29" s="47">
        <f t="shared" si="1"/>
        <v>145.00833684912362</v>
      </c>
    </row>
    <row r="30" spans="1:17">
      <c r="A30" s="2"/>
      <c r="E30" s="37"/>
      <c r="F30" s="37"/>
      <c r="G30" s="37"/>
      <c r="H30" s="37"/>
      <c r="I30" s="37"/>
      <c r="J30" s="37"/>
      <c r="K30" s="37"/>
      <c r="L30" s="37"/>
      <c r="M30" s="37"/>
      <c r="N30" s="37"/>
      <c r="O30" s="37"/>
      <c r="P30" s="37"/>
      <c r="Q30" s="37"/>
    </row>
    <row r="31" spans="1:17">
      <c r="A31" s="16" t="s">
        <v>49</v>
      </c>
      <c r="B31" s="41" t="s">
        <v>50</v>
      </c>
      <c r="C31" s="16" t="s">
        <v>45</v>
      </c>
      <c r="D31" s="16"/>
      <c r="E31" s="42" t="s">
        <v>70</v>
      </c>
      <c r="F31" s="42" t="s">
        <v>71</v>
      </c>
      <c r="G31" s="42" t="s">
        <v>72</v>
      </c>
      <c r="H31" s="42" t="s">
        <v>73</v>
      </c>
      <c r="I31" s="42" t="s">
        <v>74</v>
      </c>
      <c r="J31" s="42" t="s">
        <v>75</v>
      </c>
      <c r="K31" s="42" t="s">
        <v>76</v>
      </c>
      <c r="L31" s="42" t="s">
        <v>77</v>
      </c>
      <c r="M31" s="42" t="s">
        <v>78</v>
      </c>
      <c r="N31" s="42" t="s">
        <v>79</v>
      </c>
      <c r="O31" s="42" t="s">
        <v>80</v>
      </c>
      <c r="P31" s="42" t="s">
        <v>81</v>
      </c>
      <c r="Q31" s="44" t="s">
        <v>82</v>
      </c>
    </row>
    <row r="32" spans="1:17">
      <c r="A32" s="1" t="s">
        <v>17</v>
      </c>
      <c r="B32" s="13">
        <v>333000000</v>
      </c>
      <c r="C32" s="1">
        <f>Pricing!D10</f>
        <v>3.5</v>
      </c>
      <c r="E32" s="37">
        <f>IF(E$11&lt;=$B32,E$11,IF(E$11&gt;$B32,$B32,0))*$C32/1000000</f>
        <v>17.5</v>
      </c>
      <c r="F32" s="37">
        <f>IF(F$11&lt;=$B32,F$11,IF(F$11&gt;$B32,$B32,0))*$C32/1000000</f>
        <v>20.125</v>
      </c>
      <c r="G32" s="37">
        <f>IF(G$11&lt;=$B32,G$11,IF(G$11&gt;$B32,$B32,0))*$C32/1000000</f>
        <v>23.143749999999997</v>
      </c>
      <c r="H32" s="37">
        <f>IF(H$11&lt;=$B32,H$11,IF(H$11&gt;$B32,$B32,0))*$C32/1000000</f>
        <v>26.615312499999991</v>
      </c>
      <c r="I32" s="37">
        <f>IF(I$11&lt;=$B32,I$11,IF(I$11&gt;$B32,$B32,0))*$C32/1000000</f>
        <v>30.607609374999985</v>
      </c>
      <c r="J32" s="37">
        <f>IF(J$11&lt;=$B32,J$11,IF(J$11&gt;$B32,$B32,0))*$C32/1000000</f>
        <v>35.198750781249977</v>
      </c>
      <c r="K32" s="37">
        <f>IF(K$11&lt;=$B32,K$11,IF(K$11&gt;$B32,$B32,0))*$C32/1000000</f>
        <v>40.478563398437473</v>
      </c>
      <c r="L32" s="37">
        <f>IF(L$11&lt;=$B32,L$11,IF(L$11&gt;$B32,$B32,0))*$C32/1000000</f>
        <v>46.550347908203094</v>
      </c>
      <c r="M32" s="37">
        <f>IF(M$11&lt;=$B32,M$11,IF(M$11&gt;$B32,$B32,0))*$C32/1000000</f>
        <v>53.53290009443355</v>
      </c>
      <c r="N32" s="37">
        <f>IF(N$11&lt;=$B32,N$11,IF(N$11&gt;$B32,$B32,0))*$C32/1000000</f>
        <v>61.562835108598584</v>
      </c>
      <c r="O32" s="37">
        <f>IF(O$11&lt;=$B32,O$11,IF(O$11&gt;$B32,$B32,0))*$C32/1000000</f>
        <v>70.797260374888367</v>
      </c>
      <c r="P32" s="37">
        <f>IF(P$11&lt;=$B32,P$11,IF(P$11&gt;$B32,$B32,0))*$C32/1000000</f>
        <v>81.416849431121619</v>
      </c>
      <c r="Q32" s="47">
        <f>SUM(E32:P32)</f>
        <v>507.52917897193265</v>
      </c>
    </row>
    <row r="33" spans="1:17">
      <c r="A33" s="1" t="s">
        <v>18</v>
      </c>
      <c r="B33" s="13">
        <v>1000000000</v>
      </c>
      <c r="C33" s="1">
        <f>Pricing!D11</f>
        <v>2.8</v>
      </c>
      <c r="E33" s="37">
        <f>IF(E$11&lt;=$B32,0,IF(E$11&lt;=$B33,E$11-$B32,$B33-$B32))*$C33/1000000</f>
        <v>0</v>
      </c>
      <c r="F33" s="37">
        <f>IF(F$11&lt;=$B32,0,IF(F$11&lt;=$B33,F$11-$B32,$B33-$B32))*$C33/1000000</f>
        <v>0</v>
      </c>
      <c r="G33" s="37">
        <f>IF(G$11&lt;=$B32,0,IF(G$11&lt;=$B33,G$11-$B32,$B33-$B32))*$C33/1000000</f>
        <v>0</v>
      </c>
      <c r="H33" s="37">
        <f>IF(H$11&lt;=$B32,0,IF(H$11&lt;=$B33,H$11-$B32,$B33-$B32))*$C33/1000000</f>
        <v>0</v>
      </c>
      <c r="I33" s="37">
        <f>IF(I$11&lt;=$B32,0,IF(I$11&lt;=$B33,I$11-$B32,$B33-$B32))*$C33/1000000</f>
        <v>0</v>
      </c>
      <c r="J33" s="37">
        <f>IF(J$11&lt;=$B32,0,IF(J$11&lt;=$B33,J$11-$B32,$B33-$B32))*$C33/1000000</f>
        <v>0</v>
      </c>
      <c r="K33" s="37">
        <f>IF(K$11&lt;=$B32,0,IF(K$11&lt;=$B33,K$11-$B32,$B33-$B32))*$C33/1000000</f>
        <v>0</v>
      </c>
      <c r="L33" s="37">
        <f>IF(L$11&lt;=$B32,0,IF(L$11&lt;=$B33,L$11-$B32,$B33-$B32))*$C33/1000000</f>
        <v>0</v>
      </c>
      <c r="M33" s="37">
        <f>IF(M$11&lt;=$B32,0,IF(M$11&lt;=$B33,M$11-$B32,$B33-$B32))*$C33/1000000</f>
        <v>0</v>
      </c>
      <c r="N33" s="37">
        <f>IF(N$11&lt;=$B32,0,IF(N$11&lt;=$B33,N$11-$B32,$B33-$B32))*$C33/1000000</f>
        <v>0</v>
      </c>
      <c r="O33" s="37">
        <f>IF(O$11&lt;=$B32,0,IF(O$11&lt;=$B33,O$11-$B32,$B33-$B32))*$C33/1000000</f>
        <v>0</v>
      </c>
      <c r="P33" s="37">
        <f>IF(P$11&lt;=$B32,0,IF(P$11&lt;=$B33,P$11-$B32,$B33-$B32))*$C33/1000000</f>
        <v>0</v>
      </c>
      <c r="Q33" s="47">
        <f>SUM(E33:P33)</f>
        <v>0</v>
      </c>
    </row>
    <row r="34" spans="1:17">
      <c r="A34" s="12" t="s">
        <v>15</v>
      </c>
      <c r="B34" s="13">
        <v>20000000000</v>
      </c>
      <c r="C34" s="12">
        <f>Pricing!D12</f>
        <v>2.38</v>
      </c>
      <c r="D34" s="12"/>
      <c r="E34" s="37">
        <f>IF(E$11&lt;=$B33,0,IF(E$11&lt;=$B34,E$11-$B33,$B34-$B33))*$C34/1000000</f>
        <v>0</v>
      </c>
      <c r="F34" s="37">
        <f>IF(F$11&lt;=$B33,0,IF(F$11&lt;=$B34,F$11-$B33,$B34-$B33))*$C34/1000000</f>
        <v>0</v>
      </c>
      <c r="G34" s="37">
        <f>IF(G$11&lt;=$B33,0,IF(G$11&lt;=$B34,G$11-$B33,$B34-$B33))*$C34/1000000</f>
        <v>0</v>
      </c>
      <c r="H34" s="37">
        <f>IF(H$11&lt;=$B33,0,IF(H$11&lt;=$B34,H$11-$B33,$B34-$B33))*$C34/1000000</f>
        <v>0</v>
      </c>
      <c r="I34" s="37">
        <f>IF(I$11&lt;=$B33,0,IF(I$11&lt;=$B34,I$11-$B33,$B34-$B33))*$C34/1000000</f>
        <v>0</v>
      </c>
      <c r="J34" s="37">
        <f>IF(J$11&lt;=$B33,0,IF(J$11&lt;=$B34,J$11-$B33,$B34-$B33))*$C34/1000000</f>
        <v>0</v>
      </c>
      <c r="K34" s="37">
        <f>IF(K$11&lt;=$B33,0,IF(K$11&lt;=$B34,K$11-$B33,$B34-$B33))*$C34/1000000</f>
        <v>0</v>
      </c>
      <c r="L34" s="37">
        <f>IF(L$11&lt;=$B33,0,IF(L$11&lt;=$B34,L$11-$B33,$B34-$B33))*$C34/1000000</f>
        <v>0</v>
      </c>
      <c r="M34" s="37">
        <f>IF(M$11&lt;=$B33,0,IF(M$11&lt;=$B34,M$11-$B33,$B34-$B33))*$C34/1000000</f>
        <v>0</v>
      </c>
      <c r="N34" s="37">
        <f>IF(N$11&lt;=$B33,0,IF(N$11&lt;=$B34,N$11-$B33,$B34-$B33))*$C34/1000000</f>
        <v>0</v>
      </c>
      <c r="O34" s="37">
        <f>IF(O$11&lt;=$B33,0,IF(O$11&lt;=$B34,O$11-$B33,$B34-$B33))*$C34/1000000</f>
        <v>0</v>
      </c>
      <c r="P34" s="37">
        <f>IF(P$11&lt;=$B33,0,IF(P$11&lt;=$B34,P$11-$B33,$B34-$B33))*$C34/1000000</f>
        <v>0</v>
      </c>
      <c r="Q34" s="47">
        <f>SUM(E34:P34)</f>
        <v>0</v>
      </c>
    </row>
    <row r="35" spans="1:17">
      <c r="A35" s="10" t="s">
        <v>52</v>
      </c>
      <c r="B35" s="11">
        <v>20000000000</v>
      </c>
      <c r="C35" s="10">
        <f>Pricing!D13</f>
        <v>1.51</v>
      </c>
      <c r="D35" s="10"/>
      <c r="E35" s="38">
        <f>IF(E$11&gt;$B35,E$11-$B35,0)*$C35/1000000</f>
        <v>0</v>
      </c>
      <c r="F35" s="38">
        <f>IF(F$11&gt;$B35,F$11-$B35,0)*$C35/1000000</f>
        <v>0</v>
      </c>
      <c r="G35" s="38">
        <f>IF(G$11&gt;$B35,G$11-$B35,0)*$C35/1000000</f>
        <v>0</v>
      </c>
      <c r="H35" s="38">
        <f>IF(H$11&gt;$B35,H$11-$B35,0)*$C35/1000000</f>
        <v>0</v>
      </c>
      <c r="I35" s="38">
        <f>IF(I$11&gt;$B35,I$11-$B35,0)*$C35/1000000</f>
        <v>0</v>
      </c>
      <c r="J35" s="38">
        <f>IF(J$11&gt;$B35,J$11-$B35,0)*$C35/1000000</f>
        <v>0</v>
      </c>
      <c r="K35" s="38">
        <f>IF(K$11&gt;$B35,K$11-$B35,0)*$C35/1000000</f>
        <v>0</v>
      </c>
      <c r="L35" s="38">
        <f>IF(L$11&gt;$B35,L$11-$B35,0)*$C35/1000000</f>
        <v>0</v>
      </c>
      <c r="M35" s="38">
        <f>IF(M$11&gt;$B35,M$11-$B35,0)*$C35/1000000</f>
        <v>0</v>
      </c>
      <c r="N35" s="38">
        <f>IF(N$11&gt;$B35,N$11-$B35,0)*$C35/1000000</f>
        <v>0</v>
      </c>
      <c r="O35" s="38">
        <f>IF(O$11&gt;$B35,O$11-$B35,0)*$C35/1000000</f>
        <v>0</v>
      </c>
      <c r="P35" s="38">
        <f>IF(P$11&gt;$B35,P$11-$B35,0)*$C35/1000000</f>
        <v>0</v>
      </c>
      <c r="Q35" s="46">
        <f>SUM(E35:P35)</f>
        <v>0</v>
      </c>
    </row>
    <row r="36" spans="1:17">
      <c r="A36" s="2" t="s">
        <v>51</v>
      </c>
      <c r="B36" s="9"/>
      <c r="E36" s="37">
        <f>SUM(E32:E34)</f>
        <v>17.5</v>
      </c>
      <c r="F36" s="37">
        <f t="shared" ref="F36:M36" si="2">SUM(F32:F34)</f>
        <v>20.125</v>
      </c>
      <c r="G36" s="37">
        <f t="shared" si="2"/>
        <v>23.143749999999997</v>
      </c>
      <c r="H36" s="37">
        <f t="shared" si="2"/>
        <v>26.615312499999991</v>
      </c>
      <c r="I36" s="37">
        <f t="shared" si="2"/>
        <v>30.607609374999985</v>
      </c>
      <c r="J36" s="37">
        <f t="shared" si="2"/>
        <v>35.198750781249977</v>
      </c>
      <c r="K36" s="37">
        <f t="shared" si="2"/>
        <v>40.478563398437473</v>
      </c>
      <c r="L36" s="37">
        <f t="shared" si="2"/>
        <v>46.550347908203094</v>
      </c>
      <c r="M36" s="37">
        <f t="shared" si="2"/>
        <v>53.53290009443355</v>
      </c>
      <c r="N36" s="37">
        <f t="shared" ref="N36:P36" si="3">SUM(N32:N34)</f>
        <v>61.562835108598584</v>
      </c>
      <c r="O36" s="37">
        <f t="shared" si="3"/>
        <v>70.797260374888367</v>
      </c>
      <c r="P36" s="37">
        <f t="shared" si="3"/>
        <v>81.416849431121619</v>
      </c>
      <c r="Q36" s="48">
        <f>SUM(E36:P36)</f>
        <v>507.52917897193265</v>
      </c>
    </row>
    <row r="37" spans="1:17">
      <c r="E37" s="39"/>
      <c r="F37" s="39"/>
      <c r="G37" s="40"/>
      <c r="H37" s="40"/>
      <c r="I37" s="40"/>
      <c r="J37" s="40"/>
      <c r="K37" s="40"/>
      <c r="L37" s="40"/>
      <c r="M37" s="40"/>
      <c r="N37" s="40"/>
      <c r="O37" s="40"/>
      <c r="P37" s="40"/>
      <c r="Q37" s="40"/>
    </row>
    <row r="38" spans="1:17">
      <c r="A38" s="16" t="s">
        <v>48</v>
      </c>
      <c r="B38" s="10"/>
      <c r="C38" s="14" t="s">
        <v>93</v>
      </c>
      <c r="D38" s="14"/>
      <c r="E38" s="42" t="s">
        <v>70</v>
      </c>
      <c r="F38" s="42" t="s">
        <v>71</v>
      </c>
      <c r="G38" s="42" t="s">
        <v>72</v>
      </c>
      <c r="H38" s="42" t="s">
        <v>73</v>
      </c>
      <c r="I38" s="42" t="s">
        <v>74</v>
      </c>
      <c r="J38" s="42" t="s">
        <v>75</v>
      </c>
      <c r="K38" s="42" t="s">
        <v>76</v>
      </c>
      <c r="L38" s="42" t="s">
        <v>77</v>
      </c>
      <c r="M38" s="42" t="s">
        <v>78</v>
      </c>
      <c r="N38" s="42" t="s">
        <v>79</v>
      </c>
      <c r="O38" s="42" t="s">
        <v>80</v>
      </c>
      <c r="P38" s="42" t="s">
        <v>81</v>
      </c>
      <c r="Q38" s="44" t="s">
        <v>82</v>
      </c>
    </row>
    <row r="39" spans="1:17">
      <c r="A39" s="56" t="s">
        <v>92</v>
      </c>
      <c r="B39" s="12"/>
      <c r="C39" s="52">
        <v>0</v>
      </c>
      <c r="D39" s="51"/>
      <c r="E39" s="53">
        <f>C39*1</f>
        <v>0</v>
      </c>
      <c r="F39" s="53">
        <f t="shared" ref="F39:Q39" si="4">D39*1</f>
        <v>0</v>
      </c>
      <c r="G39" s="53">
        <f t="shared" si="4"/>
        <v>0</v>
      </c>
      <c r="H39" s="53">
        <f t="shared" si="4"/>
        <v>0</v>
      </c>
      <c r="I39" s="53">
        <f t="shared" si="4"/>
        <v>0</v>
      </c>
      <c r="J39" s="53">
        <f t="shared" si="4"/>
        <v>0</v>
      </c>
      <c r="K39" s="53">
        <f t="shared" si="4"/>
        <v>0</v>
      </c>
      <c r="L39" s="53">
        <f t="shared" si="4"/>
        <v>0</v>
      </c>
      <c r="M39" s="53">
        <f t="shared" si="4"/>
        <v>0</v>
      </c>
      <c r="N39" s="53">
        <f t="shared" si="4"/>
        <v>0</v>
      </c>
      <c r="O39" s="53">
        <f t="shared" si="4"/>
        <v>0</v>
      </c>
      <c r="P39" s="53">
        <f t="shared" si="4"/>
        <v>0</v>
      </c>
      <c r="Q39" s="54">
        <f t="shared" si="4"/>
        <v>0</v>
      </c>
    </row>
    <row r="40" spans="1:17">
      <c r="A40" s="10" t="s">
        <v>90</v>
      </c>
      <c r="B40" s="10"/>
      <c r="C40" s="10">
        <v>0.09</v>
      </c>
      <c r="D40" s="10"/>
      <c r="E40" s="55">
        <f>$C40*E13</f>
        <v>1.7999999999999998</v>
      </c>
      <c r="F40" s="55">
        <f>$C40*F13</f>
        <v>2.0699999999999998</v>
      </c>
      <c r="G40" s="55">
        <f>$C40*G13</f>
        <v>2.3805000000000001</v>
      </c>
      <c r="H40" s="55">
        <f>$C40*H13</f>
        <v>2.7375749999999996</v>
      </c>
      <c r="I40" s="55">
        <f>$C40*I13</f>
        <v>3.1482112499999992</v>
      </c>
      <c r="J40" s="55">
        <f>$C40*J13</f>
        <v>3.6204429374999987</v>
      </c>
      <c r="K40" s="55">
        <f>$C40*K13</f>
        <v>4.1635093781249983</v>
      </c>
      <c r="L40" s="55">
        <f>$C40*L13</f>
        <v>4.788035784843748</v>
      </c>
      <c r="M40" s="55">
        <f>$C40*M13</f>
        <v>5.5062411525703103</v>
      </c>
      <c r="N40" s="55">
        <f>$C40*N13</f>
        <v>6.3321773254558558</v>
      </c>
      <c r="O40" s="55">
        <f>$C40*O13</f>
        <v>7.2820039242742336</v>
      </c>
      <c r="P40" s="55">
        <f>$C40*P13</f>
        <v>8.3743045129153693</v>
      </c>
      <c r="Q40" s="46">
        <f>$C40*Q13</f>
        <v>52.203001265684513</v>
      </c>
    </row>
    <row r="41" spans="1:17">
      <c r="A41" s="2" t="s">
        <v>91</v>
      </c>
      <c r="E41" s="57">
        <f>SUM(E39:E40)</f>
        <v>1.7999999999999998</v>
      </c>
      <c r="F41" s="57">
        <f t="shared" ref="F41:Q41" si="5">SUM(F39:F40)</f>
        <v>2.0699999999999998</v>
      </c>
      <c r="G41" s="57">
        <f t="shared" si="5"/>
        <v>2.3805000000000001</v>
      </c>
      <c r="H41" s="57">
        <f t="shared" si="5"/>
        <v>2.7375749999999996</v>
      </c>
      <c r="I41" s="57">
        <f t="shared" si="5"/>
        <v>3.1482112499999992</v>
      </c>
      <c r="J41" s="57">
        <f t="shared" si="5"/>
        <v>3.6204429374999987</v>
      </c>
      <c r="K41" s="57">
        <f t="shared" si="5"/>
        <v>4.1635093781249983</v>
      </c>
      <c r="L41" s="57">
        <f t="shared" si="5"/>
        <v>4.788035784843748</v>
      </c>
      <c r="M41" s="57">
        <f t="shared" si="5"/>
        <v>5.5062411525703103</v>
      </c>
      <c r="N41" s="57">
        <f t="shared" si="5"/>
        <v>6.3321773254558558</v>
      </c>
      <c r="O41" s="57">
        <f t="shared" si="5"/>
        <v>7.2820039242742336</v>
      </c>
      <c r="P41" s="57">
        <f t="shared" si="5"/>
        <v>8.3743045129153693</v>
      </c>
      <c r="Q41" s="57">
        <f t="shared" si="5"/>
        <v>52.203001265684513</v>
      </c>
    </row>
    <row r="43" spans="1:17">
      <c r="A43" s="1" t="s">
        <v>94</v>
      </c>
    </row>
  </sheetData>
  <phoneticPr fontId="10"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43B5B9-F795-2A41-AE49-D9B326C1CC51}">
          <x14:formula1>
            <xm:f>Pricing!$A$21:$A$29</xm:f>
          </x14:formula1>
          <xm:sqref>C24:D24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4F976-1A66-D04B-9707-AEE4B8743572}">
  <dimension ref="A1:F33"/>
  <sheetViews>
    <sheetView workbookViewId="0">
      <selection activeCell="E22" sqref="E22"/>
    </sheetView>
  </sheetViews>
  <sheetFormatPr baseColWidth="10" defaultRowHeight="16"/>
  <cols>
    <col min="1" max="1" width="30.83203125" style="1" customWidth="1"/>
    <col min="2" max="2" width="13.5" style="1" bestFit="1" customWidth="1"/>
    <col min="3" max="3" width="28" style="1" bestFit="1" customWidth="1"/>
    <col min="4" max="4" width="12.6640625" style="1" bestFit="1" customWidth="1"/>
    <col min="5" max="5" width="12.6640625" style="1" customWidth="1"/>
    <col min="6" max="6" width="98.1640625" style="1" bestFit="1" customWidth="1"/>
    <col min="7" max="9" width="12.6640625" style="1" bestFit="1" customWidth="1"/>
    <col min="10" max="12" width="13.6640625" style="1" bestFit="1" customWidth="1"/>
    <col min="13" max="16384" width="10.83203125" style="1"/>
  </cols>
  <sheetData>
    <row r="1" spans="1:6" ht="26">
      <c r="A1" s="6" t="s">
        <v>2</v>
      </c>
    </row>
    <row r="2" spans="1:6">
      <c r="A2" s="3" t="s">
        <v>7</v>
      </c>
    </row>
    <row r="5" spans="1:6">
      <c r="A5" s="7" t="s">
        <v>34</v>
      </c>
      <c r="B5" s="7" t="s">
        <v>8</v>
      </c>
      <c r="C5" s="7" t="s">
        <v>11</v>
      </c>
      <c r="D5" s="7" t="s">
        <v>55</v>
      </c>
      <c r="E5" s="7" t="s">
        <v>54</v>
      </c>
      <c r="F5" s="7" t="s">
        <v>12</v>
      </c>
    </row>
    <row r="6" spans="1:6">
      <c r="A6" s="1" t="s">
        <v>9</v>
      </c>
      <c r="B6" s="1" t="s">
        <v>3</v>
      </c>
      <c r="C6" s="1" t="s">
        <v>33</v>
      </c>
      <c r="D6" s="1">
        <v>1</v>
      </c>
      <c r="E6" s="1" t="s">
        <v>56</v>
      </c>
      <c r="F6" s="1" t="s">
        <v>13</v>
      </c>
    </row>
    <row r="7" spans="1:6">
      <c r="A7" s="1" t="s">
        <v>10</v>
      </c>
      <c r="B7" s="1" t="s">
        <v>3</v>
      </c>
      <c r="C7" s="1" t="s">
        <v>33</v>
      </c>
      <c r="D7" s="1">
        <v>0.9</v>
      </c>
      <c r="E7" s="1" t="s">
        <v>56</v>
      </c>
      <c r="F7" s="3" t="s">
        <v>14</v>
      </c>
    </row>
    <row r="8" spans="1:6">
      <c r="F8" s="3"/>
    </row>
    <row r="9" spans="1:6">
      <c r="A9" s="2" t="s">
        <v>35</v>
      </c>
    </row>
    <row r="10" spans="1:6">
      <c r="A10" s="1" t="s">
        <v>17</v>
      </c>
      <c r="B10" s="1" t="s">
        <v>4</v>
      </c>
      <c r="C10" s="1" t="s">
        <v>33</v>
      </c>
      <c r="D10" s="1">
        <v>3.5</v>
      </c>
      <c r="E10" s="1" t="s">
        <v>56</v>
      </c>
      <c r="F10" s="3" t="s">
        <v>14</v>
      </c>
    </row>
    <row r="11" spans="1:6">
      <c r="A11" s="1" t="s">
        <v>18</v>
      </c>
      <c r="B11" s="1" t="s">
        <v>4</v>
      </c>
      <c r="C11" s="1" t="s">
        <v>33</v>
      </c>
      <c r="D11" s="1">
        <v>2.8</v>
      </c>
      <c r="E11" s="1" t="s">
        <v>56</v>
      </c>
      <c r="F11" s="3" t="s">
        <v>14</v>
      </c>
    </row>
    <row r="12" spans="1:6">
      <c r="A12" s="1" t="s">
        <v>15</v>
      </c>
      <c r="B12" s="1" t="s">
        <v>4</v>
      </c>
      <c r="C12" s="1" t="s">
        <v>33</v>
      </c>
      <c r="D12" s="1">
        <v>2.38</v>
      </c>
      <c r="E12" s="1" t="s">
        <v>56</v>
      </c>
      <c r="F12" s="3" t="s">
        <v>14</v>
      </c>
    </row>
    <row r="13" spans="1:6">
      <c r="A13" s="1" t="s">
        <v>16</v>
      </c>
      <c r="B13" s="1" t="s">
        <v>4</v>
      </c>
      <c r="C13" s="1" t="s">
        <v>33</v>
      </c>
      <c r="D13" s="1">
        <v>1.51</v>
      </c>
      <c r="E13" s="1" t="s">
        <v>56</v>
      </c>
      <c r="F13" s="3" t="s">
        <v>14</v>
      </c>
    </row>
    <row r="14" spans="1:6">
      <c r="F14" s="3"/>
    </row>
    <row r="15" spans="1:6">
      <c r="A15" s="2" t="s">
        <v>36</v>
      </c>
    </row>
    <row r="16" spans="1:6">
      <c r="A16" s="1" t="s">
        <v>29</v>
      </c>
      <c r="B16" s="1" t="s">
        <v>5</v>
      </c>
      <c r="C16" s="1" t="s">
        <v>33</v>
      </c>
      <c r="D16" s="1">
        <v>1</v>
      </c>
      <c r="E16" s="1" t="s">
        <v>56</v>
      </c>
      <c r="F16" s="1" t="s">
        <v>31</v>
      </c>
    </row>
    <row r="17" spans="1:6">
      <c r="A17" s="1" t="s">
        <v>30</v>
      </c>
      <c r="B17" s="1" t="s">
        <v>5</v>
      </c>
      <c r="C17" s="1" t="s">
        <v>33</v>
      </c>
      <c r="D17" s="1">
        <v>0.8</v>
      </c>
      <c r="E17" s="1" t="s">
        <v>56</v>
      </c>
      <c r="F17" s="3" t="s">
        <v>14</v>
      </c>
    </row>
    <row r="18" spans="1:6">
      <c r="A18" s="1" t="s">
        <v>6</v>
      </c>
      <c r="B18" s="1" t="s">
        <v>5</v>
      </c>
      <c r="C18" s="1" t="s">
        <v>32</v>
      </c>
    </row>
    <row r="20" spans="1:6">
      <c r="A20" s="2" t="s">
        <v>37</v>
      </c>
    </row>
    <row r="21" spans="1:6">
      <c r="A21" s="2" t="s">
        <v>53</v>
      </c>
      <c r="B21" s="1" t="s">
        <v>27</v>
      </c>
      <c r="C21" s="1" t="s">
        <v>28</v>
      </c>
      <c r="D21" s="1">
        <v>0</v>
      </c>
      <c r="E21" s="9">
        <f t="shared" ref="E21:E29" si="0">D21*24*31</f>
        <v>0</v>
      </c>
    </row>
    <row r="22" spans="1:6">
      <c r="A22" s="1" t="s">
        <v>19</v>
      </c>
      <c r="B22" s="1" t="s">
        <v>27</v>
      </c>
      <c r="C22" s="1" t="s">
        <v>28</v>
      </c>
      <c r="D22" s="5">
        <v>0.02</v>
      </c>
      <c r="E22" s="9">
        <f t="shared" si="0"/>
        <v>14.879999999999999</v>
      </c>
    </row>
    <row r="23" spans="1:6">
      <c r="A23" s="1" t="s">
        <v>20</v>
      </c>
      <c r="B23" s="1" t="s">
        <v>27</v>
      </c>
      <c r="C23" s="1" t="s">
        <v>28</v>
      </c>
      <c r="D23" s="5">
        <v>3.7999999999999999E-2</v>
      </c>
      <c r="E23" s="9">
        <f t="shared" si="0"/>
        <v>28.271999999999998</v>
      </c>
    </row>
    <row r="24" spans="1:6">
      <c r="A24" s="1" t="s">
        <v>21</v>
      </c>
      <c r="B24" s="1" t="s">
        <v>27</v>
      </c>
      <c r="C24" s="1" t="s">
        <v>28</v>
      </c>
      <c r="D24" s="5">
        <v>0.2</v>
      </c>
      <c r="E24" s="9">
        <f t="shared" si="0"/>
        <v>148.80000000000001</v>
      </c>
    </row>
    <row r="25" spans="1:6">
      <c r="A25" s="1" t="s">
        <v>22</v>
      </c>
      <c r="B25" s="1" t="s">
        <v>27</v>
      </c>
      <c r="C25" s="1" t="s">
        <v>28</v>
      </c>
      <c r="D25" s="5">
        <v>0.25</v>
      </c>
      <c r="E25" s="9">
        <f t="shared" si="0"/>
        <v>186</v>
      </c>
    </row>
    <row r="26" spans="1:6">
      <c r="A26" s="1" t="s">
        <v>23</v>
      </c>
      <c r="B26" s="1" t="s">
        <v>27</v>
      </c>
      <c r="C26" s="1" t="s">
        <v>28</v>
      </c>
      <c r="D26" s="5">
        <v>0.5</v>
      </c>
      <c r="E26" s="9">
        <f t="shared" si="0"/>
        <v>372</v>
      </c>
    </row>
    <row r="27" spans="1:6">
      <c r="A27" s="1" t="s">
        <v>24</v>
      </c>
      <c r="B27" s="1" t="s">
        <v>27</v>
      </c>
      <c r="C27" s="1" t="s">
        <v>28</v>
      </c>
      <c r="D27" s="5">
        <v>1</v>
      </c>
      <c r="E27" s="9">
        <f t="shared" si="0"/>
        <v>744</v>
      </c>
    </row>
    <row r="28" spans="1:6">
      <c r="A28" s="1" t="s">
        <v>25</v>
      </c>
      <c r="B28" s="1" t="s">
        <v>27</v>
      </c>
      <c r="C28" s="1" t="s">
        <v>28</v>
      </c>
      <c r="D28" s="5">
        <v>1.9</v>
      </c>
      <c r="E28" s="9">
        <f t="shared" si="0"/>
        <v>1413.6</v>
      </c>
    </row>
    <row r="29" spans="1:6">
      <c r="A29" s="1" t="s">
        <v>26</v>
      </c>
      <c r="B29" s="4" t="s">
        <v>27</v>
      </c>
      <c r="C29" s="1" t="s">
        <v>28</v>
      </c>
      <c r="D29" s="5">
        <v>3.8</v>
      </c>
      <c r="E29" s="9">
        <f t="shared" si="0"/>
        <v>2827.2</v>
      </c>
    </row>
    <row r="31" spans="1:6">
      <c r="A31" s="2" t="s">
        <v>38</v>
      </c>
    </row>
    <row r="32" spans="1:6">
      <c r="A32" s="1" t="s">
        <v>39</v>
      </c>
      <c r="B32" s="1" t="s">
        <v>38</v>
      </c>
      <c r="C32" s="1" t="s">
        <v>40</v>
      </c>
      <c r="D32" s="8">
        <v>0</v>
      </c>
      <c r="E32" s="8"/>
    </row>
    <row r="33" spans="1:6">
      <c r="A33" s="1" t="s">
        <v>41</v>
      </c>
      <c r="B33" s="1" t="s">
        <v>38</v>
      </c>
      <c r="C33" s="1" t="s">
        <v>40</v>
      </c>
      <c r="D33" s="1">
        <v>0.09</v>
      </c>
      <c r="F33" s="1" t="s">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API GW Cost</vt:lpstr>
      <vt:lpstr>Pricing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2020-07-27T16:54:22Z</dcterms:created>
  <dcterms:modified xsi:type="dcterms:W3CDTF">2020-07-27T21:59:40Z</dcterms:modified>
</cp:coreProperties>
</file>