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tth\OneDrive - bwedu\6. Semester\BA\Collaborations\PFAS\Daten\"/>
    </mc:Choice>
  </mc:AlternateContent>
  <xr:revisionPtr revIDLastSave="0" documentId="13_ncr:1_{5B9CACBA-6AC6-4D00-9CD8-5A5F53523C10}" xr6:coauthVersionLast="47" xr6:coauthVersionMax="47" xr10:uidLastSave="{00000000-0000-0000-0000-000000000000}"/>
  <bookViews>
    <workbookView xWindow="-120" yWindow="-120" windowWidth="20760" windowHeight="13200" tabRatio="479" activeTab="2" xr2:uid="{00000000-000D-0000-FFFF-FFFF00000000}"/>
  </bookViews>
  <sheets>
    <sheet name="Feststoffanalyse N-1" sheetId="31" r:id="rId1"/>
    <sheet name="N1_1_end" sheetId="9" r:id="rId2"/>
    <sheet name="N1" sheetId="1" r:id="rId3"/>
    <sheet name="N1_2_end" sheetId="10" r:id="rId4"/>
    <sheet name="N1_3_end" sheetId="14" r:id="rId5"/>
    <sheet name="N1_4_end" sheetId="15" r:id="rId6"/>
    <sheet name="Differenz Feststoffanalys Eluat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2" i="1" l="1"/>
  <c r="Z62" i="1"/>
  <c r="AA62" i="1"/>
  <c r="AB62" i="1"/>
  <c r="AC62" i="1"/>
  <c r="AD62" i="1"/>
  <c r="AE62" i="1"/>
  <c r="AF62" i="1"/>
  <c r="AG62" i="1"/>
  <c r="O62" i="1"/>
  <c r="P62" i="1"/>
  <c r="Q62" i="1"/>
  <c r="R62" i="1"/>
  <c r="S62" i="1"/>
  <c r="T62" i="1"/>
  <c r="AH62" i="1" s="1"/>
  <c r="U62" i="1"/>
  <c r="V62" i="1"/>
  <c r="W62" i="1"/>
  <c r="X62" i="1"/>
  <c r="N62" i="1"/>
  <c r="B45" i="10"/>
  <c r="B45" i="9"/>
  <c r="P183" i="1" l="1"/>
  <c r="AV134" i="29" l="1"/>
  <c r="AW134" i="29"/>
  <c r="AV127" i="29"/>
  <c r="AW127" i="29"/>
  <c r="AV128" i="29"/>
  <c r="AW128" i="29"/>
  <c r="AV129" i="29"/>
  <c r="AW129" i="29"/>
  <c r="AV130" i="29"/>
  <c r="AW130" i="29"/>
  <c r="AV131" i="29"/>
  <c r="AW131" i="29"/>
  <c r="AV132" i="29"/>
  <c r="AW132" i="29"/>
  <c r="AV133" i="29"/>
  <c r="AW133" i="29"/>
  <c r="AW126" i="29"/>
  <c r="AV126" i="29"/>
  <c r="AS114" i="29"/>
  <c r="AS126" i="29" s="1"/>
  <c r="AT126" i="29" l="1"/>
  <c r="AX126" i="29" s="1"/>
  <c r="CE18" i="29"/>
  <c r="CE19" i="29"/>
  <c r="CE20" i="29"/>
  <c r="CE21" i="29"/>
  <c r="CE22" i="29"/>
  <c r="CE23" i="29"/>
  <c r="CE24" i="29"/>
  <c r="CE25" i="29"/>
  <c r="CE26" i="29"/>
  <c r="CE27" i="29"/>
  <c r="CE28" i="29"/>
  <c r="CE29" i="29"/>
  <c r="CE30" i="29"/>
  <c r="CE31" i="29"/>
  <c r="CE32" i="29"/>
  <c r="CE33" i="29"/>
  <c r="CE34" i="29"/>
  <c r="CE35" i="29"/>
  <c r="CE36" i="29"/>
  <c r="CE37" i="29"/>
  <c r="CE38" i="29"/>
  <c r="CE39" i="29"/>
  <c r="CE40" i="29"/>
  <c r="CE41" i="29"/>
  <c r="CE42" i="29"/>
  <c r="CE43" i="29"/>
  <c r="CE44" i="29"/>
  <c r="CE45" i="29"/>
  <c r="CE46" i="29"/>
  <c r="CE47" i="29"/>
  <c r="CE48" i="29"/>
  <c r="CE49" i="29"/>
  <c r="CE50" i="29"/>
  <c r="CE51" i="29"/>
  <c r="CE52" i="29"/>
  <c r="CE17" i="29"/>
  <c r="B115" i="29"/>
  <c r="B116" i="29"/>
  <c r="B117" i="29"/>
  <c r="B118" i="29"/>
  <c r="B119" i="29"/>
  <c r="B120" i="29"/>
  <c r="B121" i="29"/>
  <c r="B122" i="29"/>
  <c r="B114" i="29"/>
  <c r="AU115" i="29"/>
  <c r="AU116" i="29"/>
  <c r="AU117" i="29"/>
  <c r="AU118" i="29"/>
  <c r="AU119" i="29"/>
  <c r="AU120" i="29"/>
  <c r="AU121" i="29"/>
  <c r="AU122" i="29"/>
  <c r="AU114" i="29"/>
  <c r="AY126" i="29" l="1"/>
  <c r="AT114" i="29"/>
  <c r="AS122" i="29" l="1"/>
  <c r="AS134" i="29" s="1"/>
  <c r="AT134" i="29" s="1"/>
  <c r="U87" i="29"/>
  <c r="AX134" i="29" l="1"/>
  <c r="AY134" i="29"/>
  <c r="AS115" i="29"/>
  <c r="AS116" i="29"/>
  <c r="AS117" i="29"/>
  <c r="AS118" i="29"/>
  <c r="AS119" i="29"/>
  <c r="AS120" i="29"/>
  <c r="AS121" i="29"/>
  <c r="AT122" i="29"/>
  <c r="Y52" i="29"/>
  <c r="Y51" i="29"/>
  <c r="Y50" i="29"/>
  <c r="Y49" i="29"/>
  <c r="AA49" i="29" s="1"/>
  <c r="Y48" i="29"/>
  <c r="Y47" i="29"/>
  <c r="Y46" i="29"/>
  <c r="Y45" i="29"/>
  <c r="AA45" i="29" s="1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9" i="29"/>
  <c r="Y28" i="29"/>
  <c r="Y27" i="29"/>
  <c r="Y26" i="29"/>
  <c r="Y25" i="29"/>
  <c r="AA25" i="29" s="1"/>
  <c r="Y24" i="29"/>
  <c r="Y23" i="29"/>
  <c r="AA23" i="29" s="1"/>
  <c r="Y22" i="29"/>
  <c r="Y21" i="29"/>
  <c r="Y20" i="29"/>
  <c r="Y19" i="29"/>
  <c r="Y18" i="29"/>
  <c r="Y17" i="29"/>
  <c r="S52" i="29"/>
  <c r="S51" i="29"/>
  <c r="S50" i="29"/>
  <c r="S49" i="29"/>
  <c r="S48" i="29"/>
  <c r="S47" i="29"/>
  <c r="S46" i="29"/>
  <c r="U46" i="29" s="1"/>
  <c r="S45" i="29"/>
  <c r="U45" i="29" s="1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U25" i="29" s="1"/>
  <c r="S24" i="29"/>
  <c r="S23" i="29"/>
  <c r="S22" i="29"/>
  <c r="S21" i="29"/>
  <c r="U21" i="29" s="1"/>
  <c r="S20" i="29"/>
  <c r="S19" i="29"/>
  <c r="S18" i="29"/>
  <c r="S17" i="29"/>
  <c r="U17" i="29" s="1"/>
  <c r="M52" i="29"/>
  <c r="M51" i="29"/>
  <c r="O51" i="29" s="1"/>
  <c r="M50" i="29"/>
  <c r="M49" i="29"/>
  <c r="O49" i="29" s="1"/>
  <c r="M48" i="29"/>
  <c r="M47" i="29"/>
  <c r="M46" i="29"/>
  <c r="M45" i="29"/>
  <c r="O45" i="29" s="1"/>
  <c r="M44" i="29"/>
  <c r="M43" i="29"/>
  <c r="M42" i="29"/>
  <c r="O42" i="29" s="1"/>
  <c r="M41" i="29"/>
  <c r="O41" i="29" s="1"/>
  <c r="M40" i="29"/>
  <c r="M39" i="29"/>
  <c r="M38" i="29"/>
  <c r="O38" i="29" s="1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O25" i="29" s="1"/>
  <c r="M24" i="29"/>
  <c r="M23" i="29"/>
  <c r="M22" i="29"/>
  <c r="M21" i="29"/>
  <c r="O21" i="29" s="1"/>
  <c r="M20" i="29"/>
  <c r="M19" i="29"/>
  <c r="M18" i="29"/>
  <c r="O18" i="29" s="1"/>
  <c r="M17" i="29"/>
  <c r="G18" i="29"/>
  <c r="G19" i="29"/>
  <c r="G20" i="29"/>
  <c r="G21" i="29"/>
  <c r="G22" i="29"/>
  <c r="G23" i="29"/>
  <c r="G24" i="29"/>
  <c r="G25" i="29"/>
  <c r="I25" i="29" s="1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I41" i="29" s="1"/>
  <c r="G42" i="29"/>
  <c r="G43" i="29"/>
  <c r="G44" i="29"/>
  <c r="G45" i="29"/>
  <c r="I45" i="29" s="1"/>
  <c r="G46" i="29"/>
  <c r="G47" i="29"/>
  <c r="I47" i="29" s="1"/>
  <c r="G48" i="29"/>
  <c r="G49" i="29"/>
  <c r="I49" i="29" s="1"/>
  <c r="G50" i="29"/>
  <c r="G51" i="29"/>
  <c r="G52" i="29"/>
  <c r="G17" i="29"/>
  <c r="W59" i="29"/>
  <c r="Q59" i="29"/>
  <c r="BY57" i="29"/>
  <c r="BX57" i="29"/>
  <c r="BS57" i="29"/>
  <c r="BR57" i="29"/>
  <c r="BM57" i="29"/>
  <c r="BL57" i="29"/>
  <c r="BG57" i="29"/>
  <c r="BF57" i="29"/>
  <c r="BB57" i="29"/>
  <c r="BA57" i="29"/>
  <c r="AZ57" i="29"/>
  <c r="AX57" i="29"/>
  <c r="AV57" i="29"/>
  <c r="AU57" i="29"/>
  <c r="AT57" i="29"/>
  <c r="AP57" i="29"/>
  <c r="AO57" i="29"/>
  <c r="AN57" i="29"/>
  <c r="AJ57" i="29"/>
  <c r="AI57" i="29"/>
  <c r="AH57" i="29"/>
  <c r="AF57" i="29"/>
  <c r="AD57" i="29"/>
  <c r="AC57" i="29"/>
  <c r="AB57" i="29"/>
  <c r="X57" i="29"/>
  <c r="W57" i="29"/>
  <c r="V57" i="29"/>
  <c r="R57" i="29"/>
  <c r="Q57" i="29"/>
  <c r="P57" i="29"/>
  <c r="L57" i="29"/>
  <c r="K57" i="29"/>
  <c r="J57" i="29"/>
  <c r="H57" i="29"/>
  <c r="F57" i="29"/>
  <c r="E57" i="29"/>
  <c r="D57" i="29"/>
  <c r="BY56" i="29"/>
  <c r="BY58" i="29" s="1"/>
  <c r="BX56" i="29"/>
  <c r="BS56" i="29"/>
  <c r="BR56" i="29"/>
  <c r="BR58" i="29" s="1"/>
  <c r="BM56" i="29"/>
  <c r="BM58" i="29" s="1"/>
  <c r="BL56" i="29"/>
  <c r="BL58" i="29" s="1"/>
  <c r="BG56" i="29"/>
  <c r="BF56" i="29"/>
  <c r="BB56" i="29"/>
  <c r="BA56" i="29"/>
  <c r="BA58" i="29" s="1"/>
  <c r="AZ56" i="29"/>
  <c r="AX56" i="29"/>
  <c r="AX58" i="29" s="1"/>
  <c r="AV56" i="29"/>
  <c r="AU56" i="29"/>
  <c r="AU58" i="29" s="1"/>
  <c r="AT56" i="29"/>
  <c r="AP56" i="29"/>
  <c r="AO56" i="29"/>
  <c r="AN56" i="29"/>
  <c r="AN58" i="29" s="1"/>
  <c r="AJ56" i="29"/>
  <c r="AI56" i="29"/>
  <c r="AI58" i="29" s="1"/>
  <c r="AH56" i="29"/>
  <c r="AH58" i="29" s="1"/>
  <c r="AF56" i="29"/>
  <c r="AF58" i="29" s="1"/>
  <c r="AD56" i="29"/>
  <c r="AC56" i="29"/>
  <c r="AB56" i="29"/>
  <c r="AB58" i="29" s="1"/>
  <c r="X56" i="29"/>
  <c r="W56" i="29"/>
  <c r="V56" i="29"/>
  <c r="V58" i="29" s="1"/>
  <c r="R56" i="29"/>
  <c r="Q56" i="29"/>
  <c r="P56" i="29"/>
  <c r="L56" i="29"/>
  <c r="K56" i="29"/>
  <c r="K58" i="29" s="1"/>
  <c r="J56" i="29"/>
  <c r="J58" i="29" s="1"/>
  <c r="H56" i="29"/>
  <c r="F56" i="29"/>
  <c r="E56" i="29"/>
  <c r="E58" i="29" s="1"/>
  <c r="D56" i="29"/>
  <c r="D58" i="29" s="1"/>
  <c r="BY54" i="29"/>
  <c r="BX54" i="29"/>
  <c r="BY59" i="29" s="1"/>
  <c r="BS54" i="29"/>
  <c r="BR54" i="29"/>
  <c r="BS59" i="29" s="1"/>
  <c r="BM54" i="29"/>
  <c r="BL54" i="29"/>
  <c r="BG54" i="29"/>
  <c r="BF54" i="29"/>
  <c r="BF59" i="29" s="1"/>
  <c r="BA54" i="29"/>
  <c r="BA59" i="29" s="1"/>
  <c r="AZ54" i="29"/>
  <c r="AZ59" i="29" s="1"/>
  <c r="AT54" i="29"/>
  <c r="AU59" i="29" s="1"/>
  <c r="AO54" i="29"/>
  <c r="AN54" i="29"/>
  <c r="AN59" i="29" s="1"/>
  <c r="AI54" i="29"/>
  <c r="AH54" i="29"/>
  <c r="AH59" i="29" s="1"/>
  <c r="AB54" i="29"/>
  <c r="V54" i="29"/>
  <c r="V59" i="29" s="1"/>
  <c r="P54" i="29"/>
  <c r="P59" i="29" s="1"/>
  <c r="K54" i="29"/>
  <c r="K59" i="29" s="1"/>
  <c r="J54" i="29"/>
  <c r="J59" i="29" s="1"/>
  <c r="E54" i="29"/>
  <c r="E59" i="29" s="1"/>
  <c r="D54" i="29"/>
  <c r="D59" i="29" s="1"/>
  <c r="BY53" i="29"/>
  <c r="BX53" i="29"/>
  <c r="BS53" i="29"/>
  <c r="BR53" i="29"/>
  <c r="BM53" i="29"/>
  <c r="BL53" i="29"/>
  <c r="BG53" i="29"/>
  <c r="BF53" i="29"/>
  <c r="BB53" i="29"/>
  <c r="BA53" i="29"/>
  <c r="AZ53" i="29"/>
  <c r="AV53" i="29"/>
  <c r="AU53" i="29"/>
  <c r="AT53" i="29"/>
  <c r="AP53" i="29"/>
  <c r="AO53" i="29"/>
  <c r="AN53" i="29"/>
  <c r="AJ53" i="29"/>
  <c r="AI53" i="29"/>
  <c r="AH53" i="29"/>
  <c r="AD53" i="29"/>
  <c r="AC53" i="29"/>
  <c r="AB53" i="29"/>
  <c r="X53" i="29"/>
  <c r="W53" i="29"/>
  <c r="V53" i="29"/>
  <c r="R53" i="29"/>
  <c r="Q53" i="29"/>
  <c r="P53" i="29"/>
  <c r="L53" i="29"/>
  <c r="K53" i="29"/>
  <c r="J53" i="29"/>
  <c r="H53" i="29"/>
  <c r="F53" i="29"/>
  <c r="E53" i="29"/>
  <c r="D53" i="29"/>
  <c r="CB52" i="29"/>
  <c r="CA52" i="29"/>
  <c r="CC52" i="29" s="1"/>
  <c r="BV52" i="29"/>
  <c r="BU52" i="29"/>
  <c r="BW52" i="29" s="1"/>
  <c r="BQ52" i="29"/>
  <c r="BP52" i="29"/>
  <c r="BO52" i="29"/>
  <c r="BJ52" i="29"/>
  <c r="BI52" i="29"/>
  <c r="BK52" i="29" s="1"/>
  <c r="BD52" i="29"/>
  <c r="BC52" i="29"/>
  <c r="BE52" i="29" s="1"/>
  <c r="AY52" i="29"/>
  <c r="AR52" i="29"/>
  <c r="AQ52" i="29"/>
  <c r="AS52" i="29" s="1"/>
  <c r="AL52" i="29"/>
  <c r="AK52" i="29"/>
  <c r="AM52" i="29" s="1"/>
  <c r="AG52" i="29"/>
  <c r="AA52" i="29"/>
  <c r="U52" i="29"/>
  <c r="O52" i="29"/>
  <c r="I52" i="29"/>
  <c r="CB51" i="29"/>
  <c r="CA51" i="29"/>
  <c r="CC51" i="29" s="1"/>
  <c r="BV51" i="29"/>
  <c r="BU51" i="29"/>
  <c r="BW51" i="29" s="1"/>
  <c r="BP51" i="29"/>
  <c r="BO51" i="29"/>
  <c r="BQ51" i="29" s="1"/>
  <c r="BJ51" i="29"/>
  <c r="BI51" i="29"/>
  <c r="BK51" i="29" s="1"/>
  <c r="BD51" i="29"/>
  <c r="BC51" i="29"/>
  <c r="BE51" i="29" s="1"/>
  <c r="AY51" i="29"/>
  <c r="AR51" i="29"/>
  <c r="AQ51" i="29"/>
  <c r="AS51" i="29" s="1"/>
  <c r="AL51" i="29"/>
  <c r="AK51" i="29"/>
  <c r="AM51" i="29" s="1"/>
  <c r="AG51" i="29"/>
  <c r="AA51" i="29"/>
  <c r="U51" i="29"/>
  <c r="I51" i="29"/>
  <c r="CB50" i="29"/>
  <c r="CA50" i="29"/>
  <c r="CC50" i="29" s="1"/>
  <c r="BW50" i="29"/>
  <c r="BV50" i="29"/>
  <c r="BU50" i="29"/>
  <c r="BP50" i="29"/>
  <c r="BO50" i="29"/>
  <c r="BQ50" i="29" s="1"/>
  <c r="BJ50" i="29"/>
  <c r="BI50" i="29"/>
  <c r="BK50" i="29" s="1"/>
  <c r="BD50" i="29"/>
  <c r="BC50" i="29"/>
  <c r="BE50" i="29" s="1"/>
  <c r="AY50" i="29"/>
  <c r="AR50" i="29"/>
  <c r="AQ50" i="29"/>
  <c r="AS50" i="29" s="1"/>
  <c r="AL50" i="29"/>
  <c r="AK50" i="29"/>
  <c r="AM50" i="29" s="1"/>
  <c r="AG50" i="29"/>
  <c r="AA50" i="29"/>
  <c r="U50" i="29"/>
  <c r="O50" i="29"/>
  <c r="I50" i="29"/>
  <c r="CB49" i="29"/>
  <c r="CA49" i="29"/>
  <c r="CC49" i="29" s="1"/>
  <c r="BV49" i="29"/>
  <c r="BU49" i="29"/>
  <c r="BW49" i="29" s="1"/>
  <c r="BP49" i="29"/>
  <c r="BO49" i="29"/>
  <c r="BQ49" i="29" s="1"/>
  <c r="BJ49" i="29"/>
  <c r="BI49" i="29"/>
  <c r="BK49" i="29" s="1"/>
  <c r="BD49" i="29"/>
  <c r="BC49" i="29"/>
  <c r="BE49" i="29" s="1"/>
  <c r="AY49" i="29"/>
  <c r="AR49" i="29"/>
  <c r="AQ49" i="29"/>
  <c r="AS49" i="29" s="1"/>
  <c r="AL49" i="29"/>
  <c r="AK49" i="29"/>
  <c r="AM49" i="29" s="1"/>
  <c r="AG49" i="29"/>
  <c r="U49" i="29"/>
  <c r="CB48" i="29"/>
  <c r="CA48" i="29"/>
  <c r="CC48" i="29" s="1"/>
  <c r="BV48" i="29"/>
  <c r="BU48" i="29"/>
  <c r="BW48" i="29" s="1"/>
  <c r="BP48" i="29"/>
  <c r="BO48" i="29"/>
  <c r="BQ48" i="29" s="1"/>
  <c r="BJ48" i="29"/>
  <c r="BI48" i="29"/>
  <c r="BK48" i="29" s="1"/>
  <c r="BD48" i="29"/>
  <c r="BC48" i="29"/>
  <c r="BE48" i="29" s="1"/>
  <c r="AY48" i="29"/>
  <c r="AR48" i="29"/>
  <c r="AQ48" i="29"/>
  <c r="AS48" i="29" s="1"/>
  <c r="AL48" i="29"/>
  <c r="AK48" i="29"/>
  <c r="AM48" i="29" s="1"/>
  <c r="AG48" i="29"/>
  <c r="AA48" i="29"/>
  <c r="U48" i="29"/>
  <c r="O48" i="29"/>
  <c r="I48" i="29"/>
  <c r="CB47" i="29"/>
  <c r="CA47" i="29"/>
  <c r="CC47" i="29" s="1"/>
  <c r="BV47" i="29"/>
  <c r="BU47" i="29"/>
  <c r="BW47" i="29" s="1"/>
  <c r="BP47" i="29"/>
  <c r="BO47" i="29"/>
  <c r="BQ47" i="29" s="1"/>
  <c r="BJ47" i="29"/>
  <c r="BI47" i="29"/>
  <c r="BK47" i="29" s="1"/>
  <c r="BD47" i="29"/>
  <c r="BC47" i="29"/>
  <c r="BE47" i="29" s="1"/>
  <c r="AY47" i="29"/>
  <c r="AR47" i="29"/>
  <c r="AQ47" i="29"/>
  <c r="AS47" i="29" s="1"/>
  <c r="AL47" i="29"/>
  <c r="AK47" i="29"/>
  <c r="AM47" i="29" s="1"/>
  <c r="AG47" i="29"/>
  <c r="AA47" i="29"/>
  <c r="U47" i="29"/>
  <c r="O47" i="29"/>
  <c r="CB46" i="29"/>
  <c r="CA46" i="29"/>
  <c r="CC46" i="29" s="1"/>
  <c r="BV46" i="29"/>
  <c r="BU46" i="29"/>
  <c r="BW46" i="29" s="1"/>
  <c r="BP46" i="29"/>
  <c r="BO46" i="29"/>
  <c r="BQ46" i="29" s="1"/>
  <c r="BJ46" i="29"/>
  <c r="BI46" i="29"/>
  <c r="BK46" i="29" s="1"/>
  <c r="BD46" i="29"/>
  <c r="BC46" i="29"/>
  <c r="BE46" i="29" s="1"/>
  <c r="AY46" i="29"/>
  <c r="AR46" i="29"/>
  <c r="AQ46" i="29"/>
  <c r="AS46" i="29" s="1"/>
  <c r="AM46" i="29"/>
  <c r="AL46" i="29"/>
  <c r="AK46" i="29"/>
  <c r="AG46" i="29"/>
  <c r="AA46" i="29"/>
  <c r="O46" i="29"/>
  <c r="I46" i="29"/>
  <c r="CB45" i="29"/>
  <c r="CA45" i="29"/>
  <c r="CC45" i="29" s="1"/>
  <c r="BV45" i="29"/>
  <c r="BU45" i="29"/>
  <c r="BW45" i="29" s="1"/>
  <c r="BP45" i="29"/>
  <c r="BO45" i="29"/>
  <c r="BQ45" i="29" s="1"/>
  <c r="BJ45" i="29"/>
  <c r="BI45" i="29"/>
  <c r="BK45" i="29" s="1"/>
  <c r="BE45" i="29"/>
  <c r="BD45" i="29"/>
  <c r="BC45" i="29"/>
  <c r="AY45" i="29"/>
  <c r="AR45" i="29"/>
  <c r="AQ45" i="29"/>
  <c r="AS45" i="29" s="1"/>
  <c r="AL45" i="29"/>
  <c r="AK45" i="29"/>
  <c r="AM45" i="29" s="1"/>
  <c r="AG45" i="29"/>
  <c r="CB44" i="29"/>
  <c r="CA44" i="29"/>
  <c r="CC44" i="29" s="1"/>
  <c r="BV44" i="29"/>
  <c r="BU44" i="29"/>
  <c r="BW44" i="29" s="1"/>
  <c r="BP44" i="29"/>
  <c r="BO44" i="29"/>
  <c r="BQ44" i="29" s="1"/>
  <c r="BJ44" i="29"/>
  <c r="BI44" i="29"/>
  <c r="BK44" i="29" s="1"/>
  <c r="BD44" i="29"/>
  <c r="BC44" i="29"/>
  <c r="BE44" i="29" s="1"/>
  <c r="AY44" i="29"/>
  <c r="AR44" i="29"/>
  <c r="AQ44" i="29"/>
  <c r="AS44" i="29" s="1"/>
  <c r="AL44" i="29"/>
  <c r="AK44" i="29"/>
  <c r="AM44" i="29" s="1"/>
  <c r="AG44" i="29"/>
  <c r="AA44" i="29"/>
  <c r="U44" i="29"/>
  <c r="O44" i="29"/>
  <c r="I44" i="29"/>
  <c r="CB43" i="29"/>
  <c r="CA43" i="29"/>
  <c r="CC43" i="29" s="1"/>
  <c r="BV43" i="29"/>
  <c r="BU43" i="29"/>
  <c r="BW43" i="29" s="1"/>
  <c r="BP43" i="29"/>
  <c r="BO43" i="29"/>
  <c r="BQ43" i="29" s="1"/>
  <c r="BJ43" i="29"/>
  <c r="BI43" i="29"/>
  <c r="BK43" i="29" s="1"/>
  <c r="BD43" i="29"/>
  <c r="BC43" i="29"/>
  <c r="BE43" i="29" s="1"/>
  <c r="AY43" i="29"/>
  <c r="AR43" i="29"/>
  <c r="AQ43" i="29"/>
  <c r="AS43" i="29" s="1"/>
  <c r="AL43" i="29"/>
  <c r="AK43" i="29"/>
  <c r="AM43" i="29" s="1"/>
  <c r="AG43" i="29"/>
  <c r="AA43" i="29"/>
  <c r="Z43" i="29"/>
  <c r="U43" i="29"/>
  <c r="T43" i="29"/>
  <c r="O43" i="29"/>
  <c r="N43" i="29"/>
  <c r="I43" i="29"/>
  <c r="CC42" i="29"/>
  <c r="CB42" i="29"/>
  <c r="CA42" i="29"/>
  <c r="BV42" i="29"/>
  <c r="BU42" i="29"/>
  <c r="BW42" i="29" s="1"/>
  <c r="BP42" i="29"/>
  <c r="BO42" i="29"/>
  <c r="BQ42" i="29" s="1"/>
  <c r="BK42" i="29"/>
  <c r="BJ42" i="29"/>
  <c r="BI42" i="29"/>
  <c r="BD42" i="29"/>
  <c r="BC42" i="29"/>
  <c r="BE42" i="29" s="1"/>
  <c r="AW42" i="29"/>
  <c r="AR42" i="29"/>
  <c r="AQ42" i="29"/>
  <c r="AS42" i="29" s="1"/>
  <c r="AL42" i="29"/>
  <c r="AK42" i="29"/>
  <c r="AM42" i="29" s="1"/>
  <c r="AE42" i="29"/>
  <c r="AA42" i="29"/>
  <c r="Z42" i="29"/>
  <c r="U42" i="29"/>
  <c r="T42" i="29"/>
  <c r="N42" i="29"/>
  <c r="I42" i="29"/>
  <c r="CB41" i="29"/>
  <c r="CA41" i="29"/>
  <c r="CC41" i="29" s="1"/>
  <c r="BV41" i="29"/>
  <c r="BU41" i="29"/>
  <c r="BW41" i="29" s="1"/>
  <c r="BP41" i="29"/>
  <c r="BO41" i="29"/>
  <c r="BQ41" i="29" s="1"/>
  <c r="BJ41" i="29"/>
  <c r="BI41" i="29"/>
  <c r="BK41" i="29" s="1"/>
  <c r="BD41" i="29"/>
  <c r="BC41" i="29"/>
  <c r="BE41" i="29" s="1"/>
  <c r="AW41" i="29"/>
  <c r="AR41" i="29"/>
  <c r="AQ41" i="29"/>
  <c r="AS41" i="29" s="1"/>
  <c r="AL41" i="29"/>
  <c r="AK41" i="29"/>
  <c r="AM41" i="29" s="1"/>
  <c r="AE41" i="29"/>
  <c r="Z41" i="29"/>
  <c r="T41" i="29"/>
  <c r="S57" i="29"/>
  <c r="R63" i="29" s="1"/>
  <c r="N41" i="29"/>
  <c r="CC40" i="29"/>
  <c r="CB40" i="29"/>
  <c r="BW40" i="29"/>
  <c r="BV40" i="29"/>
  <c r="BQ40" i="29"/>
  <c r="BP40" i="29"/>
  <c r="BK40" i="29"/>
  <c r="BJ40" i="29"/>
  <c r="BE40" i="29"/>
  <c r="BD40" i="29"/>
  <c r="AS40" i="29"/>
  <c r="AR40" i="29"/>
  <c r="AM40" i="29"/>
  <c r="AL40" i="29"/>
  <c r="CC39" i="29"/>
  <c r="CB39" i="29"/>
  <c r="BW39" i="29"/>
  <c r="BV39" i="29"/>
  <c r="BQ39" i="29"/>
  <c r="BP39" i="29"/>
  <c r="BK39" i="29"/>
  <c r="BJ39" i="29"/>
  <c r="BE39" i="29"/>
  <c r="BD39" i="29"/>
  <c r="AS39" i="29"/>
  <c r="AR39" i="29"/>
  <c r="AM39" i="29"/>
  <c r="AL39" i="29"/>
  <c r="CB38" i="29"/>
  <c r="CA38" i="29"/>
  <c r="CC38" i="29" s="1"/>
  <c r="BV38" i="29"/>
  <c r="BU38" i="29"/>
  <c r="BW38" i="29" s="1"/>
  <c r="BP38" i="29"/>
  <c r="BO38" i="29"/>
  <c r="BQ38" i="29" s="1"/>
  <c r="BJ38" i="29"/>
  <c r="BI38" i="29"/>
  <c r="BK38" i="29" s="1"/>
  <c r="BD38" i="29"/>
  <c r="BC38" i="29"/>
  <c r="BE38" i="29" s="1"/>
  <c r="AY38" i="29"/>
  <c r="AR38" i="29"/>
  <c r="AQ38" i="29"/>
  <c r="AS38" i="29" s="1"/>
  <c r="AL38" i="29"/>
  <c r="AK38" i="29"/>
  <c r="AM38" i="29" s="1"/>
  <c r="AG38" i="29"/>
  <c r="AA38" i="29"/>
  <c r="Z38" i="29"/>
  <c r="U38" i="29"/>
  <c r="T38" i="29"/>
  <c r="N38" i="29"/>
  <c r="I38" i="29"/>
  <c r="CC37" i="29"/>
  <c r="CB37" i="29"/>
  <c r="BW37" i="29"/>
  <c r="BV37" i="29"/>
  <c r="BQ37" i="29"/>
  <c r="BP37" i="29"/>
  <c r="BK37" i="29"/>
  <c r="BJ37" i="29"/>
  <c r="BE37" i="29"/>
  <c r="BD37" i="29"/>
  <c r="AS37" i="29"/>
  <c r="AR37" i="29"/>
  <c r="AM37" i="29"/>
  <c r="AL37" i="29"/>
  <c r="CC36" i="29"/>
  <c r="CB36" i="29"/>
  <c r="BW36" i="29"/>
  <c r="BV36" i="29"/>
  <c r="BQ36" i="29"/>
  <c r="BP36" i="29"/>
  <c r="BK36" i="29"/>
  <c r="BJ36" i="29"/>
  <c r="BE36" i="29"/>
  <c r="BD36" i="29"/>
  <c r="AS36" i="29"/>
  <c r="AR36" i="29"/>
  <c r="AM36" i="29"/>
  <c r="AL36" i="29"/>
  <c r="CC35" i="29"/>
  <c r="CB35" i="29"/>
  <c r="BW35" i="29"/>
  <c r="BV35" i="29"/>
  <c r="BQ35" i="29"/>
  <c r="BP35" i="29"/>
  <c r="BK35" i="29"/>
  <c r="BJ35" i="29"/>
  <c r="BE35" i="29"/>
  <c r="BD35" i="29"/>
  <c r="AS35" i="29"/>
  <c r="AR35" i="29"/>
  <c r="AM35" i="29"/>
  <c r="AL35" i="29"/>
  <c r="CC34" i="29"/>
  <c r="CB34" i="29"/>
  <c r="BW34" i="29"/>
  <c r="BV34" i="29"/>
  <c r="BQ34" i="29"/>
  <c r="BP34" i="29"/>
  <c r="BK34" i="29"/>
  <c r="BJ34" i="29"/>
  <c r="BE34" i="29"/>
  <c r="BD34" i="29"/>
  <c r="AS34" i="29"/>
  <c r="AR34" i="29"/>
  <c r="AM34" i="29"/>
  <c r="AL34" i="29"/>
  <c r="CC33" i="29"/>
  <c r="CB33" i="29"/>
  <c r="BW33" i="29"/>
  <c r="BV33" i="29"/>
  <c r="BQ33" i="29"/>
  <c r="BP33" i="29"/>
  <c r="BK33" i="29"/>
  <c r="BJ33" i="29"/>
  <c r="BE33" i="29"/>
  <c r="BD33" i="29"/>
  <c r="AS33" i="29"/>
  <c r="AR33" i="29"/>
  <c r="AM33" i="29"/>
  <c r="AL33" i="29"/>
  <c r="CB32" i="29"/>
  <c r="CA32" i="29"/>
  <c r="CC32" i="29" s="1"/>
  <c r="BV32" i="29"/>
  <c r="BU32" i="29"/>
  <c r="BW32" i="29" s="1"/>
  <c r="BP32" i="29"/>
  <c r="BO32" i="29"/>
  <c r="BQ32" i="29" s="1"/>
  <c r="BJ32" i="29"/>
  <c r="BI32" i="29"/>
  <c r="BK32" i="29" s="1"/>
  <c r="BD32" i="29"/>
  <c r="BC32" i="29"/>
  <c r="BE32" i="29" s="1"/>
  <c r="AY32" i="29"/>
  <c r="AR32" i="29"/>
  <c r="AQ32" i="29"/>
  <c r="AS32" i="29" s="1"/>
  <c r="AL32" i="29"/>
  <c r="AK32" i="29"/>
  <c r="AM32" i="29" s="1"/>
  <c r="AG32" i="29"/>
  <c r="AA32" i="29"/>
  <c r="Z32" i="29"/>
  <c r="U32" i="29"/>
  <c r="T32" i="29"/>
  <c r="O32" i="29"/>
  <c r="N32" i="29"/>
  <c r="I32" i="29"/>
  <c r="CC31" i="29"/>
  <c r="CB31" i="29"/>
  <c r="BW31" i="29"/>
  <c r="BV31" i="29"/>
  <c r="BQ31" i="29"/>
  <c r="BP31" i="29"/>
  <c r="BK31" i="29"/>
  <c r="BJ31" i="29"/>
  <c r="BE31" i="29"/>
  <c r="BD31" i="29"/>
  <c r="AS31" i="29"/>
  <c r="AR31" i="29"/>
  <c r="AM31" i="29"/>
  <c r="AL31" i="29"/>
  <c r="CC30" i="29"/>
  <c r="CB30" i="29"/>
  <c r="BW30" i="29"/>
  <c r="BV30" i="29"/>
  <c r="BQ30" i="29"/>
  <c r="BP30" i="29"/>
  <c r="BK30" i="29"/>
  <c r="BJ30" i="29"/>
  <c r="BE30" i="29"/>
  <c r="BD30" i="29"/>
  <c r="AS30" i="29"/>
  <c r="AR30" i="29"/>
  <c r="AM30" i="29"/>
  <c r="AL30" i="29"/>
  <c r="CC29" i="29"/>
  <c r="CB29" i="29"/>
  <c r="BW29" i="29"/>
  <c r="BV29" i="29"/>
  <c r="BQ29" i="29"/>
  <c r="BP29" i="29"/>
  <c r="BK29" i="29"/>
  <c r="BJ29" i="29"/>
  <c r="BE29" i="29"/>
  <c r="BD29" i="29"/>
  <c r="AS29" i="29"/>
  <c r="AR29" i="29"/>
  <c r="AM29" i="29"/>
  <c r="AL29" i="29"/>
  <c r="CC28" i="29"/>
  <c r="CB28" i="29"/>
  <c r="BW28" i="29"/>
  <c r="BV28" i="29"/>
  <c r="BQ28" i="29"/>
  <c r="BP28" i="29"/>
  <c r="BK28" i="29"/>
  <c r="BJ28" i="29"/>
  <c r="BE28" i="29"/>
  <c r="BD28" i="29"/>
  <c r="AS28" i="29"/>
  <c r="AR28" i="29"/>
  <c r="AM28" i="29"/>
  <c r="AL28" i="29"/>
  <c r="CB27" i="29"/>
  <c r="CA27" i="29"/>
  <c r="CC27" i="29" s="1"/>
  <c r="BV27" i="29"/>
  <c r="BU27" i="29"/>
  <c r="BW27" i="29" s="1"/>
  <c r="BP27" i="29"/>
  <c r="BO27" i="29"/>
  <c r="BQ27" i="29" s="1"/>
  <c r="BJ27" i="29"/>
  <c r="BI27" i="29"/>
  <c r="BK27" i="29" s="1"/>
  <c r="BD27" i="29"/>
  <c r="BC27" i="29"/>
  <c r="BE27" i="29" s="1"/>
  <c r="AY27" i="29"/>
  <c r="AR27" i="29"/>
  <c r="AQ27" i="29"/>
  <c r="AS27" i="29" s="1"/>
  <c r="AL27" i="29"/>
  <c r="AK27" i="29"/>
  <c r="AM27" i="29" s="1"/>
  <c r="AG27" i="29"/>
  <c r="AA27" i="29"/>
  <c r="Z27" i="29"/>
  <c r="U27" i="29"/>
  <c r="T27" i="29"/>
  <c r="O27" i="29"/>
  <c r="N27" i="29"/>
  <c r="I27" i="29"/>
  <c r="CB26" i="29"/>
  <c r="CA26" i="29"/>
  <c r="CC26" i="29" s="1"/>
  <c r="BV26" i="29"/>
  <c r="BU26" i="29"/>
  <c r="BW26" i="29" s="1"/>
  <c r="BP26" i="29"/>
  <c r="BO26" i="29"/>
  <c r="BQ26" i="29" s="1"/>
  <c r="BJ26" i="29"/>
  <c r="BI26" i="29"/>
  <c r="BK26" i="29" s="1"/>
  <c r="BD26" i="29"/>
  <c r="BC26" i="29"/>
  <c r="BE26" i="29" s="1"/>
  <c r="AY26" i="29"/>
  <c r="AR26" i="29"/>
  <c r="AQ26" i="29"/>
  <c r="AS26" i="29" s="1"/>
  <c r="AM26" i="29"/>
  <c r="AL26" i="29"/>
  <c r="AK26" i="29"/>
  <c r="AG26" i="29"/>
  <c r="AA26" i="29"/>
  <c r="Z26" i="29"/>
  <c r="U26" i="29"/>
  <c r="T26" i="29"/>
  <c r="O26" i="29"/>
  <c r="N26" i="29"/>
  <c r="I26" i="29"/>
  <c r="CC25" i="29"/>
  <c r="CB25" i="29"/>
  <c r="CA25" i="29"/>
  <c r="BV25" i="29"/>
  <c r="BU25" i="29"/>
  <c r="BW25" i="29" s="1"/>
  <c r="BP25" i="29"/>
  <c r="BO25" i="29"/>
  <c r="BQ25" i="29" s="1"/>
  <c r="BJ25" i="29"/>
  <c r="BI25" i="29"/>
  <c r="BK25" i="29" s="1"/>
  <c r="BD25" i="29"/>
  <c r="BC25" i="29"/>
  <c r="BE25" i="29" s="1"/>
  <c r="AY25" i="29"/>
  <c r="AR25" i="29"/>
  <c r="AQ25" i="29"/>
  <c r="AS25" i="29" s="1"/>
  <c r="AL25" i="29"/>
  <c r="AK25" i="29"/>
  <c r="AM25" i="29" s="1"/>
  <c r="AG25" i="29"/>
  <c r="Z25" i="29"/>
  <c r="T25" i="29"/>
  <c r="N25" i="29"/>
  <c r="CB24" i="29"/>
  <c r="CA24" i="29"/>
  <c r="CC24" i="29" s="1"/>
  <c r="BV24" i="29"/>
  <c r="BU24" i="29"/>
  <c r="BW24" i="29" s="1"/>
  <c r="BQ24" i="29"/>
  <c r="BP24" i="29"/>
  <c r="BO24" i="29"/>
  <c r="BJ24" i="29"/>
  <c r="BI24" i="29"/>
  <c r="BK24" i="29" s="1"/>
  <c r="BD24" i="29"/>
  <c r="BC24" i="29"/>
  <c r="BE24" i="29" s="1"/>
  <c r="AY24" i="29"/>
  <c r="AR24" i="29"/>
  <c r="AQ24" i="29"/>
  <c r="AS24" i="29" s="1"/>
  <c r="AL24" i="29"/>
  <c r="AK24" i="29"/>
  <c r="AM24" i="29" s="1"/>
  <c r="AG24" i="29"/>
  <c r="AA24" i="29"/>
  <c r="Z24" i="29"/>
  <c r="U24" i="29"/>
  <c r="T24" i="29"/>
  <c r="O24" i="29"/>
  <c r="N24" i="29"/>
  <c r="I24" i="29"/>
  <c r="CC23" i="29"/>
  <c r="CB23" i="29"/>
  <c r="CA23" i="29"/>
  <c r="BV23" i="29"/>
  <c r="BU23" i="29"/>
  <c r="BW23" i="29" s="1"/>
  <c r="BP23" i="29"/>
  <c r="BO23" i="29"/>
  <c r="BQ23" i="29" s="1"/>
  <c r="BJ23" i="29"/>
  <c r="BI23" i="29"/>
  <c r="BK23" i="29" s="1"/>
  <c r="BD23" i="29"/>
  <c r="BC23" i="29"/>
  <c r="BE23" i="29" s="1"/>
  <c r="AY23" i="29"/>
  <c r="AR23" i="29"/>
  <c r="AQ23" i="29"/>
  <c r="AS23" i="29" s="1"/>
  <c r="AL23" i="29"/>
  <c r="AK23" i="29"/>
  <c r="AM23" i="29" s="1"/>
  <c r="AG23" i="29"/>
  <c r="Z23" i="29"/>
  <c r="U23" i="29"/>
  <c r="T23" i="29"/>
  <c r="O23" i="29"/>
  <c r="N23" i="29"/>
  <c r="I23" i="29"/>
  <c r="CB22" i="29"/>
  <c r="CA22" i="29"/>
  <c r="CC22" i="29" s="1"/>
  <c r="BV22" i="29"/>
  <c r="BU22" i="29"/>
  <c r="BW22" i="29" s="1"/>
  <c r="BP22" i="29"/>
  <c r="BO22" i="29"/>
  <c r="BQ22" i="29" s="1"/>
  <c r="BJ22" i="29"/>
  <c r="BI22" i="29"/>
  <c r="BK22" i="29" s="1"/>
  <c r="BD22" i="29"/>
  <c r="BC22" i="29"/>
  <c r="BE22" i="29" s="1"/>
  <c r="AY22" i="29"/>
  <c r="AR22" i="29"/>
  <c r="AQ22" i="29"/>
  <c r="AS22" i="29" s="1"/>
  <c r="AL22" i="29"/>
  <c r="AK22" i="29"/>
  <c r="AM22" i="29" s="1"/>
  <c r="AG22" i="29"/>
  <c r="AA22" i="29"/>
  <c r="Z22" i="29"/>
  <c r="U22" i="29"/>
  <c r="T22" i="29"/>
  <c r="O22" i="29"/>
  <c r="N22" i="29"/>
  <c r="I22" i="29"/>
  <c r="CB21" i="29"/>
  <c r="CA21" i="29"/>
  <c r="CC21" i="29" s="1"/>
  <c r="BV21" i="29"/>
  <c r="BU21" i="29"/>
  <c r="BW21" i="29" s="1"/>
  <c r="BP21" i="29"/>
  <c r="BO21" i="29"/>
  <c r="BQ21" i="29" s="1"/>
  <c r="BJ21" i="29"/>
  <c r="BI21" i="29"/>
  <c r="BK21" i="29" s="1"/>
  <c r="BD21" i="29"/>
  <c r="BC21" i="29"/>
  <c r="BE21" i="29" s="1"/>
  <c r="AY21" i="29"/>
  <c r="AR21" i="29"/>
  <c r="AQ21" i="29"/>
  <c r="AS21" i="29" s="1"/>
  <c r="AL21" i="29"/>
  <c r="AK21" i="29"/>
  <c r="AM21" i="29" s="1"/>
  <c r="AG21" i="29"/>
  <c r="AA21" i="29"/>
  <c r="Z21" i="29"/>
  <c r="T21" i="29"/>
  <c r="N21" i="29"/>
  <c r="CB20" i="29"/>
  <c r="CA20" i="29"/>
  <c r="CC20" i="29" s="1"/>
  <c r="BV20" i="29"/>
  <c r="BU20" i="29"/>
  <c r="BW20" i="29" s="1"/>
  <c r="BP20" i="29"/>
  <c r="BO20" i="29"/>
  <c r="BQ20" i="29" s="1"/>
  <c r="BJ20" i="29"/>
  <c r="BI20" i="29"/>
  <c r="BK20" i="29" s="1"/>
  <c r="BD20" i="29"/>
  <c r="BC20" i="29"/>
  <c r="BE20" i="29" s="1"/>
  <c r="AY20" i="29"/>
  <c r="AR20" i="29"/>
  <c r="AQ20" i="29"/>
  <c r="AS20" i="29" s="1"/>
  <c r="AM20" i="29"/>
  <c r="AL20" i="29"/>
  <c r="AK20" i="29"/>
  <c r="AG20" i="29"/>
  <c r="AA20" i="29"/>
  <c r="Z20" i="29"/>
  <c r="U20" i="29"/>
  <c r="T20" i="29"/>
  <c r="O20" i="29"/>
  <c r="N20" i="29"/>
  <c r="I20" i="29"/>
  <c r="CB19" i="29"/>
  <c r="CA19" i="29"/>
  <c r="CC19" i="29" s="1"/>
  <c r="BV19" i="29"/>
  <c r="BU19" i="29"/>
  <c r="BW19" i="29" s="1"/>
  <c r="BP19" i="29"/>
  <c r="BO19" i="29"/>
  <c r="BQ19" i="29" s="1"/>
  <c r="BJ19" i="29"/>
  <c r="BI19" i="29"/>
  <c r="BK19" i="29" s="1"/>
  <c r="BE19" i="29"/>
  <c r="BD19" i="29"/>
  <c r="BC19" i="29"/>
  <c r="AY19" i="29"/>
  <c r="AS19" i="29"/>
  <c r="AR19" i="29"/>
  <c r="AQ19" i="29"/>
  <c r="AL19" i="29"/>
  <c r="AK19" i="29"/>
  <c r="AM19" i="29" s="1"/>
  <c r="AG19" i="29"/>
  <c r="AA19" i="29"/>
  <c r="Z19" i="29"/>
  <c r="U19" i="29"/>
  <c r="T19" i="29"/>
  <c r="O19" i="29"/>
  <c r="N19" i="29"/>
  <c r="I19" i="29"/>
  <c r="CB18" i="29"/>
  <c r="CA18" i="29"/>
  <c r="CC18" i="29" s="1"/>
  <c r="BV18" i="29"/>
  <c r="BU18" i="29"/>
  <c r="BW18" i="29" s="1"/>
  <c r="BP18" i="29"/>
  <c r="BO18" i="29"/>
  <c r="BQ18" i="29" s="1"/>
  <c r="BJ18" i="29"/>
  <c r="BI18" i="29"/>
  <c r="BK18" i="29" s="1"/>
  <c r="BD18" i="29"/>
  <c r="BC18" i="29"/>
  <c r="BE18" i="29" s="1"/>
  <c r="AY18" i="29"/>
  <c r="AR18" i="29"/>
  <c r="AQ18" i="29"/>
  <c r="AS18" i="29" s="1"/>
  <c r="AL18" i="29"/>
  <c r="AK18" i="29"/>
  <c r="AM18" i="29" s="1"/>
  <c r="AG18" i="29"/>
  <c r="AA18" i="29"/>
  <c r="Z18" i="29"/>
  <c r="U18" i="29"/>
  <c r="T18" i="29"/>
  <c r="N18" i="29"/>
  <c r="I18" i="29"/>
  <c r="CB17" i="29"/>
  <c r="CA17" i="29"/>
  <c r="CC17" i="29" s="1"/>
  <c r="BV17" i="29"/>
  <c r="BU17" i="29"/>
  <c r="BP17" i="29"/>
  <c r="BO17" i="29"/>
  <c r="BJ17" i="29"/>
  <c r="BI17" i="29"/>
  <c r="BK17" i="29" s="1"/>
  <c r="BE17" i="29"/>
  <c r="BD17" i="29"/>
  <c r="BC17" i="29"/>
  <c r="AY17" i="29"/>
  <c r="AR17" i="29"/>
  <c r="AQ17" i="29"/>
  <c r="AS17" i="29" s="1"/>
  <c r="AL17" i="29"/>
  <c r="AK17" i="29"/>
  <c r="AG17" i="29"/>
  <c r="AA17" i="29"/>
  <c r="Z17" i="29"/>
  <c r="T17" i="29"/>
  <c r="O17" i="29"/>
  <c r="N17" i="29"/>
  <c r="I17" i="29"/>
  <c r="AE53" i="29" l="1"/>
  <c r="AC58" i="29"/>
  <c r="BF58" i="29"/>
  <c r="Z57" i="29"/>
  <c r="BG59" i="29"/>
  <c r="AT120" i="29"/>
  <c r="AS132" i="29"/>
  <c r="AT132" i="29" s="1"/>
  <c r="AT116" i="29"/>
  <c r="AS128" i="29"/>
  <c r="AT128" i="29" s="1"/>
  <c r="AT119" i="29"/>
  <c r="AS131" i="29"/>
  <c r="AT131" i="29" s="1"/>
  <c r="AT115" i="29"/>
  <c r="AS127" i="29"/>
  <c r="AT127" i="29" s="1"/>
  <c r="AL57" i="29"/>
  <c r="AT118" i="29"/>
  <c r="AS130" i="29"/>
  <c r="AT130" i="29" s="1"/>
  <c r="AT121" i="29"/>
  <c r="AS133" i="29"/>
  <c r="AT133" i="29" s="1"/>
  <c r="AT117" i="29"/>
  <c r="AS129" i="29"/>
  <c r="AT129" i="29" s="1"/>
  <c r="N57" i="29"/>
  <c r="AQ54" i="29"/>
  <c r="BC54" i="29"/>
  <c r="BU54" i="29"/>
  <c r="AW53" i="29"/>
  <c r="AV60" i="29" s="1"/>
  <c r="AV61" i="29" s="1"/>
  <c r="AI59" i="29"/>
  <c r="Q58" i="29"/>
  <c r="BV57" i="29"/>
  <c r="AD60" i="29"/>
  <c r="AD61" i="29" s="1"/>
  <c r="H58" i="29"/>
  <c r="P58" i="29"/>
  <c r="W58" i="29"/>
  <c r="AT58" i="29"/>
  <c r="AZ58" i="29"/>
  <c r="BG58" i="29"/>
  <c r="BS58" i="29"/>
  <c r="AO58" i="29"/>
  <c r="G54" i="29"/>
  <c r="Y56" i="29"/>
  <c r="AR56" i="29"/>
  <c r="T56" i="29"/>
  <c r="AK57" i="29"/>
  <c r="AJ63" i="29" s="1"/>
  <c r="CA54" i="29"/>
  <c r="AE56" i="29"/>
  <c r="AD62" i="29" s="1"/>
  <c r="AO59" i="29"/>
  <c r="I21" i="29"/>
  <c r="I56" i="29" s="1"/>
  <c r="BE56" i="29"/>
  <c r="BO56" i="29"/>
  <c r="BO54" i="29"/>
  <c r="AT59" i="29"/>
  <c r="AS56" i="29"/>
  <c r="CC56" i="29"/>
  <c r="Z56" i="29"/>
  <c r="Z58" i="29" s="1"/>
  <c r="CA56" i="29"/>
  <c r="O57" i="29"/>
  <c r="AM17" i="29"/>
  <c r="BI57" i="29"/>
  <c r="BH63" i="29" s="1"/>
  <c r="BI56" i="29"/>
  <c r="BP56" i="29"/>
  <c r="BP58" i="29" s="1"/>
  <c r="BP57" i="29"/>
  <c r="BW17" i="29"/>
  <c r="M56" i="29"/>
  <c r="M53" i="29"/>
  <c r="L60" i="29" s="1"/>
  <c r="L61" i="29" s="1"/>
  <c r="AA41" i="29"/>
  <c r="AA57" i="29" s="1"/>
  <c r="AG42" i="29"/>
  <c r="AY42" i="29"/>
  <c r="G53" i="29"/>
  <c r="F60" i="29" s="1"/>
  <c r="F61" i="29" s="1"/>
  <c r="M54" i="29"/>
  <c r="Y54" i="29"/>
  <c r="BI54" i="29"/>
  <c r="G56" i="29"/>
  <c r="AA56" i="29"/>
  <c r="BC56" i="29"/>
  <c r="BV56" i="29"/>
  <c r="M57" i="29"/>
  <c r="L63" i="29" s="1"/>
  <c r="Y57" i="29"/>
  <c r="X63" i="29" s="1"/>
  <c r="BO57" i="29"/>
  <c r="BN63" i="29" s="1"/>
  <c r="Z53" i="29"/>
  <c r="AK53" i="29"/>
  <c r="AJ60" i="29" s="1"/>
  <c r="AJ61" i="29" s="1"/>
  <c r="AQ53" i="29"/>
  <c r="AP60" i="29" s="1"/>
  <c r="AP61" i="29" s="1"/>
  <c r="BC53" i="29"/>
  <c r="BB60" i="29" s="1"/>
  <c r="BB61" i="29" s="1"/>
  <c r="T57" i="29"/>
  <c r="T58" i="29" s="1"/>
  <c r="AQ57" i="29"/>
  <c r="AP63" i="29" s="1"/>
  <c r="BJ56" i="29"/>
  <c r="BQ17" i="29"/>
  <c r="U41" i="29"/>
  <c r="U57" i="29" s="1"/>
  <c r="AE57" i="29"/>
  <c r="AD63" i="29" s="1"/>
  <c r="AW56" i="29"/>
  <c r="N53" i="29"/>
  <c r="S53" i="29"/>
  <c r="R60" i="29" s="1"/>
  <c r="R61" i="29" s="1"/>
  <c r="BO53" i="29"/>
  <c r="BN60" i="29" s="1"/>
  <c r="BN61" i="29" s="1"/>
  <c r="AC59" i="29"/>
  <c r="AB59" i="29"/>
  <c r="AK54" i="29"/>
  <c r="BM59" i="29"/>
  <c r="BL59" i="29"/>
  <c r="N56" i="29"/>
  <c r="N58" i="29" s="1"/>
  <c r="AL56" i="29"/>
  <c r="BX58" i="29"/>
  <c r="AS57" i="29"/>
  <c r="AW57" i="29"/>
  <c r="AV63" i="29" s="1"/>
  <c r="BJ57" i="29"/>
  <c r="CC57" i="29"/>
  <c r="BR59" i="29"/>
  <c r="BC57" i="29"/>
  <c r="BB63" i="29" s="1"/>
  <c r="CA57" i="29"/>
  <c r="BZ63" i="29" s="1"/>
  <c r="AK56" i="29"/>
  <c r="AR57" i="29"/>
  <c r="AR58" i="29" s="1"/>
  <c r="BD57" i="29"/>
  <c r="BD56" i="29"/>
  <c r="BK56" i="29"/>
  <c r="BK57" i="29"/>
  <c r="BU56" i="29"/>
  <c r="BU53" i="29"/>
  <c r="BT60" i="29" s="1"/>
  <c r="BT61" i="29" s="1"/>
  <c r="BU57" i="29"/>
  <c r="BT63" i="29" s="1"/>
  <c r="CB57" i="29"/>
  <c r="CB56" i="29"/>
  <c r="G57" i="29"/>
  <c r="F63" i="29" s="1"/>
  <c r="X62" i="29"/>
  <c r="AG41" i="29"/>
  <c r="AG57" i="29" s="1"/>
  <c r="AY41" i="29"/>
  <c r="AY57" i="29" s="1"/>
  <c r="T53" i="29"/>
  <c r="Y53" i="29"/>
  <c r="X60" i="29" s="1"/>
  <c r="X61" i="29" s="1"/>
  <c r="BI53" i="29"/>
  <c r="BH60" i="29" s="1"/>
  <c r="BH61" i="29" s="1"/>
  <c r="CA53" i="29"/>
  <c r="BZ60" i="29" s="1"/>
  <c r="BZ61" i="29" s="1"/>
  <c r="S54" i="29"/>
  <c r="AE54" i="29"/>
  <c r="AW54" i="29"/>
  <c r="O56" i="29"/>
  <c r="S56" i="29"/>
  <c r="AQ56" i="29"/>
  <c r="BE57" i="29"/>
  <c r="BX59" i="29"/>
  <c r="CB58" i="29" l="1"/>
  <c r="I57" i="29"/>
  <c r="I58" i="29" s="1"/>
  <c r="AL58" i="29"/>
  <c r="AX133" i="29"/>
  <c r="AY133" i="29"/>
  <c r="AX132" i="29"/>
  <c r="AY132" i="29"/>
  <c r="AX127" i="29"/>
  <c r="AY127" i="29"/>
  <c r="O58" i="29"/>
  <c r="AX129" i="29"/>
  <c r="AY129" i="29"/>
  <c r="AX130" i="29"/>
  <c r="AY130" i="29"/>
  <c r="AX128" i="29"/>
  <c r="AY128" i="29"/>
  <c r="AX131" i="29"/>
  <c r="AY131" i="29"/>
  <c r="BK58" i="29"/>
  <c r="AA58" i="29"/>
  <c r="BD58" i="29"/>
  <c r="BV58" i="29"/>
  <c r="Y58" i="29"/>
  <c r="U56" i="29"/>
  <c r="U58" i="29" s="1"/>
  <c r="AG56" i="29"/>
  <c r="AG58" i="29" s="1"/>
  <c r="BQ57" i="29"/>
  <c r="BQ56" i="29"/>
  <c r="BC58" i="29"/>
  <c r="BB62" i="29"/>
  <c r="L62" i="29"/>
  <c r="M58" i="29"/>
  <c r="BH62" i="29"/>
  <c r="BI58" i="29"/>
  <c r="CC58" i="29"/>
  <c r="BO58" i="29"/>
  <c r="BN62" i="29"/>
  <c r="BU58" i="29"/>
  <c r="BT62" i="29"/>
  <c r="AW58" i="29"/>
  <c r="AV62" i="29"/>
  <c r="BJ58" i="29"/>
  <c r="AY56" i="29"/>
  <c r="AY58" i="29" s="1"/>
  <c r="BW57" i="29"/>
  <c r="BW56" i="29"/>
  <c r="AS58" i="29"/>
  <c r="BE58" i="29"/>
  <c r="AE58" i="29"/>
  <c r="AQ58" i="29"/>
  <c r="AP62" i="29"/>
  <c r="CA58" i="29"/>
  <c r="BZ62" i="29"/>
  <c r="S58" i="29"/>
  <c r="R62" i="29"/>
  <c r="AJ62" i="29"/>
  <c r="AK58" i="29"/>
  <c r="G58" i="29"/>
  <c r="F62" i="29"/>
  <c r="AM57" i="29"/>
  <c r="AM56" i="29"/>
  <c r="AM58" i="29" l="1"/>
  <c r="BQ58" i="29"/>
  <c r="BW58" i="29"/>
  <c r="AM113" i="29" l="1"/>
  <c r="AM112" i="29"/>
  <c r="AM111" i="29"/>
  <c r="AM110" i="29"/>
  <c r="AM109" i="29"/>
  <c r="AM108" i="29"/>
  <c r="AM107" i="29"/>
  <c r="AM106" i="29"/>
  <c r="AM105" i="29"/>
  <c r="AM104" i="29"/>
  <c r="AM103" i="29"/>
  <c r="AM102" i="29"/>
  <c r="AM101" i="29"/>
  <c r="AM100" i="29"/>
  <c r="AM99" i="29"/>
  <c r="AM98" i="29"/>
  <c r="AM97" i="29"/>
  <c r="AM96" i="29"/>
  <c r="AM95" i="29"/>
  <c r="AM94" i="29"/>
  <c r="AM93" i="29"/>
  <c r="AM92" i="29"/>
  <c r="AM91" i="29"/>
  <c r="AM90" i="29"/>
  <c r="BE90" i="29" s="1"/>
  <c r="AM89" i="29"/>
  <c r="AM88" i="29"/>
  <c r="AM87" i="29"/>
  <c r="AJ113" i="29"/>
  <c r="BE113" i="29" s="1"/>
  <c r="AJ112" i="29"/>
  <c r="BE112" i="29" s="1"/>
  <c r="AJ111" i="29"/>
  <c r="BE111" i="29" s="1"/>
  <c r="AJ110" i="29"/>
  <c r="AJ109" i="29"/>
  <c r="BE109" i="29" s="1"/>
  <c r="AJ108" i="29"/>
  <c r="AJ107" i="29"/>
  <c r="AJ106" i="29"/>
  <c r="AJ105" i="29"/>
  <c r="BE105" i="29" s="1"/>
  <c r="AJ104" i="29"/>
  <c r="BE104" i="29" s="1"/>
  <c r="AJ103" i="29"/>
  <c r="BE103" i="29" s="1"/>
  <c r="AJ102" i="29"/>
  <c r="AJ101" i="29"/>
  <c r="BE101" i="29" s="1"/>
  <c r="AJ100" i="29"/>
  <c r="AJ99" i="29"/>
  <c r="AJ98" i="29"/>
  <c r="AJ97" i="29"/>
  <c r="BE97" i="29" s="1"/>
  <c r="AJ96" i="29"/>
  <c r="BE96" i="29" s="1"/>
  <c r="AJ95" i="29"/>
  <c r="BE95" i="29" s="1"/>
  <c r="AJ94" i="29"/>
  <c r="AJ93" i="29"/>
  <c r="BE93" i="29" s="1"/>
  <c r="AJ92" i="29"/>
  <c r="BE92" i="29" s="1"/>
  <c r="AJ91" i="29"/>
  <c r="AJ90" i="29"/>
  <c r="AJ89" i="29"/>
  <c r="BE89" i="29" s="1"/>
  <c r="AJ88" i="29"/>
  <c r="BE88" i="29" s="1"/>
  <c r="AJ87" i="29"/>
  <c r="BE87" i="29" s="1"/>
  <c r="AG113" i="29"/>
  <c r="AG112" i="29"/>
  <c r="AG111" i="29"/>
  <c r="AG110" i="29"/>
  <c r="AG109" i="29"/>
  <c r="AG108" i="29"/>
  <c r="AG107" i="29"/>
  <c r="AG106" i="29"/>
  <c r="AG105" i="29"/>
  <c r="AG104" i="29"/>
  <c r="AG103" i="29"/>
  <c r="AG102" i="29"/>
  <c r="AG101" i="29"/>
  <c r="AG100" i="29"/>
  <c r="AG99" i="29"/>
  <c r="AG98" i="29"/>
  <c r="AG97" i="29"/>
  <c r="AG96" i="29"/>
  <c r="AG95" i="29"/>
  <c r="AG94" i="29"/>
  <c r="AG93" i="29"/>
  <c r="AG92" i="29"/>
  <c r="AG91" i="29"/>
  <c r="AG90" i="29"/>
  <c r="AG89" i="29"/>
  <c r="AG88" i="29"/>
  <c r="AG87" i="29"/>
  <c r="AD113" i="29"/>
  <c r="AD112" i="29"/>
  <c r="AD111" i="29"/>
  <c r="BB111" i="29" s="1"/>
  <c r="AD110" i="29"/>
  <c r="BB110" i="29" s="1"/>
  <c r="AD109" i="29"/>
  <c r="BB109" i="29" s="1"/>
  <c r="AD108" i="29"/>
  <c r="AD107" i="29"/>
  <c r="BB107" i="29" s="1"/>
  <c r="AD106" i="29"/>
  <c r="AD105" i="29"/>
  <c r="AD104" i="29"/>
  <c r="AD103" i="29"/>
  <c r="BB103" i="29" s="1"/>
  <c r="AD102" i="29"/>
  <c r="BB102" i="29" s="1"/>
  <c r="AD101" i="29"/>
  <c r="BB101" i="29" s="1"/>
  <c r="AD100" i="29"/>
  <c r="AD99" i="29"/>
  <c r="BB99" i="29" s="1"/>
  <c r="AD98" i="29"/>
  <c r="AD97" i="29"/>
  <c r="AD96" i="29"/>
  <c r="AD95" i="29"/>
  <c r="BB95" i="29" s="1"/>
  <c r="AD94" i="29"/>
  <c r="BB94" i="29" s="1"/>
  <c r="AD93" i="29"/>
  <c r="BB93" i="29" s="1"/>
  <c r="AD92" i="29"/>
  <c r="AD91" i="29"/>
  <c r="BB91" i="29" s="1"/>
  <c r="AD90" i="29"/>
  <c r="AD89" i="29"/>
  <c r="AD88" i="29"/>
  <c r="AD87" i="29"/>
  <c r="BB87" i="29" s="1"/>
  <c r="AA113" i="29"/>
  <c r="AA112" i="29"/>
  <c r="AA111" i="29"/>
  <c r="AA110" i="29"/>
  <c r="AA109" i="29"/>
  <c r="AA108" i="29"/>
  <c r="AA107" i="29"/>
  <c r="AA106" i="29"/>
  <c r="AA105" i="29"/>
  <c r="AA104" i="29"/>
  <c r="AA103" i="29"/>
  <c r="AA102" i="29"/>
  <c r="AA101" i="29"/>
  <c r="AA100" i="29"/>
  <c r="AA99" i="29"/>
  <c r="AA98" i="29"/>
  <c r="AA97" i="29"/>
  <c r="AA96" i="29"/>
  <c r="AA95" i="29"/>
  <c r="AA94" i="29"/>
  <c r="AA93" i="29"/>
  <c r="AA92" i="29"/>
  <c r="AA91" i="29"/>
  <c r="AA90" i="29"/>
  <c r="AA89" i="29"/>
  <c r="AA88" i="29"/>
  <c r="AA87" i="29"/>
  <c r="X113" i="29"/>
  <c r="AY113" i="29" s="1"/>
  <c r="X112" i="29"/>
  <c r="X111" i="29"/>
  <c r="X110" i="29"/>
  <c r="X109" i="29"/>
  <c r="AY109" i="29" s="1"/>
  <c r="X108" i="29"/>
  <c r="AY108" i="29" s="1"/>
  <c r="X107" i="29"/>
  <c r="AY107" i="29" s="1"/>
  <c r="X106" i="29"/>
  <c r="X105" i="29"/>
  <c r="AY105" i="29" s="1"/>
  <c r="X104" i="29"/>
  <c r="X103" i="29"/>
  <c r="X102" i="29"/>
  <c r="X101" i="29"/>
  <c r="AY101" i="29" s="1"/>
  <c r="X100" i="29"/>
  <c r="AY100" i="29" s="1"/>
  <c r="X99" i="29"/>
  <c r="AY99" i="29" s="1"/>
  <c r="X98" i="29"/>
  <c r="X97" i="29"/>
  <c r="AY97" i="29" s="1"/>
  <c r="X96" i="29"/>
  <c r="AY96" i="29" s="1"/>
  <c r="X95" i="29"/>
  <c r="X94" i="29"/>
  <c r="X93" i="29"/>
  <c r="AY93" i="29" s="1"/>
  <c r="X92" i="29"/>
  <c r="AY92" i="29" s="1"/>
  <c r="X91" i="29"/>
  <c r="AY91" i="29" s="1"/>
  <c r="X90" i="29"/>
  <c r="X89" i="29"/>
  <c r="AY89" i="29" s="1"/>
  <c r="X88" i="29"/>
  <c r="AY88" i="29" s="1"/>
  <c r="X87" i="29"/>
  <c r="U113" i="29"/>
  <c r="U112" i="29"/>
  <c r="U111" i="29"/>
  <c r="U110" i="29"/>
  <c r="U109" i="29"/>
  <c r="U108" i="29"/>
  <c r="U107" i="29"/>
  <c r="U106" i="29"/>
  <c r="U105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90" i="29"/>
  <c r="U89" i="29"/>
  <c r="U88" i="29"/>
  <c r="R87" i="29"/>
  <c r="AV87" i="29" s="1"/>
  <c r="R113" i="29"/>
  <c r="AV113" i="29" s="1"/>
  <c r="R112" i="29"/>
  <c r="R111" i="29"/>
  <c r="AV111" i="29" s="1"/>
  <c r="R110" i="29"/>
  <c r="AV110" i="29" s="1"/>
  <c r="R109" i="29"/>
  <c r="R108" i="29"/>
  <c r="R107" i="29"/>
  <c r="AV107" i="29" s="1"/>
  <c r="R106" i="29"/>
  <c r="AV106" i="29" s="1"/>
  <c r="R105" i="29"/>
  <c r="AV105" i="29" s="1"/>
  <c r="R104" i="29"/>
  <c r="R103" i="29"/>
  <c r="AV103" i="29" s="1"/>
  <c r="R102" i="29"/>
  <c r="AV102" i="29" s="1"/>
  <c r="R101" i="29"/>
  <c r="R100" i="29"/>
  <c r="R99" i="29"/>
  <c r="AV99" i="29" s="1"/>
  <c r="R98" i="29"/>
  <c r="AV98" i="29" s="1"/>
  <c r="R97" i="29"/>
  <c r="AV97" i="29" s="1"/>
  <c r="R96" i="29"/>
  <c r="R95" i="29"/>
  <c r="AV95" i="29" s="1"/>
  <c r="R94" i="29"/>
  <c r="AV94" i="29" s="1"/>
  <c r="R93" i="29"/>
  <c r="R92" i="29"/>
  <c r="R91" i="29"/>
  <c r="AV91" i="29" s="1"/>
  <c r="R90" i="29"/>
  <c r="AV90" i="29" s="1"/>
  <c r="R89" i="29"/>
  <c r="AV89" i="29" s="1"/>
  <c r="R88" i="29"/>
  <c r="O113" i="29"/>
  <c r="O112" i="29"/>
  <c r="O111" i="29"/>
  <c r="O110" i="29"/>
  <c r="O109" i="29"/>
  <c r="O108" i="29"/>
  <c r="O107" i="29"/>
  <c r="O106" i="29"/>
  <c r="O105" i="29"/>
  <c r="O104" i="29"/>
  <c r="O103" i="29"/>
  <c r="O102" i="29"/>
  <c r="O101" i="29"/>
  <c r="O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87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I113" i="29"/>
  <c r="I112" i="29"/>
  <c r="I111" i="29"/>
  <c r="I110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87" i="29"/>
  <c r="F88" i="29"/>
  <c r="AV93" i="29" l="1"/>
  <c r="AV101" i="29"/>
  <c r="AV109" i="29"/>
  <c r="AY87" i="29"/>
  <c r="AY95" i="29"/>
  <c r="AY103" i="29"/>
  <c r="AY111" i="29"/>
  <c r="BB89" i="29"/>
  <c r="BB97" i="29"/>
  <c r="BB105" i="29"/>
  <c r="BB113" i="29"/>
  <c r="BE91" i="29"/>
  <c r="BE99" i="29"/>
  <c r="BE107" i="29"/>
  <c r="AY104" i="29"/>
  <c r="AY112" i="29"/>
  <c r="BB90" i="29"/>
  <c r="BB98" i="29"/>
  <c r="BB106" i="29"/>
  <c r="BE100" i="29"/>
  <c r="BE108" i="29"/>
  <c r="B108" i="29"/>
  <c r="AU108" i="29"/>
  <c r="AU87" i="29"/>
  <c r="B87" i="29"/>
  <c r="AS87" i="29"/>
  <c r="AT87" i="29" s="1"/>
  <c r="B110" i="29"/>
  <c r="AU110" i="29"/>
  <c r="B102" i="29"/>
  <c r="AU102" i="29"/>
  <c r="B98" i="29"/>
  <c r="AU98" i="29"/>
  <c r="B94" i="29"/>
  <c r="AU94" i="29"/>
  <c r="AU90" i="29"/>
  <c r="B90" i="29"/>
  <c r="AU100" i="29"/>
  <c r="B100" i="29"/>
  <c r="B106" i="29"/>
  <c r="AU106" i="29"/>
  <c r="AU113" i="29"/>
  <c r="B113" i="29"/>
  <c r="B109" i="29"/>
  <c r="AU109" i="29"/>
  <c r="AU105" i="29"/>
  <c r="B105" i="29"/>
  <c r="B101" i="29"/>
  <c r="AU101" i="29"/>
  <c r="AU97" i="29"/>
  <c r="B97" i="29"/>
  <c r="AU93" i="29"/>
  <c r="AS93" i="29"/>
  <c r="B93" i="29"/>
  <c r="B89" i="29"/>
  <c r="AU89" i="29"/>
  <c r="AU112" i="29"/>
  <c r="B112" i="29"/>
  <c r="AU96" i="29"/>
  <c r="B96" i="29"/>
  <c r="BE94" i="29"/>
  <c r="BE98" i="29"/>
  <c r="BE102" i="29"/>
  <c r="BE106" i="29"/>
  <c r="BE110" i="29"/>
  <c r="AU104" i="29"/>
  <c r="B104" i="29"/>
  <c r="B92" i="29"/>
  <c r="AU92" i="29"/>
  <c r="AS88" i="29"/>
  <c r="AT88" i="29" s="1"/>
  <c r="B88" i="29"/>
  <c r="AU88" i="29"/>
  <c r="AU111" i="29"/>
  <c r="B111" i="29"/>
  <c r="AU107" i="29"/>
  <c r="B107" i="29"/>
  <c r="AU103" i="29"/>
  <c r="B103" i="29"/>
  <c r="AU99" i="29"/>
  <c r="B99" i="29"/>
  <c r="AU95" i="29"/>
  <c r="B95" i="29"/>
  <c r="AU91" i="29"/>
  <c r="B91" i="29"/>
  <c r="AS106" i="29"/>
  <c r="AT106" i="29" s="1"/>
  <c r="AV88" i="29"/>
  <c r="AV92" i="29"/>
  <c r="AV96" i="29"/>
  <c r="AV100" i="29"/>
  <c r="AV104" i="29"/>
  <c r="AV108" i="29"/>
  <c r="AV112" i="29"/>
  <c r="AY90" i="29"/>
  <c r="AY94" i="29"/>
  <c r="AY98" i="29"/>
  <c r="AY102" i="29"/>
  <c r="AY106" i="29"/>
  <c r="AY110" i="29"/>
  <c r="BB88" i="29"/>
  <c r="BB92" i="29"/>
  <c r="BB96" i="29"/>
  <c r="BB100" i="29"/>
  <c r="BB104" i="29"/>
  <c r="BB108" i="29"/>
  <c r="BB112" i="29"/>
  <c r="AS90" i="29"/>
  <c r="AT90" i="29" s="1"/>
  <c r="AS98" i="29"/>
  <c r="AT98" i="29" s="1"/>
  <c r="AS112" i="29"/>
  <c r="AT112" i="29" s="1"/>
  <c r="AS108" i="29"/>
  <c r="AT108" i="29" s="1"/>
  <c r="AS104" i="29"/>
  <c r="AT104" i="29" s="1"/>
  <c r="AS100" i="29"/>
  <c r="AT100" i="29" s="1"/>
  <c r="AS96" i="29"/>
  <c r="AT96" i="29" s="1"/>
  <c r="AS92" i="29"/>
  <c r="AT92" i="29" s="1"/>
  <c r="AS113" i="29"/>
  <c r="AT113" i="29" s="1"/>
  <c r="AS109" i="29"/>
  <c r="AT109" i="29" s="1"/>
  <c r="AS105" i="29"/>
  <c r="AT105" i="29" s="1"/>
  <c r="AS101" i="29"/>
  <c r="AT101" i="29" s="1"/>
  <c r="AS97" i="29"/>
  <c r="AT97" i="29" s="1"/>
  <c r="AT93" i="29"/>
  <c r="AS89" i="29"/>
  <c r="AT89" i="29" s="1"/>
  <c r="AS94" i="29"/>
  <c r="AT94" i="29" s="1"/>
  <c r="AS102" i="29"/>
  <c r="AT102" i="29" s="1"/>
  <c r="AS110" i="29"/>
  <c r="AT110" i="29" s="1"/>
  <c r="AS91" i="29"/>
  <c r="AT91" i="29" s="1"/>
  <c r="AS95" i="29"/>
  <c r="AT95" i="29" s="1"/>
  <c r="AS99" i="29"/>
  <c r="AT99" i="29" s="1"/>
  <c r="AS103" i="29"/>
  <c r="AT103" i="29" s="1"/>
  <c r="AS107" i="29"/>
  <c r="AT107" i="29" s="1"/>
  <c r="AS111" i="29"/>
  <c r="AT111" i="29" s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16" i="1"/>
  <c r="AB80" i="1" l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74" i="1"/>
  <c r="AB75" i="1"/>
  <c r="AB76" i="1"/>
  <c r="AB77" i="1"/>
  <c r="AB78" i="1"/>
  <c r="AB79" i="1"/>
  <c r="AB73" i="1"/>
  <c r="K211" i="1" l="1"/>
  <c r="K220" i="1" s="1"/>
  <c r="L211" i="1"/>
  <c r="L220" i="1" s="1"/>
  <c r="K101" i="1"/>
  <c r="K110" i="1" s="1"/>
  <c r="J155" i="1"/>
  <c r="J164" i="1" s="1"/>
  <c r="J154" i="1"/>
  <c r="J163" i="1" s="1"/>
  <c r="K100" i="1"/>
  <c r="K109" i="1" s="1"/>
  <c r="L210" i="1"/>
  <c r="L219" i="1" s="1"/>
  <c r="K210" i="1"/>
  <c r="K219" i="1" s="1"/>
  <c r="G58" i="1" l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G20" i="1"/>
  <c r="I155" i="1" l="1"/>
  <c r="I164" i="1" s="1"/>
  <c r="I154" i="1" l="1"/>
  <c r="I163" i="1" s="1"/>
  <c r="H210" i="1"/>
  <c r="G210" i="1"/>
  <c r="F210" i="1"/>
  <c r="H155" i="1" l="1"/>
  <c r="H164" i="1" s="1"/>
  <c r="H163" i="1"/>
  <c r="J101" i="1"/>
  <c r="J110" i="1" s="1"/>
  <c r="J109" i="1"/>
  <c r="U47" i="1"/>
  <c r="AC40" i="1" l="1"/>
  <c r="AC27" i="1"/>
  <c r="AC33" i="1"/>
  <c r="AC32" i="1"/>
  <c r="AC36" i="1"/>
  <c r="AC28" i="1"/>
  <c r="AC38" i="1"/>
  <c r="AC29" i="1"/>
  <c r="AC39" i="1"/>
  <c r="AC34" i="1"/>
  <c r="AC26" i="1"/>
  <c r="AC30" i="1"/>
  <c r="AC35" i="1"/>
  <c r="AC16" i="1"/>
  <c r="AC25" i="1"/>
  <c r="U58" i="1"/>
  <c r="AC17" i="1"/>
  <c r="AC21" i="1"/>
  <c r="AC31" i="1"/>
  <c r="AC42" i="1"/>
  <c r="AC22" i="1"/>
  <c r="AC37" i="1"/>
  <c r="AC19" i="1"/>
  <c r="AC23" i="1"/>
  <c r="AC20" i="1"/>
  <c r="AC24" i="1"/>
  <c r="AC41" i="1"/>
  <c r="AC18" i="1"/>
  <c r="U52" i="1"/>
  <c r="AG16" i="1"/>
  <c r="AD43" i="1" l="1"/>
  <c r="AP17" i="1"/>
  <c r="AG44" i="1"/>
  <c r="AF43" i="1" l="1"/>
  <c r="AB25" i="1" l="1"/>
  <c r="AG17" i="1"/>
  <c r="AH43" i="1" l="1"/>
  <c r="AG43" i="1" s="1"/>
  <c r="AG18" i="1"/>
  <c r="AG19" i="1"/>
  <c r="AG21" i="1"/>
  <c r="AG22" i="1"/>
  <c r="AG23" i="1"/>
  <c r="AG24" i="1"/>
  <c r="AG25" i="1"/>
  <c r="AG26" i="1"/>
  <c r="AG31" i="1"/>
  <c r="AG37" i="1"/>
  <c r="AG42" i="1"/>
  <c r="P188" i="1" l="1"/>
  <c r="P184" i="1"/>
  <c r="P185" i="1"/>
  <c r="P186" i="1"/>
  <c r="P187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AA16" i="1"/>
  <c r="J211" i="1" l="1"/>
  <c r="J220" i="1" s="1"/>
  <c r="C211" i="1"/>
  <c r="C220" i="1" s="1"/>
  <c r="D211" i="1"/>
  <c r="D220" i="1" s="1"/>
  <c r="E211" i="1"/>
  <c r="E220" i="1" s="1"/>
  <c r="F211" i="1"/>
  <c r="F220" i="1" s="1"/>
  <c r="G211" i="1"/>
  <c r="G220" i="1" s="1"/>
  <c r="H211" i="1"/>
  <c r="H220" i="1" s="1"/>
  <c r="I211" i="1"/>
  <c r="I220" i="1" s="1"/>
  <c r="B211" i="1"/>
  <c r="B220" i="1" s="1"/>
  <c r="B222" i="1" s="1"/>
  <c r="F219" i="1"/>
  <c r="G219" i="1"/>
  <c r="H219" i="1"/>
  <c r="B215" i="1"/>
  <c r="C215" i="1" s="1"/>
  <c r="D215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C216" i="1" l="1"/>
  <c r="B216" i="1"/>
  <c r="B217" i="1" s="1"/>
  <c r="E215" i="1"/>
  <c r="D216" i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D217" i="1" l="1"/>
  <c r="C217" i="1"/>
  <c r="F215" i="1"/>
  <c r="E216" i="1"/>
  <c r="U44" i="1"/>
  <c r="J210" i="1"/>
  <c r="J219" i="1" s="1"/>
  <c r="I210" i="1"/>
  <c r="I219" i="1" s="1"/>
  <c r="E210" i="1"/>
  <c r="E219" i="1" s="1"/>
  <c r="D210" i="1"/>
  <c r="D219" i="1" s="1"/>
  <c r="C210" i="1"/>
  <c r="C219" i="1" s="1"/>
  <c r="B210" i="1"/>
  <c r="P210" i="1" l="1"/>
  <c r="G215" i="1"/>
  <c r="F216" i="1"/>
  <c r="E217" i="1"/>
  <c r="B219" i="1"/>
  <c r="B221" i="1" s="1"/>
  <c r="C221" i="1" l="1"/>
  <c r="B223" i="1"/>
  <c r="H215" i="1"/>
  <c r="G216" i="1"/>
  <c r="F217" i="1"/>
  <c r="D221" i="1" l="1"/>
  <c r="C223" i="1"/>
  <c r="I215" i="1"/>
  <c r="H216" i="1"/>
  <c r="G217" i="1"/>
  <c r="F163" i="1"/>
  <c r="J215" i="1" l="1"/>
  <c r="I216" i="1"/>
  <c r="E221" i="1"/>
  <c r="D223" i="1"/>
  <c r="H217" i="1"/>
  <c r="F155" i="1"/>
  <c r="J216" i="1" l="1"/>
  <c r="K215" i="1"/>
  <c r="J217" i="1"/>
  <c r="F221" i="1"/>
  <c r="E223" i="1"/>
  <c r="I217" i="1"/>
  <c r="K216" i="1" l="1"/>
  <c r="L215" i="1"/>
  <c r="L216" i="1" s="1"/>
  <c r="K217" i="1"/>
  <c r="G221" i="1"/>
  <c r="F223" i="1"/>
  <c r="P44" i="1"/>
  <c r="Q44" i="1"/>
  <c r="R44" i="1"/>
  <c r="S44" i="1"/>
  <c r="T44" i="1"/>
  <c r="L217" i="1" l="1"/>
  <c r="H221" i="1"/>
  <c r="G223" i="1"/>
  <c r="I221" i="1" l="1"/>
  <c r="H223" i="1"/>
  <c r="B158" i="1"/>
  <c r="F164" i="1"/>
  <c r="G155" i="1"/>
  <c r="G164" i="1" s="1"/>
  <c r="J221" i="1" l="1"/>
  <c r="I223" i="1"/>
  <c r="H101" i="1"/>
  <c r="H110" i="1" s="1"/>
  <c r="I101" i="1"/>
  <c r="I110" i="1" s="1"/>
  <c r="J223" i="1" l="1"/>
  <c r="K221" i="1"/>
  <c r="G154" i="1"/>
  <c r="G163" i="1" s="1"/>
  <c r="B154" i="1"/>
  <c r="I100" i="1"/>
  <c r="I109" i="1" s="1"/>
  <c r="H100" i="1"/>
  <c r="H109" i="1" s="1"/>
  <c r="B100" i="1"/>
  <c r="T43" i="1"/>
  <c r="S43" i="1"/>
  <c r="R43" i="1"/>
  <c r="Q43" i="1"/>
  <c r="P43" i="1"/>
  <c r="AB100" i="1" l="1"/>
  <c r="S52" i="1"/>
  <c r="T52" i="1"/>
  <c r="Q52" i="1"/>
  <c r="R52" i="1"/>
  <c r="L221" i="1"/>
  <c r="L223" i="1" s="1"/>
  <c r="K223" i="1"/>
  <c r="AC43" i="1"/>
  <c r="P52" i="1"/>
  <c r="B163" i="1"/>
  <c r="B165" i="1" s="1"/>
  <c r="B167" i="1" s="1"/>
  <c r="C109" i="1" l="1"/>
  <c r="C155" i="1"/>
  <c r="E155" i="1"/>
  <c r="D155" i="1"/>
  <c r="D164" i="1" s="1"/>
  <c r="B155" i="1"/>
  <c r="B164" i="1" s="1"/>
  <c r="B166" i="1" s="1"/>
  <c r="C101" i="1"/>
  <c r="C110" i="1" s="1"/>
  <c r="Z17" i="1" l="1"/>
  <c r="Z18" i="1"/>
  <c r="Z19" i="1"/>
  <c r="AK19" i="1" s="1"/>
  <c r="Z20" i="1"/>
  <c r="AK20" i="1" s="1"/>
  <c r="Z21" i="1"/>
  <c r="AK21" i="1" s="1"/>
  <c r="Z22" i="1"/>
  <c r="AK22" i="1" s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K37" i="1" s="1"/>
  <c r="Z38" i="1"/>
  <c r="Z39" i="1"/>
  <c r="Z40" i="1"/>
  <c r="Z41" i="1"/>
  <c r="Z42" i="1"/>
  <c r="Z43" i="1"/>
  <c r="Z16" i="1"/>
  <c r="AB17" i="1"/>
  <c r="AO17" i="1" s="1"/>
  <c r="AB18" i="1"/>
  <c r="AB19" i="1"/>
  <c r="AB20" i="1"/>
  <c r="AB21" i="1"/>
  <c r="AB22" i="1"/>
  <c r="AB23" i="1"/>
  <c r="AO23" i="1" s="1"/>
  <c r="AB24" i="1"/>
  <c r="AO24" i="1" s="1"/>
  <c r="AB26" i="1"/>
  <c r="AB27" i="1"/>
  <c r="AB28" i="1"/>
  <c r="AB29" i="1"/>
  <c r="AB30" i="1"/>
  <c r="AB31" i="1"/>
  <c r="AO31" i="1" s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16" i="1"/>
  <c r="AA17" i="1"/>
  <c r="AA18" i="1"/>
  <c r="AM18" i="1" s="1"/>
  <c r="AA19" i="1"/>
  <c r="AA20" i="1"/>
  <c r="AA21" i="1"/>
  <c r="AM21" i="1" s="1"/>
  <c r="AA22" i="1"/>
  <c r="AM22" i="1" s="1"/>
  <c r="AA23" i="1"/>
  <c r="AM23" i="1" s="1"/>
  <c r="AA24" i="1"/>
  <c r="AM24" i="1" s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M37" i="1" s="1"/>
  <c r="AA38" i="1"/>
  <c r="AA39" i="1"/>
  <c r="AA40" i="1"/>
  <c r="AA41" i="1"/>
  <c r="AA42" i="1"/>
  <c r="AA43" i="1"/>
  <c r="AN16" i="1" l="1"/>
  <c r="AL16" i="1"/>
  <c r="AJ16" i="1"/>
  <c r="AM19" i="1"/>
  <c r="AM31" i="1"/>
  <c r="AK17" i="1"/>
  <c r="AO22" i="1"/>
  <c r="AK18" i="1"/>
  <c r="AO21" i="1"/>
  <c r="AK31" i="1"/>
  <c r="AO20" i="1"/>
  <c r="AM17" i="1"/>
  <c r="AM20" i="1"/>
  <c r="AK24" i="1"/>
  <c r="AO19" i="1"/>
  <c r="AK23" i="1"/>
  <c r="AO37" i="1"/>
  <c r="AO18" i="1"/>
  <c r="AL43" i="1" l="1"/>
  <c r="AJ43" i="1"/>
  <c r="AN43" i="1"/>
  <c r="AN17" i="1" l="1"/>
  <c r="AL17" i="1"/>
  <c r="AJ17" i="1"/>
  <c r="AP43" i="1"/>
  <c r="AM43" i="1"/>
  <c r="AK43" i="1"/>
  <c r="AO43" i="1"/>
  <c r="B109" i="1"/>
  <c r="B111" i="1" s="1"/>
  <c r="G101" i="1"/>
  <c r="G110" i="1" s="1"/>
  <c r="F101" i="1"/>
  <c r="F110" i="1" s="1"/>
  <c r="E101" i="1"/>
  <c r="E110" i="1" s="1"/>
  <c r="D101" i="1"/>
  <c r="D110" i="1" s="1"/>
  <c r="B101" i="1"/>
  <c r="C111" i="1" l="1"/>
  <c r="C113" i="1" s="1"/>
  <c r="B113" i="1"/>
  <c r="B110" i="1"/>
  <c r="B112" i="1" s="1"/>
  <c r="C112" i="1" s="1"/>
  <c r="D112" i="1" s="1"/>
  <c r="E112" i="1" s="1"/>
  <c r="F112" i="1" s="1"/>
  <c r="G112" i="1" s="1"/>
  <c r="H112" i="1" s="1"/>
  <c r="I112" i="1" s="1"/>
  <c r="J112" i="1" s="1"/>
  <c r="K112" i="1" s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B44" i="1"/>
  <c r="B52" i="1"/>
  <c r="B54" i="1" s="1"/>
  <c r="B56" i="1" l="1"/>
  <c r="D163" i="1" l="1"/>
  <c r="D109" i="1"/>
  <c r="E109" i="1"/>
  <c r="F109" i="1"/>
  <c r="G109" i="1"/>
  <c r="AN41" i="1" l="1"/>
  <c r="AJ41" i="1"/>
  <c r="AL41" i="1"/>
  <c r="AN40" i="1"/>
  <c r="AL40" i="1"/>
  <c r="AJ40" i="1"/>
  <c r="AL24" i="1"/>
  <c r="AJ24" i="1"/>
  <c r="AN24" i="1"/>
  <c r="AL20" i="1"/>
  <c r="AJ20" i="1"/>
  <c r="AN20" i="1"/>
  <c r="AJ31" i="1"/>
  <c r="AN31" i="1"/>
  <c r="AL31" i="1"/>
  <c r="AJ23" i="1"/>
  <c r="AL23" i="1"/>
  <c r="AN23" i="1"/>
  <c r="AJ19" i="1"/>
  <c r="AL19" i="1"/>
  <c r="AN19" i="1"/>
  <c r="AL37" i="1"/>
  <c r="AN37" i="1"/>
  <c r="AJ37" i="1"/>
  <c r="AJ42" i="1"/>
  <c r="AL42" i="1"/>
  <c r="AN42" i="1"/>
  <c r="AN22" i="1"/>
  <c r="AL22" i="1"/>
  <c r="AJ22" i="1"/>
  <c r="AJ18" i="1"/>
  <c r="AN18" i="1"/>
  <c r="AL18" i="1"/>
  <c r="AN21" i="1"/>
  <c r="AL21" i="1"/>
  <c r="AJ21" i="1"/>
  <c r="AP19" i="1"/>
  <c r="AP18" i="1"/>
  <c r="AP24" i="1"/>
  <c r="AP31" i="1"/>
  <c r="AP22" i="1"/>
  <c r="AP23" i="1"/>
  <c r="AP37" i="1"/>
  <c r="AP21" i="1"/>
  <c r="AP20" i="1"/>
  <c r="H52" i="1"/>
  <c r="I52" i="1"/>
  <c r="J52" i="1"/>
  <c r="K52" i="1"/>
  <c r="L52" i="1"/>
  <c r="M52" i="1"/>
  <c r="N52" i="1"/>
  <c r="O52" i="1"/>
  <c r="G52" i="1"/>
  <c r="H119" i="1"/>
  <c r="H65" i="1"/>
  <c r="H8" i="1"/>
  <c r="D111" i="1"/>
  <c r="C52" i="1"/>
  <c r="D52" i="1"/>
  <c r="E52" i="1"/>
  <c r="F52" i="1"/>
  <c r="E158" i="1"/>
  <c r="B157" i="1"/>
  <c r="C157" i="1" s="1"/>
  <c r="D157" i="1" s="1"/>
  <c r="E157" i="1" s="1"/>
  <c r="F157" i="1" s="1"/>
  <c r="G157" i="1" s="1"/>
  <c r="H157" i="1" s="1"/>
  <c r="I157" i="1" s="1"/>
  <c r="J157" i="1" s="1"/>
  <c r="C158" i="1"/>
  <c r="B105" i="1"/>
  <c r="B106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B159" i="1"/>
  <c r="B160" i="1" s="1"/>
  <c r="B48" i="1"/>
  <c r="B49" i="1" s="1"/>
  <c r="B46" i="1"/>
  <c r="AB146" i="1" l="1"/>
  <c r="AB128" i="1"/>
  <c r="AB152" i="1"/>
  <c r="AB151" i="1"/>
  <c r="AB133" i="1"/>
  <c r="AB149" i="1"/>
  <c r="AB131" i="1"/>
  <c r="AB142" i="1"/>
  <c r="AB144" i="1"/>
  <c r="AB139" i="1"/>
  <c r="AB137" i="1"/>
  <c r="AB150" i="1"/>
  <c r="AB132" i="1"/>
  <c r="AB136" i="1"/>
  <c r="AB143" i="1"/>
  <c r="AB134" i="1"/>
  <c r="AB153" i="1"/>
  <c r="AB135" i="1"/>
  <c r="AB140" i="1"/>
  <c r="AB138" i="1"/>
  <c r="AB148" i="1"/>
  <c r="AB147" i="1"/>
  <c r="AB129" i="1"/>
  <c r="AB145" i="1"/>
  <c r="AB141" i="1"/>
  <c r="AB130" i="1"/>
  <c r="AB127" i="1"/>
  <c r="AB154" i="1"/>
  <c r="C46" i="1"/>
  <c r="B59" i="1"/>
  <c r="E111" i="1"/>
  <c r="D113" i="1"/>
  <c r="C163" i="1"/>
  <c r="C165" i="1" s="1"/>
  <c r="C164" i="1"/>
  <c r="C166" i="1" s="1"/>
  <c r="D166" i="1" s="1"/>
  <c r="E163" i="1"/>
  <c r="E164" i="1"/>
  <c r="B107" i="1"/>
  <c r="B161" i="1"/>
  <c r="C105" i="1"/>
  <c r="C106" i="1" s="1"/>
  <c r="C159" i="1"/>
  <c r="C160" i="1" s="1"/>
  <c r="B50" i="1"/>
  <c r="C54" i="1"/>
  <c r="C48" i="1"/>
  <c r="C49" i="1" s="1"/>
  <c r="C50" i="1" s="1"/>
  <c r="D105" i="1" l="1"/>
  <c r="D48" i="1"/>
  <c r="D46" i="1"/>
  <c r="C59" i="1"/>
  <c r="D54" i="1"/>
  <c r="C56" i="1"/>
  <c r="D165" i="1"/>
  <c r="C167" i="1"/>
  <c r="F111" i="1"/>
  <c r="E113" i="1"/>
  <c r="E166" i="1"/>
  <c r="F166" i="1" s="1"/>
  <c r="G166" i="1" s="1"/>
  <c r="H166" i="1" s="1"/>
  <c r="I166" i="1" s="1"/>
  <c r="J166" i="1" s="1"/>
  <c r="D159" i="1"/>
  <c r="D160" i="1" s="1"/>
  <c r="C161" i="1"/>
  <c r="C107" i="1"/>
  <c r="D49" i="1"/>
  <c r="E48" i="1"/>
  <c r="D106" i="1"/>
  <c r="D107" i="1" s="1"/>
  <c r="E105" i="1"/>
  <c r="E159" i="1" l="1"/>
  <c r="E46" i="1"/>
  <c r="D59" i="1"/>
  <c r="E165" i="1"/>
  <c r="D167" i="1"/>
  <c r="G111" i="1"/>
  <c r="F113" i="1"/>
  <c r="E54" i="1"/>
  <c r="D56" i="1"/>
  <c r="D50" i="1"/>
  <c r="D161" i="1"/>
  <c r="F48" i="1"/>
  <c r="E49" i="1"/>
  <c r="F159" i="1"/>
  <c r="E160" i="1"/>
  <c r="F105" i="1"/>
  <c r="E106" i="1"/>
  <c r="E107" i="1" s="1"/>
  <c r="F46" i="1" l="1"/>
  <c r="E59" i="1"/>
  <c r="H111" i="1"/>
  <c r="G113" i="1"/>
  <c r="F54" i="1"/>
  <c r="E56" i="1"/>
  <c r="F165" i="1"/>
  <c r="E167" i="1"/>
  <c r="F160" i="1"/>
  <c r="F161" i="1" s="1"/>
  <c r="G159" i="1"/>
  <c r="E161" i="1"/>
  <c r="E50" i="1"/>
  <c r="G105" i="1"/>
  <c r="F106" i="1"/>
  <c r="G48" i="1"/>
  <c r="F49" i="1"/>
  <c r="F50" i="1" s="1"/>
  <c r="G46" i="1" l="1"/>
  <c r="F59" i="1"/>
  <c r="G160" i="1"/>
  <c r="G161" i="1" s="1"/>
  <c r="H159" i="1"/>
  <c r="G54" i="1"/>
  <c r="F56" i="1"/>
  <c r="G165" i="1"/>
  <c r="F167" i="1"/>
  <c r="I111" i="1"/>
  <c r="H113" i="1"/>
  <c r="F107" i="1"/>
  <c r="H48" i="1"/>
  <c r="G49" i="1"/>
  <c r="G50" i="1" s="1"/>
  <c r="G106" i="1"/>
  <c r="H105" i="1"/>
  <c r="H46" i="1" l="1"/>
  <c r="G59" i="1"/>
  <c r="H160" i="1"/>
  <c r="H161" i="1" s="1"/>
  <c r="I159" i="1"/>
  <c r="J111" i="1"/>
  <c r="I113" i="1"/>
  <c r="H54" i="1"/>
  <c r="G56" i="1"/>
  <c r="H165" i="1"/>
  <c r="G167" i="1"/>
  <c r="H106" i="1"/>
  <c r="H107" i="1" s="1"/>
  <c r="I105" i="1"/>
  <c r="G107" i="1"/>
  <c r="I48" i="1"/>
  <c r="H49" i="1"/>
  <c r="H50" i="1" s="1"/>
  <c r="I160" i="1" l="1"/>
  <c r="J159" i="1"/>
  <c r="J160" i="1" s="1"/>
  <c r="J113" i="1"/>
  <c r="K111" i="1"/>
  <c r="K113" i="1" s="1"/>
  <c r="I46" i="1"/>
  <c r="H59" i="1"/>
  <c r="H167" i="1"/>
  <c r="I165" i="1"/>
  <c r="I161" i="1"/>
  <c r="I54" i="1"/>
  <c r="H56" i="1"/>
  <c r="I106" i="1"/>
  <c r="I107" i="1" s="1"/>
  <c r="J105" i="1"/>
  <c r="J48" i="1"/>
  <c r="I49" i="1"/>
  <c r="J161" i="1" l="1"/>
  <c r="I167" i="1"/>
  <c r="J165" i="1"/>
  <c r="J167" i="1" s="1"/>
  <c r="J106" i="1"/>
  <c r="J107" i="1" s="1"/>
  <c r="K105" i="1"/>
  <c r="K106" i="1" s="1"/>
  <c r="J46" i="1"/>
  <c r="I59" i="1"/>
  <c r="J54" i="1"/>
  <c r="I56" i="1"/>
  <c r="I50" i="1"/>
  <c r="K48" i="1"/>
  <c r="J49" i="1"/>
  <c r="J50" i="1" s="1"/>
  <c r="K107" i="1" l="1"/>
  <c r="K46" i="1"/>
  <c r="J59" i="1"/>
  <c r="K54" i="1"/>
  <c r="J56" i="1"/>
  <c r="L48" i="1"/>
  <c r="K49" i="1"/>
  <c r="L46" i="1" l="1"/>
  <c r="K59" i="1"/>
  <c r="L54" i="1"/>
  <c r="K56" i="1"/>
  <c r="K50" i="1"/>
  <c r="L49" i="1"/>
  <c r="M48" i="1"/>
  <c r="M46" i="1" l="1"/>
  <c r="L59" i="1"/>
  <c r="M54" i="1"/>
  <c r="L56" i="1"/>
  <c r="L50" i="1"/>
  <c r="M49" i="1"/>
  <c r="N48" i="1"/>
  <c r="N46" i="1" l="1"/>
  <c r="M59" i="1"/>
  <c r="N54" i="1"/>
  <c r="M56" i="1"/>
  <c r="M50" i="1"/>
  <c r="O48" i="1"/>
  <c r="N49" i="1"/>
  <c r="O46" i="1" l="1"/>
  <c r="N59" i="1"/>
  <c r="O54" i="1"/>
  <c r="N56" i="1"/>
  <c r="N50" i="1"/>
  <c r="O49" i="1"/>
  <c r="P48" i="1"/>
  <c r="P46" i="1" l="1"/>
  <c r="O59" i="1"/>
  <c r="O56" i="1"/>
  <c r="P54" i="1"/>
  <c r="O50" i="1"/>
  <c r="P49" i="1"/>
  <c r="Q48" i="1"/>
  <c r="Q46" i="1" l="1"/>
  <c r="P59" i="1"/>
  <c r="P56" i="1"/>
  <c r="Q54" i="1"/>
  <c r="Q49" i="1"/>
  <c r="Q50" i="1" s="1"/>
  <c r="R48" i="1"/>
  <c r="P50" i="1"/>
  <c r="R46" i="1" l="1"/>
  <c r="Q59" i="1"/>
  <c r="R54" i="1"/>
  <c r="Q56" i="1"/>
  <c r="S48" i="1"/>
  <c r="R49" i="1"/>
  <c r="S46" i="1" l="1"/>
  <c r="R59" i="1"/>
  <c r="S54" i="1"/>
  <c r="R56" i="1"/>
  <c r="R50" i="1"/>
  <c r="S49" i="1"/>
  <c r="T48" i="1"/>
  <c r="T46" i="1" l="1"/>
  <c r="S59" i="1"/>
  <c r="T49" i="1"/>
  <c r="T50" i="1" s="1"/>
  <c r="U48" i="1"/>
  <c r="U49" i="1" s="1"/>
  <c r="T54" i="1"/>
  <c r="S56" i="1"/>
  <c r="S50" i="1"/>
  <c r="U46" i="1" l="1"/>
  <c r="U59" i="1" s="1"/>
  <c r="T59" i="1"/>
  <c r="U50" i="1"/>
  <c r="U54" i="1"/>
  <c r="U56" i="1" s="1"/>
  <c r="T56" i="1"/>
</calcChain>
</file>

<file path=xl/sharedStrings.xml><?xml version="1.0" encoding="utf-8"?>
<sst xmlns="http://schemas.openxmlformats.org/spreadsheetml/2006/main" count="1313" uniqueCount="320">
  <si>
    <t>PFAS-IMMO</t>
  </si>
  <si>
    <t>Analyseergebnisse TZW</t>
  </si>
  <si>
    <t>Einheit</t>
  </si>
  <si>
    <t>Bestimmungs-grenze (BG)</t>
  </si>
  <si>
    <t>TFA</t>
  </si>
  <si>
    <t>PFPrA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</si>
  <si>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</si>
  <si>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</si>
  <si>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</si>
  <si>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</si>
  <si>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</si>
  <si>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</si>
  <si>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</si>
  <si>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</si>
  <si>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</si>
  <si>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</si>
  <si>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</si>
  <si>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</si>
  <si>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</si>
  <si>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</si>
  <si>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</si>
  <si>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</si>
  <si>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</si>
  <si>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</si>
  <si>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</si>
  <si>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</si>
  <si>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</si>
  <si>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</si>
  <si>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</si>
  <si>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</si>
  <si>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</si>
  <si>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</si>
  <si>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</si>
  <si>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∑PFAS</t>
  </si>
  <si>
    <t>F190385</t>
  </si>
  <si>
    <t>N1_1_001</t>
  </si>
  <si>
    <t>11.10.2019</t>
  </si>
  <si>
    <t>ng/L</t>
  </si>
  <si>
    <t>1 ng/L</t>
  </si>
  <si>
    <t>x</t>
  </si>
  <si>
    <t>&lt; BG</t>
  </si>
  <si>
    <t>F190386</t>
  </si>
  <si>
    <t>N1_1_002</t>
  </si>
  <si>
    <t>14.10.2019</t>
  </si>
  <si>
    <t>F190399</t>
  </si>
  <si>
    <t>F190400</t>
  </si>
  <si>
    <t>N1_1_003</t>
  </si>
  <si>
    <t>N1_1_004</t>
  </si>
  <si>
    <t>17.10.2019</t>
  </si>
  <si>
    <t>21.10.2019</t>
  </si>
  <si>
    <t>F190480</t>
  </si>
  <si>
    <t>F190481</t>
  </si>
  <si>
    <t>N1_1_005</t>
  </si>
  <si>
    <t>N1_1_006</t>
  </si>
  <si>
    <t>24.10.2019</t>
  </si>
  <si>
    <t>28.10.2019</t>
  </si>
  <si>
    <t>F190401</t>
  </si>
  <si>
    <t>N1_2_002</t>
  </si>
  <si>
    <t>18.10.2019</t>
  </si>
  <si>
    <t>F190482</t>
  </si>
  <si>
    <t>N1_3_002</t>
  </si>
  <si>
    <t>Start Date/ Time:</t>
  </si>
  <si>
    <t>Probennahme</t>
  </si>
  <si>
    <t>t [d]</t>
  </si>
  <si>
    <t>bulk density soil [kg/L]</t>
  </si>
  <si>
    <t>WF static</t>
  </si>
  <si>
    <t>retention time [h]</t>
  </si>
  <si>
    <t>t prediction (years)</t>
  </si>
  <si>
    <t>Vw [L]</t>
  </si>
  <si>
    <t>Vw cum [L]</t>
  </si>
  <si>
    <t>weight of soil material (dry) [kg]:</t>
  </si>
  <si>
    <t>N1_2_001</t>
  </si>
  <si>
    <t>N1_3_001</t>
  </si>
  <si>
    <t>N1_3_001h</t>
  </si>
  <si>
    <t>pore volumes</t>
  </si>
  <si>
    <t>porosity</t>
  </si>
  <si>
    <t>mass [mg]</t>
  </si>
  <si>
    <t>cum mass [mg]</t>
  </si>
  <si>
    <t>mikrog/kg</t>
  </si>
  <si>
    <t>Feststoffanalyse</t>
  </si>
  <si>
    <t>Masse PFAS in Säule</t>
  </si>
  <si>
    <t>(Synlab: 641)</t>
  </si>
  <si>
    <t>&lt;5</t>
  </si>
  <si>
    <t>cum mass [µg/kg]</t>
  </si>
  <si>
    <t>mg</t>
  </si>
  <si>
    <t>WF dyn (1313 h)</t>
  </si>
  <si>
    <t>WF dyn (1173 h)</t>
  </si>
  <si>
    <t>QS</t>
  </si>
  <si>
    <t>~14</t>
  </si>
  <si>
    <t>~37</t>
  </si>
  <si>
    <t>Feststoffgehalte [µg/kg]</t>
  </si>
  <si>
    <t>N1_1</t>
  </si>
  <si>
    <t>31.10.2019</t>
  </si>
  <si>
    <t>04.11.2019</t>
  </si>
  <si>
    <t>07.11.2019</t>
  </si>
  <si>
    <t>11.11.2019</t>
  </si>
  <si>
    <t>14.11.2019</t>
  </si>
  <si>
    <t>18.11.2019</t>
  </si>
  <si>
    <t>22.11.2019</t>
  </si>
  <si>
    <t>25.11.2019</t>
  </si>
  <si>
    <t>F190527</t>
  </si>
  <si>
    <t>F190528</t>
  </si>
  <si>
    <t>N1_1_007</t>
  </si>
  <si>
    <t>N1_1_008</t>
  </si>
  <si>
    <t>F190539</t>
  </si>
  <si>
    <t>F190540</t>
  </si>
  <si>
    <t>N1_1_009</t>
  </si>
  <si>
    <t>N1_1_010</t>
  </si>
  <si>
    <t>F190551</t>
  </si>
  <si>
    <t>F190552</t>
  </si>
  <si>
    <t>N1_1_011</t>
  </si>
  <si>
    <t>N1_1_012</t>
  </si>
  <si>
    <t>F190563</t>
  </si>
  <si>
    <t>F190564</t>
  </si>
  <si>
    <t>N1_1_013</t>
  </si>
  <si>
    <t>N1_1_014</t>
  </si>
  <si>
    <t>F190529</t>
  </si>
  <si>
    <t>N1_2_003</t>
  </si>
  <si>
    <t>F190541</t>
  </si>
  <si>
    <t>N1_2_004</t>
  </si>
  <si>
    <t>F190553</t>
  </si>
  <si>
    <t>N1_2_005</t>
  </si>
  <si>
    <t>F190565</t>
  </si>
  <si>
    <t>N1_2_006</t>
  </si>
  <si>
    <t>F190530</t>
  </si>
  <si>
    <t>N1_3_003</t>
  </si>
  <si>
    <t>F190554</t>
  </si>
  <si>
    <t>N1_3_004</t>
  </si>
  <si>
    <t>cum mass 11 [mg]</t>
  </si>
  <si>
    <t>∑PFAS 11</t>
  </si>
  <si>
    <t>mass 11 [mg]</t>
  </si>
  <si>
    <t>WF dyn (when sampling)</t>
  </si>
  <si>
    <t>WF dyn (for plotting)</t>
  </si>
  <si>
    <t>WF=10</t>
  </si>
  <si>
    <t>nach letzter Analyse</t>
  </si>
  <si>
    <t>WF=20</t>
  </si>
  <si>
    <t>WF=5</t>
  </si>
  <si>
    <t>ratio to solid</t>
  </si>
  <si>
    <t>ratio to total mass in eluate</t>
  </si>
  <si>
    <t>F190657</t>
  </si>
  <si>
    <t>N1_1_015</t>
  </si>
  <si>
    <t>29.11.2019</t>
  </si>
  <si>
    <t>F190661</t>
  </si>
  <si>
    <t>N1_1_016</t>
  </si>
  <si>
    <t>02.12.2019</t>
  </si>
  <si>
    <t>F200009</t>
  </si>
  <si>
    <t>N1_1_017</t>
  </si>
  <si>
    <t>16.12.2019</t>
  </si>
  <si>
    <t>F200012</t>
  </si>
  <si>
    <t>N1_1_018</t>
  </si>
  <si>
    <t>30.12.2019</t>
  </si>
  <si>
    <t>F200032</t>
  </si>
  <si>
    <t>N1_1_019</t>
  </si>
  <si>
    <t>13.01.2020</t>
  </si>
  <si>
    <t>F190663</t>
  </si>
  <si>
    <t>F200005</t>
  </si>
  <si>
    <t>N1_2_007_V</t>
  </si>
  <si>
    <t>12.12.2019</t>
  </si>
  <si>
    <t>F200013</t>
  </si>
  <si>
    <t>N1_2_010</t>
  </si>
  <si>
    <t>07.01.2020</t>
  </si>
  <si>
    <t>F190664</t>
  </si>
  <si>
    <t>16.10.2019</t>
  </si>
  <si>
    <t>F200006</t>
  </si>
  <si>
    <t>N1_3_006</t>
  </si>
  <si>
    <t>F190658</t>
  </si>
  <si>
    <t>N1_3_005</t>
  </si>
  <si>
    <t>F200143</t>
  </si>
  <si>
    <t>N1_1_23_V</t>
  </si>
  <si>
    <t>28.02.2020</t>
  </si>
  <si>
    <t>F200128</t>
  </si>
  <si>
    <t>N1_2_011</t>
  </si>
  <si>
    <t>03.02.2020</t>
  </si>
  <si>
    <t>F200123</t>
  </si>
  <si>
    <t>F200233</t>
  </si>
  <si>
    <t>N1_3_007</t>
  </si>
  <si>
    <t>N1_3_008</t>
  </si>
  <si>
    <t>27.01.2020</t>
  </si>
  <si>
    <t>06.03.2020</t>
  </si>
  <si>
    <t>09.03.2020</t>
  </si>
  <si>
    <t>13.03.2020</t>
  </si>
  <si>
    <t>16.03.2020</t>
  </si>
  <si>
    <t>F200171</t>
  </si>
  <si>
    <t>F200172</t>
  </si>
  <si>
    <t>F200173</t>
  </si>
  <si>
    <t>F200174</t>
  </si>
  <si>
    <t>F200194</t>
  </si>
  <si>
    <t>F200195</t>
  </si>
  <si>
    <t>F200196</t>
  </si>
  <si>
    <t>F200231</t>
  </si>
  <si>
    <t>F200232</t>
  </si>
  <si>
    <t>N1_4_001</t>
  </si>
  <si>
    <t>N1_4_002</t>
  </si>
  <si>
    <t>N1_4_003</t>
  </si>
  <si>
    <t>N1_4_004</t>
  </si>
  <si>
    <t>N1_4_005</t>
  </si>
  <si>
    <t>N1_4_006</t>
  </si>
  <si>
    <t>N1_4_007</t>
  </si>
  <si>
    <t>N1_4_008</t>
  </si>
  <si>
    <t>N1_4_009</t>
  </si>
  <si>
    <t>03.03.2020</t>
  </si>
  <si>
    <t>04.03.2020</t>
  </si>
  <si>
    <t>05.03.2020</t>
  </si>
  <si>
    <t>11.03.2020</t>
  </si>
  <si>
    <t>µg/kg</t>
  </si>
  <si>
    <t>1 µg/kg</t>
  </si>
  <si>
    <t>10 µg/kg</t>
  </si>
  <si>
    <t>Bestimmungsgrenze (BG) - PFAS</t>
  </si>
  <si>
    <t>Bestimmungsgrenze (BG) -  EOF</t>
  </si>
  <si>
    <t>6:2 monoPAP</t>
  </si>
  <si>
    <t>8:2 monoPAP</t>
  </si>
  <si>
    <t>10:2 monoPAP</t>
  </si>
  <si>
    <t>monoSAmPAP</t>
  </si>
  <si>
    <t>6:2 diPAP</t>
  </si>
  <si>
    <t>6:2/8:2 diPAP</t>
  </si>
  <si>
    <t>8:2 diPAP</t>
  </si>
  <si>
    <t>10:2 diPAP</t>
  </si>
  <si>
    <t>diSAmPAP</t>
  </si>
  <si>
    <t>EOF</t>
  </si>
  <si>
    <t>N1_1_sum</t>
  </si>
  <si>
    <t>concentration in solid phase after experiment [µg/kg]</t>
  </si>
  <si>
    <t>soil after exp</t>
  </si>
  <si>
    <t>mass balance</t>
  </si>
  <si>
    <t>∑PFAS (calc as for soil)</t>
  </si>
  <si>
    <t>Hü60 hom</t>
  </si>
  <si>
    <t>norm cum mass [µg/kg]</t>
  </si>
  <si>
    <t>N1_1 eluate</t>
  </si>
  <si>
    <t>R2_1_sum</t>
  </si>
  <si>
    <t>Hue60_R2_soil</t>
  </si>
  <si>
    <t>R2_1 eluate</t>
  </si>
  <si>
    <t>R1_1_end</t>
  </si>
  <si>
    <t>R1_20191023</t>
  </si>
  <si>
    <t>R1_1_eluate</t>
  </si>
  <si>
    <t>Differenz Feststoffanalysen vor/nach Experiment</t>
  </si>
  <si>
    <t>nach Exp.</t>
  </si>
  <si>
    <t>N1_2_sum</t>
  </si>
  <si>
    <t>N1_2 eluate</t>
  </si>
  <si>
    <t>N1_4 eluate</t>
  </si>
  <si>
    <t>N1_4_sum</t>
  </si>
  <si>
    <t>N1_3_sum</t>
  </si>
  <si>
    <t>N1_3 eluate</t>
  </si>
  <si>
    <t>mass PFOA [µg]</t>
  </si>
  <si>
    <t xml:space="preserve">mass PFOA per day [µg/d] </t>
  </si>
  <si>
    <t>Massendifferenz</t>
  </si>
  <si>
    <t>Summe Feststoffanalyse nach Experiment und Eluat</t>
  </si>
  <si>
    <t>20.03.2020</t>
  </si>
  <si>
    <t>F200235</t>
  </si>
  <si>
    <t>F200236</t>
  </si>
  <si>
    <t>N1_4_010</t>
  </si>
  <si>
    <t>N1_4_011</t>
  </si>
  <si>
    <t>23.03.2020</t>
  </si>
  <si>
    <t>F200237</t>
  </si>
  <si>
    <t>N1_2_013_V</t>
  </si>
  <si>
    <t>17.03.2020</t>
  </si>
  <si>
    <t>F200238</t>
  </si>
  <si>
    <t>N1_3_009</t>
  </si>
  <si>
    <t>18.03.2020</t>
  </si>
  <si>
    <t>R1_2</t>
  </si>
  <si>
    <t>R2_1</t>
  </si>
  <si>
    <t>∑PFAS+Prec</t>
  </si>
  <si>
    <t>N1_2</t>
  </si>
  <si>
    <t>N1_3</t>
  </si>
  <si>
    <t>N1_4</t>
  </si>
  <si>
    <t>R1_1</t>
  </si>
  <si>
    <t>R1_3</t>
  </si>
  <si>
    <t xml:space="preserve">R2_2 </t>
  </si>
  <si>
    <t>R3_1</t>
  </si>
  <si>
    <t>R3_2</t>
  </si>
  <si>
    <t>R4_1</t>
  </si>
  <si>
    <t>R4_2</t>
  </si>
  <si>
    <t>N-1</t>
  </si>
  <si>
    <t>R-1</t>
  </si>
  <si>
    <t>R-2</t>
  </si>
  <si>
    <t>R-3</t>
  </si>
  <si>
    <t>R-4</t>
  </si>
  <si>
    <t>Anteil relativ zu Feststoffanalyse vor Versuch</t>
  </si>
  <si>
    <t>Massenbilanz PFAS [µg/kg]</t>
  </si>
  <si>
    <t>Massenbilanz PFAS [µg]</t>
  </si>
  <si>
    <t>m(Boden) [kg]</t>
  </si>
  <si>
    <t>F-Anteil</t>
  </si>
  <si>
    <t>Zugewinn TOP-Assay [µg F]</t>
  </si>
  <si>
    <t>Massenbilanz F [µg F] mit Prec</t>
  </si>
  <si>
    <t>Massenbilanz F [µg F] ohne Prec</t>
  </si>
  <si>
    <t>∑F [µg F/kg] mit Prec</t>
  </si>
  <si>
    <t>∑F [µg F/kg] ohne Prec</t>
  </si>
  <si>
    <t>R1_2_end</t>
  </si>
  <si>
    <t>R1_3_end</t>
  </si>
  <si>
    <t>R2_2_end</t>
  </si>
  <si>
    <t>R2_2 eluate</t>
  </si>
  <si>
    <t>R1_3_eluate</t>
  </si>
  <si>
    <t>R1_2_eluate</t>
  </si>
  <si>
    <t>[µg/kg]</t>
  </si>
  <si>
    <t>∑F [µg F/kg] nur Prec</t>
  </si>
  <si>
    <t>R3_20191023</t>
  </si>
  <si>
    <t>R3_1 eluate</t>
  </si>
  <si>
    <t>R4_200217</t>
  </si>
  <si>
    <t>R3_1_end</t>
  </si>
  <si>
    <t>R3_2_end</t>
  </si>
  <si>
    <t>R3_2 eluate</t>
  </si>
  <si>
    <t>R4_1_end</t>
  </si>
  <si>
    <t>R4_1 eluate</t>
  </si>
  <si>
    <t>R4_2_end</t>
  </si>
  <si>
    <t>R4_2 eluate</t>
  </si>
  <si>
    <t>R2_2</t>
  </si>
  <si>
    <t>WF=2</t>
  </si>
  <si>
    <t>Eluat</t>
  </si>
  <si>
    <t>Differenz Feststoffanalysen</t>
  </si>
  <si>
    <t>Massenbilanz</t>
  </si>
  <si>
    <t>N-1 Konzentration (Mittelwert):</t>
  </si>
  <si>
    <t>nmol/kg</t>
  </si>
  <si>
    <t>g/mol</t>
  </si>
  <si>
    <t>Min [µg/kg]</t>
  </si>
  <si>
    <t>Max [µg/kg]</t>
  </si>
  <si>
    <t>neg. Abw [nmol/kg]</t>
  </si>
  <si>
    <t>pos. Abweichung [nmol/kg]</t>
  </si>
  <si>
    <t>perfluorierte Verbindungen (werden nicht abgebaut!)</t>
  </si>
  <si>
    <t>polyfluorierte Verbindungen (können zu perfluorierten Verbindungen transformiert werden (vorzugsweise biotisch))</t>
  </si>
  <si>
    <t>(unplausibel, eventuell Verunreinigung)</t>
  </si>
  <si>
    <t>Sum Mass PFAS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</si>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</sst>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\ h:mm;@"/>
    <numFmt numFmtId="165" formatCode="0.000"/>
    <numFmt numFmtId="166" formatCode="0.0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" xfId="0" applyFont="1" applyFill="1" applyBorder="1"/>
    <xf numFmtId="0" fontId="3" fillId="0" borderId="1" xfId="0" applyFont="1" applyFill="1" applyBorder="1"/>
    <xf numFmtId="2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/>
    <xf numFmtId="165" fontId="1" fillId="0" borderId="0" xfId="0" applyNumberFormat="1" applyFont="1" applyBorder="1"/>
    <xf numFmtId="165" fontId="1" fillId="0" borderId="9" xfId="0" applyNumberFormat="1" applyFont="1" applyBorder="1"/>
    <xf numFmtId="165" fontId="6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5" fillId="0" borderId="6" xfId="0" applyFont="1" applyBorder="1"/>
    <xf numFmtId="0" fontId="0" fillId="0" borderId="0" xfId="0" applyAlignment="1">
      <alignment horizontal="right"/>
    </xf>
    <xf numFmtId="0" fontId="0" fillId="0" borderId="0" xfId="0" applyFill="1"/>
    <xf numFmtId="49" fontId="4" fillId="0" borderId="0" xfId="0" applyNumberFormat="1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right"/>
    </xf>
    <xf numFmtId="0" fontId="2" fillId="4" borderId="1" xfId="0" applyFont="1" applyFill="1" applyBorder="1"/>
    <xf numFmtId="14" fontId="4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0" fillId="0" borderId="1" xfId="0" applyFill="1" applyBorder="1"/>
    <xf numFmtId="166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1" xfId="0" applyNumberFormat="1" applyBorder="1"/>
    <xf numFmtId="0" fontId="4" fillId="0" borderId="0" xfId="0" applyFont="1" applyFill="1" applyBorder="1" applyAlignment="1">
      <alignment horizontal="center"/>
    </xf>
    <xf numFmtId="166" fontId="0" fillId="0" borderId="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1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4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6" fontId="0" fillId="0" borderId="2" xfId="0" applyNumberFormat="1" applyBorder="1"/>
    <xf numFmtId="0" fontId="0" fillId="0" borderId="0" xfId="0" applyFill="1" applyBorder="1"/>
    <xf numFmtId="0" fontId="0" fillId="0" borderId="14" xfId="0" applyFill="1" applyBorder="1"/>
    <xf numFmtId="0" fontId="0" fillId="0" borderId="1" xfId="0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" fontId="3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14" xfId="0" applyFill="1" applyBorder="1"/>
    <xf numFmtId="166" fontId="0" fillId="2" borderId="0" xfId="0" applyNumberFormat="1" applyFill="1"/>
    <xf numFmtId="166" fontId="0" fillId="2" borderId="11" xfId="0" applyNumberFormat="1" applyFill="1" applyBorder="1"/>
    <xf numFmtId="0" fontId="4" fillId="0" borderId="11" xfId="0" applyFont="1" applyFill="1" applyBorder="1" applyAlignment="1">
      <alignment horizontal="center"/>
    </xf>
    <xf numFmtId="166" fontId="0" fillId="0" borderId="11" xfId="0" applyNumberFormat="1" applyFill="1" applyBorder="1"/>
    <xf numFmtId="0" fontId="3" fillId="0" borderId="0" xfId="0" applyFont="1"/>
    <xf numFmtId="166" fontId="6" fillId="0" borderId="0" xfId="0" applyNumberFormat="1" applyFont="1"/>
    <xf numFmtId="0" fontId="2" fillId="0" borderId="11" xfId="0" applyFont="1" applyBorder="1"/>
    <xf numFmtId="0" fontId="2" fillId="0" borderId="11" xfId="0" applyFont="1" applyBorder="1" applyAlignment="1">
      <alignment wrapText="1"/>
    </xf>
    <xf numFmtId="0" fontId="2" fillId="2" borderId="11" xfId="0" applyFont="1" applyFill="1" applyBorder="1"/>
    <xf numFmtId="0" fontId="3" fillId="0" borderId="11" xfId="0" applyFont="1" applyFill="1" applyBorder="1"/>
    <xf numFmtId="0" fontId="2" fillId="0" borderId="11" xfId="0" applyFont="1" applyFill="1" applyBorder="1"/>
    <xf numFmtId="0" fontId="3" fillId="2" borderId="11" xfId="0" applyFont="1" applyFill="1" applyBorder="1"/>
    <xf numFmtId="0" fontId="3" fillId="0" borderId="11" xfId="0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0" xfId="0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2" borderId="19" xfId="0" applyFill="1" applyBorder="1"/>
    <xf numFmtId="166" fontId="0" fillId="2" borderId="20" xfId="0" applyNumberFormat="1" applyFill="1" applyBorder="1"/>
    <xf numFmtId="166" fontId="0" fillId="0" borderId="20" xfId="0" applyNumberFormat="1" applyFill="1" applyBorder="1"/>
    <xf numFmtId="166" fontId="0" fillId="0" borderId="19" xfId="0" applyNumberFormat="1" applyFill="1" applyBorder="1"/>
    <xf numFmtId="0" fontId="2" fillId="0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166" fontId="3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9" fontId="0" fillId="0" borderId="0" xfId="1" applyFont="1"/>
    <xf numFmtId="0" fontId="13" fillId="0" borderId="0" xfId="0" applyFont="1"/>
    <xf numFmtId="0" fontId="14" fillId="0" borderId="0" xfId="0" applyFont="1"/>
    <xf numFmtId="9" fontId="14" fillId="0" borderId="0" xfId="1" applyFont="1"/>
    <xf numFmtId="167" fontId="0" fillId="2" borderId="1" xfId="1" applyNumberFormat="1" applyFont="1" applyFill="1" applyBorder="1"/>
    <xf numFmtId="167" fontId="0" fillId="0" borderId="1" xfId="1" applyNumberFormat="1" applyFont="1" applyFill="1" applyBorder="1"/>
    <xf numFmtId="0" fontId="0" fillId="0" borderId="0" xfId="0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166" fontId="0" fillId="0" borderId="0" xfId="0" applyNumberFormat="1" applyFill="1" applyBorder="1"/>
    <xf numFmtId="0" fontId="2" fillId="0" borderId="2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/>
    </xf>
    <xf numFmtId="166" fontId="0" fillId="0" borderId="14" xfId="0" applyNumberFormat="1" applyFill="1" applyBorder="1"/>
    <xf numFmtId="0" fontId="4" fillId="0" borderId="19" xfId="0" applyFont="1" applyFill="1" applyBorder="1" applyAlignment="1">
      <alignment horizontal="center"/>
    </xf>
    <xf numFmtId="0" fontId="0" fillId="0" borderId="19" xfId="0" applyBorder="1"/>
    <xf numFmtId="166" fontId="0" fillId="2" borderId="19" xfId="0" applyNumberFormat="1" applyFill="1" applyBorder="1"/>
    <xf numFmtId="167" fontId="0" fillId="2" borderId="20" xfId="1" applyNumberFormat="1" applyFont="1" applyFill="1" applyBorder="1"/>
    <xf numFmtId="167" fontId="0" fillId="0" borderId="20" xfId="1" applyNumberFormat="1" applyFont="1" applyFill="1" applyBorder="1"/>
    <xf numFmtId="0" fontId="2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/>
    </xf>
    <xf numFmtId="0" fontId="0" fillId="0" borderId="29" xfId="0" applyBorder="1"/>
    <xf numFmtId="166" fontId="0" fillId="2" borderId="29" xfId="0" applyNumberFormat="1" applyFill="1" applyBorder="1"/>
    <xf numFmtId="0" fontId="0" fillId="0" borderId="13" xfId="0" applyBorder="1"/>
    <xf numFmtId="0" fontId="1" fillId="0" borderId="29" xfId="0" applyFont="1" applyBorder="1"/>
    <xf numFmtId="166" fontId="0" fillId="2" borderId="2" xfId="0" applyNumberFormat="1" applyFill="1" applyBorder="1"/>
    <xf numFmtId="9" fontId="0" fillId="0" borderId="1" xfId="1" applyFont="1" applyBorder="1"/>
    <xf numFmtId="9" fontId="0" fillId="0" borderId="19" xfId="1" applyFont="1" applyBorder="1"/>
    <xf numFmtId="0" fontId="0" fillId="0" borderId="21" xfId="0" applyBorder="1"/>
    <xf numFmtId="166" fontId="0" fillId="0" borderId="22" xfId="0" applyNumberFormat="1" applyBorder="1"/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2" borderId="24" xfId="0" applyFont="1" applyFill="1" applyBorder="1"/>
    <xf numFmtId="0" fontId="3" fillId="0" borderId="24" xfId="0" applyFont="1" applyFill="1" applyBorder="1"/>
    <xf numFmtId="0" fontId="2" fillId="0" borderId="24" xfId="0" applyFont="1" applyFill="1" applyBorder="1"/>
    <xf numFmtId="0" fontId="3" fillId="2" borderId="24" xfId="0" applyFont="1" applyFill="1" applyBorder="1"/>
    <xf numFmtId="0" fontId="3" fillId="0" borderId="24" xfId="0" applyFont="1" applyBorder="1"/>
    <xf numFmtId="0" fontId="4" fillId="2" borderId="24" xfId="0" applyFont="1" applyFill="1" applyBorder="1"/>
    <xf numFmtId="0" fontId="2" fillId="0" borderId="15" xfId="0" applyFont="1" applyFill="1" applyBorder="1"/>
    <xf numFmtId="0" fontId="0" fillId="0" borderId="32" xfId="0" applyBorder="1"/>
    <xf numFmtId="0" fontId="2" fillId="0" borderId="29" xfId="0" applyFont="1" applyFill="1" applyBorder="1"/>
    <xf numFmtId="0" fontId="2" fillId="0" borderId="30" xfId="0" applyFont="1" applyFill="1" applyBorder="1"/>
    <xf numFmtId="9" fontId="0" fillId="0" borderId="14" xfId="1" applyFont="1" applyBorder="1"/>
    <xf numFmtId="0" fontId="4" fillId="0" borderId="1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1" xfId="0" applyBorder="1"/>
    <xf numFmtId="0" fontId="0" fillId="0" borderId="12" xfId="0" applyFont="1" applyBorder="1"/>
    <xf numFmtId="0" fontId="1" fillId="0" borderId="29" xfId="0" applyFont="1" applyBorder="1" applyAlignment="1">
      <alignment wrapText="1"/>
    </xf>
    <xf numFmtId="2" fontId="0" fillId="0" borderId="29" xfId="0" applyNumberFormat="1" applyFont="1" applyBorder="1"/>
    <xf numFmtId="2" fontId="0" fillId="2" borderId="29" xfId="0" applyNumberFormat="1" applyFont="1" applyFill="1" applyBorder="1"/>
    <xf numFmtId="2" fontId="0" fillId="0" borderId="29" xfId="0" applyNumberFormat="1" applyFont="1" applyFill="1" applyBorder="1"/>
    <xf numFmtId="0" fontId="2" fillId="0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4" xfId="0" applyBorder="1"/>
    <xf numFmtId="0" fontId="0" fillId="0" borderId="25" xfId="0" applyBorder="1"/>
    <xf numFmtId="166" fontId="0" fillId="2" borderId="25" xfId="0" applyNumberFormat="1" applyFill="1" applyBorder="1"/>
    <xf numFmtId="166" fontId="0" fillId="0" borderId="25" xfId="0" applyNumberFormat="1" applyFill="1" applyBorder="1"/>
    <xf numFmtId="0" fontId="0" fillId="0" borderId="26" xfId="0" applyBorder="1"/>
    <xf numFmtId="0" fontId="4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0" fillId="0" borderId="11" xfId="0" applyBorder="1"/>
    <xf numFmtId="0" fontId="2" fillId="0" borderId="3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/>
    </xf>
    <xf numFmtId="0" fontId="0" fillId="0" borderId="24" xfId="0" applyBorder="1"/>
    <xf numFmtId="0" fontId="0" fillId="0" borderId="36" xfId="0" applyBorder="1"/>
    <xf numFmtId="0" fontId="2" fillId="0" borderId="37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0" fontId="2" fillId="0" borderId="0" xfId="0" applyFont="1" applyFill="1" applyBorder="1" applyAlignment="1">
      <alignment horizontal="center" vertical="center" wrapText="1"/>
    </xf>
    <xf numFmtId="166" fontId="0" fillId="2" borderId="0" xfId="0" applyNumberFormat="1" applyFill="1" applyBorder="1"/>
    <xf numFmtId="0" fontId="4" fillId="2" borderId="29" xfId="0" applyFont="1" applyFill="1" applyBorder="1"/>
    <xf numFmtId="0" fontId="2" fillId="2" borderId="29" xfId="0" applyFont="1" applyFill="1" applyBorder="1"/>
    <xf numFmtId="166" fontId="2" fillId="2" borderId="1" xfId="0" applyNumberFormat="1" applyFont="1" applyFill="1" applyBorder="1"/>
    <xf numFmtId="166" fontId="3" fillId="0" borderId="1" xfId="0" applyNumberFormat="1" applyFont="1" applyFill="1" applyBorder="1"/>
    <xf numFmtId="166" fontId="2" fillId="0" borderId="1" xfId="0" applyNumberFormat="1" applyFont="1" applyFill="1" applyBorder="1"/>
    <xf numFmtId="166" fontId="3" fillId="2" borderId="1" xfId="0" applyNumberFormat="1" applyFont="1" applyFill="1" applyBorder="1"/>
    <xf numFmtId="166" fontId="3" fillId="0" borderId="1" xfId="0" applyNumberFormat="1" applyFont="1" applyBorder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9" xfId="0" applyFont="1" applyBorder="1"/>
    <xf numFmtId="166" fontId="2" fillId="2" borderId="19" xfId="0" applyNumberFormat="1" applyFont="1" applyFill="1" applyBorder="1"/>
    <xf numFmtId="166" fontId="3" fillId="0" borderId="19" xfId="0" applyNumberFormat="1" applyFont="1" applyFill="1" applyBorder="1"/>
    <xf numFmtId="166" fontId="2" fillId="0" borderId="19" xfId="0" applyNumberFormat="1" applyFont="1" applyFill="1" applyBorder="1"/>
    <xf numFmtId="166" fontId="3" fillId="2" borderId="19" xfId="0" applyNumberFormat="1" applyFont="1" applyFill="1" applyBorder="1"/>
    <xf numFmtId="166" fontId="3" fillId="0" borderId="19" xfId="0" applyNumberFormat="1" applyFont="1" applyBorder="1"/>
    <xf numFmtId="166" fontId="0" fillId="0" borderId="19" xfId="0" applyNumberFormat="1" applyBorder="1"/>
    <xf numFmtId="166" fontId="0" fillId="0" borderId="21" xfId="0" applyNumberFormat="1" applyBorder="1"/>
    <xf numFmtId="0" fontId="2" fillId="0" borderId="0" xfId="0" applyFont="1" applyFill="1" applyBorder="1" applyAlignment="1">
      <alignment wrapText="1"/>
    </xf>
    <xf numFmtId="166" fontId="2" fillId="0" borderId="0" xfId="0" applyNumberFormat="1" applyFont="1" applyFill="1" applyBorder="1"/>
    <xf numFmtId="166" fontId="2" fillId="3" borderId="19" xfId="0" applyNumberFormat="1" applyFont="1" applyFill="1" applyBorder="1"/>
    <xf numFmtId="166" fontId="0" fillId="3" borderId="29" xfId="0" applyNumberFormat="1" applyFill="1" applyBorder="1"/>
    <xf numFmtId="9" fontId="0" fillId="2" borderId="25" xfId="1" applyFont="1" applyFill="1" applyBorder="1"/>
    <xf numFmtId="0" fontId="2" fillId="3" borderId="1" xfId="0" applyFont="1" applyFill="1" applyBorder="1"/>
    <xf numFmtId="0" fontId="0" fillId="3" borderId="0" xfId="0" applyFill="1"/>
    <xf numFmtId="0" fontId="4" fillId="8" borderId="1" xfId="0" applyFont="1" applyFill="1" applyBorder="1"/>
    <xf numFmtId="0" fontId="3" fillId="8" borderId="1" xfId="0" applyFont="1" applyFill="1" applyBorder="1"/>
    <xf numFmtId="0" fontId="0" fillId="8" borderId="0" xfId="0" applyFill="1"/>
    <xf numFmtId="166" fontId="0" fillId="6" borderId="0" xfId="0" applyNumberFormat="1" applyFill="1"/>
    <xf numFmtId="166" fontId="0" fillId="0" borderId="0" xfId="0" applyNumberFormat="1" applyFill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0000CC"/>
      <color rgb="FF000099"/>
      <color rgb="FF00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Säulenversuch N1_3: Summe PFAS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'N1'!$B$154:$G$154</c:f>
              <c:numCache>
                <c:formatCode>General</c:formatCode>
                <c:ptCount val="6"/>
                <c:pt idx="0" formatCode="0">
                  <c:v>85948.500000000015</c:v>
                </c:pt>
                <c:pt idx="1">
                  <c:v>65709</c:v>
                </c:pt>
                <c:pt idx="2">
                  <c:v>40402.5</c:v>
                </c:pt>
                <c:pt idx="3">
                  <c:v>21247.300000000003</c:v>
                </c:pt>
                <c:pt idx="4" formatCode="0">
                  <c:v>20164.8</c:v>
                </c:pt>
                <c:pt idx="5" formatCode="0">
                  <c:v>11773.7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33888"/>
        <c:axId val="831819328"/>
      </c:scatterChart>
      <c:scatterChart>
        <c:scatterStyle val="smoothMarker"/>
        <c:varyColors val="0"/>
        <c:ser>
          <c:idx val="1"/>
          <c:order val="1"/>
          <c:tx>
            <c:v>N1_3 cum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'N1'!$B$165:$F$165</c:f>
              <c:numCache>
                <c:formatCode>0.00</c:formatCode>
                <c:ptCount val="5"/>
                <c:pt idx="0">
                  <c:v>0.64547323500000009</c:v>
                </c:pt>
                <c:pt idx="1">
                  <c:v>0.9949136970000001</c:v>
                </c:pt>
                <c:pt idx="2">
                  <c:v>1.1829873345000002</c:v>
                </c:pt>
                <c:pt idx="3">
                  <c:v>1.2935582837000001</c:v>
                </c:pt>
                <c:pt idx="4">
                  <c:v>1.4498758133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93728"/>
        <c:axId val="1236392896"/>
      </c:scatterChart>
      <c:valAx>
        <c:axId val="83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WF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19328"/>
        <c:crosses val="autoZero"/>
        <c:crossBetween val="midCat"/>
      </c:valAx>
      <c:valAx>
        <c:axId val="8318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33888"/>
        <c:crosses val="autoZero"/>
        <c:crossBetween val="midCat"/>
      </c:valAx>
      <c:valAx>
        <c:axId val="1236392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393728"/>
        <c:crosses val="max"/>
        <c:crossBetween val="midCat"/>
      </c:valAx>
      <c:valAx>
        <c:axId val="1236393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Eluat'!$AS$126:$AS$134</c:f>
              <c:numCache>
                <c:formatCode>0.0</c:formatCode>
                <c:ptCount val="9"/>
                <c:pt idx="0">
                  <c:v>26.036544406591933</c:v>
                </c:pt>
                <c:pt idx="1">
                  <c:v>21.846706341526168</c:v>
                </c:pt>
                <c:pt idx="2">
                  <c:v>50.975257299134476</c:v>
                </c:pt>
                <c:pt idx="3">
                  <c:v>-2.8508754851813318</c:v>
                </c:pt>
                <c:pt idx="4">
                  <c:v>0.60526589560300792</c:v>
                </c:pt>
                <c:pt idx="5">
                  <c:v>-44.445782107842113</c:v>
                </c:pt>
                <c:pt idx="6">
                  <c:v>0.60608821449462624</c:v>
                </c:pt>
                <c:pt idx="7">
                  <c:v>24.428433770367398</c:v>
                </c:pt>
                <c:pt idx="8">
                  <c:v>-117.43614642340751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F80-88FC-25A7E7BF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D-4F80-88FC-25A7E7BF4B6E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'Differenz Feststoffanalys Eluat'!$AY$126:$AY$134</c:f>
                <c:numCache>
                  <c:formatCode>General</c:formatCode>
                  <c:ptCount val="9"/>
                  <c:pt idx="0">
                    <c:v>24.722931226703487</c:v>
                  </c:pt>
                  <c:pt idx="1">
                    <c:v>18.727611828981331</c:v>
                  </c:pt>
                  <c:pt idx="2">
                    <c:v>48.639896385133284</c:v>
                  </c:pt>
                  <c:pt idx="3">
                    <c:v>1.0820719764608948</c:v>
                  </c:pt>
                  <c:pt idx="4">
                    <c:v>4.420854365901369</c:v>
                  </c:pt>
                  <c:pt idx="5">
                    <c:v>5.0453816107453946</c:v>
                  </c:pt>
                  <c:pt idx="6">
                    <c:v>16.199986766487736</c:v>
                  </c:pt>
                  <c:pt idx="7">
                    <c:v>30.364992041968044</c:v>
                  </c:pt>
                  <c:pt idx="8">
                    <c:v>17.833478969837941</c:v>
                  </c:pt>
                </c:numCache>
              </c:numRef>
            </c:plus>
            <c:minus>
              <c:numRef>
                <c:f>'Differenz Feststoffanalys Eluat'!$AX$126:$AX$134</c:f>
                <c:numCache>
                  <c:formatCode>General</c:formatCode>
                  <c:ptCount val="9"/>
                  <c:pt idx="0">
                    <c:v>28.862571079668189</c:v>
                  </c:pt>
                  <c:pt idx="1">
                    <c:v>18.553422599745875</c:v>
                  </c:pt>
                  <c:pt idx="2">
                    <c:v>56.966404416725169</c:v>
                  </c:pt>
                  <c:pt idx="3">
                    <c:v>2.3966824460491036</c:v>
                  </c:pt>
                  <c:pt idx="4">
                    <c:v>1.7857606745741377</c:v>
                  </c:pt>
                  <c:pt idx="5">
                    <c:v>4.7157714275480416</c:v>
                  </c:pt>
                  <c:pt idx="6">
                    <c:v>10.190569492153315</c:v>
                  </c:pt>
                  <c:pt idx="7">
                    <c:v>30.773787472126418</c:v>
                  </c:pt>
                  <c:pt idx="8">
                    <c:v>11.429966631919001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Eluat'!$AT$126:$AT$134</c:f>
              <c:numCache>
                <c:formatCode>General</c:formatCode>
                <c:ptCount val="9"/>
                <c:pt idx="0">
                  <c:v>59.173964560436211</c:v>
                </c:pt>
                <c:pt idx="1">
                  <c:v>43.519335341685597</c:v>
                </c:pt>
                <c:pt idx="2">
                  <c:v>90.381661877898011</c:v>
                </c:pt>
                <c:pt idx="3">
                  <c:v>-4.4199619925291973</c:v>
                </c:pt>
                <c:pt idx="4">
                  <c:v>0.76615936152279485</c:v>
                </c:pt>
                <c:pt idx="5">
                  <c:v>-49.939081020047318</c:v>
                </c:pt>
                <c:pt idx="6">
                  <c:v>0.6122103176713396</c:v>
                </c:pt>
                <c:pt idx="7">
                  <c:v>20.528095605350757</c:v>
                </c:pt>
                <c:pt idx="8">
                  <c:v>-97.538327594192282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896-B23C-A6692224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ED-4896-B23C-A6692224C6C3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[nmol/kg]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'N1'!$C$46:$U$46</c:f>
              <c:numCache>
                <c:formatCode>General</c:formatCode>
                <c:ptCount val="19"/>
                <c:pt idx="0">
                  <c:v>5.7069444444423425</c:v>
                </c:pt>
                <c:pt idx="1">
                  <c:v>8.6999999999970896</c:v>
                </c:pt>
                <c:pt idx="2">
                  <c:v>12.729166666664241</c:v>
                </c:pt>
                <c:pt idx="3">
                  <c:v>15.897916666668607</c:v>
                </c:pt>
                <c:pt idx="4">
                  <c:v>19.711805555554747</c:v>
                </c:pt>
                <c:pt idx="5">
                  <c:v>22.738888888889051</c:v>
                </c:pt>
                <c:pt idx="6">
                  <c:v>26.697916666664241</c:v>
                </c:pt>
                <c:pt idx="7">
                  <c:v>29.713888888887595</c:v>
                </c:pt>
                <c:pt idx="8">
                  <c:v>33.698611111110949</c:v>
                </c:pt>
                <c:pt idx="9">
                  <c:v>36.723611111112405</c:v>
                </c:pt>
                <c:pt idx="10">
                  <c:v>40.747222222220444</c:v>
                </c:pt>
                <c:pt idx="11">
                  <c:v>44.720833333332848</c:v>
                </c:pt>
                <c:pt idx="12">
                  <c:v>47.719444444446708</c:v>
                </c:pt>
                <c:pt idx="13">
                  <c:v>51.640972222223354</c:v>
                </c:pt>
                <c:pt idx="14">
                  <c:v>54.714583333334303</c:v>
                </c:pt>
                <c:pt idx="15">
                  <c:v>68.680555555554747</c:v>
                </c:pt>
                <c:pt idx="16">
                  <c:v>82.711805555554747</c:v>
                </c:pt>
                <c:pt idx="17">
                  <c:v>96.970833333332848</c:v>
                </c:pt>
                <c:pt idx="18">
                  <c:v>141.76249999999709</c:v>
                </c:pt>
              </c:numCache>
            </c:numRef>
          </c:xVal>
          <c:yVal>
            <c:numRef>
              <c:f>'N1'!$C$16:$U$16</c:f>
              <c:numCache>
                <c:formatCode>General</c:formatCode>
                <c:ptCount val="19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4.9000000000000004</c:v>
                </c:pt>
                <c:pt idx="6">
                  <c:v>9.6</c:v>
                </c:pt>
                <c:pt idx="7">
                  <c:v>3.8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52</c:v>
                </c:pt>
                <c:pt idx="12">
                  <c:v>36</c:v>
                </c:pt>
                <c:pt idx="13">
                  <c:v>18</c:v>
                </c:pt>
                <c:pt idx="14">
                  <c:v>18</c:v>
                </c:pt>
                <c:pt idx="15">
                  <c:v>30</c:v>
                </c:pt>
                <c:pt idx="16">
                  <c:v>40</c:v>
                </c:pt>
                <c:pt idx="17">
                  <c:v>13</c:v>
                </c:pt>
                <c:pt idx="18" formatCode="0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4-4946-872B-672041BC8E04}"/>
            </c:ext>
          </c:extLst>
        </c:ser>
        <c:ser>
          <c:idx val="1"/>
          <c:order val="1"/>
          <c:tx>
            <c:v>N1_2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'N1'!$B$103:$J$103</c:f>
              <c:numCache>
                <c:formatCode>General</c:formatCode>
                <c:ptCount val="9"/>
                <c:pt idx="0">
                  <c:v>1.9666666666671517</c:v>
                </c:pt>
                <c:pt idx="1">
                  <c:v>8.7131944444408873</c:v>
                </c:pt>
                <c:pt idx="2">
                  <c:v>21.768749999995634</c:v>
                </c:pt>
                <c:pt idx="3">
                  <c:v>28.786805555551837</c:v>
                </c:pt>
                <c:pt idx="4">
                  <c:v>35.797222222223354</c:v>
                </c:pt>
                <c:pt idx="5">
                  <c:v>43.794444444443798</c:v>
                </c:pt>
                <c:pt idx="6">
                  <c:v>63.772222222221899</c:v>
                </c:pt>
                <c:pt idx="7">
                  <c:v>89.685416666667152</c:v>
                </c:pt>
                <c:pt idx="8">
                  <c:v>116.68541666666715</c:v>
                </c:pt>
              </c:numCache>
            </c:numRef>
          </c:xVal>
          <c:yVal>
            <c:numRef>
              <c:f>'N1'!$B$73:$J$73</c:f>
              <c:numCache>
                <c:formatCode>General</c:formatCode>
                <c:ptCount val="9"/>
                <c:pt idx="0">
                  <c:v>340</c:v>
                </c:pt>
                <c:pt idx="1">
                  <c:v>820</c:v>
                </c:pt>
                <c:pt idx="2">
                  <c:v>30</c:v>
                </c:pt>
                <c:pt idx="3">
                  <c:v>11</c:v>
                </c:pt>
                <c:pt idx="4">
                  <c:v>4.2</c:v>
                </c:pt>
                <c:pt idx="5">
                  <c:v>13</c:v>
                </c:pt>
                <c:pt idx="6">
                  <c:v>29</c:v>
                </c:pt>
                <c:pt idx="7">
                  <c:v>41</c:v>
                </c:pt>
                <c:pt idx="8" formatCode="0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4-4946-872B-672041BC8E04}"/>
            </c:ext>
          </c:extLst>
        </c:ser>
        <c:ser>
          <c:idx val="2"/>
          <c:order val="2"/>
          <c:tx>
            <c:v>N1_3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'N1'!$B$157:$I$157</c:f>
              <c:numCache>
                <c:formatCode>General</c:formatCode>
                <c:ptCount val="8"/>
                <c:pt idx="0">
                  <c:v>4.9333333333343035</c:v>
                </c:pt>
                <c:pt idx="1">
                  <c:v>13.129861111112405</c:v>
                </c:pt>
                <c:pt idx="2">
                  <c:v>19.931944444440887</c:v>
                </c:pt>
                <c:pt idx="3">
                  <c:v>33.957638888889051</c:v>
                </c:pt>
                <c:pt idx="4">
                  <c:v>48.878472222218988</c:v>
                </c:pt>
                <c:pt idx="5">
                  <c:v>61.949305555557657</c:v>
                </c:pt>
                <c:pt idx="6">
                  <c:v>107.90833333333285</c:v>
                </c:pt>
                <c:pt idx="7">
                  <c:v>146.9194444444438</c:v>
                </c:pt>
              </c:numCache>
            </c:numRef>
          </c:xVal>
          <c:yVal>
            <c:numRef>
              <c:f>'N1'!$B$127:$I$127</c:f>
              <c:numCache>
                <c:formatCode>General</c:formatCode>
                <c:ptCount val="8"/>
                <c:pt idx="0">
                  <c:v>620</c:v>
                </c:pt>
                <c:pt idx="1">
                  <c:v>75</c:v>
                </c:pt>
                <c:pt idx="2">
                  <c:v>32</c:v>
                </c:pt>
                <c:pt idx="3">
                  <c:v>18</c:v>
                </c:pt>
                <c:pt idx="4">
                  <c:v>31</c:v>
                </c:pt>
                <c:pt idx="5">
                  <c:v>32</c:v>
                </c:pt>
                <c:pt idx="6" formatCode="0">
                  <c:v>25</c:v>
                </c:pt>
                <c:pt idx="7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4-4946-872B-672041BC8E04}"/>
            </c:ext>
          </c:extLst>
        </c:ser>
        <c:ser>
          <c:idx val="3"/>
          <c:order val="3"/>
          <c:tx>
            <c:v>N1_4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'N1'!$C$213:$J$213</c:f>
              <c:numCache>
                <c:formatCode>General</c:formatCode>
                <c:ptCount val="8"/>
                <c:pt idx="0">
                  <c:v>0.85763888889050577</c:v>
                </c:pt>
                <c:pt idx="1">
                  <c:v>1.0694444444452529</c:v>
                </c:pt>
                <c:pt idx="2">
                  <c:v>1.8576388888905058</c:v>
                </c:pt>
                <c:pt idx="3">
                  <c:v>3.0972222222262644</c:v>
                </c:pt>
                <c:pt idx="4">
                  <c:v>5.9166666666715173</c:v>
                </c:pt>
                <c:pt idx="5">
                  <c:v>7.8958333333357587</c:v>
                </c:pt>
                <c:pt idx="6">
                  <c:v>9.9319444444481633</c:v>
                </c:pt>
                <c:pt idx="7">
                  <c:v>12.934722222220444</c:v>
                </c:pt>
              </c:numCache>
            </c:numRef>
          </c:xVal>
          <c:yVal>
            <c:numRef>
              <c:f>'N1'!$C$183:$J$183</c:f>
              <c:numCache>
                <c:formatCode>0</c:formatCode>
                <c:ptCount val="8"/>
                <c:pt idx="0">
                  <c:v>1200</c:v>
                </c:pt>
                <c:pt idx="1">
                  <c:v>51</c:v>
                </c:pt>
                <c:pt idx="2">
                  <c:v>19</c:v>
                </c:pt>
                <c:pt idx="3" formatCode="General">
                  <c:v>20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8.1999999999999993</c:v>
                </c:pt>
                <c:pt idx="7" formatCode="General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4-4946-872B-672041BC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73055"/>
        <c:axId val="1115375551"/>
      </c:scatterChart>
      <c:valAx>
        <c:axId val="11153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5551"/>
        <c:crosses val="autoZero"/>
        <c:crossBetween val="midCat"/>
      </c:valAx>
      <c:valAx>
        <c:axId val="11153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N1_1: sumPFAS (concentration) and cum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sumPFAS conc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'N1'!$B$50:$U$50</c:f>
              <c:numCache>
                <c:formatCode>0.00</c:formatCode>
                <c:ptCount val="20"/>
                <c:pt idx="0">
                  <c:v>1.134925347114214</c:v>
                </c:pt>
                <c:pt idx="1">
                  <c:v>3.3234701834159583</c:v>
                </c:pt>
                <c:pt idx="2">
                  <c:v>5.3440575058660968</c:v>
                </c:pt>
                <c:pt idx="3">
                  <c:v>7.3099436394970603</c:v>
                </c:pt>
                <c:pt idx="4">
                  <c:v>9.0387498479503705</c:v>
                </c:pt>
                <c:pt idx="5">
                  <c:v>10.680780079595079</c:v>
                </c:pt>
                <c:pt idx="6">
                  <c:v>12.259406660563016</c:v>
                </c:pt>
                <c:pt idx="7">
                  <c:v>13.903923309881323</c:v>
                </c:pt>
                <c:pt idx="8">
                  <c:v>15.573677098586659</c:v>
                </c:pt>
                <c:pt idx="9">
                  <c:v>17.229009664785121</c:v>
                </c:pt>
                <c:pt idx="10">
                  <c:v>18.91778454869349</c:v>
                </c:pt>
                <c:pt idx="11">
                  <c:v>20.61737534948201</c:v>
                </c:pt>
                <c:pt idx="12">
                  <c:v>22.730581730273705</c:v>
                </c:pt>
                <c:pt idx="13">
                  <c:v>24.599870537285355</c:v>
                </c:pt>
                <c:pt idx="14">
                  <c:v>26.291504801518357</c:v>
                </c:pt>
                <c:pt idx="15">
                  <c:v>28.015586816391831</c:v>
                </c:pt>
                <c:pt idx="16">
                  <c:v>32.280787693683365</c:v>
                </c:pt>
                <c:pt idx="17">
                  <c:v>39.252702850454654</c:v>
                </c:pt>
                <c:pt idx="18">
                  <c:v>46.190554085097645</c:v>
                </c:pt>
                <c:pt idx="19">
                  <c:v>60.343119162338851</c:v>
                </c:pt>
              </c:numCache>
            </c:numRef>
          </c:xVal>
          <c:yVal>
            <c:numRef>
              <c:f>'N1'!$B$43:$U$43</c:f>
              <c:numCache>
                <c:formatCode>General</c:formatCode>
                <c:ptCount val="20"/>
                <c:pt idx="0">
                  <c:v>86667</c:v>
                </c:pt>
                <c:pt idx="1">
                  <c:v>56883</c:v>
                </c:pt>
                <c:pt idx="2">
                  <c:v>31260</c:v>
                </c:pt>
                <c:pt idx="3">
                  <c:v>21185</c:v>
                </c:pt>
                <c:pt idx="4">
                  <c:v>9731</c:v>
                </c:pt>
                <c:pt idx="5">
                  <c:v>6677</c:v>
                </c:pt>
                <c:pt idx="6">
                  <c:v>6770.8000000000011</c:v>
                </c:pt>
                <c:pt idx="7">
                  <c:v>5891.5999999999995</c:v>
                </c:pt>
                <c:pt idx="8">
                  <c:v>4832.7</c:v>
                </c:pt>
                <c:pt idx="9">
                  <c:v>4250.1000000000004</c:v>
                </c:pt>
                <c:pt idx="10">
                  <c:v>4006</c:v>
                </c:pt>
                <c:pt idx="11">
                  <c:v>3307.9</c:v>
                </c:pt>
                <c:pt idx="12">
                  <c:v>2991.7</c:v>
                </c:pt>
                <c:pt idx="13">
                  <c:v>2563.5</c:v>
                </c:pt>
                <c:pt idx="14" formatCode="0">
                  <c:v>1578</c:v>
                </c:pt>
                <c:pt idx="15" formatCode="0">
                  <c:v>1689.2</c:v>
                </c:pt>
                <c:pt idx="16" formatCode="0">
                  <c:v>1397</c:v>
                </c:pt>
                <c:pt idx="17" formatCode="0">
                  <c:v>996</c:v>
                </c:pt>
                <c:pt idx="18" formatCode="0">
                  <c:v>796.80000000000007</c:v>
                </c:pt>
                <c:pt idx="19" formatCode="0">
                  <c:v>1144.2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57919"/>
        <c:axId val="370265823"/>
      </c:scatterChart>
      <c:scatterChart>
        <c:scatterStyle val="smoothMarker"/>
        <c:varyColors val="0"/>
        <c:ser>
          <c:idx val="1"/>
          <c:order val="1"/>
          <c:tx>
            <c:v>cum m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'N1'!$B$49:$U$49</c:f>
              <c:numCache>
                <c:formatCode>0.00</c:formatCode>
                <c:ptCount val="20"/>
                <c:pt idx="0">
                  <c:v>2.269850694228428</c:v>
                </c:pt>
                <c:pt idx="1">
                  <c:v>4.3770896726034882</c:v>
                </c:pt>
                <c:pt idx="2">
                  <c:v>6.3110253391287054</c:v>
                </c:pt>
                <c:pt idx="3">
                  <c:v>8.308861939865416</c:v>
                </c:pt>
                <c:pt idx="4">
                  <c:v>9.768637756035325</c:v>
                </c:pt>
                <c:pt idx="5">
                  <c:v>11.592922403154834</c:v>
                </c:pt>
                <c:pt idx="6">
                  <c:v>12.925890917971198</c:v>
                </c:pt>
                <c:pt idx="7">
                  <c:v>14.881955701791448</c:v>
                </c:pt>
                <c:pt idx="8">
                  <c:v>16.26539849538187</c:v>
                </c:pt>
                <c:pt idx="9">
                  <c:v>18.192620834188372</c:v>
                </c:pt>
                <c:pt idx="10">
                  <c:v>19.642948263198605</c:v>
                </c:pt>
                <c:pt idx="11">
                  <c:v>21.591802435765413</c:v>
                </c:pt>
                <c:pt idx="12">
                  <c:v>23.869361024781998</c:v>
                </c:pt>
                <c:pt idx="13">
                  <c:v>25.330380049788708</c:v>
                </c:pt>
                <c:pt idx="14">
                  <c:v>27.25262955324801</c:v>
                </c:pt>
                <c:pt idx="15">
                  <c:v>28.778544079535649</c:v>
                </c:pt>
                <c:pt idx="16">
                  <c:v>35.783031307831081</c:v>
                </c:pt>
                <c:pt idx="17">
                  <c:v>42.722374393078226</c:v>
                </c:pt>
                <c:pt idx="18">
                  <c:v>49.658733777117057</c:v>
                </c:pt>
                <c:pt idx="19">
                  <c:v>71.027504547560653</c:v>
                </c:pt>
              </c:numCache>
            </c:numRef>
          </c:xVal>
          <c:yVal>
            <c:numRef>
              <c:f>'N1'!$B$54:$U$54</c:f>
              <c:numCache>
                <c:formatCode>0.00</c:formatCode>
                <c:ptCount val="20"/>
                <c:pt idx="0">
                  <c:v>0.79118304300000009</c:v>
                </c:pt>
                <c:pt idx="1">
                  <c:v>1.2732664680000001</c:v>
                </c:pt>
                <c:pt idx="2">
                  <c:v>1.5164067480000001</c:v>
                </c:pt>
                <c:pt idx="3">
                  <c:v>1.686628223</c:v>
                </c:pt>
                <c:pt idx="4">
                  <c:v>1.743758924</c:v>
                </c:pt>
                <c:pt idx="5">
                  <c:v>1.7927480730000001</c:v>
                </c:pt>
                <c:pt idx="6">
                  <c:v>1.8290463318000001</c:v>
                </c:pt>
                <c:pt idx="7">
                  <c:v>1.8753955490000001</c:v>
                </c:pt>
                <c:pt idx="8">
                  <c:v>1.9022846918</c:v>
                </c:pt>
                <c:pt idx="9">
                  <c:v>1.9352272169</c:v>
                </c:pt>
                <c:pt idx="10">
                  <c:v>1.9585942149</c:v>
                </c:pt>
                <c:pt idx="11">
                  <c:v>1.9845215351000001</c:v>
                </c:pt>
                <c:pt idx="12">
                  <c:v>2.0119255071</c:v>
                </c:pt>
                <c:pt idx="13">
                  <c:v>2.0269886330999998</c:v>
                </c:pt>
                <c:pt idx="14">
                  <c:v>2.0391881510999998</c:v>
                </c:pt>
                <c:pt idx="15">
                  <c:v>2.0495547715</c:v>
                </c:pt>
                <c:pt idx="16">
                  <c:v>2.0889096585</c:v>
                </c:pt>
                <c:pt idx="17">
                  <c:v>2.1167070225</c:v>
                </c:pt>
                <c:pt idx="18">
                  <c:v>2.1389353520999999</c:v>
                </c:pt>
                <c:pt idx="19">
                  <c:v>2.2372701884999997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03839"/>
        <c:axId val="498203007"/>
      </c:scatterChart>
      <c:valAx>
        <c:axId val="3702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WS</a:t>
                </a:r>
                <a:r>
                  <a:rPr lang="de-DE" baseline="0"/>
                  <a:t>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5823"/>
        <c:crosses val="autoZero"/>
        <c:crossBetween val="midCat"/>
      </c:valAx>
      <c:valAx>
        <c:axId val="3702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57919"/>
        <c:crosses val="autoZero"/>
        <c:crossBetween val="midCat"/>
      </c:valAx>
      <c:valAx>
        <c:axId val="49820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 [mg]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203839"/>
        <c:crosses val="max"/>
        <c:crossBetween val="midCat"/>
      </c:valAx>
      <c:valAx>
        <c:axId val="49820383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82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Masse</a:t>
            </a:r>
            <a:r>
              <a:rPr lang="de-DE" baseline="0"/>
              <a:t> in Eluat bei WF = 2 L/kg</a:t>
            </a:r>
            <a:endParaRPr lang="de-DE"/>
          </a:p>
        </c:rich>
      </c:tx>
      <c:layout>
        <c:manualLayout>
          <c:xMode val="edge"/>
          <c:yMode val="edge"/>
          <c:x val="0.22948061663726943"/>
          <c:y val="2.0885169391879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547711775479793"/>
          <c:y val="0.17283713126447847"/>
          <c:w val="0.80834328102778263"/>
          <c:h val="0.58316390461544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('N1'!$A$16:$A$22,'N1'!$A$31)</c:f>
              <c:strCache>
                <c:ptCount val="8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PFOS</c:v>
                </c:pt>
              </c:strCache>
            </c:strRef>
          </c:cat>
          <c:val>
            <c:numRef>
              <c:f>('N1'!$Y$16:$Y$22,'N1'!$Y$31)</c:f>
              <c:numCache>
                <c:formatCode>0.0</c:formatCode>
                <c:ptCount val="8"/>
                <c:pt idx="0">
                  <c:v>1.6796895137290369</c:v>
                </c:pt>
                <c:pt idx="1">
                  <c:v>4.539701388456856</c:v>
                </c:pt>
                <c:pt idx="2">
                  <c:v>7.9444774297994982</c:v>
                </c:pt>
                <c:pt idx="3">
                  <c:v>4.993671527302542</c:v>
                </c:pt>
                <c:pt idx="4">
                  <c:v>29.508059024969565</c:v>
                </c:pt>
                <c:pt idx="5">
                  <c:v>21.10961145632438</c:v>
                </c:pt>
                <c:pt idx="6">
                  <c:v>47.666864578796989</c:v>
                </c:pt>
                <c:pt idx="7">
                  <c:v>68.095520826852848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BCF-98A6-73EB5565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01608"/>
        <c:axId val="675901936"/>
      </c:barChart>
      <c:catAx>
        <c:axId val="6759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936"/>
        <c:crosses val="autoZero"/>
        <c:auto val="1"/>
        <c:lblAlgn val="ctr"/>
        <c:lblOffset val="100"/>
        <c:noMultiLvlLbl val="0"/>
      </c:catAx>
      <c:valAx>
        <c:axId val="6759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6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/>
              <a:t>Breakthrough curve of PFOS</a:t>
            </a:r>
          </a:p>
        </c:rich>
      </c:tx>
      <c:layout>
        <c:manualLayout>
          <c:xMode val="edge"/>
          <c:yMode val="edge"/>
          <c:x val="0.35921598907908753"/>
          <c:y val="5.97960471836328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341535498023379"/>
          <c:y val="9.0653940984649642E-2"/>
          <c:w val="0.84008139143369254"/>
          <c:h val="0.69801097590073968"/>
        </c:manualLayout>
      </c:layout>
      <c:scatterChart>
        <c:scatterStyle val="lineMarker"/>
        <c:varyColors val="0"/>
        <c:ser>
          <c:idx val="0"/>
          <c:order val="0"/>
          <c:tx>
            <c:v>N1_1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88900">
                <a:solidFill>
                  <a:srgbClr val="0000CC"/>
                </a:solidFill>
              </a:ln>
              <a:effectLst/>
            </c:spPr>
          </c:marker>
          <c:xVal>
            <c:numRef>
              <c:f>'N1'!$B$46:$U$46</c:f>
              <c:numCache>
                <c:formatCode>General</c:formatCode>
                <c:ptCount val="20"/>
                <c:pt idx="0">
                  <c:v>2.8993055555547471</c:v>
                </c:pt>
                <c:pt idx="1">
                  <c:v>5.7069444444423425</c:v>
                </c:pt>
                <c:pt idx="2">
                  <c:v>8.6999999999970896</c:v>
                </c:pt>
                <c:pt idx="3">
                  <c:v>12.729166666664241</c:v>
                </c:pt>
                <c:pt idx="4">
                  <c:v>15.897916666668607</c:v>
                </c:pt>
                <c:pt idx="5">
                  <c:v>19.711805555554747</c:v>
                </c:pt>
                <c:pt idx="6">
                  <c:v>22.738888888889051</c:v>
                </c:pt>
                <c:pt idx="7">
                  <c:v>26.697916666664241</c:v>
                </c:pt>
                <c:pt idx="8">
                  <c:v>29.713888888887595</c:v>
                </c:pt>
                <c:pt idx="9">
                  <c:v>33.698611111110949</c:v>
                </c:pt>
                <c:pt idx="10">
                  <c:v>36.723611111112405</c:v>
                </c:pt>
                <c:pt idx="11">
                  <c:v>40.747222222220444</c:v>
                </c:pt>
                <c:pt idx="12">
                  <c:v>44.720833333332848</c:v>
                </c:pt>
                <c:pt idx="13">
                  <c:v>47.719444444446708</c:v>
                </c:pt>
                <c:pt idx="14">
                  <c:v>51.640972222223354</c:v>
                </c:pt>
                <c:pt idx="15">
                  <c:v>54.714583333334303</c:v>
                </c:pt>
                <c:pt idx="16">
                  <c:v>68.680555555554747</c:v>
                </c:pt>
                <c:pt idx="17">
                  <c:v>82.711805555554747</c:v>
                </c:pt>
                <c:pt idx="18">
                  <c:v>96.970833333332848</c:v>
                </c:pt>
                <c:pt idx="19">
                  <c:v>141.76249999999709</c:v>
                </c:pt>
              </c:numCache>
            </c:numRef>
          </c:xVal>
          <c:yVal>
            <c:numRef>
              <c:f>'N1'!$B$31:$V$31</c:f>
              <c:numCache>
                <c:formatCode>General</c:formatCode>
                <c:ptCount val="21"/>
                <c:pt idx="0">
                  <c:v>30000</c:v>
                </c:pt>
                <c:pt idx="1">
                  <c:v>23000</c:v>
                </c:pt>
                <c:pt idx="2">
                  <c:v>9900</c:v>
                </c:pt>
                <c:pt idx="3">
                  <c:v>5100</c:v>
                </c:pt>
                <c:pt idx="4">
                  <c:v>1700</c:v>
                </c:pt>
                <c:pt idx="5">
                  <c:v>540</c:v>
                </c:pt>
                <c:pt idx="6">
                  <c:v>730</c:v>
                </c:pt>
                <c:pt idx="7">
                  <c:v>510</c:v>
                </c:pt>
                <c:pt idx="8">
                  <c:v>350</c:v>
                </c:pt>
                <c:pt idx="9">
                  <c:v>250</c:v>
                </c:pt>
                <c:pt idx="10">
                  <c:v>190</c:v>
                </c:pt>
                <c:pt idx="11">
                  <c:v>150</c:v>
                </c:pt>
                <c:pt idx="12">
                  <c:v>110</c:v>
                </c:pt>
                <c:pt idx="13">
                  <c:v>93</c:v>
                </c:pt>
                <c:pt idx="14">
                  <c:v>61</c:v>
                </c:pt>
                <c:pt idx="15">
                  <c:v>68</c:v>
                </c:pt>
                <c:pt idx="16">
                  <c:v>52</c:v>
                </c:pt>
                <c:pt idx="17">
                  <c:v>40</c:v>
                </c:pt>
                <c:pt idx="18">
                  <c:v>29</c:v>
                </c:pt>
                <c:pt idx="19" formatCode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7D2-4BF1-8F81-0CDD0CDD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0735"/>
        <c:axId val="943994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N1_3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889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'N1'!$B$157:$J$157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4.9333333333343035</c:v>
                      </c:pt>
                      <c:pt idx="1">
                        <c:v>13.129861111112405</c:v>
                      </c:pt>
                      <c:pt idx="2">
                        <c:v>19.931944444440887</c:v>
                      </c:pt>
                      <c:pt idx="3">
                        <c:v>33.957638888889051</c:v>
                      </c:pt>
                      <c:pt idx="4">
                        <c:v>48.878472222218988</c:v>
                      </c:pt>
                      <c:pt idx="5">
                        <c:v>61.949305555557657</c:v>
                      </c:pt>
                      <c:pt idx="6">
                        <c:v>107.90833333333285</c:v>
                      </c:pt>
                      <c:pt idx="7">
                        <c:v>146.9194444444438</c:v>
                      </c:pt>
                      <c:pt idx="8">
                        <c:v>159.17291666666279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'N1'!$B$142:$J$142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26000</c:v>
                      </c:pt>
                      <c:pt idx="1">
                        <c:v>29000</c:v>
                      </c:pt>
                      <c:pt idx="2">
                        <c:v>16000</c:v>
                      </c:pt>
                      <c:pt idx="3">
                        <c:v>7300</c:v>
                      </c:pt>
                      <c:pt idx="4">
                        <c:v>6100</c:v>
                      </c:pt>
                      <c:pt idx="5">
                        <c:v>3000</c:v>
                      </c:pt>
                      <c:pt idx="6" formatCode="0">
                        <c:v>650</c:v>
                      </c:pt>
                      <c:pt idx="7">
                        <c:v>280</c:v>
                      </c:pt>
                      <c:pt idx="8">
                        <c:v>110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27D2-4BF1-8F81-0CDD0CDD57B9}"/>
                  </c:ext>
                </c:extLst>
              </c15:ser>
            </c15:filteredScatterSeries>
          </c:ext>
        </c:extLst>
      </c:scatterChart>
      <c:valAx>
        <c:axId val="944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600"/>
                  <a:t>t [d]</a:t>
                </a:r>
              </a:p>
            </c:rich>
          </c:tx>
          <c:layout>
            <c:manualLayout>
              <c:xMode val="edge"/>
              <c:yMode val="edge"/>
              <c:x val="0.48210929006695258"/>
              <c:y val="0.88416433454751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99487"/>
        <c:crosses val="autoZero"/>
        <c:crossBetween val="midCat"/>
      </c:valAx>
      <c:valAx>
        <c:axId val="9439948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600"/>
                  <a:t>c 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40073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741801488138103"/>
          <c:y val="0.10152207668870765"/>
          <c:w val="9.4217316139511384E-2"/>
          <c:h val="0.10402305078800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Eluat'!$AS$87:$AS$95</c:f>
              <c:numCache>
                <c:formatCode>0.0</c:formatCode>
                <c:ptCount val="9"/>
                <c:pt idx="0">
                  <c:v>-0.69299612843523339</c:v>
                </c:pt>
                <c:pt idx="1">
                  <c:v>-1.9495221106045424</c:v>
                </c:pt>
                <c:pt idx="2">
                  <c:v>-2.8778191586797202</c:v>
                </c:pt>
                <c:pt idx="3">
                  <c:v>-2.4968164719321213</c:v>
                </c:pt>
                <c:pt idx="4">
                  <c:v>-5.6319342055388306</c:v>
                </c:pt>
                <c:pt idx="5">
                  <c:v>-9.1130880365165616</c:v>
                </c:pt>
                <c:pt idx="6">
                  <c:v>-34.797131564548337</c:v>
                </c:pt>
                <c:pt idx="7">
                  <c:v>-19.106429053444831</c:v>
                </c:pt>
                <c:pt idx="8">
                  <c:v>-33.008296129305577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A-4433-BA6D-51262A1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20143"/>
        <c:axId val="571700175"/>
      </c:barChart>
      <c:catAx>
        <c:axId val="5717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00175"/>
        <c:crosses val="autoZero"/>
        <c:auto val="1"/>
        <c:lblAlgn val="ctr"/>
        <c:lblOffset val="100"/>
        <c:noMultiLvlLbl val="0"/>
      </c:catAx>
      <c:valAx>
        <c:axId val="571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Eluat'!$AT$87:$AT$95</c:f>
              <c:numCache>
                <c:formatCode>0%</c:formatCode>
                <c:ptCount val="9"/>
                <c:pt idx="0">
                  <c:v>-0.24749861729829761</c:v>
                </c:pt>
                <c:pt idx="1">
                  <c:v>-0.25085762452631977</c:v>
                </c:pt>
                <c:pt idx="2">
                  <c:v>-0.22508082805316246</c:v>
                </c:pt>
                <c:pt idx="3">
                  <c:v>-0.28984602493407707</c:v>
                </c:pt>
                <c:pt idx="4">
                  <c:v>-0.12436447772483222</c:v>
                </c:pt>
                <c:pt idx="5">
                  <c:v>-0.26037394390047319</c:v>
                </c:pt>
                <c:pt idx="6">
                  <c:v>-0.16024994799463049</c:v>
                </c:pt>
                <c:pt idx="7">
                  <c:v>-0.44140265139971557</c:v>
                </c:pt>
                <c:pt idx="8">
                  <c:v>-0.49266113625829222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BCA-921A-0C50279A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69231"/>
        <c:axId val="744370063"/>
      </c:barChart>
      <c:catAx>
        <c:axId val="744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70063"/>
        <c:crosses val="autoZero"/>
        <c:auto val="1"/>
        <c:lblAlgn val="ctr"/>
        <c:lblOffset val="100"/>
        <c:noMultiLvlLbl val="0"/>
      </c:catAx>
      <c:valAx>
        <c:axId val="7443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Eluat'!$AS$114:$AS$122</c:f>
              <c:numCache>
                <c:formatCode>0.0</c:formatCode>
                <c:ptCount val="9"/>
                <c:pt idx="0">
                  <c:v>-26.036544406591933</c:v>
                </c:pt>
                <c:pt idx="1">
                  <c:v>-21.846706341526168</c:v>
                </c:pt>
                <c:pt idx="2">
                  <c:v>-50.975257299134476</c:v>
                </c:pt>
                <c:pt idx="3">
                  <c:v>2.8508754851813318</c:v>
                </c:pt>
                <c:pt idx="4">
                  <c:v>-0.60526589560300792</c:v>
                </c:pt>
                <c:pt idx="5">
                  <c:v>44.445782107842113</c:v>
                </c:pt>
                <c:pt idx="6">
                  <c:v>-0.60608821449462624</c:v>
                </c:pt>
                <c:pt idx="7">
                  <c:v>-24.428433770367398</c:v>
                </c:pt>
                <c:pt idx="8">
                  <c:v>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6-4A7C-90B5-214D9D65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55087"/>
        <c:axId val="744354255"/>
      </c:barChart>
      <c:catAx>
        <c:axId val="7443550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4255"/>
        <c:crosses val="autoZero"/>
        <c:auto val="1"/>
        <c:lblAlgn val="ctr"/>
        <c:lblOffset val="100"/>
        <c:noMultiLvlLbl val="0"/>
      </c:catAx>
      <c:valAx>
        <c:axId val="744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Eluat'!$AT$114:$AT$122</c:f>
              <c:numCache>
                <c:formatCode>0%</c:formatCode>
                <c:ptCount val="9"/>
                <c:pt idx="0">
                  <c:v>-0.3403469857070841</c:v>
                </c:pt>
                <c:pt idx="1">
                  <c:v>-0.26588283579950711</c:v>
                </c:pt>
                <c:pt idx="2">
                  <c:v>-0.44326310694899546</c:v>
                </c:pt>
                <c:pt idx="3">
                  <c:v>0.37185332415408673</c:v>
                </c:pt>
                <c:pt idx="4">
                  <c:v>-1.8816556339989885E-2</c:v>
                </c:pt>
                <c:pt idx="5">
                  <c:v>0.37879927932819984</c:v>
                </c:pt>
                <c:pt idx="6">
                  <c:v>-3.8851808621450401E-3</c:v>
                </c:pt>
                <c:pt idx="7">
                  <c:v>-0.11171539834009482</c:v>
                </c:pt>
                <c:pt idx="8">
                  <c:v>0.322479120613476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898-9720-B8CF8527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100852</xdr:colOff>
      <xdr:row>120</xdr:row>
      <xdr:rowOff>11206</xdr:rowOff>
    </xdr:from>
    <xdr:to>
      <xdr:col>20</xdr:col>
      <xdr:colOff>36980</xdr:colOff>
      <xdr:row>136</xdr:row>
      <xdr:rowOff>114861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525036</xdr:colOff>
      <xdr:row>3</xdr:row>
      <xdr:rowOff>54429</xdr:rowOff>
    </xdr:from>
    <xdr:to>
      <xdr:col>29</xdr:col>
      <xdr:colOff>178452</xdr:colOff>
      <xdr:row>17</xdr:row>
      <xdr:rowOff>114943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290551</xdr:colOff>
      <xdr:row>21</xdr:row>
      <xdr:rowOff>184094</xdr:rowOff>
    </xdr:from>
    <xdr:to>
      <xdr:col>28</xdr:col>
      <xdr:colOff>482613</xdr:colOff>
      <xdr:row>41</xdr:row>
      <xdr:rowOff>4800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637932</xdr:colOff>
      <xdr:row>44</xdr:row>
      <xdr:rowOff>16325</xdr:rowOff>
    </xdr:from>
    <xdr:to>
      <xdr:col>29</xdr:col>
      <xdr:colOff>326531</xdr:colOff>
      <xdr:row>60</xdr:row>
      <xdr:rowOff>8760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467591</xdr:colOff>
      <xdr:row>56</xdr:row>
      <xdr:rowOff>69273</xdr:rowOff>
    </xdr:from>
    <xdr:to>
      <xdr:col>27</xdr:col>
      <xdr:colOff>0</xdr:colOff>
      <xdr:row>86</xdr:row>
      <xdr:rowOff>34636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8DF405B-B398-A36E-DD5C-DED57B7E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685800</xdr:colOff>
      <xdr:row>87</xdr:row>
      <xdr:rowOff>28575</xdr:rowOff>
    </xdr:from>
    <xdr:to>
      <xdr:col>42</xdr:col>
      <xdr:colOff>685800</xdr:colOff>
      <xdr:row>101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581025</xdr:colOff>
      <xdr:row>96</xdr:row>
      <xdr:rowOff>57150</xdr:rowOff>
    </xdr:from>
    <xdr:to>
      <xdr:col>42</xdr:col>
      <xdr:colOff>581025</xdr:colOff>
      <xdr:row>110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333375</xdr:colOff>
      <xdr:row>115</xdr:row>
      <xdr:rowOff>180975</xdr:rowOff>
    </xdr:from>
    <xdr:to>
      <xdr:col>42</xdr:col>
      <xdr:colOff>333375</xdr:colOff>
      <xdr:row>130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342900</xdr:colOff>
      <xdr:row>130</xdr:row>
      <xdr:rowOff>142875</xdr:rowOff>
    </xdr:from>
    <xdr:to>
      <xdr:col>42</xdr:col>
      <xdr:colOff>342900</xdr:colOff>
      <xdr:row>145</xdr:row>
      <xdr:rowOff>28575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247649</xdr:colOff>
      <xdr:row>135</xdr:row>
      <xdr:rowOff>114300</xdr:rowOff>
    </xdr:from>
    <xdr:to>
      <xdr:col>45</xdr:col>
      <xdr:colOff>266700</xdr:colOff>
      <xdr:row>155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66675</xdr:colOff>
      <xdr:row>135</xdr:row>
      <xdr:rowOff>57150</xdr:rowOff>
    </xdr:from>
    <xdr:to>
      <xdr:col>51</xdr:col>
      <xdr:colOff>295276</xdr:colOff>
      <xdr:row>154</xdr:row>
      <xdr:rowOff>171450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B22" sqref="B22"/>
    </sheetView>
  </sheetViews>
  <sheetFormatPr baseColWidth="10" defaultRowHeight="15" x14ac:dyDescent="0.25"/>
  <cols>
    <col min="1" max="1" width="39.85546875" customWidth="1"/>
  </cols>
  <sheetData>
    <row r="1" spans="1:5" x14ac:dyDescent="0.25">
      <c r="A1" s="135"/>
    </row>
    <row r="2" spans="1:5" x14ac:dyDescent="0.25">
      <c r="A2" s="135"/>
    </row>
    <row r="3" spans="1:5" x14ac:dyDescent="0.25">
      <c r="A3" s="135"/>
    </row>
    <row r="4" spans="1:5" x14ac:dyDescent="0.25">
      <c r="A4" s="135" t="s">
        <v>2</v>
      </c>
    </row>
    <row r="5" spans="1:5" x14ac:dyDescent="0.25">
      <c r="A5" s="137" t="s">
        <v>207</v>
      </c>
    </row>
    <row r="6" spans="1:5" x14ac:dyDescent="0.25">
      <c r="A6" s="137" t="s">
        <v>208</v>
      </c>
      <c r="B6" s="1" t="s">
        <v>291</v>
      </c>
    </row>
    <row r="7" spans="1:5" x14ac:dyDescent="0.25">
      <c r="A7" s="220" t="s">
        <v>6</v>
      </c>
      <c r="B7" s="50">
        <v>2.8000000000000003</v>
      </c>
      <c r="D7" s="221"/>
      <c r="E7" s="37" t="s">
        <v>315</v>
      </c>
    </row>
    <row r="8" spans="1:5" x14ac:dyDescent="0.25">
      <c r="A8" s="220" t="s">
        <v>7</v>
      </c>
      <c r="B8" s="50">
        <v>7.7714285714285722</v>
      </c>
      <c r="D8" s="224"/>
      <c r="E8" t="s">
        <v>316</v>
      </c>
    </row>
    <row r="9" spans="1:5" x14ac:dyDescent="0.25">
      <c r="A9" s="220" t="s">
        <v>8</v>
      </c>
      <c r="B9" s="50">
        <v>12.785714285714286</v>
      </c>
    </row>
    <row r="10" spans="1:5" x14ac:dyDescent="0.25">
      <c r="A10" s="220" t="s">
        <v>9</v>
      </c>
      <c r="B10" s="50">
        <v>8.6142857142857157</v>
      </c>
    </row>
    <row r="11" spans="1:5" x14ac:dyDescent="0.25">
      <c r="A11" s="220" t="s">
        <v>10</v>
      </c>
      <c r="B11" s="50">
        <v>45.285714285714285</v>
      </c>
    </row>
    <row r="12" spans="1:5" x14ac:dyDescent="0.25">
      <c r="A12" s="220" t="s">
        <v>11</v>
      </c>
      <c r="B12" s="50">
        <v>35</v>
      </c>
    </row>
    <row r="13" spans="1:5" x14ac:dyDescent="0.25">
      <c r="A13" s="220" t="s">
        <v>12</v>
      </c>
      <c r="B13" s="50">
        <v>217.14285714285714</v>
      </c>
    </row>
    <row r="14" spans="1:5" x14ac:dyDescent="0.25">
      <c r="A14" s="220" t="s">
        <v>13</v>
      </c>
      <c r="B14" s="50">
        <v>43.285714285714285</v>
      </c>
    </row>
    <row r="15" spans="1:5" x14ac:dyDescent="0.25">
      <c r="A15" s="220" t="s">
        <v>14</v>
      </c>
      <c r="B15" s="50">
        <v>67</v>
      </c>
    </row>
    <row r="16" spans="1:5" x14ac:dyDescent="0.25">
      <c r="A16" s="220" t="s">
        <v>15</v>
      </c>
      <c r="B16" s="50">
        <v>17.166666666666668</v>
      </c>
    </row>
    <row r="17" spans="1:2" x14ac:dyDescent="0.25">
      <c r="A17" s="220" t="s">
        <v>16</v>
      </c>
      <c r="B17" s="50">
        <v>12.15</v>
      </c>
    </row>
    <row r="18" spans="1:2" x14ac:dyDescent="0.25">
      <c r="A18" s="220" t="s">
        <v>17</v>
      </c>
      <c r="B18" s="50">
        <v>0</v>
      </c>
    </row>
    <row r="19" spans="1:2" x14ac:dyDescent="0.25">
      <c r="A19" s="220" t="s">
        <v>18</v>
      </c>
      <c r="B19" s="50">
        <v>0</v>
      </c>
    </row>
    <row r="20" spans="1:2" x14ac:dyDescent="0.25">
      <c r="A20" s="220" t="s">
        <v>19</v>
      </c>
      <c r="B20" s="50">
        <v>0</v>
      </c>
    </row>
    <row r="21" spans="1:2" x14ac:dyDescent="0.25">
      <c r="A21" s="220" t="s">
        <v>20</v>
      </c>
      <c r="B21" s="50">
        <v>0</v>
      </c>
    </row>
    <row r="22" spans="1:2" x14ac:dyDescent="0.25">
      <c r="A22" s="220" t="s">
        <v>21</v>
      </c>
      <c r="B22" s="50">
        <v>185.71428571428572</v>
      </c>
    </row>
    <row r="23" spans="1:2" x14ac:dyDescent="0.25">
      <c r="A23" s="220" t="s">
        <v>22</v>
      </c>
      <c r="B23" s="50">
        <v>0</v>
      </c>
    </row>
    <row r="24" spans="1:2" x14ac:dyDescent="0.25">
      <c r="A24" s="220" t="s">
        <v>23</v>
      </c>
      <c r="B24" s="50">
        <v>0</v>
      </c>
    </row>
    <row r="25" spans="1:2" x14ac:dyDescent="0.25">
      <c r="A25" s="222" t="s">
        <v>24</v>
      </c>
      <c r="B25" s="50">
        <v>0</v>
      </c>
    </row>
    <row r="26" spans="1:2" x14ac:dyDescent="0.25">
      <c r="A26" s="222" t="s">
        <v>25</v>
      </c>
      <c r="B26" s="50">
        <v>0</v>
      </c>
    </row>
    <row r="27" spans="1:2" x14ac:dyDescent="0.25">
      <c r="A27" s="222" t="s">
        <v>26</v>
      </c>
      <c r="B27" s="50">
        <v>0</v>
      </c>
    </row>
    <row r="28" spans="1:2" x14ac:dyDescent="0.25">
      <c r="A28" s="223" t="s">
        <v>27</v>
      </c>
      <c r="B28" s="50">
        <v>14.957142857142857</v>
      </c>
    </row>
    <row r="29" spans="1:2" x14ac:dyDescent="0.25">
      <c r="A29" s="223" t="s">
        <v>28</v>
      </c>
      <c r="B29" s="50">
        <v>0</v>
      </c>
    </row>
    <row r="30" spans="1:2" x14ac:dyDescent="0.25">
      <c r="A30" s="223" t="s">
        <v>29</v>
      </c>
      <c r="B30" s="50">
        <v>0</v>
      </c>
    </row>
    <row r="31" spans="1:2" x14ac:dyDescent="0.25">
      <c r="A31" s="223" t="s">
        <v>30</v>
      </c>
      <c r="B31" s="50">
        <v>5.95</v>
      </c>
    </row>
    <row r="32" spans="1:2" x14ac:dyDescent="0.25">
      <c r="A32" s="223" t="s">
        <v>31</v>
      </c>
      <c r="B32" s="50">
        <v>3.3000000000000003</v>
      </c>
    </row>
    <row r="33" spans="1:2" x14ac:dyDescent="0.25">
      <c r="A33" s="223" t="s">
        <v>32</v>
      </c>
      <c r="B33" s="50">
        <v>185</v>
      </c>
    </row>
    <row r="34" spans="1:2" x14ac:dyDescent="0.25">
      <c r="A34" s="222" t="s">
        <v>209</v>
      </c>
      <c r="B34" s="50">
        <v>76.5</v>
      </c>
    </row>
    <row r="35" spans="1:2" x14ac:dyDescent="0.25">
      <c r="A35" s="222" t="s">
        <v>210</v>
      </c>
      <c r="B35" s="50">
        <v>82.166666666666671</v>
      </c>
    </row>
    <row r="36" spans="1:2" x14ac:dyDescent="0.25">
      <c r="A36" s="222" t="s">
        <v>211</v>
      </c>
      <c r="B36" s="50">
        <v>115</v>
      </c>
    </row>
    <row r="37" spans="1:2" x14ac:dyDescent="0.25">
      <c r="A37" s="222" t="s">
        <v>212</v>
      </c>
      <c r="B37" s="50">
        <v>7.666666666666667</v>
      </c>
    </row>
    <row r="38" spans="1:2" x14ac:dyDescent="0.25">
      <c r="A38" s="222" t="s">
        <v>213</v>
      </c>
      <c r="B38" s="50">
        <v>32.166666666666664</v>
      </c>
    </row>
    <row r="39" spans="1:2" x14ac:dyDescent="0.25">
      <c r="A39" s="222" t="s">
        <v>214</v>
      </c>
      <c r="B39" s="50">
        <v>117.33333333333333</v>
      </c>
    </row>
    <row r="40" spans="1:2" x14ac:dyDescent="0.25">
      <c r="A40" s="222" t="s">
        <v>215</v>
      </c>
      <c r="B40" s="50">
        <v>156</v>
      </c>
    </row>
    <row r="41" spans="1:2" x14ac:dyDescent="0.25">
      <c r="A41" s="222" t="s">
        <v>216</v>
      </c>
      <c r="B41" s="50">
        <v>218.66666666666666</v>
      </c>
    </row>
    <row r="42" spans="1:2" x14ac:dyDescent="0.25">
      <c r="A42" s="222" t="s">
        <v>217</v>
      </c>
      <c r="B42" s="50">
        <v>364.16666666666669</v>
      </c>
    </row>
    <row r="43" spans="1:2" x14ac:dyDescent="0.25">
      <c r="A43" s="135" t="s">
        <v>33</v>
      </c>
      <c r="B43" s="50">
        <v>1834.5571428571427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20" zoomScale="85" zoomScaleNormal="85" workbookViewId="0">
      <selection activeCell="B24" sqref="B1:B1048576"/>
    </sheetView>
  </sheetViews>
  <sheetFormatPr baseColWidth="10" defaultRowHeight="15" x14ac:dyDescent="0.25"/>
  <cols>
    <col min="1" max="1" width="35.85546875" customWidth="1"/>
    <col min="2" max="2" width="12.7109375" bestFit="1" customWidth="1"/>
  </cols>
  <sheetData>
    <row r="1" spans="1:3" x14ac:dyDescent="0.25">
      <c r="B1" s="1" t="s">
        <v>234</v>
      </c>
    </row>
    <row r="2" spans="1:3" x14ac:dyDescent="0.25">
      <c r="B2" t="s">
        <v>91</v>
      </c>
    </row>
    <row r="4" spans="1:3" x14ac:dyDescent="0.25">
      <c r="A4" s="135" t="s">
        <v>2</v>
      </c>
      <c r="B4" t="s">
        <v>204</v>
      </c>
    </row>
    <row r="5" spans="1:3" x14ac:dyDescent="0.25">
      <c r="A5" s="137" t="s">
        <v>207</v>
      </c>
      <c r="B5" t="s">
        <v>205</v>
      </c>
    </row>
    <row r="6" spans="1:3" x14ac:dyDescent="0.25">
      <c r="A6" s="137" t="s">
        <v>208</v>
      </c>
    </row>
    <row r="7" spans="1:3" x14ac:dyDescent="0.25">
      <c r="A7" s="220" t="s">
        <v>4</v>
      </c>
    </row>
    <row r="8" spans="1:3" x14ac:dyDescent="0.25">
      <c r="A8" s="220" t="s">
        <v>5</v>
      </c>
    </row>
    <row r="9" spans="1:3" s="90" customFormat="1" x14ac:dyDescent="0.25">
      <c r="A9" s="220" t="s">
        <v>6</v>
      </c>
      <c r="B9" s="225">
        <v>7.6133541063877139</v>
      </c>
      <c r="C9" s="67" t="s">
        <v>317</v>
      </c>
    </row>
    <row r="10" spans="1:3" s="90" customFormat="1" x14ac:dyDescent="0.25">
      <c r="A10" s="220" t="s">
        <v>7</v>
      </c>
      <c r="B10" s="96" t="s">
        <v>40</v>
      </c>
    </row>
    <row r="11" spans="1:3" s="90" customFormat="1" x14ac:dyDescent="0.25">
      <c r="A11" s="220" t="s">
        <v>8</v>
      </c>
      <c r="B11" s="96" t="s">
        <v>40</v>
      </c>
    </row>
    <row r="12" spans="1:3" s="90" customFormat="1" x14ac:dyDescent="0.25">
      <c r="A12" s="220" t="s">
        <v>9</v>
      </c>
      <c r="B12" s="96" t="s">
        <v>40</v>
      </c>
    </row>
    <row r="13" spans="1:3" s="90" customFormat="1" x14ac:dyDescent="0.25">
      <c r="A13" s="220" t="s">
        <v>10</v>
      </c>
      <c r="B13" s="96">
        <v>1.800222568439795</v>
      </c>
    </row>
    <row r="14" spans="1:3" s="90" customFormat="1" x14ac:dyDescent="0.25">
      <c r="A14" s="220" t="s">
        <v>11</v>
      </c>
      <c r="B14" s="96" t="s">
        <v>40</v>
      </c>
    </row>
    <row r="15" spans="1:3" s="90" customFormat="1" x14ac:dyDescent="0.25">
      <c r="A15" s="220" t="s">
        <v>12</v>
      </c>
      <c r="B15" s="96">
        <v>3.0002225684397952</v>
      </c>
    </row>
    <row r="16" spans="1:3" s="90" customFormat="1" x14ac:dyDescent="0.25">
      <c r="A16" s="220" t="s">
        <v>13</v>
      </c>
      <c r="B16" s="96">
        <v>2.2231693745826844</v>
      </c>
    </row>
    <row r="17" spans="1:2" s="90" customFormat="1" x14ac:dyDescent="0.25">
      <c r="A17" s="220" t="s">
        <v>14</v>
      </c>
      <c r="B17" s="96">
        <v>20.977743156020473</v>
      </c>
    </row>
    <row r="18" spans="1:2" s="37" customFormat="1" x14ac:dyDescent="0.25">
      <c r="A18" s="220" t="s">
        <v>15</v>
      </c>
      <c r="B18" s="226">
        <v>10.668150456265302</v>
      </c>
    </row>
    <row r="19" spans="1:2" s="37" customFormat="1" x14ac:dyDescent="0.25">
      <c r="A19" s="220" t="s">
        <v>16</v>
      </c>
      <c r="B19" s="226">
        <v>7.9017805475183609</v>
      </c>
    </row>
    <row r="20" spans="1:2" s="37" customFormat="1" x14ac:dyDescent="0.25">
      <c r="A20" s="220" t="s">
        <v>17</v>
      </c>
      <c r="B20" s="96" t="s">
        <v>40</v>
      </c>
    </row>
    <row r="21" spans="1:2" s="37" customFormat="1" x14ac:dyDescent="0.25">
      <c r="A21" s="220" t="s">
        <v>18</v>
      </c>
      <c r="B21" s="96" t="s">
        <v>40</v>
      </c>
    </row>
    <row r="22" spans="1:2" s="37" customFormat="1" x14ac:dyDescent="0.25">
      <c r="A22" s="220" t="s">
        <v>19</v>
      </c>
      <c r="B22" s="96" t="s">
        <v>40</v>
      </c>
    </row>
    <row r="23" spans="1:2" s="37" customFormat="1" x14ac:dyDescent="0.25">
      <c r="A23" s="220" t="s">
        <v>20</v>
      </c>
      <c r="B23" s="96" t="s">
        <v>40</v>
      </c>
    </row>
    <row r="24" spans="1:2" s="90" customFormat="1" x14ac:dyDescent="0.25">
      <c r="A24" s="220" t="s">
        <v>21</v>
      </c>
      <c r="B24" s="96">
        <v>1.8677053193857109</v>
      </c>
    </row>
    <row r="25" spans="1:2" s="37" customFormat="1" x14ac:dyDescent="0.25">
      <c r="A25" s="222" t="s">
        <v>22</v>
      </c>
      <c r="B25" s="96" t="s">
        <v>40</v>
      </c>
    </row>
    <row r="26" spans="1:2" s="37" customFormat="1" x14ac:dyDescent="0.25">
      <c r="A26" s="222" t="s">
        <v>23</v>
      </c>
      <c r="B26" s="96" t="s">
        <v>40</v>
      </c>
    </row>
    <row r="27" spans="1:2" s="37" customFormat="1" x14ac:dyDescent="0.25">
      <c r="A27" s="222" t="s">
        <v>24</v>
      </c>
      <c r="B27" s="96" t="s">
        <v>40</v>
      </c>
    </row>
    <row r="28" spans="1:2" s="37" customFormat="1" x14ac:dyDescent="0.25">
      <c r="A28" s="223" t="s">
        <v>25</v>
      </c>
      <c r="B28" s="96" t="s">
        <v>40</v>
      </c>
    </row>
    <row r="29" spans="1:2" s="37" customFormat="1" x14ac:dyDescent="0.25">
      <c r="A29" s="223" t="s">
        <v>26</v>
      </c>
      <c r="B29" s="96" t="s">
        <v>40</v>
      </c>
    </row>
    <row r="30" spans="1:2" s="90" customFormat="1" x14ac:dyDescent="0.25">
      <c r="A30" s="223" t="s">
        <v>27</v>
      </c>
      <c r="B30" s="96">
        <v>1.4345203650122413</v>
      </c>
    </row>
    <row r="31" spans="1:2" s="37" customFormat="1" x14ac:dyDescent="0.25">
      <c r="A31" s="223" t="s">
        <v>28</v>
      </c>
      <c r="B31" s="96" t="s">
        <v>40</v>
      </c>
    </row>
    <row r="32" spans="1:2" s="37" customFormat="1" x14ac:dyDescent="0.25">
      <c r="A32" s="223" t="s">
        <v>29</v>
      </c>
      <c r="B32" s="96" t="s">
        <v>40</v>
      </c>
    </row>
    <row r="33" spans="1:2" s="37" customFormat="1" x14ac:dyDescent="0.25">
      <c r="A33" s="223" t="s">
        <v>30</v>
      </c>
      <c r="B33" s="96" t="s">
        <v>40</v>
      </c>
    </row>
    <row r="34" spans="1:2" s="37" customFormat="1" x14ac:dyDescent="0.25">
      <c r="A34" s="222" t="s">
        <v>31</v>
      </c>
      <c r="B34" s="96" t="s">
        <v>40</v>
      </c>
    </row>
    <row r="35" spans="1:2" x14ac:dyDescent="0.25">
      <c r="A35" s="222" t="s">
        <v>32</v>
      </c>
      <c r="B35" s="50">
        <v>14.641442243489873</v>
      </c>
    </row>
    <row r="36" spans="1:2" s="90" customFormat="1" x14ac:dyDescent="0.25">
      <c r="A36" s="222" t="s">
        <v>209</v>
      </c>
      <c r="B36" s="96">
        <v>89.83701313153793</v>
      </c>
    </row>
    <row r="37" spans="1:2" s="90" customFormat="1" x14ac:dyDescent="0.25">
      <c r="A37" s="222" t="s">
        <v>210</v>
      </c>
      <c r="B37" s="96">
        <v>94.699554863120412</v>
      </c>
    </row>
    <row r="38" spans="1:2" s="90" customFormat="1" x14ac:dyDescent="0.25">
      <c r="A38" s="222" t="s">
        <v>211</v>
      </c>
      <c r="B38" s="96">
        <v>133.84620520810148</v>
      </c>
    </row>
    <row r="39" spans="1:2" s="90" customFormat="1" x14ac:dyDescent="0.25">
      <c r="A39" s="222" t="s">
        <v>212</v>
      </c>
      <c r="B39" s="96">
        <v>3.2699310037836629</v>
      </c>
    </row>
    <row r="40" spans="1:2" s="90" customFormat="1" x14ac:dyDescent="0.25">
      <c r="A40" s="222" t="s">
        <v>213</v>
      </c>
      <c r="B40" s="96">
        <v>31.462141108390831</v>
      </c>
    </row>
    <row r="41" spans="1:2" s="90" customFormat="1" x14ac:dyDescent="0.25">
      <c r="A41" s="222" t="s">
        <v>214</v>
      </c>
      <c r="B41" s="96">
        <v>73.481749387936787</v>
      </c>
    </row>
    <row r="42" spans="1:2" s="90" customFormat="1" x14ac:dyDescent="0.25">
      <c r="A42" s="222" t="s">
        <v>215</v>
      </c>
      <c r="B42" s="96">
        <v>147.26285332739818</v>
      </c>
    </row>
    <row r="43" spans="1:2" s="90" customFormat="1" x14ac:dyDescent="0.25">
      <c r="A43" s="135" t="s">
        <v>216</v>
      </c>
      <c r="B43" s="96">
        <v>206.47429334520362</v>
      </c>
    </row>
    <row r="44" spans="1:2" s="90" customFormat="1" x14ac:dyDescent="0.25">
      <c r="A44" s="135" t="s">
        <v>217</v>
      </c>
      <c r="B44" s="96">
        <v>232.96884041842861</v>
      </c>
    </row>
    <row r="45" spans="1:2" x14ac:dyDescent="0.25">
      <c r="A45" s="137" t="s">
        <v>33</v>
      </c>
      <c r="B45" s="50">
        <f>SUM(B9:B44)</f>
        <v>1085.4308924994434</v>
      </c>
    </row>
    <row r="46" spans="1:2" x14ac:dyDescent="0.25">
      <c r="A46" s="137" t="s">
        <v>218</v>
      </c>
      <c r="B46" s="50">
        <v>1071.726240819052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24"/>
  <sheetViews>
    <sheetView tabSelected="1" topLeftCell="A37" zoomScale="55" zoomScaleNormal="55" workbookViewId="0">
      <selection activeCell="X90" sqref="X90"/>
    </sheetView>
  </sheetViews>
  <sheetFormatPr baseColWidth="10" defaultColWidth="11.5703125" defaultRowHeight="15" x14ac:dyDescent="0.25"/>
  <cols>
    <col min="1" max="1" width="22.28515625" customWidth="1"/>
    <col min="2" max="2" width="14.140625" customWidth="1"/>
    <col min="3" max="3" width="13.7109375" customWidth="1"/>
    <col min="4" max="4" width="14.140625" customWidth="1"/>
    <col min="5" max="5" width="13.85546875" customWidth="1"/>
    <col min="6" max="8" width="14" customWidth="1"/>
    <col min="9" max="11" width="12.7109375" bestFit="1" customWidth="1"/>
    <col min="12" max="12" width="14" customWidth="1"/>
    <col min="13" max="13" width="13.5703125" customWidth="1"/>
    <col min="14" max="14" width="14.28515625" customWidth="1"/>
    <col min="15" max="15" width="14.42578125" customWidth="1"/>
    <col min="16" max="17" width="12.7109375" bestFit="1" customWidth="1"/>
    <col min="18" max="18" width="12.140625" customWidth="1"/>
    <col min="19" max="19" width="13.7109375" bestFit="1" customWidth="1"/>
    <col min="20" max="24" width="12.140625" customWidth="1"/>
  </cols>
  <sheetData>
    <row r="1" spans="1:42" x14ac:dyDescent="0.25">
      <c r="A1" s="1" t="s">
        <v>0</v>
      </c>
      <c r="C1" s="2">
        <v>43795</v>
      </c>
      <c r="H1" t="s">
        <v>79</v>
      </c>
    </row>
    <row r="2" spans="1:42" x14ac:dyDescent="0.25">
      <c r="H2">
        <v>706</v>
      </c>
      <c r="I2" t="s">
        <v>78</v>
      </c>
      <c r="J2" t="s">
        <v>81</v>
      </c>
    </row>
    <row r="3" spans="1:42" x14ac:dyDescent="0.25">
      <c r="A3" t="s">
        <v>1</v>
      </c>
    </row>
    <row r="4" spans="1:42" x14ac:dyDescent="0.25">
      <c r="M4" s="37"/>
    </row>
    <row r="5" spans="1:42" x14ac:dyDescent="0.25">
      <c r="A5" s="16" t="s">
        <v>61</v>
      </c>
      <c r="B5" s="227">
        <v>43746.716666666667</v>
      </c>
      <c r="C5" s="227"/>
      <c r="D5" s="227"/>
      <c r="E5" s="15"/>
      <c r="F5" s="15"/>
      <c r="G5" s="17"/>
    </row>
    <row r="6" spans="1:42" x14ac:dyDescent="0.25">
      <c r="A6" s="35" t="s">
        <v>75</v>
      </c>
      <c r="B6" s="13" t="s">
        <v>64</v>
      </c>
      <c r="C6" s="13" t="s">
        <v>65</v>
      </c>
      <c r="D6" s="13" t="s">
        <v>66</v>
      </c>
      <c r="E6" s="13" t="s">
        <v>85</v>
      </c>
      <c r="F6" s="13" t="s">
        <v>67</v>
      </c>
      <c r="G6" s="18"/>
    </row>
    <row r="7" spans="1:42" x14ac:dyDescent="0.25">
      <c r="A7" s="35">
        <v>0.4</v>
      </c>
      <c r="B7" s="24">
        <v>1.5804873505396879</v>
      </c>
      <c r="C7" s="24">
        <v>0.18981486938035866</v>
      </c>
      <c r="D7" s="24">
        <v>8.3929064700452702</v>
      </c>
      <c r="E7" s="24">
        <v>28.778544079535649</v>
      </c>
      <c r="F7" s="24">
        <v>60.645499846206576</v>
      </c>
      <c r="G7" s="18"/>
      <c r="H7" t="s">
        <v>80</v>
      </c>
    </row>
    <row r="8" spans="1:42" x14ac:dyDescent="0.25">
      <c r="A8" s="19"/>
      <c r="B8" s="20" t="s">
        <v>70</v>
      </c>
      <c r="C8" s="20"/>
      <c r="D8" s="20"/>
      <c r="E8" s="32">
        <v>4.0218504341331345</v>
      </c>
      <c r="G8" s="21"/>
      <c r="H8">
        <f>H2/1000*E8</f>
        <v>2.8394264064979926</v>
      </c>
      <c r="I8" t="s">
        <v>84</v>
      </c>
    </row>
    <row r="9" spans="1:42" x14ac:dyDescent="0.25">
      <c r="A9" s="3"/>
      <c r="B9" s="6" t="s">
        <v>34</v>
      </c>
      <c r="C9" s="6" t="s">
        <v>41</v>
      </c>
      <c r="D9" s="6" t="s">
        <v>44</v>
      </c>
      <c r="E9" s="6" t="s">
        <v>45</v>
      </c>
      <c r="F9" s="6" t="s">
        <v>50</v>
      </c>
      <c r="G9" s="6" t="s">
        <v>51</v>
      </c>
      <c r="H9" s="6" t="s">
        <v>100</v>
      </c>
      <c r="I9" s="6" t="s">
        <v>101</v>
      </c>
      <c r="J9" s="6" t="s">
        <v>104</v>
      </c>
      <c r="K9" s="6" t="s">
        <v>105</v>
      </c>
      <c r="L9" s="6" t="s">
        <v>108</v>
      </c>
      <c r="M9" s="6" t="s">
        <v>109</v>
      </c>
      <c r="N9" s="6" t="s">
        <v>112</v>
      </c>
      <c r="O9" s="6" t="s">
        <v>113</v>
      </c>
      <c r="P9" s="45" t="s">
        <v>139</v>
      </c>
      <c r="Q9" s="45" t="s">
        <v>142</v>
      </c>
      <c r="R9" s="45" t="s">
        <v>145</v>
      </c>
      <c r="S9" s="45" t="s">
        <v>148</v>
      </c>
      <c r="T9" s="45" t="s">
        <v>151</v>
      </c>
      <c r="U9" s="45" t="s">
        <v>167</v>
      </c>
      <c r="V9" s="6"/>
      <c r="W9" s="6"/>
      <c r="X9" s="6"/>
      <c r="Y9" s="6"/>
      <c r="Z9" s="6"/>
    </row>
    <row r="10" spans="1:42" x14ac:dyDescent="0.25">
      <c r="A10" s="3"/>
      <c r="B10" s="7" t="s">
        <v>35</v>
      </c>
      <c r="C10" s="7" t="s">
        <v>42</v>
      </c>
      <c r="D10" s="7" t="s">
        <v>46</v>
      </c>
      <c r="E10" s="7" t="s">
        <v>47</v>
      </c>
      <c r="F10" s="7" t="s">
        <v>52</v>
      </c>
      <c r="G10" s="7" t="s">
        <v>53</v>
      </c>
      <c r="H10" s="7" t="s">
        <v>102</v>
      </c>
      <c r="I10" s="7" t="s">
        <v>103</v>
      </c>
      <c r="J10" s="7" t="s">
        <v>106</v>
      </c>
      <c r="K10" s="7" t="s">
        <v>107</v>
      </c>
      <c r="L10" s="7" t="s">
        <v>110</v>
      </c>
      <c r="M10" s="7" t="s">
        <v>111</v>
      </c>
      <c r="N10" s="7" t="s">
        <v>114</v>
      </c>
      <c r="O10" s="7" t="s">
        <v>115</v>
      </c>
      <c r="P10" s="46" t="s">
        <v>140</v>
      </c>
      <c r="Q10" s="46" t="s">
        <v>143</v>
      </c>
      <c r="R10" s="46" t="s">
        <v>146</v>
      </c>
      <c r="S10" s="46" t="s">
        <v>149</v>
      </c>
      <c r="T10" s="46" t="s">
        <v>152</v>
      </c>
      <c r="U10" s="46" t="s">
        <v>168</v>
      </c>
      <c r="V10" s="7"/>
      <c r="W10" s="7"/>
      <c r="X10" s="7"/>
      <c r="Y10" s="7"/>
      <c r="Z10" s="7"/>
    </row>
    <row r="11" spans="1:42" x14ac:dyDescent="0.25">
      <c r="A11" s="3"/>
      <c r="B11" s="6" t="s">
        <v>36</v>
      </c>
      <c r="C11" s="6" t="s">
        <v>43</v>
      </c>
      <c r="D11" s="6" t="s">
        <v>48</v>
      </c>
      <c r="E11" s="6" t="s">
        <v>49</v>
      </c>
      <c r="F11" s="6" t="s">
        <v>54</v>
      </c>
      <c r="G11" s="6" t="s">
        <v>55</v>
      </c>
      <c r="H11" s="6" t="s">
        <v>92</v>
      </c>
      <c r="I11" s="6" t="s">
        <v>93</v>
      </c>
      <c r="J11" s="41">
        <v>43776</v>
      </c>
      <c r="K11" s="6" t="s">
        <v>95</v>
      </c>
      <c r="L11" s="6" t="s">
        <v>96</v>
      </c>
      <c r="M11" s="6" t="s">
        <v>97</v>
      </c>
      <c r="N11" s="6" t="s">
        <v>98</v>
      </c>
      <c r="O11" s="6" t="s">
        <v>99</v>
      </c>
      <c r="P11" s="45" t="s">
        <v>141</v>
      </c>
      <c r="Q11" s="45" t="s">
        <v>144</v>
      </c>
      <c r="R11" s="45" t="s">
        <v>147</v>
      </c>
      <c r="S11" s="45" t="s">
        <v>150</v>
      </c>
      <c r="T11" s="45" t="s">
        <v>153</v>
      </c>
      <c r="U11" s="45" t="s">
        <v>169</v>
      </c>
      <c r="V11" s="6"/>
      <c r="W11" s="6"/>
      <c r="X11" s="6"/>
      <c r="Y11" s="6"/>
      <c r="Z11" s="6"/>
    </row>
    <row r="12" spans="1:42" x14ac:dyDescent="0.25">
      <c r="A12" s="3" t="s">
        <v>2</v>
      </c>
      <c r="B12" s="6" t="s">
        <v>37</v>
      </c>
      <c r="C12" s="6" t="s">
        <v>37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  <c r="K12" s="6" t="s">
        <v>37</v>
      </c>
      <c r="L12" s="6" t="s">
        <v>37</v>
      </c>
      <c r="M12" s="6" t="s">
        <v>37</v>
      </c>
      <c r="N12" s="6" t="s">
        <v>37</v>
      </c>
      <c r="O12" s="6" t="s">
        <v>37</v>
      </c>
      <c r="P12" s="45" t="s">
        <v>37</v>
      </c>
      <c r="Q12" s="45" t="s">
        <v>37</v>
      </c>
      <c r="R12" s="45" t="s">
        <v>37</v>
      </c>
      <c r="S12" s="45" t="s">
        <v>37</v>
      </c>
      <c r="T12" s="45" t="s">
        <v>37</v>
      </c>
      <c r="U12" s="45" t="s">
        <v>37</v>
      </c>
      <c r="V12" s="6"/>
      <c r="W12" s="6"/>
      <c r="X12" s="6"/>
      <c r="Y12" s="134" t="s">
        <v>304</v>
      </c>
      <c r="Z12" t="s">
        <v>136</v>
      </c>
      <c r="AA12" t="s">
        <v>133</v>
      </c>
      <c r="AB12" t="s">
        <v>135</v>
      </c>
      <c r="AC12" t="s">
        <v>134</v>
      </c>
      <c r="AF12" t="s">
        <v>221</v>
      </c>
      <c r="AJ12" t="s">
        <v>136</v>
      </c>
      <c r="AK12" t="s">
        <v>136</v>
      </c>
      <c r="AL12" t="s">
        <v>133</v>
      </c>
      <c r="AM12" t="s">
        <v>133</v>
      </c>
      <c r="AN12" t="s">
        <v>135</v>
      </c>
      <c r="AO12" t="s">
        <v>135</v>
      </c>
      <c r="AP12" t="s">
        <v>134</v>
      </c>
    </row>
    <row r="13" spans="1:42" ht="33" customHeight="1" x14ac:dyDescent="0.25">
      <c r="A13" s="4" t="s">
        <v>3</v>
      </c>
      <c r="B13" s="6" t="s">
        <v>38</v>
      </c>
      <c r="C13" s="6" t="s">
        <v>38</v>
      </c>
      <c r="D13" s="6" t="s">
        <v>38</v>
      </c>
      <c r="E13" s="6" t="s">
        <v>38</v>
      </c>
      <c r="F13" s="6" t="s">
        <v>38</v>
      </c>
      <c r="G13" s="6" t="s">
        <v>38</v>
      </c>
      <c r="H13" s="6" t="s">
        <v>38</v>
      </c>
      <c r="I13" s="6" t="s">
        <v>38</v>
      </c>
      <c r="J13" s="6" t="s">
        <v>38</v>
      </c>
      <c r="K13" s="6" t="s">
        <v>38</v>
      </c>
      <c r="L13" s="6" t="s">
        <v>38</v>
      </c>
      <c r="M13" s="6" t="s">
        <v>38</v>
      </c>
      <c r="N13" s="6" t="s">
        <v>38</v>
      </c>
      <c r="O13" s="6" t="s">
        <v>38</v>
      </c>
      <c r="P13" s="45" t="s">
        <v>38</v>
      </c>
      <c r="Q13" s="45" t="s">
        <v>38</v>
      </c>
      <c r="R13" s="45" t="s">
        <v>38</v>
      </c>
      <c r="S13" s="45" t="s">
        <v>38</v>
      </c>
      <c r="T13" s="45" t="s">
        <v>38</v>
      </c>
      <c r="U13" s="45" t="s">
        <v>38</v>
      </c>
      <c r="V13" s="6"/>
      <c r="W13" s="6"/>
      <c r="X13" s="6"/>
      <c r="Y13" s="38" t="s">
        <v>83</v>
      </c>
      <c r="Z13" s="38" t="s">
        <v>83</v>
      </c>
      <c r="AA13" s="38" t="s">
        <v>83</v>
      </c>
      <c r="AB13" s="38" t="s">
        <v>83</v>
      </c>
      <c r="AC13" s="38" t="s">
        <v>83</v>
      </c>
      <c r="AD13" s="42"/>
      <c r="AF13" s="38" t="s">
        <v>220</v>
      </c>
      <c r="AG13" s="38" t="s">
        <v>222</v>
      </c>
      <c r="AH13" s="38" t="s">
        <v>90</v>
      </c>
      <c r="AI13" s="38"/>
      <c r="AJ13" s="38" t="s">
        <v>138</v>
      </c>
      <c r="AK13" t="s">
        <v>137</v>
      </c>
      <c r="AL13" s="38" t="s">
        <v>138</v>
      </c>
      <c r="AM13" t="s">
        <v>137</v>
      </c>
      <c r="AN13" s="38" t="s">
        <v>138</v>
      </c>
      <c r="AO13" t="s">
        <v>137</v>
      </c>
      <c r="AP13" t="s">
        <v>137</v>
      </c>
    </row>
    <row r="14" spans="1:42" x14ac:dyDescent="0.25">
      <c r="A14" s="3" t="s">
        <v>4</v>
      </c>
      <c r="B14" s="6" t="s">
        <v>39</v>
      </c>
      <c r="C14" s="6" t="s">
        <v>39</v>
      </c>
      <c r="D14" s="6" t="s">
        <v>39</v>
      </c>
      <c r="E14" s="6" t="s">
        <v>39</v>
      </c>
      <c r="F14" s="6" t="s">
        <v>39</v>
      </c>
      <c r="G14" s="6" t="s">
        <v>39</v>
      </c>
      <c r="H14" s="6" t="s">
        <v>39</v>
      </c>
      <c r="I14" s="6" t="s">
        <v>39</v>
      </c>
      <c r="J14" s="6" t="s">
        <v>39</v>
      </c>
      <c r="K14" s="6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45" t="s">
        <v>39</v>
      </c>
      <c r="Q14" s="45" t="s">
        <v>39</v>
      </c>
      <c r="R14" s="45" t="s">
        <v>39</v>
      </c>
      <c r="S14" s="45" t="s">
        <v>39</v>
      </c>
      <c r="T14" s="45" t="s">
        <v>39</v>
      </c>
      <c r="U14" s="45" t="s">
        <v>39</v>
      </c>
      <c r="V14" s="6"/>
      <c r="W14" s="6"/>
      <c r="X14" s="6"/>
      <c r="Y14" s="136"/>
      <c r="Z14" s="6"/>
      <c r="AD14" s="43"/>
      <c r="AF14" t="e">
        <v>#VALUE!</v>
      </c>
    </row>
    <row r="15" spans="1:42" x14ac:dyDescent="0.25">
      <c r="A15" s="3" t="s">
        <v>5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6" t="s">
        <v>39</v>
      </c>
      <c r="H15" s="6" t="s">
        <v>39</v>
      </c>
      <c r="I15" s="6" t="s">
        <v>39</v>
      </c>
      <c r="J15" s="6" t="s">
        <v>39</v>
      </c>
      <c r="K15" s="6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45" t="s">
        <v>39</v>
      </c>
      <c r="Q15" s="45" t="s">
        <v>39</v>
      </c>
      <c r="R15" s="45" t="s">
        <v>39</v>
      </c>
      <c r="S15" s="45" t="s">
        <v>39</v>
      </c>
      <c r="T15" s="45" t="s">
        <v>39</v>
      </c>
      <c r="U15" s="45" t="s">
        <v>39</v>
      </c>
      <c r="V15" s="6"/>
      <c r="W15" s="6"/>
      <c r="X15" s="6"/>
      <c r="Y15" s="136"/>
      <c r="Z15" s="6"/>
      <c r="AD15" s="43"/>
      <c r="AF15" t="e">
        <v>#VALUE!</v>
      </c>
    </row>
    <row r="16" spans="1:42" x14ac:dyDescent="0.25">
      <c r="A16" s="40" t="s">
        <v>6</v>
      </c>
      <c r="B16" s="58">
        <v>740</v>
      </c>
      <c r="C16" s="6">
        <v>7</v>
      </c>
      <c r="D16" s="6">
        <v>3</v>
      </c>
      <c r="E16" s="6">
        <v>5</v>
      </c>
      <c r="F16" s="6">
        <v>5</v>
      </c>
      <c r="G16" s="6">
        <v>2</v>
      </c>
      <c r="H16" s="6">
        <v>4.9000000000000004</v>
      </c>
      <c r="I16" s="6">
        <v>9.6</v>
      </c>
      <c r="J16" s="6">
        <v>3.8</v>
      </c>
      <c r="K16" s="6">
        <v>2.8</v>
      </c>
      <c r="L16" s="6">
        <v>2.8</v>
      </c>
      <c r="M16" s="6">
        <v>2.8</v>
      </c>
      <c r="N16" s="6">
        <v>52</v>
      </c>
      <c r="O16" s="6">
        <v>36</v>
      </c>
      <c r="P16" s="45">
        <v>18</v>
      </c>
      <c r="Q16" s="45">
        <v>18</v>
      </c>
      <c r="R16" s="45">
        <v>30</v>
      </c>
      <c r="S16" s="45">
        <v>40</v>
      </c>
      <c r="T16" s="45">
        <v>13</v>
      </c>
      <c r="U16" s="60">
        <v>3.3</v>
      </c>
      <c r="V16" s="6"/>
      <c r="W16" s="6"/>
      <c r="X16" s="6"/>
      <c r="Y16" s="50">
        <f>(B16*$B$47)/1000/$E$8</f>
        <v>1.6796895137290369</v>
      </c>
      <c r="Z16" s="50">
        <f>(B16*$B$47+C16*$C$47)/1000/$E$8</f>
        <v>1.6944401865776622</v>
      </c>
      <c r="AA16" s="50">
        <f>(B16*$B$47+C16*$C$47+D16*$D$47+E16*$E$47+F16*$F$47)/1000/$E$8</f>
        <v>1.7175300556617707</v>
      </c>
      <c r="AB16" s="50">
        <f>(B16*$B$47+C16*$C$47+D16*$D$47+E16*$E$47+F16*$F$47+G16*$G$47+H16*$H$47+I16*$I$47+J16*$J$47+K16*$K$47+L16*$L$47)/1000/$E$8</f>
        <v>1.7612026145688149</v>
      </c>
      <c r="AC16" s="50">
        <f>(B16*$B$47+C16*$C$47+D16*$D$47+E16*$E$47+F16*$F$47+G16*$G$47+H16*$H$47+I16*$I$47+J16*$J$47+K16*$K$47+L16*$L$47+M16*$M$47+N16*$N$47+O16*$O$47+P16*$P$47+Q16*$Q$47+R16*$R$47+S16*$S$47+T16*$T$47+U16*$U$47)/1000/$E$8</f>
        <v>2.6481540461102684</v>
      </c>
      <c r="AD16" s="69"/>
      <c r="AE16" s="50"/>
      <c r="AF16" s="50">
        <v>6.1439767638548846</v>
      </c>
      <c r="AG16" s="50">
        <f>AH16-AF16</f>
        <v>-6.1439767638548846</v>
      </c>
      <c r="AJ16">
        <f t="shared" ref="AJ16:AJ24" si="0">Z16/AC16*100</f>
        <v>63.985710690302724</v>
      </c>
      <c r="AL16">
        <f t="shared" ref="AL16:AL24" si="1">AA16/AC16*100</f>
        <v>64.857633874606307</v>
      </c>
      <c r="AN16">
        <f t="shared" ref="AN16:AN24" si="2">AB16/AC16*100</f>
        <v>66.506803754704194</v>
      </c>
    </row>
    <row r="17" spans="1:42" x14ac:dyDescent="0.25">
      <c r="A17" s="40" t="s">
        <v>7</v>
      </c>
      <c r="B17" s="58">
        <v>2000</v>
      </c>
      <c r="C17" s="6">
        <v>24</v>
      </c>
      <c r="D17" s="6">
        <v>20</v>
      </c>
      <c r="E17" s="6">
        <v>25</v>
      </c>
      <c r="F17" s="6">
        <v>22</v>
      </c>
      <c r="G17" s="6">
        <v>15</v>
      </c>
      <c r="H17" s="6">
        <v>15</v>
      </c>
      <c r="I17" s="6">
        <v>14</v>
      </c>
      <c r="J17" s="6">
        <v>13</v>
      </c>
      <c r="K17" s="6">
        <v>14</v>
      </c>
      <c r="L17" s="6">
        <v>13</v>
      </c>
      <c r="M17" s="6">
        <v>14</v>
      </c>
      <c r="N17" s="6">
        <v>12</v>
      </c>
      <c r="O17" s="6">
        <v>15</v>
      </c>
      <c r="P17" s="45">
        <v>24</v>
      </c>
      <c r="Q17" s="45">
        <v>24</v>
      </c>
      <c r="R17" s="45">
        <v>29</v>
      </c>
      <c r="S17" s="45">
        <v>20</v>
      </c>
      <c r="T17" s="45">
        <v>20</v>
      </c>
      <c r="U17" s="60">
        <v>16</v>
      </c>
      <c r="V17" s="6"/>
      <c r="W17" s="6"/>
      <c r="X17" s="6"/>
      <c r="Y17" s="50">
        <f t="shared" ref="Y17:Y43" si="3">(B17*$B$47)/1000/$E$8</f>
        <v>4.539701388456856</v>
      </c>
      <c r="Z17" s="50">
        <f t="shared" ref="Z17:Z43" si="4">(B17*$B$47+C17*$C$47)/1000/$E$8</f>
        <v>4.5902751239378574</v>
      </c>
      <c r="AA17" s="50">
        <f t="shared" ref="AA17:AA43" si="5">(B17*$B$47+C17*$C$47+D17*$D$47+E17*$E$47+F17*$F$47)/1000/$E$8</f>
        <v>4.7110148202425188</v>
      </c>
      <c r="AB17" s="50">
        <f t="shared" ref="AB17:AB43" si="6">(B17*$B$47+C17*$C$47+D17*$D$47+E17*$E$47+F17*$F$47+G17*$G$47+H17*$H$47+I17*$I$47+J17*$J$47+K17*$K$47+L17*$L$47)/1000/$E$8</f>
        <v>4.8495786502821394</v>
      </c>
      <c r="AC17" s="50">
        <f t="shared" ref="AC17:AC43" si="7">(B17*$B$47+C17*$C$47+D17*$D$47+E17*$E$47+F17*$F$47+G17*$G$47+H17*$H$47+I17*$I$47+J17*$J$47+K17*$K$47+L17*$L$47+M17*$M$47+N17*$N$47+O17*$O$47+P17*$P$47+Q17*$Q$47+R17*$R$47+S17*$S$47+T17*$T$47+U17*$U$47)/1000/$E$8</f>
        <v>5.8314090451886846</v>
      </c>
      <c r="AD17" s="69"/>
      <c r="AE17" s="50"/>
      <c r="AF17" s="50"/>
      <c r="AG17" s="50">
        <f>AH17-AF17</f>
        <v>3</v>
      </c>
      <c r="AH17">
        <v>3</v>
      </c>
      <c r="AJ17">
        <f t="shared" si="0"/>
        <v>78.716397501306332</v>
      </c>
      <c r="AK17">
        <f t="shared" ref="AK17:AK24" si="8">Z17/AH17*100-100</f>
        <v>53.009170797928562</v>
      </c>
      <c r="AL17">
        <f t="shared" si="1"/>
        <v>80.786903880965639</v>
      </c>
      <c r="AM17">
        <f t="shared" ref="AM17:AM24" si="9">AA17/AH17*100-100</f>
        <v>57.033827341417293</v>
      </c>
      <c r="AN17">
        <f t="shared" si="2"/>
        <v>83.163067668583068</v>
      </c>
      <c r="AO17">
        <f t="shared" ref="AO17:AO24" si="10">AB17/AH17*100-100</f>
        <v>61.652621676071306</v>
      </c>
      <c r="AP17">
        <f>AC17/AH17*100-100</f>
        <v>94.380301506289499</v>
      </c>
    </row>
    <row r="18" spans="1:42" x14ac:dyDescent="0.25">
      <c r="A18" s="40" t="s">
        <v>8</v>
      </c>
      <c r="B18" s="58">
        <v>3500</v>
      </c>
      <c r="C18" s="6">
        <v>84</v>
      </c>
      <c r="D18" s="6">
        <v>45</v>
      </c>
      <c r="E18" s="6">
        <v>48</v>
      </c>
      <c r="F18" s="6">
        <v>44</v>
      </c>
      <c r="G18" s="6">
        <v>37</v>
      </c>
      <c r="H18" s="6">
        <v>36</v>
      </c>
      <c r="I18" s="6">
        <v>35</v>
      </c>
      <c r="J18" s="6">
        <v>29</v>
      </c>
      <c r="K18" s="6">
        <v>29</v>
      </c>
      <c r="L18" s="6">
        <v>23</v>
      </c>
      <c r="M18" s="6">
        <v>22</v>
      </c>
      <c r="N18" s="6">
        <v>20</v>
      </c>
      <c r="O18" s="6">
        <v>22</v>
      </c>
      <c r="P18" s="45">
        <v>25</v>
      </c>
      <c r="Q18" s="45">
        <v>26</v>
      </c>
      <c r="R18" s="45">
        <v>28</v>
      </c>
      <c r="S18" s="45">
        <v>21</v>
      </c>
      <c r="T18" s="45">
        <v>19</v>
      </c>
      <c r="U18" s="60">
        <v>17</v>
      </c>
      <c r="V18" s="6"/>
      <c r="W18" s="6"/>
      <c r="X18" s="6"/>
      <c r="Y18" s="50">
        <f t="shared" si="3"/>
        <v>7.9444774297994982</v>
      </c>
      <c r="Z18" s="50">
        <f t="shared" si="4"/>
        <v>8.1214855039830045</v>
      </c>
      <c r="AA18" s="50">
        <f t="shared" si="5"/>
        <v>8.368638901723477</v>
      </c>
      <c r="AB18" s="50">
        <f t="shared" si="6"/>
        <v>8.6819533873407426</v>
      </c>
      <c r="AC18" s="50">
        <f t="shared" si="7"/>
        <v>9.7271635633143934</v>
      </c>
      <c r="AD18" s="69"/>
      <c r="AE18" s="50"/>
      <c r="AF18" s="50"/>
      <c r="AG18" s="50">
        <f t="shared" ref="AG18:AG42" si="11">AH18-AF18</f>
        <v>6</v>
      </c>
      <c r="AH18">
        <v>6</v>
      </c>
      <c r="AJ18">
        <f t="shared" si="0"/>
        <v>83.492844045646166</v>
      </c>
      <c r="AK18">
        <f t="shared" si="8"/>
        <v>35.35809173305006</v>
      </c>
      <c r="AL18">
        <f t="shared" si="1"/>
        <v>86.03370188289486</v>
      </c>
      <c r="AM18">
        <f t="shared" si="9"/>
        <v>39.477315028724632</v>
      </c>
      <c r="AN18">
        <f t="shared" si="2"/>
        <v>89.254728069798077</v>
      </c>
      <c r="AO18">
        <f t="shared" si="10"/>
        <v>44.6992231223457</v>
      </c>
      <c r="AP18">
        <f t="shared" ref="AP18:AP24" si="12">AC18/AH18*100-100</f>
        <v>62.119392721906564</v>
      </c>
    </row>
    <row r="19" spans="1:42" x14ac:dyDescent="0.25">
      <c r="A19" s="40" t="s">
        <v>9</v>
      </c>
      <c r="B19" s="58">
        <v>2200</v>
      </c>
      <c r="C19" s="6">
        <v>36</v>
      </c>
      <c r="D19" s="6">
        <v>32</v>
      </c>
      <c r="E19" s="6">
        <v>36</v>
      </c>
      <c r="F19" s="6">
        <v>30</v>
      </c>
      <c r="G19" s="6">
        <v>24</v>
      </c>
      <c r="H19" s="6">
        <v>23</v>
      </c>
      <c r="I19" s="6">
        <v>20</v>
      </c>
      <c r="J19" s="6">
        <v>19</v>
      </c>
      <c r="K19" s="6">
        <v>19</v>
      </c>
      <c r="L19" s="6">
        <v>17</v>
      </c>
      <c r="M19" s="6">
        <v>17</v>
      </c>
      <c r="N19" s="6">
        <v>15</v>
      </c>
      <c r="O19" s="6">
        <v>16</v>
      </c>
      <c r="P19" s="45">
        <v>19</v>
      </c>
      <c r="Q19" s="45">
        <v>19</v>
      </c>
      <c r="R19" s="45">
        <v>21</v>
      </c>
      <c r="S19" s="45">
        <v>17</v>
      </c>
      <c r="T19" s="45">
        <v>15</v>
      </c>
      <c r="U19" s="60">
        <v>13</v>
      </c>
      <c r="V19" s="6"/>
      <c r="W19" s="6"/>
      <c r="X19" s="6"/>
      <c r="Y19" s="50">
        <f t="shared" si="3"/>
        <v>4.993671527302542</v>
      </c>
      <c r="Z19" s="50">
        <f t="shared" si="4"/>
        <v>5.0695321305240437</v>
      </c>
      <c r="AA19" s="50">
        <f t="shared" si="5"/>
        <v>5.2471334639644693</v>
      </c>
      <c r="AB19" s="50">
        <f t="shared" si="6"/>
        <v>5.4482540708212346</v>
      </c>
      <c r="AC19" s="50">
        <f t="shared" si="7"/>
        <v>6.2513418665751734</v>
      </c>
      <c r="AD19" s="69"/>
      <c r="AE19" s="50"/>
      <c r="AF19" s="50"/>
      <c r="AG19" s="50">
        <f t="shared" si="11"/>
        <v>4</v>
      </c>
      <c r="AH19">
        <v>4</v>
      </c>
      <c r="AJ19">
        <f t="shared" si="0"/>
        <v>81.09510307906757</v>
      </c>
      <c r="AK19">
        <f t="shared" si="8"/>
        <v>26.738303263101088</v>
      </c>
      <c r="AL19">
        <f t="shared" si="1"/>
        <v>83.936114452802045</v>
      </c>
      <c r="AM19">
        <f t="shared" si="9"/>
        <v>31.178336599111731</v>
      </c>
      <c r="AN19">
        <f t="shared" si="2"/>
        <v>87.153353425639565</v>
      </c>
      <c r="AO19">
        <f t="shared" si="10"/>
        <v>36.206351770530858</v>
      </c>
      <c r="AP19">
        <f t="shared" si="12"/>
        <v>56.283546664379344</v>
      </c>
    </row>
    <row r="20" spans="1:42" x14ac:dyDescent="0.25">
      <c r="A20" s="40" t="s">
        <v>10</v>
      </c>
      <c r="B20" s="58">
        <v>13000</v>
      </c>
      <c r="C20" s="6">
        <v>290</v>
      </c>
      <c r="D20" s="6">
        <v>240</v>
      </c>
      <c r="E20" s="6">
        <v>290</v>
      </c>
      <c r="F20" s="6">
        <v>200</v>
      </c>
      <c r="G20" s="6">
        <v>180</v>
      </c>
      <c r="H20" s="6">
        <v>190</v>
      </c>
      <c r="I20" s="6">
        <v>180</v>
      </c>
      <c r="J20" s="6">
        <v>140</v>
      </c>
      <c r="K20" s="6">
        <v>150</v>
      </c>
      <c r="L20" s="6">
        <v>94</v>
      </c>
      <c r="M20" s="6">
        <v>99</v>
      </c>
      <c r="N20" s="6">
        <v>110</v>
      </c>
      <c r="O20" s="6">
        <v>110</v>
      </c>
      <c r="P20" s="45">
        <v>120</v>
      </c>
      <c r="Q20" s="45">
        <v>140</v>
      </c>
      <c r="R20" s="45">
        <v>150</v>
      </c>
      <c r="S20" s="45">
        <v>93</v>
      </c>
      <c r="T20" s="45">
        <v>74</v>
      </c>
      <c r="U20" s="60">
        <v>74</v>
      </c>
      <c r="V20" s="6"/>
      <c r="W20" s="6"/>
      <c r="X20" s="6"/>
      <c r="Y20" s="50">
        <f t="shared" si="3"/>
        <v>29.508059024969565</v>
      </c>
      <c r="Z20" s="50">
        <f t="shared" si="4"/>
        <v>30.11915832869833</v>
      </c>
      <c r="AA20" s="50">
        <f t="shared" si="5"/>
        <v>31.45463066611201</v>
      </c>
      <c r="AB20" s="50">
        <f t="shared" si="6"/>
        <v>33.007453701746869</v>
      </c>
      <c r="AC20" s="50">
        <f t="shared" si="7"/>
        <v>37.846543399072935</v>
      </c>
      <c r="AD20" s="69"/>
      <c r="AE20" s="50"/>
      <c r="AF20" s="50">
        <v>1.4527796127309145</v>
      </c>
      <c r="AG20" s="50">
        <f>AH20-AF20</f>
        <v>39.547220387269086</v>
      </c>
      <c r="AH20">
        <v>41</v>
      </c>
      <c r="AJ20">
        <f t="shared" si="0"/>
        <v>79.58232277940634</v>
      </c>
      <c r="AK20">
        <f t="shared" si="8"/>
        <v>-26.538638222687013</v>
      </c>
      <c r="AL20">
        <f t="shared" si="1"/>
        <v>83.110973529177045</v>
      </c>
      <c r="AM20">
        <f t="shared" si="9"/>
        <v>-23.281388619238996</v>
      </c>
      <c r="AN20">
        <f t="shared" si="2"/>
        <v>87.213918993076121</v>
      </c>
      <c r="AO20">
        <f t="shared" si="10"/>
        <v>-19.494015361593014</v>
      </c>
      <c r="AP20">
        <f t="shared" si="12"/>
        <v>-7.6913575632367497</v>
      </c>
    </row>
    <row r="21" spans="1:42" x14ac:dyDescent="0.25">
      <c r="A21" s="40" t="s">
        <v>11</v>
      </c>
      <c r="B21" s="58">
        <v>9300</v>
      </c>
      <c r="C21" s="6">
        <v>1400</v>
      </c>
      <c r="D21" s="6">
        <v>210</v>
      </c>
      <c r="E21" s="6">
        <v>91</v>
      </c>
      <c r="F21" s="6">
        <v>47</v>
      </c>
      <c r="G21" s="6">
        <v>38</v>
      </c>
      <c r="H21" s="6">
        <v>36</v>
      </c>
      <c r="I21" s="6">
        <v>29</v>
      </c>
      <c r="J21" s="6">
        <v>23</v>
      </c>
      <c r="K21" s="6">
        <v>21</v>
      </c>
      <c r="L21" s="6">
        <v>18</v>
      </c>
      <c r="M21" s="6">
        <v>18</v>
      </c>
      <c r="N21" s="6">
        <v>14</v>
      </c>
      <c r="O21" s="6">
        <v>14</v>
      </c>
      <c r="P21" s="45">
        <v>15</v>
      </c>
      <c r="Q21" s="45">
        <v>17</v>
      </c>
      <c r="R21" s="45">
        <v>17</v>
      </c>
      <c r="S21" s="45">
        <v>14</v>
      </c>
      <c r="T21" s="45">
        <v>11</v>
      </c>
      <c r="U21" s="60">
        <v>9.3000000000000007</v>
      </c>
      <c r="V21" s="6"/>
      <c r="W21" s="6"/>
      <c r="X21" s="6"/>
      <c r="Y21" s="50">
        <f t="shared" si="3"/>
        <v>21.10961145632438</v>
      </c>
      <c r="Z21" s="50">
        <f t="shared" si="4"/>
        <v>24.059746026049464</v>
      </c>
      <c r="AA21" s="50">
        <f t="shared" si="5"/>
        <v>24.716285110046787</v>
      </c>
      <c r="AB21" s="50">
        <f t="shared" si="6"/>
        <v>24.9887174189912</v>
      </c>
      <c r="AC21" s="50">
        <f t="shared" si="7"/>
        <v>25.622167777656546</v>
      </c>
      <c r="AD21" s="69"/>
      <c r="AE21" s="50"/>
      <c r="AF21" s="50"/>
      <c r="AG21" s="50">
        <f t="shared" si="11"/>
        <v>38</v>
      </c>
      <c r="AH21">
        <v>38</v>
      </c>
      <c r="AJ21">
        <f t="shared" si="0"/>
        <v>93.902070405730569</v>
      </c>
      <c r="AK21">
        <f t="shared" si="8"/>
        <v>-36.684878878817209</v>
      </c>
      <c r="AL21">
        <f t="shared" si="1"/>
        <v>96.464457357898809</v>
      </c>
      <c r="AM21">
        <f t="shared" si="9"/>
        <v>-34.957144447245298</v>
      </c>
      <c r="AN21">
        <f t="shared" si="2"/>
        <v>97.527725350320523</v>
      </c>
      <c r="AO21">
        <f t="shared" si="10"/>
        <v>-34.240217318444209</v>
      </c>
      <c r="AP21">
        <f t="shared" si="12"/>
        <v>-32.573242690377512</v>
      </c>
    </row>
    <row r="22" spans="1:42" x14ac:dyDescent="0.25">
      <c r="A22" s="40" t="s">
        <v>12</v>
      </c>
      <c r="B22" s="6">
        <v>21000</v>
      </c>
      <c r="C22" s="58">
        <v>26000</v>
      </c>
      <c r="D22" s="6">
        <v>15000</v>
      </c>
      <c r="E22" s="6">
        <v>10000</v>
      </c>
      <c r="F22" s="6">
        <v>3800</v>
      </c>
      <c r="G22" s="6">
        <v>2200</v>
      </c>
      <c r="H22" s="6">
        <v>1800</v>
      </c>
      <c r="I22" s="6">
        <v>1200</v>
      </c>
      <c r="J22" s="6">
        <v>850</v>
      </c>
      <c r="K22" s="6">
        <v>610</v>
      </c>
      <c r="L22" s="6">
        <v>450</v>
      </c>
      <c r="M22" s="6">
        <v>350</v>
      </c>
      <c r="N22" s="6">
        <v>250</v>
      </c>
      <c r="O22" s="6">
        <v>220</v>
      </c>
      <c r="P22" s="45">
        <v>200</v>
      </c>
      <c r="Q22" s="45">
        <v>230</v>
      </c>
      <c r="R22" s="45">
        <v>200</v>
      </c>
      <c r="S22" s="45">
        <v>150</v>
      </c>
      <c r="T22" s="45">
        <v>130</v>
      </c>
      <c r="U22" s="60">
        <v>69</v>
      </c>
      <c r="V22" s="6"/>
      <c r="W22" s="6"/>
      <c r="X22" s="6"/>
      <c r="Y22" s="50">
        <f t="shared" si="3"/>
        <v>47.666864578796989</v>
      </c>
      <c r="Z22" s="50">
        <f t="shared" si="4"/>
        <v>102.45507801654857</v>
      </c>
      <c r="AA22" s="50">
        <f t="shared" si="5"/>
        <v>156.98962712323959</v>
      </c>
      <c r="AB22" s="50">
        <f t="shared" si="6"/>
        <v>168.7538537584347</v>
      </c>
      <c r="AC22" s="50">
        <f t="shared" si="7"/>
        <v>175.88014760485851</v>
      </c>
      <c r="AD22" s="69"/>
      <c r="AE22" s="50"/>
      <c r="AF22" s="50">
        <v>2.4211796127309144</v>
      </c>
      <c r="AG22" s="50">
        <f t="shared" si="11"/>
        <v>237.57882038726908</v>
      </c>
      <c r="AH22">
        <v>240</v>
      </c>
      <c r="AJ22">
        <f t="shared" si="0"/>
        <v>58.25278146043491</v>
      </c>
      <c r="AK22">
        <f t="shared" si="8"/>
        <v>-57.310384159771424</v>
      </c>
      <c r="AL22">
        <f t="shared" si="1"/>
        <v>89.25943562200132</v>
      </c>
      <c r="AM22">
        <f t="shared" si="9"/>
        <v>-34.587655365316834</v>
      </c>
      <c r="AN22">
        <f t="shared" si="2"/>
        <v>95.948210219589924</v>
      </c>
      <c r="AO22">
        <f t="shared" si="10"/>
        <v>-29.685894267318886</v>
      </c>
      <c r="AP22">
        <f t="shared" si="12"/>
        <v>-26.716605164642289</v>
      </c>
    </row>
    <row r="23" spans="1:42" x14ac:dyDescent="0.25">
      <c r="A23" s="40" t="s">
        <v>13</v>
      </c>
      <c r="B23" s="6">
        <v>400</v>
      </c>
      <c r="C23" s="6">
        <v>520</v>
      </c>
      <c r="D23" s="6">
        <v>490</v>
      </c>
      <c r="E23" s="58">
        <v>590</v>
      </c>
      <c r="F23" s="6">
        <v>400</v>
      </c>
      <c r="G23" s="6">
        <v>400</v>
      </c>
      <c r="H23" s="6">
        <v>490</v>
      </c>
      <c r="I23" s="6">
        <v>480</v>
      </c>
      <c r="J23" s="6">
        <v>400</v>
      </c>
      <c r="K23" s="6">
        <v>410</v>
      </c>
      <c r="L23" s="6">
        <v>390</v>
      </c>
      <c r="M23" s="6">
        <v>330</v>
      </c>
      <c r="N23" s="6">
        <v>290</v>
      </c>
      <c r="O23" s="6">
        <v>260</v>
      </c>
      <c r="P23" s="45">
        <v>380</v>
      </c>
      <c r="Q23" s="45">
        <v>370</v>
      </c>
      <c r="R23" s="45">
        <v>290</v>
      </c>
      <c r="S23" s="45">
        <v>170</v>
      </c>
      <c r="T23" s="45">
        <v>130</v>
      </c>
      <c r="U23" s="60">
        <v>98</v>
      </c>
      <c r="V23" s="6"/>
      <c r="W23" s="6"/>
      <c r="X23" s="6"/>
      <c r="Y23" s="50">
        <f t="shared" si="3"/>
        <v>0.9079402776913712</v>
      </c>
      <c r="Z23" s="50">
        <f t="shared" si="4"/>
        <v>2.0037045464464027</v>
      </c>
      <c r="AA23" s="50">
        <f t="shared" si="5"/>
        <v>4.7139669439463816</v>
      </c>
      <c r="AB23" s="50">
        <f t="shared" si="6"/>
        <v>8.9449124449487467</v>
      </c>
      <c r="AC23" s="50">
        <f t="shared" si="7"/>
        <v>18.130290321379519</v>
      </c>
      <c r="AD23" s="69"/>
      <c r="AE23" s="50"/>
      <c r="AF23" s="50">
        <v>1.7940976852882262</v>
      </c>
      <c r="AG23" s="50">
        <f t="shared" si="11"/>
        <v>42.205902314711771</v>
      </c>
      <c r="AH23">
        <v>44</v>
      </c>
      <c r="AJ23">
        <f t="shared" si="0"/>
        <v>11.051695868783764</v>
      </c>
      <c r="AK23">
        <f t="shared" si="8"/>
        <v>-95.446126030803626</v>
      </c>
      <c r="AL23">
        <f t="shared" si="1"/>
        <v>26.000504461793415</v>
      </c>
      <c r="AM23">
        <f t="shared" si="9"/>
        <v>-89.286438763758227</v>
      </c>
      <c r="AN23">
        <f t="shared" si="2"/>
        <v>49.336840648385909</v>
      </c>
      <c r="AO23">
        <f t="shared" si="10"/>
        <v>-79.670653534207389</v>
      </c>
      <c r="AP23">
        <f t="shared" si="12"/>
        <v>-58.794794724137454</v>
      </c>
    </row>
    <row r="24" spans="1:42" x14ac:dyDescent="0.25">
      <c r="A24" s="40" t="s">
        <v>14</v>
      </c>
      <c r="B24" s="6">
        <v>120</v>
      </c>
      <c r="C24" s="6">
        <v>140</v>
      </c>
      <c r="D24" s="6">
        <v>130</v>
      </c>
      <c r="E24" s="6">
        <v>150</v>
      </c>
      <c r="F24" s="58">
        <v>150</v>
      </c>
      <c r="G24" s="6">
        <v>140</v>
      </c>
      <c r="H24" s="58">
        <v>150</v>
      </c>
      <c r="I24" s="6">
        <v>150</v>
      </c>
      <c r="J24" s="6">
        <v>130</v>
      </c>
      <c r="K24" s="6">
        <v>140</v>
      </c>
      <c r="L24" s="6">
        <v>140</v>
      </c>
      <c r="M24" s="6">
        <v>130</v>
      </c>
      <c r="N24" s="6">
        <v>130</v>
      </c>
      <c r="O24" s="6">
        <v>120</v>
      </c>
      <c r="P24" s="45">
        <v>96</v>
      </c>
      <c r="Q24" s="45">
        <v>110</v>
      </c>
      <c r="R24" s="45">
        <v>85</v>
      </c>
      <c r="S24" s="45">
        <v>47</v>
      </c>
      <c r="T24" s="45">
        <v>36</v>
      </c>
      <c r="U24" s="60">
        <v>79</v>
      </c>
      <c r="V24" s="6"/>
      <c r="W24" s="6"/>
      <c r="X24" s="6"/>
      <c r="Y24" s="50">
        <f t="shared" si="3"/>
        <v>0.27238208330741137</v>
      </c>
      <c r="Z24" s="50">
        <f t="shared" si="4"/>
        <v>0.56739554027991979</v>
      </c>
      <c r="AA24" s="50">
        <f t="shared" si="5"/>
        <v>1.3374490394641911</v>
      </c>
      <c r="AB24" s="50">
        <f t="shared" si="6"/>
        <v>2.7389084155175123</v>
      </c>
      <c r="AC24" s="50">
        <f t="shared" si="7"/>
        <v>6.6754232758500605</v>
      </c>
      <c r="AD24" s="69"/>
      <c r="AE24" s="50"/>
      <c r="AF24" s="50">
        <v>16.929038726908523</v>
      </c>
      <c r="AG24" s="50">
        <f t="shared" si="11"/>
        <v>47.070961273091477</v>
      </c>
      <c r="AH24">
        <v>64</v>
      </c>
      <c r="AJ24">
        <f t="shared" si="0"/>
        <v>8.4997687312594667</v>
      </c>
      <c r="AK24">
        <f t="shared" si="8"/>
        <v>-99.113444468312622</v>
      </c>
      <c r="AL24">
        <f t="shared" si="1"/>
        <v>20.035419241544318</v>
      </c>
      <c r="AM24">
        <f t="shared" si="9"/>
        <v>-97.910235875837202</v>
      </c>
      <c r="AN24">
        <f t="shared" si="2"/>
        <v>41.029734030891618</v>
      </c>
      <c r="AO24">
        <f t="shared" si="10"/>
        <v>-95.720455600753894</v>
      </c>
      <c r="AP24">
        <f t="shared" si="12"/>
        <v>-89.569651131484278</v>
      </c>
    </row>
    <row r="25" spans="1:42" x14ac:dyDescent="0.25">
      <c r="A25" s="23" t="s">
        <v>15</v>
      </c>
      <c r="B25" s="8">
        <v>22</v>
      </c>
      <c r="C25" s="8">
        <v>10</v>
      </c>
      <c r="D25" s="8">
        <v>10</v>
      </c>
      <c r="E25" s="8">
        <v>9</v>
      </c>
      <c r="F25" s="8">
        <v>34</v>
      </c>
      <c r="G25" s="8">
        <v>12</v>
      </c>
      <c r="H25" s="8">
        <v>7.3</v>
      </c>
      <c r="I25" s="8">
        <v>6.2</v>
      </c>
      <c r="J25" s="8">
        <v>4.5999999999999996</v>
      </c>
      <c r="K25" s="8">
        <v>4.8</v>
      </c>
      <c r="L25" s="8">
        <v>5</v>
      </c>
      <c r="M25" s="8">
        <v>4.8</v>
      </c>
      <c r="N25" s="8">
        <v>8.8000000000000007</v>
      </c>
      <c r="O25" s="8">
        <v>7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61">
        <v>1.7</v>
      </c>
      <c r="V25" s="8"/>
      <c r="W25" s="8"/>
      <c r="X25" s="8"/>
      <c r="Y25" s="50">
        <f t="shared" si="3"/>
        <v>4.9936715273025414E-2</v>
      </c>
      <c r="Z25" s="50">
        <f t="shared" si="4"/>
        <v>7.1009105056776017E-2</v>
      </c>
      <c r="AA25" s="50">
        <f t="shared" si="5"/>
        <v>0.15796136887843548</v>
      </c>
      <c r="AB25" s="50">
        <f>(B25*$B$47+C25*$C$47+D25*$D$47+E25*$E$47+F25*$F$47+G25*$G$47+H25*$H$47+I25*$I$47+J25*$J$47+K25*$K$47+L25*$L$47)/1000/$E$8</f>
        <v>0.22457719768355286</v>
      </c>
      <c r="AC25" s="50">
        <f t="shared" si="7"/>
        <v>0.30052825678002054</v>
      </c>
      <c r="AD25" s="69"/>
      <c r="AE25" s="50"/>
      <c r="AF25" s="50">
        <v>8.6091974182060973</v>
      </c>
      <c r="AG25" s="50">
        <f t="shared" si="11"/>
        <v>-8.6091974182060973</v>
      </c>
    </row>
    <row r="26" spans="1:42" x14ac:dyDescent="0.25">
      <c r="A26" s="23" t="s">
        <v>16</v>
      </c>
      <c r="B26" s="8">
        <v>13</v>
      </c>
      <c r="C26" s="8">
        <v>3</v>
      </c>
      <c r="D26" s="8">
        <v>2</v>
      </c>
      <c r="E26" s="8">
        <v>2</v>
      </c>
      <c r="F26" s="8">
        <v>29</v>
      </c>
      <c r="G26" s="8">
        <v>7</v>
      </c>
      <c r="H26" s="8">
        <v>3.6</v>
      </c>
      <c r="I26" s="8">
        <v>2.7</v>
      </c>
      <c r="J26" s="8">
        <v>2</v>
      </c>
      <c r="K26" s="8">
        <v>1.8</v>
      </c>
      <c r="L26" s="8">
        <v>1.7</v>
      </c>
      <c r="M26" s="8">
        <v>1.7</v>
      </c>
      <c r="N26" s="8">
        <v>2.2999999999999998</v>
      </c>
      <c r="O26" s="8">
        <v>2.1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61">
        <v>1.3</v>
      </c>
      <c r="V26" s="8"/>
      <c r="W26" s="8"/>
      <c r="X26" s="8"/>
      <c r="Y26" s="50">
        <f t="shared" si="3"/>
        <v>2.9508059024969561E-2</v>
      </c>
      <c r="Z26" s="50">
        <f t="shared" si="4"/>
        <v>3.5829775960094741E-2</v>
      </c>
      <c r="AA26" s="50">
        <f t="shared" si="5"/>
        <v>8.6026819163545959E-2</v>
      </c>
      <c r="AB26" s="50">
        <f t="shared" si="6"/>
        <v>0.11757831568938604</v>
      </c>
      <c r="AC26" s="50">
        <f t="shared" si="7"/>
        <v>0.15697729449157849</v>
      </c>
      <c r="AD26" s="69"/>
      <c r="AE26" s="50"/>
      <c r="AF26" s="50">
        <v>6.376736901847317</v>
      </c>
      <c r="AG26" s="50">
        <f t="shared" si="11"/>
        <v>-6.376736901847317</v>
      </c>
    </row>
    <row r="27" spans="1:42" x14ac:dyDescent="0.25">
      <c r="A27" s="3" t="s">
        <v>17</v>
      </c>
      <c r="B27" s="6">
        <v>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5">
        <v>0</v>
      </c>
      <c r="Q27" s="45">
        <v>0</v>
      </c>
      <c r="R27" s="45">
        <v>0</v>
      </c>
      <c r="S27" s="45">
        <v>0</v>
      </c>
      <c r="T27" s="45">
        <v>2.6</v>
      </c>
      <c r="U27" s="60">
        <v>3.9</v>
      </c>
      <c r="V27" s="6"/>
      <c r="W27" s="6"/>
      <c r="X27" s="6"/>
      <c r="Y27" s="50">
        <f t="shared" si="3"/>
        <v>6.8095520826852848E-3</v>
      </c>
      <c r="Z27" s="50">
        <f t="shared" si="4"/>
        <v>6.8095520826852848E-3</v>
      </c>
      <c r="AA27" s="50">
        <f t="shared" si="5"/>
        <v>6.8095520826852848E-3</v>
      </c>
      <c r="AB27" s="50">
        <f t="shared" si="6"/>
        <v>6.8095520826852848E-3</v>
      </c>
      <c r="AC27" s="50">
        <f t="shared" si="7"/>
        <v>0.10818229248591624</v>
      </c>
      <c r="AD27" s="69"/>
      <c r="AE27" s="50"/>
      <c r="AF27" s="50"/>
      <c r="AG27" s="50"/>
    </row>
    <row r="28" spans="1:42" x14ac:dyDescent="0.25">
      <c r="A28" s="3" t="s">
        <v>18</v>
      </c>
      <c r="B28" s="6">
        <v>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60">
        <v>0</v>
      </c>
      <c r="V28" s="6"/>
      <c r="W28" s="6"/>
      <c r="X28" s="6"/>
      <c r="Y28" s="50">
        <f t="shared" si="3"/>
        <v>4.5397013884568562E-3</v>
      </c>
      <c r="Z28" s="50">
        <f t="shared" si="4"/>
        <v>4.5397013884568562E-3</v>
      </c>
      <c r="AA28" s="50">
        <f t="shared" si="5"/>
        <v>4.5397013884568562E-3</v>
      </c>
      <c r="AB28" s="50">
        <f t="shared" si="6"/>
        <v>4.5397013884568562E-3</v>
      </c>
      <c r="AC28" s="50">
        <f t="shared" si="7"/>
        <v>4.5397013884568562E-3</v>
      </c>
      <c r="AD28" s="69"/>
      <c r="AE28" s="50"/>
      <c r="AF28" s="50"/>
      <c r="AG28" s="50"/>
    </row>
    <row r="29" spans="1:42" x14ac:dyDescent="0.25">
      <c r="A29" s="40" t="s">
        <v>19</v>
      </c>
      <c r="B29" s="6">
        <v>26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60">
        <v>0</v>
      </c>
      <c r="V29" s="6"/>
      <c r="W29" s="6"/>
      <c r="X29" s="6"/>
      <c r="Y29" s="50">
        <f t="shared" si="3"/>
        <v>5.9016118049939122E-2</v>
      </c>
      <c r="Z29" s="50">
        <f t="shared" si="4"/>
        <v>5.9016118049939122E-2</v>
      </c>
      <c r="AA29" s="50">
        <f t="shared" si="5"/>
        <v>5.9016118049939122E-2</v>
      </c>
      <c r="AB29" s="50">
        <f t="shared" si="6"/>
        <v>5.9016118049939122E-2</v>
      </c>
      <c r="AC29" s="50">
        <f t="shared" si="7"/>
        <v>5.9016118049939122E-2</v>
      </c>
      <c r="AD29" s="69"/>
      <c r="AE29" s="50"/>
      <c r="AF29" s="50"/>
      <c r="AG29" s="50"/>
    </row>
    <row r="30" spans="1:42" x14ac:dyDescent="0.25">
      <c r="A30" s="3" t="s">
        <v>20</v>
      </c>
      <c r="B30" s="6">
        <v>74</v>
      </c>
      <c r="C30" s="6">
        <v>26</v>
      </c>
      <c r="D30" s="6">
        <v>4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60">
        <v>0</v>
      </c>
      <c r="V30" s="6"/>
      <c r="W30" s="6"/>
      <c r="X30" s="6"/>
      <c r="Y30" s="50">
        <f t="shared" si="3"/>
        <v>0.16796895137290366</v>
      </c>
      <c r="Z30" s="50">
        <f t="shared" si="4"/>
        <v>0.22275716481065522</v>
      </c>
      <c r="AA30" s="50">
        <f t="shared" si="5"/>
        <v>0.23448858067822953</v>
      </c>
      <c r="AB30" s="50">
        <f t="shared" si="6"/>
        <v>0.23448858067822953</v>
      </c>
      <c r="AC30" s="50">
        <f t="shared" si="7"/>
        <v>0.23448858067822953</v>
      </c>
      <c r="AD30" s="69"/>
      <c r="AE30" s="50"/>
      <c r="AF30" s="50"/>
      <c r="AG30" s="50"/>
    </row>
    <row r="31" spans="1:42" x14ac:dyDescent="0.25">
      <c r="A31" s="40" t="s">
        <v>21</v>
      </c>
      <c r="B31" s="58">
        <v>30000</v>
      </c>
      <c r="C31" s="6">
        <v>23000</v>
      </c>
      <c r="D31" s="6">
        <v>9900</v>
      </c>
      <c r="E31" s="6">
        <v>5100</v>
      </c>
      <c r="F31" s="6">
        <v>1700</v>
      </c>
      <c r="G31" s="6">
        <v>540</v>
      </c>
      <c r="H31" s="6">
        <v>730</v>
      </c>
      <c r="I31" s="6">
        <v>510</v>
      </c>
      <c r="J31" s="6">
        <v>350</v>
      </c>
      <c r="K31" s="6">
        <v>250</v>
      </c>
      <c r="L31" s="6">
        <v>190</v>
      </c>
      <c r="M31" s="6">
        <v>150</v>
      </c>
      <c r="N31" s="6">
        <v>110</v>
      </c>
      <c r="O31" s="6">
        <v>93</v>
      </c>
      <c r="P31" s="45">
        <v>61</v>
      </c>
      <c r="Q31" s="45">
        <v>68</v>
      </c>
      <c r="R31" s="45">
        <v>52</v>
      </c>
      <c r="S31" s="45">
        <v>40</v>
      </c>
      <c r="T31" s="45">
        <v>29</v>
      </c>
      <c r="U31" s="60">
        <v>31</v>
      </c>
      <c r="V31" s="6"/>
      <c r="W31" s="6"/>
      <c r="X31" s="6"/>
      <c r="Y31" s="50">
        <f t="shared" si="3"/>
        <v>68.095520826852848</v>
      </c>
      <c r="Z31" s="50">
        <f t="shared" si="4"/>
        <v>116.56201732947923</v>
      </c>
      <c r="AA31" s="50">
        <f t="shared" si="5"/>
        <v>148.37856597932492</v>
      </c>
      <c r="AB31" s="50">
        <f t="shared" si="6"/>
        <v>152.57591251830399</v>
      </c>
      <c r="AC31" s="50">
        <f t="shared" si="7"/>
        <v>154.98105964110715</v>
      </c>
      <c r="AD31" s="69"/>
      <c r="AE31" s="50"/>
      <c r="AF31" s="50">
        <v>1.5072381927442686</v>
      </c>
      <c r="AG31" s="50">
        <f t="shared" si="11"/>
        <v>238.49276180725573</v>
      </c>
      <c r="AH31">
        <v>240</v>
      </c>
      <c r="AJ31">
        <f>Z31/AC31*100</f>
        <v>75.210491913917949</v>
      </c>
      <c r="AK31">
        <f>Z31/AH31*100-100</f>
        <v>-51.432492779383651</v>
      </c>
      <c r="AL31">
        <f>AA31/AC31*100</f>
        <v>95.739806091743233</v>
      </c>
      <c r="AM31">
        <f>AA31/AH31*100-100</f>
        <v>-38.175597508614622</v>
      </c>
      <c r="AN31">
        <f>AB31/AC31*100</f>
        <v>98.448102543386398</v>
      </c>
      <c r="AO31">
        <f>AB31/AH31*100-100</f>
        <v>-36.426703117373336</v>
      </c>
      <c r="AP31">
        <f>AC31/AH31*100-100</f>
        <v>-35.424558482872015</v>
      </c>
    </row>
    <row r="32" spans="1:42" x14ac:dyDescent="0.25">
      <c r="A32" s="3" t="s">
        <v>22</v>
      </c>
      <c r="B32" s="6">
        <v>13</v>
      </c>
      <c r="C32" s="6">
        <v>26</v>
      </c>
      <c r="D32" s="6">
        <v>16</v>
      </c>
      <c r="E32" s="6">
        <v>13</v>
      </c>
      <c r="F32" s="6">
        <v>4</v>
      </c>
      <c r="G32" s="6">
        <v>4</v>
      </c>
      <c r="H32" s="6">
        <v>2</v>
      </c>
      <c r="I32" s="6">
        <v>1.9</v>
      </c>
      <c r="J32" s="6">
        <v>1.6</v>
      </c>
      <c r="K32" s="6">
        <v>1.4</v>
      </c>
      <c r="L32" s="6">
        <v>1.3</v>
      </c>
      <c r="M32" s="6">
        <v>1.2</v>
      </c>
      <c r="N32" s="6">
        <v>0</v>
      </c>
      <c r="O32" s="6">
        <v>0</v>
      </c>
      <c r="P32" s="45">
        <v>0</v>
      </c>
      <c r="Q32" s="45">
        <v>1.2</v>
      </c>
      <c r="R32" s="45">
        <v>0</v>
      </c>
      <c r="S32" s="45">
        <v>0</v>
      </c>
      <c r="T32" s="45">
        <v>0</v>
      </c>
      <c r="U32" s="60">
        <v>0</v>
      </c>
      <c r="V32" s="6"/>
      <c r="W32" s="6"/>
      <c r="X32" s="6"/>
      <c r="Y32" s="50">
        <f t="shared" si="3"/>
        <v>2.9508059024969561E-2</v>
      </c>
      <c r="Z32" s="50">
        <f t="shared" si="4"/>
        <v>8.4296272462721131E-2</v>
      </c>
      <c r="AA32" s="50">
        <f t="shared" si="5"/>
        <v>0.1470502222013815</v>
      </c>
      <c r="AB32" s="50">
        <f t="shared" si="6"/>
        <v>0.16752686631053784</v>
      </c>
      <c r="AC32" s="50">
        <f t="shared" si="7"/>
        <v>0.17169658874916319</v>
      </c>
      <c r="AD32" s="69"/>
      <c r="AE32" s="50"/>
      <c r="AF32" s="50"/>
      <c r="AG32" s="50"/>
    </row>
    <row r="33" spans="1:42" x14ac:dyDescent="0.25">
      <c r="A33" s="3" t="s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60">
        <v>0</v>
      </c>
      <c r="V33" s="6"/>
      <c r="W33" s="6"/>
      <c r="X33" s="6"/>
      <c r="Y33" s="50">
        <f t="shared" si="3"/>
        <v>0</v>
      </c>
      <c r="Z33" s="50">
        <f t="shared" si="4"/>
        <v>0</v>
      </c>
      <c r="AA33" s="50">
        <f t="shared" si="5"/>
        <v>0</v>
      </c>
      <c r="AB33" s="50">
        <f t="shared" si="6"/>
        <v>0</v>
      </c>
      <c r="AC33" s="50">
        <f t="shared" si="7"/>
        <v>0</v>
      </c>
      <c r="AD33" s="69"/>
      <c r="AE33" s="50"/>
      <c r="AF33" s="50"/>
      <c r="AG33" s="50"/>
    </row>
    <row r="34" spans="1:42" x14ac:dyDescent="0.25">
      <c r="A34" s="3" t="s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1.7</v>
      </c>
      <c r="O34" s="6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60">
        <v>0</v>
      </c>
      <c r="V34" s="6"/>
      <c r="W34" s="6"/>
      <c r="X34" s="6"/>
      <c r="Y34" s="50">
        <f t="shared" si="3"/>
        <v>0</v>
      </c>
      <c r="Z34" s="50">
        <f t="shared" si="4"/>
        <v>0</v>
      </c>
      <c r="AA34" s="50">
        <f t="shared" si="5"/>
        <v>0</v>
      </c>
      <c r="AB34" s="50">
        <f t="shared" si="6"/>
        <v>0</v>
      </c>
      <c r="AC34" s="50">
        <f t="shared" si="7"/>
        <v>3.8718496013281935E-3</v>
      </c>
      <c r="AD34" s="70"/>
      <c r="AE34" s="50"/>
      <c r="AF34" s="50"/>
      <c r="AG34" s="50"/>
    </row>
    <row r="35" spans="1:42" x14ac:dyDescent="0.25">
      <c r="A35" s="3" t="s">
        <v>25</v>
      </c>
      <c r="B35" s="6">
        <v>24</v>
      </c>
      <c r="C35" s="6">
        <v>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60">
        <v>0</v>
      </c>
      <c r="V35" s="6"/>
      <c r="W35" s="6"/>
      <c r="X35" s="6"/>
      <c r="Y35" s="50">
        <f t="shared" si="3"/>
        <v>5.4476416661482278E-2</v>
      </c>
      <c r="Z35" s="50">
        <f t="shared" si="4"/>
        <v>6.9227089510107684E-2</v>
      </c>
      <c r="AA35" s="50">
        <f t="shared" si="5"/>
        <v>6.9227089510107684E-2</v>
      </c>
      <c r="AB35" s="50">
        <f t="shared" si="6"/>
        <v>6.9227089510107684E-2</v>
      </c>
      <c r="AC35" s="50">
        <f t="shared" si="7"/>
        <v>6.9227089510107684E-2</v>
      </c>
      <c r="AD35" s="70"/>
      <c r="AE35" s="50"/>
      <c r="AF35" s="50"/>
      <c r="AG35" s="50"/>
    </row>
    <row r="36" spans="1:42" x14ac:dyDescent="0.25">
      <c r="A36" s="3" t="s">
        <v>26</v>
      </c>
      <c r="B36" s="6">
        <v>0</v>
      </c>
      <c r="C36" s="6">
        <v>0</v>
      </c>
      <c r="D36" s="6">
        <v>8</v>
      </c>
      <c r="E36" s="6">
        <v>4</v>
      </c>
      <c r="F36" s="6">
        <v>3</v>
      </c>
      <c r="G36" s="6">
        <v>2</v>
      </c>
      <c r="H36" s="6">
        <v>1.4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60">
        <v>0</v>
      </c>
      <c r="V36" s="6"/>
      <c r="W36" s="6"/>
      <c r="X36" s="6"/>
      <c r="Y36" s="50">
        <f t="shared" si="3"/>
        <v>0</v>
      </c>
      <c r="Z36" s="50">
        <f t="shared" si="4"/>
        <v>0</v>
      </c>
      <c r="AA36" s="50">
        <f t="shared" si="5"/>
        <v>2.7842159183658309E-2</v>
      </c>
      <c r="AB36" s="50">
        <f t="shared" si="6"/>
        <v>3.3356884398640235E-2</v>
      </c>
      <c r="AC36" s="50">
        <f t="shared" si="7"/>
        <v>3.3356884398640235E-2</v>
      </c>
      <c r="AD36" s="70"/>
      <c r="AE36" s="50"/>
      <c r="AF36" s="50"/>
      <c r="AG36" s="50"/>
    </row>
    <row r="37" spans="1:42" x14ac:dyDescent="0.25">
      <c r="A37" s="5" t="s">
        <v>27</v>
      </c>
      <c r="B37" s="8">
        <v>260</v>
      </c>
      <c r="C37" s="8">
        <v>400</v>
      </c>
      <c r="D37" s="8">
        <v>450</v>
      </c>
      <c r="E37" s="59">
        <v>500</v>
      </c>
      <c r="F37" s="8">
        <v>300</v>
      </c>
      <c r="G37" s="8">
        <v>330</v>
      </c>
      <c r="H37" s="8">
        <v>520</v>
      </c>
      <c r="I37" s="8">
        <v>510</v>
      </c>
      <c r="J37" s="8">
        <v>350</v>
      </c>
      <c r="K37" s="8">
        <v>300</v>
      </c>
      <c r="L37" s="8">
        <v>280</v>
      </c>
      <c r="M37" s="8">
        <v>220</v>
      </c>
      <c r="N37" s="8">
        <v>150</v>
      </c>
      <c r="O37" s="8">
        <v>140</v>
      </c>
      <c r="P37" s="47">
        <v>120</v>
      </c>
      <c r="Q37" s="47">
        <v>140</v>
      </c>
      <c r="R37" s="47">
        <v>90</v>
      </c>
      <c r="S37" s="47">
        <v>70</v>
      </c>
      <c r="T37" s="47">
        <v>51</v>
      </c>
      <c r="U37" s="61">
        <v>71</v>
      </c>
      <c r="V37" s="8"/>
      <c r="W37" s="8"/>
      <c r="X37" s="8"/>
      <c r="Y37" s="50">
        <f t="shared" si="3"/>
        <v>0.59016118049939126</v>
      </c>
      <c r="Z37" s="50">
        <f t="shared" si="4"/>
        <v>1.4330567718494154</v>
      </c>
      <c r="AA37" s="50">
        <f t="shared" si="5"/>
        <v>3.7401788670050906</v>
      </c>
      <c r="AB37" s="50">
        <f t="shared" si="6"/>
        <v>7.5013928275288295</v>
      </c>
      <c r="AC37" s="50">
        <f t="shared" si="7"/>
        <v>11.907710091243706</v>
      </c>
      <c r="AD37" s="70"/>
      <c r="AE37" s="50"/>
      <c r="AF37" s="50">
        <v>1.1576579345648785</v>
      </c>
      <c r="AG37" s="50">
        <f t="shared" si="11"/>
        <v>24.842342065435123</v>
      </c>
      <c r="AH37">
        <v>26</v>
      </c>
      <c r="AJ37">
        <f>Z37/AC37*100</f>
        <v>12.034696519049525</v>
      </c>
      <c r="AK37">
        <f>Z37/AH37*100-100</f>
        <v>-94.488243185194563</v>
      </c>
      <c r="AL37">
        <f>AA37/AC37*100</f>
        <v>31.409723938067813</v>
      </c>
      <c r="AM37">
        <f>AA37/AH37*100-100</f>
        <v>-85.614696665365031</v>
      </c>
      <c r="AN37">
        <f>AB37/AC37*100</f>
        <v>62.996098914475198</v>
      </c>
      <c r="AO37">
        <f>AB37/AH37*100-100</f>
        <v>-71.148489124889124</v>
      </c>
      <c r="AP37">
        <f>AC37/AH37*100-100</f>
        <v>-54.201115033678057</v>
      </c>
    </row>
    <row r="38" spans="1:42" x14ac:dyDescent="0.25">
      <c r="A38" s="5" t="s">
        <v>28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61">
        <v>0</v>
      </c>
      <c r="V38" s="8"/>
      <c r="W38" s="8"/>
      <c r="X38" s="8"/>
      <c r="Y38" s="50">
        <f t="shared" si="3"/>
        <v>0</v>
      </c>
      <c r="Z38" s="50">
        <f t="shared" si="4"/>
        <v>0</v>
      </c>
      <c r="AA38" s="50">
        <f t="shared" si="5"/>
        <v>0</v>
      </c>
      <c r="AB38" s="50">
        <f t="shared" si="6"/>
        <v>0</v>
      </c>
      <c r="AC38" s="50">
        <f t="shared" si="7"/>
        <v>0</v>
      </c>
      <c r="AD38" s="70"/>
      <c r="AE38" s="50"/>
      <c r="AF38" s="50"/>
      <c r="AG38" s="50"/>
    </row>
    <row r="39" spans="1:42" x14ac:dyDescent="0.25">
      <c r="A39" s="5" t="s">
        <v>29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61">
        <v>0</v>
      </c>
      <c r="V39" s="8"/>
      <c r="W39" s="8"/>
      <c r="X39" s="8"/>
      <c r="Y39" s="50">
        <f t="shared" si="3"/>
        <v>0</v>
      </c>
      <c r="Z39" s="50">
        <f t="shared" si="4"/>
        <v>0</v>
      </c>
      <c r="AA39" s="50">
        <f t="shared" si="5"/>
        <v>0</v>
      </c>
      <c r="AB39" s="50">
        <f t="shared" si="6"/>
        <v>0</v>
      </c>
      <c r="AC39" s="50">
        <f t="shared" si="7"/>
        <v>0</v>
      </c>
      <c r="AD39" s="70"/>
      <c r="AE39" s="50"/>
      <c r="AF39" s="50"/>
      <c r="AG39" s="50"/>
    </row>
    <row r="40" spans="1:42" x14ac:dyDescent="0.25">
      <c r="A40" s="5" t="s">
        <v>30</v>
      </c>
      <c r="B40" s="8">
        <v>610</v>
      </c>
      <c r="C40" s="59">
        <v>700</v>
      </c>
      <c r="D40" s="8">
        <v>530</v>
      </c>
      <c r="E40" s="8">
        <v>530</v>
      </c>
      <c r="F40" s="8">
        <v>270</v>
      </c>
      <c r="G40" s="8">
        <v>250</v>
      </c>
      <c r="H40" s="8">
        <v>180</v>
      </c>
      <c r="I40" s="8">
        <v>170</v>
      </c>
      <c r="J40" s="8">
        <v>160</v>
      </c>
      <c r="K40" s="8">
        <v>140</v>
      </c>
      <c r="L40" s="8">
        <v>130</v>
      </c>
      <c r="M40" s="8">
        <v>97</v>
      </c>
      <c r="N40" s="8">
        <v>90</v>
      </c>
      <c r="O40" s="8">
        <v>75</v>
      </c>
      <c r="P40" s="47">
        <v>16</v>
      </c>
      <c r="Q40" s="47">
        <v>17</v>
      </c>
      <c r="R40" s="47">
        <v>12</v>
      </c>
      <c r="S40" s="47">
        <v>14</v>
      </c>
      <c r="T40" s="47">
        <v>9.1999999999999993</v>
      </c>
      <c r="U40" s="61">
        <v>28</v>
      </c>
      <c r="V40" s="8"/>
      <c r="W40" s="8"/>
      <c r="X40" s="8"/>
      <c r="Y40" s="50">
        <f t="shared" si="3"/>
        <v>1.3846089234793408</v>
      </c>
      <c r="Z40" s="50">
        <f t="shared" si="4"/>
        <v>2.8596762083418832</v>
      </c>
      <c r="AA40" s="50">
        <f t="shared" si="5"/>
        <v>5.3376549803565805</v>
      </c>
      <c r="AB40" s="50">
        <f t="shared" si="6"/>
        <v>7.045896028231553</v>
      </c>
      <c r="AC40" s="50">
        <f t="shared" si="7"/>
        <v>8.449532859698353</v>
      </c>
      <c r="AD40" s="70"/>
      <c r="AE40" s="50"/>
      <c r="AF40" s="50"/>
      <c r="AG40" s="50"/>
      <c r="AJ40">
        <f>Z40/AC40*100</f>
        <v>33.844192996534169</v>
      </c>
      <c r="AL40">
        <f>AA40/AC40*100</f>
        <v>63.171006835366448</v>
      </c>
      <c r="AN40">
        <f>AB40/AC40*100</f>
        <v>83.387994877661086</v>
      </c>
    </row>
    <row r="41" spans="1:42" x14ac:dyDescent="0.25">
      <c r="A41" s="5" t="s">
        <v>31</v>
      </c>
      <c r="B41" s="8">
        <v>160</v>
      </c>
      <c r="C41" s="8">
        <v>210</v>
      </c>
      <c r="D41" s="8">
        <v>170</v>
      </c>
      <c r="E41" s="8">
        <v>190</v>
      </c>
      <c r="F41" s="8">
        <v>92</v>
      </c>
      <c r="G41" s="8">
        <v>89</v>
      </c>
      <c r="H41" s="8">
        <v>73</v>
      </c>
      <c r="I41" s="8">
        <v>71</v>
      </c>
      <c r="J41" s="8">
        <v>53</v>
      </c>
      <c r="K41" s="8">
        <v>50</v>
      </c>
      <c r="L41" s="8">
        <v>44</v>
      </c>
      <c r="M41" s="8">
        <v>40</v>
      </c>
      <c r="N41" s="8">
        <v>31</v>
      </c>
      <c r="O41" s="8">
        <v>31</v>
      </c>
      <c r="P41" s="47">
        <v>44</v>
      </c>
      <c r="Q41" s="47">
        <v>49</v>
      </c>
      <c r="R41" s="47">
        <v>33</v>
      </c>
      <c r="S41" s="47">
        <v>20</v>
      </c>
      <c r="T41" s="47">
        <v>17</v>
      </c>
      <c r="U41" s="61">
        <v>8.6999999999999993</v>
      </c>
      <c r="V41" s="8"/>
      <c r="W41" s="8"/>
      <c r="X41" s="8"/>
      <c r="Y41" s="50">
        <f t="shared" si="3"/>
        <v>0.36317611107654846</v>
      </c>
      <c r="Z41" s="50">
        <f t="shared" si="4"/>
        <v>0.80569629653531116</v>
      </c>
      <c r="AA41" s="50">
        <f t="shared" si="5"/>
        <v>1.6483536890722044</v>
      </c>
      <c r="AB41" s="50">
        <f t="shared" si="6"/>
        <v>2.2804003157757404</v>
      </c>
      <c r="AC41" s="50">
        <f t="shared" si="7"/>
        <v>3.3073605341236507</v>
      </c>
      <c r="AD41" s="70"/>
      <c r="AE41" s="50"/>
      <c r="AF41" s="50"/>
      <c r="AG41" s="50"/>
      <c r="AJ41">
        <f>Z41/AC41*100</f>
        <v>24.360703594983061</v>
      </c>
      <c r="AL41">
        <f>AA41/AC41*100</f>
        <v>49.838947767119308</v>
      </c>
      <c r="AN41">
        <f>AB41/AC41*100</f>
        <v>68.949250988748844</v>
      </c>
    </row>
    <row r="42" spans="1:42" x14ac:dyDescent="0.25">
      <c r="A42" s="22" t="s">
        <v>32</v>
      </c>
      <c r="B42" s="8">
        <v>3200</v>
      </c>
      <c r="C42" s="8">
        <v>4000</v>
      </c>
      <c r="D42" s="59">
        <v>4000</v>
      </c>
      <c r="E42" s="8">
        <v>3600</v>
      </c>
      <c r="F42" s="8">
        <v>2600</v>
      </c>
      <c r="G42" s="8">
        <v>2400</v>
      </c>
      <c r="H42" s="8">
        <v>2500</v>
      </c>
      <c r="I42" s="8">
        <v>2500</v>
      </c>
      <c r="J42" s="8">
        <v>2300</v>
      </c>
      <c r="K42" s="8">
        <v>2100</v>
      </c>
      <c r="L42" s="8">
        <v>2200</v>
      </c>
      <c r="M42" s="8">
        <v>1800</v>
      </c>
      <c r="N42" s="8">
        <v>1700</v>
      </c>
      <c r="O42" s="8">
        <v>1400</v>
      </c>
      <c r="P42" s="47">
        <v>440</v>
      </c>
      <c r="Q42" s="47">
        <v>460</v>
      </c>
      <c r="R42" s="47">
        <v>360</v>
      </c>
      <c r="S42" s="47">
        <v>280</v>
      </c>
      <c r="T42" s="47">
        <v>240</v>
      </c>
      <c r="U42" s="61">
        <v>620</v>
      </c>
      <c r="V42" s="8"/>
      <c r="W42" s="8"/>
      <c r="X42" s="8"/>
      <c r="Y42" s="50">
        <f t="shared" si="3"/>
        <v>7.2635222215309696</v>
      </c>
      <c r="Z42" s="50">
        <f t="shared" si="4"/>
        <v>15.692478135031212</v>
      </c>
      <c r="AA42" s="50">
        <f t="shared" si="5"/>
        <v>34.415849685826004</v>
      </c>
      <c r="AB42" s="50">
        <f t="shared" si="6"/>
        <v>57.436521766078499</v>
      </c>
      <c r="AC42" s="50">
        <f t="shared" si="7"/>
        <v>87.787441572550662</v>
      </c>
      <c r="AD42" s="70"/>
      <c r="AE42" s="50"/>
      <c r="AF42" s="50">
        <v>11.815643890496327</v>
      </c>
      <c r="AG42" s="50">
        <f t="shared" si="11"/>
        <v>-11.815643890496327</v>
      </c>
      <c r="AJ42">
        <f>Z42/AC42*100</f>
        <v>17.875538748970595</v>
      </c>
      <c r="AL42">
        <f>AA42/AC42*100</f>
        <v>39.20361394446553</v>
      </c>
      <c r="AN42">
        <f>AB42/AC42*100</f>
        <v>65.426809048320337</v>
      </c>
    </row>
    <row r="43" spans="1:42" x14ac:dyDescent="0.25">
      <c r="A43" s="3" t="s">
        <v>33</v>
      </c>
      <c r="B43" s="7">
        <v>86667</v>
      </c>
      <c r="C43" s="7">
        <v>56883</v>
      </c>
      <c r="D43" s="7">
        <v>31260</v>
      </c>
      <c r="E43" s="7">
        <v>21185</v>
      </c>
      <c r="F43" s="7">
        <v>9731</v>
      </c>
      <c r="G43" s="7">
        <v>6677</v>
      </c>
      <c r="H43" s="7">
        <v>6770.8000000000011</v>
      </c>
      <c r="I43" s="7">
        <v>5891.5999999999995</v>
      </c>
      <c r="J43" s="7">
        <v>4832.7</v>
      </c>
      <c r="K43" s="7">
        <v>4250.1000000000004</v>
      </c>
      <c r="L43" s="7">
        <v>4006</v>
      </c>
      <c r="M43" s="7">
        <v>3307.9</v>
      </c>
      <c r="N43" s="7">
        <v>2991.7</v>
      </c>
      <c r="O43" s="7">
        <v>2563.5</v>
      </c>
      <c r="P43" s="48">
        <f t="shared" ref="P43:T43" si="13">SUM(P16:P42)</f>
        <v>1578</v>
      </c>
      <c r="Q43" s="48">
        <f t="shared" si="13"/>
        <v>1689.2</v>
      </c>
      <c r="R43" s="48">
        <f t="shared" si="13"/>
        <v>1397</v>
      </c>
      <c r="S43" s="48">
        <f t="shared" si="13"/>
        <v>996</v>
      </c>
      <c r="T43" s="48">
        <f t="shared" si="13"/>
        <v>796.80000000000007</v>
      </c>
      <c r="U43" s="48">
        <v>1144.2</v>
      </c>
      <c r="V43" s="7"/>
      <c r="W43" s="7"/>
      <c r="X43" s="7"/>
      <c r="Y43" s="50">
        <f t="shared" si="3"/>
        <v>196.72115011669518</v>
      </c>
      <c r="Z43" s="50">
        <f t="shared" si="4"/>
        <v>316.58722492360369</v>
      </c>
      <c r="AA43" s="50">
        <f t="shared" si="5"/>
        <v>433.57130071293869</v>
      </c>
      <c r="AB43" s="50">
        <f t="shared" si="6"/>
        <v>486.98832713359053</v>
      </c>
      <c r="AC43" s="50">
        <f t="shared" si="7"/>
        <v>556.27881373023229</v>
      </c>
      <c r="AD43" s="71">
        <f>SUM(AC17:AC39)</f>
        <v>453.99514124238004</v>
      </c>
      <c r="AE43" s="50"/>
      <c r="AF43" s="50">
        <f>SUM(AF17:AF37)</f>
        <v>40.247926085021142</v>
      </c>
      <c r="AG43" s="72">
        <f>AH43-AF43</f>
        <v>665.75207391497884</v>
      </c>
      <c r="AH43">
        <f>SUM(AH17:AH37)</f>
        <v>706</v>
      </c>
      <c r="AJ43">
        <f>Z43/AC43*100</f>
        <v>56.911609270298911</v>
      </c>
      <c r="AK43">
        <f>Z43/AH43*100-100</f>
        <v>-55.157616866345087</v>
      </c>
      <c r="AL43">
        <f>AA43/AC43*100</f>
        <v>77.941365015421809</v>
      </c>
      <c r="AM43">
        <f>AA43/AH43*100-100</f>
        <v>-38.587634459923706</v>
      </c>
      <c r="AN43">
        <f>AB43/AC43*100</f>
        <v>87.543928532528255</v>
      </c>
      <c r="AO43">
        <f>AB43/AH43*100-100</f>
        <v>-31.02148340883987</v>
      </c>
      <c r="AP43">
        <f>AC43/AH43*100-100</f>
        <v>-21.206966893734801</v>
      </c>
    </row>
    <row r="44" spans="1:42" x14ac:dyDescent="0.25">
      <c r="A44" s="40" t="s">
        <v>129</v>
      </c>
      <c r="B44" s="7">
        <f>SUM(B16,B17,B18,B19,B20,B21,B22,B23,B24,B29,B31)</f>
        <v>82286</v>
      </c>
      <c r="C44" s="7">
        <f t="shared" ref="C44:U44" si="14">SUM(C16,C17,C18,C19,C20,C21,C22,C23,C24,C29,C31)</f>
        <v>51501</v>
      </c>
      <c r="D44" s="7">
        <f t="shared" si="14"/>
        <v>26070</v>
      </c>
      <c r="E44" s="7">
        <f t="shared" si="14"/>
        <v>16335</v>
      </c>
      <c r="F44" s="7">
        <f t="shared" si="14"/>
        <v>6398</v>
      </c>
      <c r="G44" s="7">
        <f t="shared" si="14"/>
        <v>3576</v>
      </c>
      <c r="H44" s="7">
        <f t="shared" si="14"/>
        <v>3474.9</v>
      </c>
      <c r="I44" s="7">
        <f t="shared" si="14"/>
        <v>2627.6</v>
      </c>
      <c r="J44" s="7">
        <f t="shared" si="14"/>
        <v>1957.8</v>
      </c>
      <c r="K44" s="7">
        <f t="shared" si="14"/>
        <v>1645.8</v>
      </c>
      <c r="L44" s="7">
        <f t="shared" si="14"/>
        <v>1337.8</v>
      </c>
      <c r="M44" s="7">
        <f t="shared" si="14"/>
        <v>1132.8</v>
      </c>
      <c r="N44" s="7">
        <f t="shared" si="14"/>
        <v>1003</v>
      </c>
      <c r="O44" s="7">
        <f t="shared" si="14"/>
        <v>906</v>
      </c>
      <c r="P44" s="7">
        <f t="shared" si="14"/>
        <v>958</v>
      </c>
      <c r="Q44" s="7">
        <f t="shared" si="14"/>
        <v>1022</v>
      </c>
      <c r="R44" s="7">
        <f t="shared" si="14"/>
        <v>902</v>
      </c>
      <c r="S44" s="7">
        <f t="shared" si="14"/>
        <v>612</v>
      </c>
      <c r="T44" s="7">
        <f t="shared" si="14"/>
        <v>477</v>
      </c>
      <c r="U44" s="7">
        <f t="shared" si="14"/>
        <v>409.6</v>
      </c>
      <c r="AD44" s="1" t="s">
        <v>223</v>
      </c>
      <c r="AE44" s="1" t="s">
        <v>218</v>
      </c>
      <c r="AF44" s="50">
        <v>864.88307634097487</v>
      </c>
      <c r="AG44" s="72">
        <f>AH44-AF44</f>
        <v>355.11692365902513</v>
      </c>
      <c r="AH44" s="50">
        <v>1220</v>
      </c>
    </row>
    <row r="45" spans="1:42" x14ac:dyDescent="0.25">
      <c r="A45" s="11" t="s">
        <v>62</v>
      </c>
      <c r="B45" s="12">
        <v>43749.615972222222</v>
      </c>
      <c r="C45" s="12">
        <v>43752.423611111109</v>
      </c>
      <c r="D45" s="12">
        <v>43755.416666666664</v>
      </c>
      <c r="E45" s="12">
        <v>43759.445833333331</v>
      </c>
      <c r="F45" s="12">
        <v>43762.614583333336</v>
      </c>
      <c r="G45" s="12">
        <v>43766.428472222222</v>
      </c>
      <c r="H45" s="12">
        <v>43769.455555555556</v>
      </c>
      <c r="I45" s="12">
        <v>43773.414583333331</v>
      </c>
      <c r="J45" s="12">
        <v>43776.430555555555</v>
      </c>
      <c r="K45" s="12">
        <v>43780.415277777778</v>
      </c>
      <c r="L45" s="12">
        <v>43783.44027777778</v>
      </c>
      <c r="M45" s="12">
        <v>43787.463888888888</v>
      </c>
      <c r="N45" s="12">
        <v>43791.4375</v>
      </c>
      <c r="O45" s="12">
        <v>43794.436111111114</v>
      </c>
      <c r="P45" s="12">
        <v>43798.357638888891</v>
      </c>
      <c r="Q45" s="12">
        <v>43801.431250000001</v>
      </c>
      <c r="R45" s="12">
        <v>43815.397222222222</v>
      </c>
      <c r="S45" s="12">
        <v>43829.428472222222</v>
      </c>
      <c r="T45" s="12">
        <v>43843.6875</v>
      </c>
      <c r="U45" s="12">
        <v>43888.479166666664</v>
      </c>
      <c r="V45" s="12"/>
      <c r="W45" s="12"/>
      <c r="X45" s="12"/>
    </row>
    <row r="46" spans="1:42" x14ac:dyDescent="0.25">
      <c r="A46" s="11" t="s">
        <v>63</v>
      </c>
      <c r="B46">
        <f>B45-B5</f>
        <v>2.8993055555547471</v>
      </c>
      <c r="C46">
        <f>B46+C45-B45</f>
        <v>5.7069444444423425</v>
      </c>
      <c r="D46">
        <f t="shared" ref="D46:L46" si="15">C46+D45-C45</f>
        <v>8.6999999999970896</v>
      </c>
      <c r="E46">
        <f t="shared" si="15"/>
        <v>12.729166666664241</v>
      </c>
      <c r="F46">
        <f t="shared" si="15"/>
        <v>15.897916666668607</v>
      </c>
      <c r="G46">
        <f t="shared" si="15"/>
        <v>19.711805555554747</v>
      </c>
      <c r="H46">
        <f t="shared" si="15"/>
        <v>22.738888888889051</v>
      </c>
      <c r="I46">
        <f t="shared" si="15"/>
        <v>26.697916666664241</v>
      </c>
      <c r="J46">
        <f t="shared" si="15"/>
        <v>29.713888888887595</v>
      </c>
      <c r="K46">
        <f t="shared" si="15"/>
        <v>33.698611111110949</v>
      </c>
      <c r="L46">
        <f t="shared" si="15"/>
        <v>36.723611111112405</v>
      </c>
      <c r="M46">
        <f t="shared" ref="M46" si="16">L46+M45-L45</f>
        <v>40.747222222220444</v>
      </c>
      <c r="N46">
        <f t="shared" ref="N46" si="17">M46+N45-M45</f>
        <v>44.720833333332848</v>
      </c>
      <c r="O46">
        <f t="shared" ref="O46" si="18">N46+O45-N45</f>
        <v>47.719444444446708</v>
      </c>
      <c r="P46">
        <f t="shared" ref="P46" si="19">O46+P45-O45</f>
        <v>51.640972222223354</v>
      </c>
      <c r="Q46">
        <f t="shared" ref="Q46" si="20">P46+Q45-P45</f>
        <v>54.714583333334303</v>
      </c>
      <c r="R46">
        <f t="shared" ref="R46" si="21">Q46+R45-Q45</f>
        <v>68.680555555554747</v>
      </c>
      <c r="S46">
        <f t="shared" ref="S46" si="22">R46+S45-R45</f>
        <v>82.711805555554747</v>
      </c>
      <c r="T46">
        <f t="shared" ref="T46:U46" si="23">S46+T45-S45</f>
        <v>96.970833333332848</v>
      </c>
      <c r="U46">
        <f t="shared" si="23"/>
        <v>141.76249999999709</v>
      </c>
    </row>
    <row r="47" spans="1:42" x14ac:dyDescent="0.25">
      <c r="A47" s="11" t="s">
        <v>68</v>
      </c>
      <c r="B47">
        <v>9.1289999999999996</v>
      </c>
      <c r="C47">
        <v>8.4749999999999996</v>
      </c>
      <c r="D47">
        <v>7.7780000000000005</v>
      </c>
      <c r="E47">
        <v>8.0350000000000001</v>
      </c>
      <c r="F47">
        <v>5.8710000000000004</v>
      </c>
      <c r="G47">
        <v>7.3370000000000006</v>
      </c>
      <c r="H47">
        <v>5.3609999999999998</v>
      </c>
      <c r="I47">
        <v>7.8670000000000009</v>
      </c>
      <c r="J47">
        <v>5.5640000000000001</v>
      </c>
      <c r="K47">
        <v>7.7509999999999994</v>
      </c>
      <c r="L47">
        <v>5.8330000000000002</v>
      </c>
      <c r="M47">
        <v>7.838000000000001</v>
      </c>
      <c r="N47">
        <v>9.16</v>
      </c>
      <c r="O47">
        <v>5.8760000000000003</v>
      </c>
      <c r="P47">
        <v>7.7309999999999999</v>
      </c>
      <c r="Q47">
        <v>6.1370000000000005</v>
      </c>
      <c r="R47">
        <v>28.170999999999999</v>
      </c>
      <c r="S47" s="25">
        <v>27.908999999999999</v>
      </c>
      <c r="T47" s="25">
        <v>27.896999999999998</v>
      </c>
      <c r="U47" s="25">
        <f>27.294+29.08+23.464+6.104</f>
        <v>85.941999999999993</v>
      </c>
    </row>
    <row r="48" spans="1:42" x14ac:dyDescent="0.25">
      <c r="A48" s="11" t="s">
        <v>69</v>
      </c>
      <c r="B48">
        <f>B47</f>
        <v>9.1289999999999996</v>
      </c>
      <c r="C48">
        <f>B48+C47</f>
        <v>17.603999999999999</v>
      </c>
      <c r="D48">
        <f t="shared" ref="D48:L48" si="24">C48+D47</f>
        <v>25.381999999999998</v>
      </c>
      <c r="E48">
        <f t="shared" si="24"/>
        <v>33.417000000000002</v>
      </c>
      <c r="F48">
        <f t="shared" si="24"/>
        <v>39.288000000000004</v>
      </c>
      <c r="G48">
        <f t="shared" si="24"/>
        <v>46.625000000000007</v>
      </c>
      <c r="H48">
        <f t="shared" si="24"/>
        <v>51.986000000000004</v>
      </c>
      <c r="I48">
        <f t="shared" si="24"/>
        <v>59.853000000000009</v>
      </c>
      <c r="J48">
        <f t="shared" si="24"/>
        <v>65.417000000000002</v>
      </c>
      <c r="K48">
        <f t="shared" si="24"/>
        <v>73.168000000000006</v>
      </c>
      <c r="L48">
        <f t="shared" si="24"/>
        <v>79.001000000000005</v>
      </c>
      <c r="M48">
        <f t="shared" ref="M48" si="25">L48+M47</f>
        <v>86.838999999999999</v>
      </c>
      <c r="N48">
        <f t="shared" ref="N48" si="26">M48+N47</f>
        <v>95.998999999999995</v>
      </c>
      <c r="O48">
        <f t="shared" ref="O48" si="27">N48+O47</f>
        <v>101.875</v>
      </c>
      <c r="P48">
        <f t="shared" ref="P48" si="28">O48+P47</f>
        <v>109.60599999999999</v>
      </c>
      <c r="Q48">
        <f t="shared" ref="Q48" si="29">P48+Q47</f>
        <v>115.74299999999999</v>
      </c>
      <c r="R48">
        <f t="shared" ref="R48" si="30">Q48+R47</f>
        <v>143.91399999999999</v>
      </c>
      <c r="S48">
        <f t="shared" ref="S48" si="31">R48+S47</f>
        <v>171.82299999999998</v>
      </c>
      <c r="T48">
        <f t="shared" ref="T48:U48" si="32">S48+T47</f>
        <v>199.71999999999997</v>
      </c>
      <c r="U48">
        <f t="shared" si="32"/>
        <v>285.66199999999998</v>
      </c>
    </row>
    <row r="49" spans="1:35" x14ac:dyDescent="0.25">
      <c r="A49" s="11" t="s">
        <v>131</v>
      </c>
      <c r="B49" s="25">
        <f>B48/$E$8</f>
        <v>2.269850694228428</v>
      </c>
      <c r="C49" s="25">
        <f t="shared" ref="C49:Q49" si="33">C48/$E$8</f>
        <v>4.3770896726034882</v>
      </c>
      <c r="D49" s="25">
        <f t="shared" si="33"/>
        <v>6.3110253391287054</v>
      </c>
      <c r="E49" s="25">
        <f t="shared" si="33"/>
        <v>8.308861939865416</v>
      </c>
      <c r="F49" s="25">
        <f t="shared" si="33"/>
        <v>9.768637756035325</v>
      </c>
      <c r="G49" s="25">
        <f t="shared" si="33"/>
        <v>11.592922403154834</v>
      </c>
      <c r="H49" s="25">
        <f t="shared" si="33"/>
        <v>12.925890917971198</v>
      </c>
      <c r="I49" s="25">
        <f t="shared" si="33"/>
        <v>14.881955701791448</v>
      </c>
      <c r="J49" s="25">
        <f t="shared" si="33"/>
        <v>16.26539849538187</v>
      </c>
      <c r="K49" s="25">
        <f t="shared" si="33"/>
        <v>18.192620834188372</v>
      </c>
      <c r="L49" s="25">
        <f t="shared" si="33"/>
        <v>19.642948263198605</v>
      </c>
      <c r="M49" s="25">
        <f t="shared" si="33"/>
        <v>21.591802435765413</v>
      </c>
      <c r="N49" s="25">
        <f t="shared" si="33"/>
        <v>23.869361024781998</v>
      </c>
      <c r="O49" s="25">
        <f t="shared" si="33"/>
        <v>25.330380049788708</v>
      </c>
      <c r="P49" s="25">
        <f t="shared" si="33"/>
        <v>27.25262955324801</v>
      </c>
      <c r="Q49" s="25">
        <f t="shared" si="33"/>
        <v>28.778544079535649</v>
      </c>
      <c r="R49" s="25">
        <f t="shared" ref="R49:U49" si="34">R48/$E$8</f>
        <v>35.783031307831081</v>
      </c>
      <c r="S49" s="25">
        <f t="shared" si="34"/>
        <v>42.722374393078226</v>
      </c>
      <c r="T49" s="25">
        <f t="shared" si="34"/>
        <v>49.658733777117057</v>
      </c>
      <c r="U49" s="25">
        <f t="shared" si="34"/>
        <v>71.027504547560653</v>
      </c>
      <c r="V49" s="25"/>
      <c r="W49" s="25"/>
      <c r="X49" s="25"/>
    </row>
    <row r="50" spans="1:35" x14ac:dyDescent="0.25">
      <c r="A50" s="11" t="s">
        <v>132</v>
      </c>
      <c r="B50" s="25">
        <f>B49/2</f>
        <v>1.134925347114214</v>
      </c>
      <c r="C50" s="25">
        <f>B49+(C49-B49)/2</f>
        <v>3.3234701834159583</v>
      </c>
      <c r="D50" s="25">
        <f t="shared" ref="D50:P50" si="35">C49+(D49-C49)/2</f>
        <v>5.3440575058660968</v>
      </c>
      <c r="E50" s="25">
        <f t="shared" si="35"/>
        <v>7.3099436394970603</v>
      </c>
      <c r="F50" s="25">
        <f t="shared" si="35"/>
        <v>9.0387498479503705</v>
      </c>
      <c r="G50" s="25">
        <f t="shared" si="35"/>
        <v>10.680780079595079</v>
      </c>
      <c r="H50" s="25">
        <f t="shared" si="35"/>
        <v>12.259406660563016</v>
      </c>
      <c r="I50" s="25">
        <f t="shared" si="35"/>
        <v>13.903923309881323</v>
      </c>
      <c r="J50" s="25">
        <f t="shared" si="35"/>
        <v>15.573677098586659</v>
      </c>
      <c r="K50" s="25">
        <f t="shared" si="35"/>
        <v>17.229009664785121</v>
      </c>
      <c r="L50" s="25">
        <f t="shared" si="35"/>
        <v>18.91778454869349</v>
      </c>
      <c r="M50" s="25">
        <f t="shared" si="35"/>
        <v>20.61737534948201</v>
      </c>
      <c r="N50" s="25">
        <f t="shared" si="35"/>
        <v>22.730581730273705</v>
      </c>
      <c r="O50" s="25">
        <f t="shared" si="35"/>
        <v>24.599870537285355</v>
      </c>
      <c r="P50" s="25">
        <f t="shared" si="35"/>
        <v>26.291504801518357</v>
      </c>
      <c r="Q50" s="25">
        <f>P49+(Q49-P49)/2</f>
        <v>28.015586816391831</v>
      </c>
      <c r="R50" s="25">
        <f t="shared" ref="R50:U50" si="36">Q49+(R49-Q49)/2</f>
        <v>32.280787693683365</v>
      </c>
      <c r="S50" s="25">
        <f t="shared" si="36"/>
        <v>39.252702850454654</v>
      </c>
      <c r="T50" s="25">
        <f t="shared" si="36"/>
        <v>46.190554085097645</v>
      </c>
      <c r="U50" s="25">
        <f t="shared" si="36"/>
        <v>60.343119162338851</v>
      </c>
      <c r="V50" s="25"/>
      <c r="W50" s="25"/>
      <c r="X50" s="25"/>
    </row>
    <row r="51" spans="1:35" x14ac:dyDescent="0.25">
      <c r="A51" s="11" t="s">
        <v>74</v>
      </c>
      <c r="B51" s="50">
        <v>9.9651720022090426</v>
      </c>
      <c r="C51" s="50">
        <v>28.769754455225097</v>
      </c>
      <c r="D51" s="50">
        <v>53.449120838788978</v>
      </c>
      <c r="E51" s="50">
        <v>81.158845708469613</v>
      </c>
      <c r="F51" s="50">
        <v>113.3121723122521</v>
      </c>
      <c r="G51" s="50">
        <v>154.70627580663083</v>
      </c>
      <c r="H51" s="50">
        <v>198.66572700504142</v>
      </c>
      <c r="I51" s="50">
        <v>256.57652727526806</v>
      </c>
      <c r="J51" s="50">
        <v>316.41505109164359</v>
      </c>
      <c r="K51" s="50">
        <v>387.96894602764235</v>
      </c>
      <c r="L51" s="50">
        <v>465.26789150697948</v>
      </c>
      <c r="M51" s="50">
        <v>551.91395971907036</v>
      </c>
      <c r="N51" s="50">
        <v>664.44739897979946</v>
      </c>
      <c r="O51" s="50">
        <v>766.52221650484125</v>
      </c>
      <c r="P51" s="50">
        <v>877.6535126579198</v>
      </c>
      <c r="Q51" s="50">
        <v>996.90722136516069</v>
      </c>
      <c r="R51" s="50">
        <v>1286.0640471332683</v>
      </c>
      <c r="S51" s="50">
        <v>1465.651919986291</v>
      </c>
      <c r="T51" s="50">
        <v>1672.747250751102</v>
      </c>
      <c r="U51" s="50">
        <v>2771.076</v>
      </c>
      <c r="V51" s="25"/>
      <c r="W51" s="25"/>
      <c r="X51" s="25"/>
    </row>
    <row r="52" spans="1:35" x14ac:dyDescent="0.25">
      <c r="A52" s="11" t="s">
        <v>76</v>
      </c>
      <c r="B52" s="25">
        <f>B43/1000/1000*B47</f>
        <v>0.79118304300000009</v>
      </c>
      <c r="C52" s="25">
        <f t="shared" ref="C52:F52" si="37">C43/1000/1000*C47</f>
        <v>0.48208342500000001</v>
      </c>
      <c r="D52" s="25">
        <f t="shared" si="37"/>
        <v>0.24314028000000004</v>
      </c>
      <c r="E52" s="25">
        <f t="shared" si="37"/>
        <v>0.17022147499999998</v>
      </c>
      <c r="F52" s="25">
        <f t="shared" si="37"/>
        <v>5.7130701000000006E-2</v>
      </c>
      <c r="G52" s="25">
        <f>G43/1000/1000*G47</f>
        <v>4.8989149000000003E-2</v>
      </c>
      <c r="H52" s="25">
        <f t="shared" ref="H52:O52" si="38">H43/1000/1000*H47</f>
        <v>3.6298258800000004E-2</v>
      </c>
      <c r="I52" s="25">
        <f t="shared" si="38"/>
        <v>4.6349217200000001E-2</v>
      </c>
      <c r="J52" s="25">
        <f t="shared" si="38"/>
        <v>2.6889142799999998E-2</v>
      </c>
      <c r="K52" s="25">
        <f t="shared" si="38"/>
        <v>3.2942525100000002E-2</v>
      </c>
      <c r="L52" s="25">
        <f t="shared" si="38"/>
        <v>2.3366998E-2</v>
      </c>
      <c r="M52" s="25">
        <f t="shared" si="38"/>
        <v>2.5927320200000003E-2</v>
      </c>
      <c r="N52" s="25">
        <f t="shared" si="38"/>
        <v>2.7403971999999999E-2</v>
      </c>
      <c r="O52" s="25">
        <f t="shared" si="38"/>
        <v>1.5063126E-2</v>
      </c>
      <c r="P52" s="25">
        <f t="shared" ref="P52:U52" si="39">P43/1000/1000*P47</f>
        <v>1.2199517999999999E-2</v>
      </c>
      <c r="Q52" s="25">
        <f t="shared" si="39"/>
        <v>1.0366620400000002E-2</v>
      </c>
      <c r="R52" s="25">
        <f t="shared" si="39"/>
        <v>3.9354886999999998E-2</v>
      </c>
      <c r="S52" s="25">
        <f t="shared" si="39"/>
        <v>2.7797363999999998E-2</v>
      </c>
      <c r="T52" s="25">
        <f t="shared" si="39"/>
        <v>2.2228329599999999E-2</v>
      </c>
      <c r="U52" s="25">
        <f t="shared" si="39"/>
        <v>9.83348364E-2</v>
      </c>
      <c r="V52" s="25"/>
      <c r="W52" s="25"/>
      <c r="X52" s="25"/>
    </row>
    <row r="53" spans="1:35" x14ac:dyDescent="0.25">
      <c r="A53" s="11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35" x14ac:dyDescent="0.25">
      <c r="A54" s="11" t="s">
        <v>77</v>
      </c>
      <c r="B54" s="25">
        <f>B52</f>
        <v>0.79118304300000009</v>
      </c>
      <c r="C54" s="25">
        <f>B54+C52</f>
        <v>1.2732664680000001</v>
      </c>
      <c r="D54" s="25">
        <f t="shared" ref="D54:F54" si="40">C54+D52</f>
        <v>1.5164067480000001</v>
      </c>
      <c r="E54" s="25">
        <f t="shared" si="40"/>
        <v>1.686628223</v>
      </c>
      <c r="F54" s="25">
        <f t="shared" si="40"/>
        <v>1.743758924</v>
      </c>
      <c r="G54" s="25">
        <f>F54+G52</f>
        <v>1.7927480730000001</v>
      </c>
      <c r="H54" s="25">
        <f t="shared" ref="H54:O54" si="41">G54+H52</f>
        <v>1.8290463318000001</v>
      </c>
      <c r="I54" s="25">
        <f t="shared" si="41"/>
        <v>1.8753955490000001</v>
      </c>
      <c r="J54" s="25">
        <f t="shared" si="41"/>
        <v>1.9022846918</v>
      </c>
      <c r="K54" s="25">
        <f t="shared" si="41"/>
        <v>1.9352272169</v>
      </c>
      <c r="L54" s="25">
        <f t="shared" si="41"/>
        <v>1.9585942149</v>
      </c>
      <c r="M54" s="25">
        <f t="shared" si="41"/>
        <v>1.9845215351000001</v>
      </c>
      <c r="N54" s="25">
        <f t="shared" si="41"/>
        <v>2.0119255071</v>
      </c>
      <c r="O54" s="25">
        <f t="shared" si="41"/>
        <v>2.0269886330999998</v>
      </c>
      <c r="P54" s="25">
        <f t="shared" ref="P54" si="42">O54+P52</f>
        <v>2.0391881510999998</v>
      </c>
      <c r="Q54" s="25">
        <f t="shared" ref="Q54" si="43">P54+Q52</f>
        <v>2.0495547715</v>
      </c>
      <c r="R54" s="25">
        <f t="shared" ref="R54" si="44">Q54+R52</f>
        <v>2.0889096585</v>
      </c>
      <c r="S54" s="25">
        <f t="shared" ref="S54" si="45">R54+S52</f>
        <v>2.1167070225</v>
      </c>
      <c r="T54" s="25">
        <f t="shared" ref="T54:U54" si="46">S54+T52</f>
        <v>2.1389353520999999</v>
      </c>
      <c r="U54" s="25">
        <f t="shared" si="46"/>
        <v>2.2372701884999997</v>
      </c>
      <c r="V54" s="25"/>
      <c r="W54" s="25"/>
      <c r="X54" s="25"/>
    </row>
    <row r="55" spans="1:35" x14ac:dyDescent="0.25">
      <c r="A55" s="1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35" x14ac:dyDescent="0.25">
      <c r="A56" s="11" t="s">
        <v>225</v>
      </c>
      <c r="B56" s="25">
        <f>B54/$E$8*1000</f>
        <v>196.72115011669518</v>
      </c>
      <c r="C56" s="25">
        <f t="shared" ref="C56:U56" si="47">C54/$E$8*1000</f>
        <v>316.58722492360374</v>
      </c>
      <c r="D56" s="25">
        <f t="shared" si="47"/>
        <v>377.04205385918203</v>
      </c>
      <c r="E56" s="25">
        <f t="shared" si="47"/>
        <v>419.36622224578923</v>
      </c>
      <c r="F56" s="25">
        <f t="shared" si="47"/>
        <v>433.57130071293864</v>
      </c>
      <c r="G56" s="25">
        <f t="shared" si="47"/>
        <v>445.75204930175562</v>
      </c>
      <c r="H56" s="25">
        <f t="shared" si="47"/>
        <v>454.77731252187425</v>
      </c>
      <c r="I56" s="25">
        <f t="shared" si="47"/>
        <v>466.3016638022296</v>
      </c>
      <c r="J56" s="25">
        <f t="shared" si="47"/>
        <v>472.98742779081402</v>
      </c>
      <c r="K56" s="25">
        <f t="shared" si="47"/>
        <v>481.17831545297554</v>
      </c>
      <c r="L56" s="25">
        <f t="shared" si="47"/>
        <v>486.98832713359053</v>
      </c>
      <c r="M56" s="25">
        <f t="shared" si="47"/>
        <v>493.43494185102435</v>
      </c>
      <c r="N56" s="25">
        <f t="shared" si="47"/>
        <v>500.24871388178514</v>
      </c>
      <c r="O56" s="25">
        <f t="shared" si="47"/>
        <v>503.99403615238981</v>
      </c>
      <c r="P56" s="25">
        <f t="shared" si="47"/>
        <v>507.02734586884867</v>
      </c>
      <c r="Q56" s="25">
        <f t="shared" si="47"/>
        <v>509.60492068665377</v>
      </c>
      <c r="R56" s="25">
        <f t="shared" si="47"/>
        <v>519.3901893445825</v>
      </c>
      <c r="S56" s="25">
        <f t="shared" si="47"/>
        <v>526.30177505748861</v>
      </c>
      <c r="T56" s="25">
        <f t="shared" si="47"/>
        <v>531.82866621469077</v>
      </c>
      <c r="U56" s="25">
        <f t="shared" si="47"/>
        <v>556.27881373023229</v>
      </c>
      <c r="V56" s="25"/>
      <c r="W56" s="25"/>
      <c r="X56" s="25"/>
    </row>
    <row r="57" spans="1:35" x14ac:dyDescent="0.25">
      <c r="A57" s="11" t="s">
        <v>87</v>
      </c>
      <c r="B57" s="25">
        <v>585.91783333333296</v>
      </c>
      <c r="C57" s="25">
        <v>256.24803333333335</v>
      </c>
      <c r="D57" s="25">
        <v>104.90779999999999</v>
      </c>
      <c r="E57" s="25">
        <v>55.425166666666669</v>
      </c>
      <c r="F57" s="25">
        <v>19.791166666666665</v>
      </c>
      <c r="G57" s="25">
        <v>7.8396999999999997</v>
      </c>
      <c r="H57" s="25">
        <v>9.8064900000000002</v>
      </c>
      <c r="I57" s="25">
        <v>7.3901266666666663</v>
      </c>
      <c r="J57" s="25">
        <v>5.288546666666667</v>
      </c>
      <c r="K57" s="25">
        <v>4.3551133333333336</v>
      </c>
      <c r="L57" s="25">
        <v>3.1441133333333333</v>
      </c>
      <c r="M57" s="25">
        <v>2.7939466666666668</v>
      </c>
      <c r="N57" s="25">
        <v>2.4418666666666669</v>
      </c>
      <c r="O57" s="25">
        <v>2.2706000000000004</v>
      </c>
      <c r="P57" s="25">
        <v>2.0659666666666667</v>
      </c>
      <c r="Q57" s="25">
        <v>2.3694666666666668</v>
      </c>
      <c r="R57" s="25">
        <v>2.3109999999999999</v>
      </c>
      <c r="S57" s="25">
        <v>1.5708333333333333</v>
      </c>
      <c r="T57" s="25">
        <v>1.2182333333333333</v>
      </c>
      <c r="V57" s="25"/>
      <c r="W57" s="25"/>
      <c r="X57" s="25"/>
    </row>
    <row r="58" spans="1:35" x14ac:dyDescent="0.25">
      <c r="A58" s="100" t="s">
        <v>241</v>
      </c>
      <c r="B58" s="101">
        <f>B20*B47/1000</f>
        <v>118.67700000000001</v>
      </c>
      <c r="C58" s="101">
        <f t="shared" ref="C58:U58" si="48">C20*C47/1000</f>
        <v>2.4577499999999999</v>
      </c>
      <c r="D58" s="101">
        <f t="shared" si="48"/>
        <v>1.8667199999999999</v>
      </c>
      <c r="E58" s="101">
        <f t="shared" si="48"/>
        <v>2.3301500000000002</v>
      </c>
      <c r="F58" s="101">
        <f t="shared" si="48"/>
        <v>1.1742000000000001</v>
      </c>
      <c r="G58" s="101">
        <f>G20*G47/1000</f>
        <v>1.3206600000000002</v>
      </c>
      <c r="H58" s="101">
        <f t="shared" si="48"/>
        <v>1.0185899999999999</v>
      </c>
      <c r="I58" s="101">
        <f t="shared" si="48"/>
        <v>1.4160600000000001</v>
      </c>
      <c r="J58" s="101">
        <f t="shared" si="48"/>
        <v>0.77895999999999999</v>
      </c>
      <c r="K58" s="101">
        <f t="shared" si="48"/>
        <v>1.16265</v>
      </c>
      <c r="L58" s="101">
        <f t="shared" si="48"/>
        <v>0.54830200000000007</v>
      </c>
      <c r="M58" s="101">
        <f t="shared" si="48"/>
        <v>0.77596200000000015</v>
      </c>
      <c r="N58" s="101">
        <f t="shared" si="48"/>
        <v>1.0076000000000001</v>
      </c>
      <c r="O58" s="101">
        <f t="shared" si="48"/>
        <v>0.64636000000000005</v>
      </c>
      <c r="P58" s="101">
        <f t="shared" si="48"/>
        <v>0.92771999999999999</v>
      </c>
      <c r="Q58" s="101">
        <f t="shared" si="48"/>
        <v>0.85918000000000005</v>
      </c>
      <c r="R58" s="101">
        <f t="shared" si="48"/>
        <v>4.2256499999999999</v>
      </c>
      <c r="S58" s="101">
        <f t="shared" si="48"/>
        <v>2.5955369999999998</v>
      </c>
      <c r="T58" s="101">
        <f t="shared" si="48"/>
        <v>2.0643779999999996</v>
      </c>
      <c r="U58" s="101">
        <f t="shared" si="48"/>
        <v>6.3597079999999995</v>
      </c>
      <c r="V58" s="25"/>
      <c r="W58" s="25"/>
      <c r="X58" s="25"/>
    </row>
    <row r="59" spans="1:35" x14ac:dyDescent="0.25">
      <c r="A59" s="100" t="s">
        <v>242</v>
      </c>
      <c r="B59" s="26">
        <f>B58/B46</f>
        <v>40.932905389232971</v>
      </c>
      <c r="C59" s="26">
        <f>C58/(C46-B46)</f>
        <v>0.87537966856335159</v>
      </c>
      <c r="D59" s="26">
        <f t="shared" ref="D59:U59" si="49">D58/(D46-C46)</f>
        <v>0.62368371229715225</v>
      </c>
      <c r="E59" s="26">
        <f t="shared" si="49"/>
        <v>0.57832057911058188</v>
      </c>
      <c r="F59" s="26">
        <f t="shared" si="49"/>
        <v>0.37055621301724101</v>
      </c>
      <c r="G59" s="26">
        <f t="shared" si="49"/>
        <v>0.34627647487279151</v>
      </c>
      <c r="H59" s="26">
        <f t="shared" si="49"/>
        <v>0.33649222298681575</v>
      </c>
      <c r="I59" s="26">
        <f t="shared" si="49"/>
        <v>0.35767872303128095</v>
      </c>
      <c r="J59" s="26">
        <f t="shared" si="49"/>
        <v>0.2582782408472436</v>
      </c>
      <c r="K59" s="26">
        <f t="shared" si="49"/>
        <v>0.291776925758021</v>
      </c>
      <c r="L59" s="26">
        <f t="shared" si="49"/>
        <v>0.18125685950404505</v>
      </c>
      <c r="M59" s="26">
        <f t="shared" si="49"/>
        <v>0.19285213669327811</v>
      </c>
      <c r="N59" s="26">
        <f t="shared" si="49"/>
        <v>0.25357287661648509</v>
      </c>
      <c r="O59" s="26">
        <f t="shared" si="49"/>
        <v>0.21555312644723179</v>
      </c>
      <c r="P59" s="26">
        <f t="shared" si="49"/>
        <v>0.23657106428198788</v>
      </c>
      <c r="Q59" s="26">
        <f t="shared" si="49"/>
        <v>0.27953438770900702</v>
      </c>
      <c r="R59" s="26">
        <f t="shared" si="49"/>
        <v>0.30256755009700037</v>
      </c>
      <c r="S59" s="26">
        <f t="shared" si="49"/>
        <v>0.18498259242761692</v>
      </c>
      <c r="T59" s="26">
        <f t="shared" si="49"/>
        <v>0.14477691131349205</v>
      </c>
      <c r="U59" s="26">
        <f t="shared" si="49"/>
        <v>0.14198417860465884</v>
      </c>
      <c r="V59" s="25"/>
      <c r="W59" s="25"/>
      <c r="X59" s="25"/>
    </row>
    <row r="60" spans="1:35" x14ac:dyDescent="0.25">
      <c r="A60" s="129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</row>
    <row r="61" spans="1:35" x14ac:dyDescent="0.25">
      <c r="A61" s="129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</row>
    <row r="62" spans="1:35" x14ac:dyDescent="0.25">
      <c r="A62" s="16" t="s">
        <v>61</v>
      </c>
      <c r="B62" s="227">
        <v>43747.647916666669</v>
      </c>
      <c r="C62" s="227"/>
      <c r="D62" s="227"/>
      <c r="E62" s="15"/>
      <c r="F62" s="15"/>
      <c r="G62" s="17"/>
      <c r="M62" t="s">
        <v>318</v>
      </c>
      <c r="N62">
        <f>B31*B47</f>
        <v>273870</v>
      </c>
      <c r="O62" s="134">
        <f t="shared" ref="O62:X62" si="50">C31*C47</f>
        <v>194925</v>
      </c>
      <c r="P62" s="134">
        <f t="shared" si="50"/>
        <v>77002.200000000012</v>
      </c>
      <c r="Q62" s="134">
        <f t="shared" si="50"/>
        <v>40978.5</v>
      </c>
      <c r="R62" s="134">
        <f t="shared" si="50"/>
        <v>9980.7000000000007</v>
      </c>
      <c r="S62" s="134">
        <f t="shared" si="50"/>
        <v>3961.9800000000005</v>
      </c>
      <c r="T62" s="134">
        <f t="shared" si="50"/>
        <v>3913.5299999999997</v>
      </c>
      <c r="U62" s="134">
        <f t="shared" si="50"/>
        <v>4012.1700000000005</v>
      </c>
      <c r="V62" s="134">
        <f t="shared" si="50"/>
        <v>1947.4</v>
      </c>
      <c r="W62" s="134">
        <f t="shared" si="50"/>
        <v>1937.7499999999998</v>
      </c>
      <c r="X62" s="134">
        <f t="shared" si="50"/>
        <v>1108.27</v>
      </c>
      <c r="Y62" s="134">
        <f>M31*M47</f>
        <v>1175.7</v>
      </c>
      <c r="Z62" s="134">
        <f t="shared" ref="Z62" si="51">N31*N47</f>
        <v>1007.6</v>
      </c>
      <c r="AA62" s="134">
        <f t="shared" ref="AA62" si="52">O31*O47</f>
        <v>546.46800000000007</v>
      </c>
      <c r="AB62" s="134">
        <f t="shared" ref="AB62" si="53">P31*P47</f>
        <v>471.59100000000001</v>
      </c>
      <c r="AC62" s="134">
        <f t="shared" ref="AC62" si="54">Q31*Q47</f>
        <v>417.31600000000003</v>
      </c>
      <c r="AD62" s="134">
        <f t="shared" ref="AD62" si="55">R31*R47</f>
        <v>1464.8920000000001</v>
      </c>
      <c r="AE62" s="134">
        <f t="shared" ref="AE62" si="56">S31*S47</f>
        <v>1116.3599999999999</v>
      </c>
      <c r="AF62" s="134">
        <f t="shared" ref="AF62" si="57">T31*T47</f>
        <v>809.01299999999992</v>
      </c>
      <c r="AG62" s="134">
        <f t="shared" ref="AG62" si="58">U31*U47</f>
        <v>2664.2019999999998</v>
      </c>
      <c r="AH62" s="1">
        <f>SUM(N62:AG62)</f>
        <v>623310.64199999999</v>
      </c>
      <c r="AI62" t="s">
        <v>319</v>
      </c>
    </row>
    <row r="63" spans="1:35" x14ac:dyDescent="0.25">
      <c r="A63" s="35" t="s">
        <v>75</v>
      </c>
      <c r="B63" s="13" t="s">
        <v>64</v>
      </c>
      <c r="C63" s="13" t="s">
        <v>65</v>
      </c>
      <c r="D63" s="13" t="s">
        <v>66</v>
      </c>
      <c r="E63" s="13" t="s">
        <v>85</v>
      </c>
      <c r="F63" s="13" t="s">
        <v>67</v>
      </c>
      <c r="G63" s="18"/>
    </row>
    <row r="64" spans="1:35" x14ac:dyDescent="0.25">
      <c r="A64" s="35">
        <v>0.4</v>
      </c>
      <c r="B64" s="24">
        <v>1.5534704704710234</v>
      </c>
      <c r="C64" s="24">
        <v>0.19311599782713465</v>
      </c>
      <c r="D64" s="39" t="s">
        <v>88</v>
      </c>
      <c r="E64" s="24">
        <v>12.371553845273519</v>
      </c>
      <c r="F64" s="24">
        <v>25.625124763299539</v>
      </c>
      <c r="G64" s="18"/>
      <c r="H64" t="s">
        <v>80</v>
      </c>
      <c r="O64" s="25"/>
    </row>
    <row r="65" spans="1:31" x14ac:dyDescent="0.25">
      <c r="A65" s="19"/>
      <c r="B65" s="20" t="s">
        <v>70</v>
      </c>
      <c r="C65" s="20"/>
      <c r="D65" s="20"/>
      <c r="E65" s="31">
        <v>3.9531008482563617</v>
      </c>
      <c r="G65" s="21"/>
      <c r="H65">
        <f>$H$2/1000*E65</f>
        <v>2.790889198868991</v>
      </c>
      <c r="I65" t="s">
        <v>84</v>
      </c>
    </row>
    <row r="66" spans="1:31" x14ac:dyDescent="0.25">
      <c r="A66" s="3"/>
      <c r="B66" s="45" t="s">
        <v>154</v>
      </c>
      <c r="C66" s="6" t="s">
        <v>56</v>
      </c>
      <c r="D66" s="6" t="s">
        <v>116</v>
      </c>
      <c r="E66" s="6" t="s">
        <v>118</v>
      </c>
      <c r="F66" s="6" t="s">
        <v>120</v>
      </c>
      <c r="G66" s="6" t="s">
        <v>122</v>
      </c>
      <c r="H66" s="63" t="s">
        <v>155</v>
      </c>
      <c r="I66" s="63" t="s">
        <v>158</v>
      </c>
      <c r="J66" s="63" t="s">
        <v>170</v>
      </c>
      <c r="K66" s="45" t="s">
        <v>251</v>
      </c>
    </row>
    <row r="67" spans="1:31" x14ac:dyDescent="0.25">
      <c r="A67" s="3"/>
      <c r="B67" s="46" t="s">
        <v>71</v>
      </c>
      <c r="C67" s="7" t="s">
        <v>57</v>
      </c>
      <c r="D67" s="7" t="s">
        <v>117</v>
      </c>
      <c r="E67" s="7" t="s">
        <v>119</v>
      </c>
      <c r="F67" s="7" t="s">
        <v>121</v>
      </c>
      <c r="G67" s="7" t="s">
        <v>123</v>
      </c>
      <c r="H67" s="64" t="s">
        <v>156</v>
      </c>
      <c r="I67" s="64" t="s">
        <v>159</v>
      </c>
      <c r="J67" s="64" t="s">
        <v>171</v>
      </c>
      <c r="K67" s="46" t="s">
        <v>252</v>
      </c>
    </row>
    <row r="68" spans="1:31" x14ac:dyDescent="0.25">
      <c r="A68" s="3"/>
      <c r="B68" s="45" t="s">
        <v>36</v>
      </c>
      <c r="C68" s="6" t="s">
        <v>58</v>
      </c>
      <c r="D68" s="6" t="s">
        <v>92</v>
      </c>
      <c r="E68" s="6" t="s">
        <v>94</v>
      </c>
      <c r="F68" s="6" t="s">
        <v>96</v>
      </c>
      <c r="G68" s="6" t="s">
        <v>98</v>
      </c>
      <c r="H68" s="63" t="s">
        <v>157</v>
      </c>
      <c r="I68" s="63" t="s">
        <v>160</v>
      </c>
      <c r="J68" s="63" t="s">
        <v>172</v>
      </c>
      <c r="K68" s="45" t="s">
        <v>253</v>
      </c>
    </row>
    <row r="69" spans="1:31" x14ac:dyDescent="0.25">
      <c r="A69" s="3" t="s">
        <v>2</v>
      </c>
      <c r="B69" s="45" t="s">
        <v>37</v>
      </c>
      <c r="C69" s="6" t="s">
        <v>37</v>
      </c>
      <c r="D69" s="6" t="s">
        <v>37</v>
      </c>
      <c r="E69" s="6" t="s">
        <v>37</v>
      </c>
      <c r="F69" s="6" t="s">
        <v>37</v>
      </c>
      <c r="G69" s="6" t="s">
        <v>37</v>
      </c>
      <c r="H69" s="63" t="s">
        <v>37</v>
      </c>
      <c r="I69" s="63" t="s">
        <v>37</v>
      </c>
      <c r="J69" s="63" t="s">
        <v>37</v>
      </c>
      <c r="K69" s="9" t="s">
        <v>37</v>
      </c>
    </row>
    <row r="70" spans="1:31" ht="43.5" x14ac:dyDescent="0.25">
      <c r="A70" s="4" t="s">
        <v>3</v>
      </c>
      <c r="B70" s="45" t="s">
        <v>38</v>
      </c>
      <c r="C70" s="6" t="s">
        <v>38</v>
      </c>
      <c r="D70" s="6" t="s">
        <v>38</v>
      </c>
      <c r="E70" s="6" t="s">
        <v>38</v>
      </c>
      <c r="F70" s="6" t="s">
        <v>38</v>
      </c>
      <c r="G70" s="6" t="s">
        <v>38</v>
      </c>
      <c r="H70" s="63" t="s">
        <v>38</v>
      </c>
      <c r="I70" s="63" t="s">
        <v>38</v>
      </c>
      <c r="J70" s="63" t="s">
        <v>38</v>
      </c>
      <c r="K70" s="9" t="s">
        <v>38</v>
      </c>
      <c r="AB70" s="38" t="s">
        <v>83</v>
      </c>
      <c r="AC70" s="37"/>
      <c r="AD70" s="42" t="s">
        <v>90</v>
      </c>
      <c r="AE70" t="s">
        <v>90</v>
      </c>
    </row>
    <row r="71" spans="1:31" x14ac:dyDescent="0.25">
      <c r="A71" s="3" t="s">
        <v>4</v>
      </c>
      <c r="B71" s="45"/>
      <c r="C71" s="6" t="s">
        <v>39</v>
      </c>
      <c r="D71" s="6" t="s">
        <v>39</v>
      </c>
      <c r="E71" s="6" t="s">
        <v>39</v>
      </c>
      <c r="F71" s="6" t="s">
        <v>39</v>
      </c>
      <c r="G71" s="6" t="s">
        <v>39</v>
      </c>
      <c r="H71" s="63"/>
      <c r="I71" s="63"/>
      <c r="J71" s="63"/>
      <c r="K71" s="9"/>
      <c r="AD71" s="43"/>
    </row>
    <row r="72" spans="1:31" x14ac:dyDescent="0.25">
      <c r="A72" s="3" t="s">
        <v>5</v>
      </c>
      <c r="B72" s="45"/>
      <c r="C72" s="6" t="s">
        <v>39</v>
      </c>
      <c r="D72" s="6" t="s">
        <v>39</v>
      </c>
      <c r="E72" s="6" t="s">
        <v>39</v>
      </c>
      <c r="F72" s="6" t="s">
        <v>39</v>
      </c>
      <c r="G72" s="6" t="s">
        <v>39</v>
      </c>
      <c r="H72" s="63"/>
      <c r="I72" s="63"/>
      <c r="J72" s="63"/>
      <c r="K72" s="9"/>
      <c r="AD72" s="43"/>
    </row>
    <row r="73" spans="1:31" x14ac:dyDescent="0.25">
      <c r="A73" s="3" t="s">
        <v>6</v>
      </c>
      <c r="B73" s="45">
        <v>340</v>
      </c>
      <c r="C73" s="58">
        <v>820</v>
      </c>
      <c r="D73" s="6">
        <v>30</v>
      </c>
      <c r="E73" s="6">
        <v>11</v>
      </c>
      <c r="F73" s="6">
        <v>4.2</v>
      </c>
      <c r="G73" s="6">
        <v>13</v>
      </c>
      <c r="H73" s="63">
        <v>29</v>
      </c>
      <c r="I73" s="63">
        <v>41</v>
      </c>
      <c r="J73" s="79">
        <v>9.1</v>
      </c>
      <c r="K73" s="125">
        <v>4.5999999999999996</v>
      </c>
      <c r="AB73">
        <f>(B73*$B$104+C73*$C$104+D73*$D$104+E73*$E$104+F73*$F$104+G73*$G$104+H73*$H$104+I73*$I$104+J73*$J$104+K73*$K$104)/1000/$E$65</f>
        <v>1.8361614536602577</v>
      </c>
      <c r="AD73" s="44" t="s">
        <v>82</v>
      </c>
    </row>
    <row r="74" spans="1:31" x14ac:dyDescent="0.25">
      <c r="A74" s="3" t="s">
        <v>7</v>
      </c>
      <c r="B74" s="45">
        <v>1100</v>
      </c>
      <c r="C74" s="58">
        <v>2100</v>
      </c>
      <c r="D74" s="6">
        <v>59</v>
      </c>
      <c r="E74" s="6">
        <v>19</v>
      </c>
      <c r="F74" s="6">
        <v>13</v>
      </c>
      <c r="G74" s="6">
        <v>15</v>
      </c>
      <c r="H74" s="63">
        <v>34</v>
      </c>
      <c r="I74" s="63">
        <v>18</v>
      </c>
      <c r="J74" s="79">
        <v>18</v>
      </c>
      <c r="K74" s="9">
        <v>15</v>
      </c>
      <c r="AB74">
        <f t="shared" ref="AB74:AB100" si="59">(B74*$B$104+C74*$C$104+D74*$D$104+E74*$E$104+F74*$F$104+G74*$G$104+H74*$H$104+I74*$I$104+J74*$J$104+K74*$K$104)/1000/$E$65</f>
        <v>3.7903487857156479</v>
      </c>
      <c r="AD74" s="44" t="s">
        <v>82</v>
      </c>
      <c r="AE74">
        <v>3</v>
      </c>
    </row>
    <row r="75" spans="1:31" x14ac:dyDescent="0.25">
      <c r="A75" s="3" t="s">
        <v>8</v>
      </c>
      <c r="B75" s="45">
        <v>1700</v>
      </c>
      <c r="C75" s="58">
        <v>3700</v>
      </c>
      <c r="D75" s="6">
        <v>130</v>
      </c>
      <c r="E75" s="6">
        <v>47</v>
      </c>
      <c r="F75" s="6">
        <v>41</v>
      </c>
      <c r="G75" s="6">
        <v>49</v>
      </c>
      <c r="H75" s="63">
        <v>81</v>
      </c>
      <c r="I75" s="63">
        <v>28</v>
      </c>
      <c r="J75" s="79">
        <v>27</v>
      </c>
      <c r="K75" s="9">
        <v>21</v>
      </c>
      <c r="AB75">
        <f t="shared" si="59"/>
        <v>6.616485893987945</v>
      </c>
      <c r="AD75" s="44" t="s">
        <v>82</v>
      </c>
      <c r="AE75">
        <v>6</v>
      </c>
    </row>
    <row r="76" spans="1:31" x14ac:dyDescent="0.25">
      <c r="A76" s="3" t="s">
        <v>9</v>
      </c>
      <c r="B76" s="45">
        <v>980</v>
      </c>
      <c r="C76" s="58">
        <v>2300</v>
      </c>
      <c r="D76" s="6">
        <v>81</v>
      </c>
      <c r="E76" s="6">
        <v>28</v>
      </c>
      <c r="F76" s="6">
        <v>19</v>
      </c>
      <c r="G76" s="6">
        <v>20</v>
      </c>
      <c r="H76" s="63">
        <v>34</v>
      </c>
      <c r="I76" s="63">
        <v>17</v>
      </c>
      <c r="J76" s="79">
        <v>15</v>
      </c>
      <c r="K76" s="9">
        <v>14</v>
      </c>
      <c r="AB76">
        <f t="shared" si="59"/>
        <v>3.8844273367761502</v>
      </c>
      <c r="AD76" s="44" t="s">
        <v>82</v>
      </c>
      <c r="AE76">
        <v>4</v>
      </c>
    </row>
    <row r="77" spans="1:31" x14ac:dyDescent="0.25">
      <c r="A77" s="3" t="s">
        <v>10</v>
      </c>
      <c r="B77" s="45">
        <v>7100</v>
      </c>
      <c r="C77" s="58">
        <v>14000</v>
      </c>
      <c r="D77" s="6">
        <v>460</v>
      </c>
      <c r="E77" s="6">
        <v>160</v>
      </c>
      <c r="F77" s="6">
        <v>110</v>
      </c>
      <c r="G77" s="6">
        <v>210</v>
      </c>
      <c r="H77" s="63">
        <v>170</v>
      </c>
      <c r="I77" s="63">
        <v>98</v>
      </c>
      <c r="J77" s="79">
        <v>100</v>
      </c>
      <c r="K77" s="83">
        <v>120</v>
      </c>
      <c r="AB77">
        <f t="shared" si="59"/>
        <v>25.113112923437857</v>
      </c>
      <c r="AD77" s="44">
        <v>32</v>
      </c>
      <c r="AE77">
        <v>41</v>
      </c>
    </row>
    <row r="78" spans="1:31" x14ac:dyDescent="0.25">
      <c r="A78" s="3" t="s">
        <v>11</v>
      </c>
      <c r="B78" s="45">
        <v>3200</v>
      </c>
      <c r="C78" s="58">
        <v>8500</v>
      </c>
      <c r="D78" s="6">
        <v>2400</v>
      </c>
      <c r="E78" s="6">
        <v>160</v>
      </c>
      <c r="F78" s="6">
        <v>66</v>
      </c>
      <c r="G78" s="6">
        <v>34</v>
      </c>
      <c r="H78" s="63">
        <v>130</v>
      </c>
      <c r="I78" s="63">
        <v>19</v>
      </c>
      <c r="J78" s="79">
        <v>15</v>
      </c>
      <c r="K78" s="9">
        <v>13</v>
      </c>
      <c r="AB78">
        <f t="shared" si="59"/>
        <v>14.642616827124819</v>
      </c>
      <c r="AD78" s="44"/>
      <c r="AE78">
        <v>38</v>
      </c>
    </row>
    <row r="79" spans="1:31" x14ac:dyDescent="0.25">
      <c r="A79" s="3" t="s">
        <v>12</v>
      </c>
      <c r="B79" s="45">
        <v>5000</v>
      </c>
      <c r="C79" s="6">
        <v>16000</v>
      </c>
      <c r="D79" s="58">
        <v>19000</v>
      </c>
      <c r="E79" s="6">
        <v>9600</v>
      </c>
      <c r="F79" s="6">
        <v>14000</v>
      </c>
      <c r="G79" s="6">
        <v>6100</v>
      </c>
      <c r="H79" s="63">
        <v>1900</v>
      </c>
      <c r="I79" s="63">
        <v>410</v>
      </c>
      <c r="J79" s="79">
        <v>200</v>
      </c>
      <c r="K79" s="9">
        <v>140</v>
      </c>
      <c r="AB79">
        <f t="shared" si="59"/>
        <v>128.51992638237203</v>
      </c>
      <c r="AD79" s="44">
        <v>195</v>
      </c>
      <c r="AE79">
        <v>240</v>
      </c>
    </row>
    <row r="80" spans="1:31" x14ac:dyDescent="0.25">
      <c r="A80" s="3" t="s">
        <v>13</v>
      </c>
      <c r="B80" s="45">
        <v>170</v>
      </c>
      <c r="C80" s="6">
        <v>380</v>
      </c>
      <c r="D80" s="6">
        <v>380</v>
      </c>
      <c r="E80" s="6">
        <v>380</v>
      </c>
      <c r="F80" s="58">
        <v>810</v>
      </c>
      <c r="G80" s="6">
        <v>560</v>
      </c>
      <c r="H80" s="63">
        <v>630</v>
      </c>
      <c r="I80" s="63">
        <v>530</v>
      </c>
      <c r="J80" s="79">
        <v>340</v>
      </c>
      <c r="K80" s="9">
        <v>230</v>
      </c>
      <c r="AB80">
        <f t="shared" si="59"/>
        <v>20.662005128461892</v>
      </c>
      <c r="AD80" s="44">
        <v>49</v>
      </c>
      <c r="AE80">
        <v>44</v>
      </c>
    </row>
    <row r="81" spans="1:31" x14ac:dyDescent="0.25">
      <c r="A81" s="3" t="s">
        <v>14</v>
      </c>
      <c r="B81" s="45">
        <v>33</v>
      </c>
      <c r="C81" s="6">
        <v>120</v>
      </c>
      <c r="D81" s="6">
        <v>88</v>
      </c>
      <c r="E81" s="6">
        <v>110</v>
      </c>
      <c r="F81" s="6">
        <v>170</v>
      </c>
      <c r="G81" s="58">
        <v>140</v>
      </c>
      <c r="H81" s="63">
        <v>77</v>
      </c>
      <c r="I81" s="63">
        <v>110</v>
      </c>
      <c r="J81" s="79">
        <v>150</v>
      </c>
      <c r="K81" s="9">
        <v>120</v>
      </c>
      <c r="AB81">
        <f t="shared" si="59"/>
        <v>5.9359239495117118</v>
      </c>
      <c r="AD81" s="44">
        <v>51</v>
      </c>
      <c r="AE81">
        <v>64</v>
      </c>
    </row>
    <row r="82" spans="1:31" x14ac:dyDescent="0.25">
      <c r="A82" s="5" t="s">
        <v>15</v>
      </c>
      <c r="B82" s="47">
        <v>0</v>
      </c>
      <c r="C82" s="8">
        <v>19</v>
      </c>
      <c r="D82" s="8">
        <v>4.4000000000000004</v>
      </c>
      <c r="E82" s="8">
        <v>6.8</v>
      </c>
      <c r="F82" s="8">
        <v>9.1999999999999993</v>
      </c>
      <c r="G82" s="8">
        <v>7.7</v>
      </c>
      <c r="H82" s="65">
        <v>0</v>
      </c>
      <c r="I82" s="65">
        <v>0</v>
      </c>
      <c r="J82" s="80">
        <v>3.5</v>
      </c>
      <c r="K82" s="10">
        <v>2.7</v>
      </c>
      <c r="AB82">
        <f t="shared" si="59"/>
        <v>0.15230089570458533</v>
      </c>
      <c r="AD82" s="44"/>
    </row>
    <row r="83" spans="1:31" x14ac:dyDescent="0.25">
      <c r="A83" s="5" t="s">
        <v>16</v>
      </c>
      <c r="B83" s="47">
        <v>0</v>
      </c>
      <c r="C83" s="8">
        <v>9</v>
      </c>
      <c r="D83" s="8">
        <v>2.2000000000000002</v>
      </c>
      <c r="E83" s="8">
        <v>4.3</v>
      </c>
      <c r="F83" s="8">
        <v>2.8</v>
      </c>
      <c r="G83" s="8">
        <v>2.2999999999999998</v>
      </c>
      <c r="H83" s="65">
        <v>0</v>
      </c>
      <c r="I83" s="65">
        <v>0</v>
      </c>
      <c r="J83" s="80">
        <v>1.6</v>
      </c>
      <c r="K83" s="10">
        <v>1</v>
      </c>
      <c r="AB83">
        <f t="shared" si="59"/>
        <v>6.2571057378690786E-2</v>
      </c>
      <c r="AD83" s="44"/>
    </row>
    <row r="84" spans="1:31" x14ac:dyDescent="0.25">
      <c r="A84" s="3" t="s">
        <v>17</v>
      </c>
      <c r="B84" s="45">
        <v>2.2000000000000002</v>
      </c>
      <c r="C84" s="6">
        <v>3</v>
      </c>
      <c r="D84" s="6">
        <v>0</v>
      </c>
      <c r="E84" s="6">
        <v>0</v>
      </c>
      <c r="F84" s="6">
        <v>0</v>
      </c>
      <c r="G84" s="6">
        <v>0</v>
      </c>
      <c r="H84" s="63">
        <v>0</v>
      </c>
      <c r="I84" s="63">
        <v>4.5999999999999996</v>
      </c>
      <c r="J84" s="79">
        <v>2.6</v>
      </c>
      <c r="K84" s="9">
        <v>0</v>
      </c>
      <c r="AB84">
        <f t="shared" si="59"/>
        <v>6.738345674067292E-2</v>
      </c>
      <c r="AD84" s="44" t="s">
        <v>82</v>
      </c>
    </row>
    <row r="85" spans="1:31" x14ac:dyDescent="0.25">
      <c r="A85" s="3" t="s">
        <v>18</v>
      </c>
      <c r="B85" s="45">
        <v>0</v>
      </c>
      <c r="C85" s="6">
        <v>2</v>
      </c>
      <c r="D85" s="6">
        <v>0</v>
      </c>
      <c r="E85" s="6">
        <v>0</v>
      </c>
      <c r="F85" s="6">
        <v>0</v>
      </c>
      <c r="G85" s="6">
        <v>0</v>
      </c>
      <c r="H85" s="63">
        <v>0</v>
      </c>
      <c r="I85" s="63">
        <v>0</v>
      </c>
      <c r="J85" s="79">
        <v>0</v>
      </c>
      <c r="K85" s="9">
        <v>0</v>
      </c>
      <c r="AB85">
        <f t="shared" si="59"/>
        <v>1.7970702677958341E-3</v>
      </c>
      <c r="AD85" s="44" t="s">
        <v>82</v>
      </c>
    </row>
    <row r="86" spans="1:31" x14ac:dyDescent="0.25">
      <c r="A86" s="3" t="s">
        <v>19</v>
      </c>
      <c r="B86" s="45">
        <v>12</v>
      </c>
      <c r="C86" s="6">
        <v>24</v>
      </c>
      <c r="D86" s="6">
        <v>0</v>
      </c>
      <c r="E86" s="6">
        <v>0</v>
      </c>
      <c r="F86" s="6">
        <v>0</v>
      </c>
      <c r="G86" s="6">
        <v>0</v>
      </c>
      <c r="H86" s="63">
        <v>0</v>
      </c>
      <c r="I86" s="63">
        <v>0</v>
      </c>
      <c r="J86" s="79">
        <v>0</v>
      </c>
      <c r="K86" s="9">
        <v>0</v>
      </c>
      <c r="AB86">
        <f t="shared" si="59"/>
        <v>3.1931388761730378E-2</v>
      </c>
      <c r="AD86" s="44" t="s">
        <v>82</v>
      </c>
    </row>
    <row r="87" spans="1:31" x14ac:dyDescent="0.25">
      <c r="A87" s="3" t="s">
        <v>20</v>
      </c>
      <c r="B87" s="45">
        <v>15</v>
      </c>
      <c r="C87" s="6">
        <v>68</v>
      </c>
      <c r="D87" s="6">
        <v>61</v>
      </c>
      <c r="E87" s="6">
        <v>2.4</v>
      </c>
      <c r="F87" s="6">
        <v>0</v>
      </c>
      <c r="G87" s="6">
        <v>0</v>
      </c>
      <c r="H87" s="63">
        <v>0</v>
      </c>
      <c r="I87" s="63">
        <v>0</v>
      </c>
      <c r="J87" s="79">
        <v>0</v>
      </c>
      <c r="K87" s="9">
        <v>0</v>
      </c>
      <c r="AB87">
        <f t="shared" si="59"/>
        <v>0.13629781295300222</v>
      </c>
      <c r="AD87" s="44" t="s">
        <v>82</v>
      </c>
    </row>
    <row r="88" spans="1:31" x14ac:dyDescent="0.25">
      <c r="A88" s="3" t="s">
        <v>21</v>
      </c>
      <c r="B88" s="45">
        <v>6100</v>
      </c>
      <c r="C88" s="6">
        <v>21000</v>
      </c>
      <c r="D88" s="58">
        <v>26000</v>
      </c>
      <c r="E88" s="6">
        <v>8000</v>
      </c>
      <c r="F88" s="6">
        <v>8900</v>
      </c>
      <c r="G88" s="6">
        <v>3000</v>
      </c>
      <c r="H88" s="63">
        <v>840</v>
      </c>
      <c r="I88" s="63">
        <v>150</v>
      </c>
      <c r="J88" s="79">
        <v>92</v>
      </c>
      <c r="K88" s="9">
        <v>45</v>
      </c>
      <c r="AB88">
        <f t="shared" si="59"/>
        <v>104.46300406986727</v>
      </c>
      <c r="AD88" s="44">
        <v>231</v>
      </c>
      <c r="AE88">
        <v>240</v>
      </c>
    </row>
    <row r="89" spans="1:31" x14ac:dyDescent="0.25">
      <c r="A89" s="3" t="s">
        <v>22</v>
      </c>
      <c r="B89" s="45">
        <v>0</v>
      </c>
      <c r="C89" s="6">
        <v>13</v>
      </c>
      <c r="D89" s="6">
        <v>6</v>
      </c>
      <c r="E89" s="6">
        <v>2.7</v>
      </c>
      <c r="F89" s="6">
        <v>5.7</v>
      </c>
      <c r="G89" s="6">
        <v>3.2</v>
      </c>
      <c r="H89" s="63">
        <v>2.9</v>
      </c>
      <c r="I89" s="63">
        <v>1.8</v>
      </c>
      <c r="J89" s="79">
        <v>0</v>
      </c>
      <c r="K89" s="9">
        <v>0</v>
      </c>
      <c r="AB89">
        <f t="shared" si="59"/>
        <v>8.1081209992751965E-2</v>
      </c>
      <c r="AD89" s="44"/>
    </row>
    <row r="90" spans="1:31" x14ac:dyDescent="0.25">
      <c r="A90" s="3" t="s">
        <v>23</v>
      </c>
      <c r="B90" s="45">
        <v>0</v>
      </c>
      <c r="C90" s="6">
        <v>1</v>
      </c>
      <c r="D90" s="6">
        <v>0</v>
      </c>
      <c r="E90" s="6">
        <v>0</v>
      </c>
      <c r="F90" s="6">
        <v>0</v>
      </c>
      <c r="G90" s="6">
        <v>0</v>
      </c>
      <c r="H90" s="63">
        <v>0</v>
      </c>
      <c r="I90" s="63">
        <v>0</v>
      </c>
      <c r="J90" s="79">
        <v>0</v>
      </c>
      <c r="K90" s="9">
        <v>0</v>
      </c>
      <c r="AB90">
        <f t="shared" si="59"/>
        <v>8.9853513389791706E-4</v>
      </c>
      <c r="AD90" s="44" t="s">
        <v>82</v>
      </c>
    </row>
    <row r="91" spans="1:31" x14ac:dyDescent="0.25">
      <c r="A91" s="3" t="s">
        <v>24</v>
      </c>
      <c r="B91" s="45">
        <v>0</v>
      </c>
      <c r="C91" s="6">
        <v>0</v>
      </c>
      <c r="D91" s="6">
        <v>0</v>
      </c>
      <c r="E91" s="6">
        <v>0</v>
      </c>
      <c r="F91" s="6">
        <v>0</v>
      </c>
      <c r="G91" s="6">
        <v>5.8</v>
      </c>
      <c r="H91" s="63">
        <v>0</v>
      </c>
      <c r="I91" s="63">
        <v>0</v>
      </c>
      <c r="J91" s="79">
        <v>0</v>
      </c>
      <c r="K91" s="9">
        <v>0</v>
      </c>
      <c r="AB91">
        <f t="shared" si="59"/>
        <v>1.5376283665217058E-2</v>
      </c>
      <c r="AD91" s="36"/>
    </row>
    <row r="92" spans="1:31" x14ac:dyDescent="0.25">
      <c r="A92" s="3" t="s">
        <v>25</v>
      </c>
      <c r="B92" s="45">
        <v>7.1</v>
      </c>
      <c r="C92" s="6">
        <v>24</v>
      </c>
      <c r="D92" s="6">
        <v>0</v>
      </c>
      <c r="E92" s="6">
        <v>0</v>
      </c>
      <c r="F92" s="6">
        <v>0</v>
      </c>
      <c r="G92" s="6">
        <v>0</v>
      </c>
      <c r="H92" s="63">
        <v>0</v>
      </c>
      <c r="I92" s="63">
        <v>0</v>
      </c>
      <c r="J92" s="79">
        <v>0</v>
      </c>
      <c r="K92" s="9">
        <v>3.1</v>
      </c>
      <c r="AB92">
        <f t="shared" si="59"/>
        <v>7.6528606684405281E-2</v>
      </c>
      <c r="AD92" s="36"/>
    </row>
    <row r="93" spans="1:31" x14ac:dyDescent="0.25">
      <c r="A93" s="3" t="s">
        <v>26</v>
      </c>
      <c r="B93" s="45">
        <v>0</v>
      </c>
      <c r="C93" s="6">
        <v>0</v>
      </c>
      <c r="D93" s="6">
        <v>22</v>
      </c>
      <c r="E93" s="6">
        <v>10</v>
      </c>
      <c r="F93" s="6">
        <v>12</v>
      </c>
      <c r="G93" s="6">
        <v>2.8</v>
      </c>
      <c r="H93" s="63">
        <v>0</v>
      </c>
      <c r="I93" s="63">
        <v>0</v>
      </c>
      <c r="J93" s="79">
        <v>0</v>
      </c>
      <c r="K93" s="9">
        <v>0</v>
      </c>
      <c r="AB93">
        <f t="shared" si="59"/>
        <v>7.9476343270771355E-2</v>
      </c>
      <c r="AD93" s="36"/>
    </row>
    <row r="94" spans="1:31" x14ac:dyDescent="0.25">
      <c r="A94" s="5" t="s">
        <v>27</v>
      </c>
      <c r="B94" s="47">
        <v>120</v>
      </c>
      <c r="C94" s="8">
        <v>240</v>
      </c>
      <c r="D94" s="8">
        <v>750</v>
      </c>
      <c r="E94" s="8">
        <v>750</v>
      </c>
      <c r="F94" s="59">
        <v>1400</v>
      </c>
      <c r="G94" s="8">
        <v>920</v>
      </c>
      <c r="H94" s="65">
        <v>550</v>
      </c>
      <c r="I94" s="65">
        <v>180</v>
      </c>
      <c r="J94" s="80">
        <v>110</v>
      </c>
      <c r="K94" s="126">
        <v>88</v>
      </c>
      <c r="AB94">
        <f t="shared" si="59"/>
        <v>16.202835813878082</v>
      </c>
      <c r="AD94" s="36"/>
      <c r="AE94">
        <v>26</v>
      </c>
    </row>
    <row r="95" spans="1:31" x14ac:dyDescent="0.25">
      <c r="A95" s="5" t="s">
        <v>28</v>
      </c>
      <c r="B95" s="47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65">
        <v>0</v>
      </c>
      <c r="I95" s="65">
        <v>0</v>
      </c>
      <c r="J95" s="80">
        <v>0</v>
      </c>
      <c r="K95" s="10">
        <v>0</v>
      </c>
      <c r="AB95">
        <f t="shared" si="59"/>
        <v>0</v>
      </c>
      <c r="AD95" s="36"/>
    </row>
    <row r="96" spans="1:31" x14ac:dyDescent="0.25">
      <c r="A96" s="5" t="s">
        <v>29</v>
      </c>
      <c r="B96" s="47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65">
        <v>0</v>
      </c>
      <c r="I96" s="65">
        <v>0</v>
      </c>
      <c r="J96" s="80">
        <v>0</v>
      </c>
      <c r="K96" s="10">
        <v>0</v>
      </c>
      <c r="AB96">
        <f t="shared" si="59"/>
        <v>0</v>
      </c>
      <c r="AD96" s="36"/>
    </row>
    <row r="97" spans="1:31" x14ac:dyDescent="0.25">
      <c r="A97" s="5" t="s">
        <v>30</v>
      </c>
      <c r="B97" s="47">
        <v>1.2</v>
      </c>
      <c r="C97" s="8">
        <v>300</v>
      </c>
      <c r="D97" s="8">
        <v>110</v>
      </c>
      <c r="E97" s="8">
        <v>130</v>
      </c>
      <c r="F97" s="8">
        <v>290</v>
      </c>
      <c r="G97" s="8">
        <v>160</v>
      </c>
      <c r="H97" s="65">
        <v>4.3</v>
      </c>
      <c r="I97" s="65">
        <v>28</v>
      </c>
      <c r="J97" s="80">
        <v>100</v>
      </c>
      <c r="K97" s="10">
        <v>90</v>
      </c>
      <c r="AB97">
        <f t="shared" si="59"/>
        <v>4.3522041962548634</v>
      </c>
      <c r="AD97" s="36"/>
    </row>
    <row r="98" spans="1:31" x14ac:dyDescent="0.25">
      <c r="A98" s="5" t="s">
        <v>31</v>
      </c>
      <c r="B98" s="47">
        <v>53</v>
      </c>
      <c r="C98" s="8">
        <v>140</v>
      </c>
      <c r="D98" s="8">
        <v>110</v>
      </c>
      <c r="E98" s="8">
        <v>88</v>
      </c>
      <c r="F98" s="8">
        <v>160</v>
      </c>
      <c r="G98" s="8">
        <v>120</v>
      </c>
      <c r="H98" s="65">
        <v>180</v>
      </c>
      <c r="I98" s="65">
        <v>82</v>
      </c>
      <c r="J98" s="80">
        <v>29</v>
      </c>
      <c r="K98" s="10">
        <v>17</v>
      </c>
      <c r="AB98">
        <f t="shared" si="59"/>
        <v>3.6456628740844592</v>
      </c>
      <c r="AD98" s="36"/>
    </row>
    <row r="99" spans="1:31" x14ac:dyDescent="0.25">
      <c r="A99" s="5" t="s">
        <v>32</v>
      </c>
      <c r="B99" s="47">
        <v>280</v>
      </c>
      <c r="C99" s="8">
        <v>2100</v>
      </c>
      <c r="D99" s="8">
        <v>2700</v>
      </c>
      <c r="E99" s="8">
        <v>2700</v>
      </c>
      <c r="F99" s="59">
        <v>5100</v>
      </c>
      <c r="G99" s="8">
        <v>3800</v>
      </c>
      <c r="H99" s="65">
        <v>540</v>
      </c>
      <c r="I99" s="65">
        <v>510</v>
      </c>
      <c r="J99" s="80">
        <v>750</v>
      </c>
      <c r="K99" s="10">
        <v>860</v>
      </c>
      <c r="AB99">
        <f t="shared" si="59"/>
        <v>61.317957548924255</v>
      </c>
      <c r="AD99" s="36"/>
    </row>
    <row r="100" spans="1:31" x14ac:dyDescent="0.25">
      <c r="A100" s="3" t="s">
        <v>33</v>
      </c>
      <c r="B100" s="48">
        <f t="shared" ref="B100" si="60">SUM(B73:B99)</f>
        <v>26213.5</v>
      </c>
      <c r="C100" s="14">
        <v>71863</v>
      </c>
      <c r="D100" s="14">
        <v>52396.100000000006</v>
      </c>
      <c r="E100" s="7">
        <v>22217.4</v>
      </c>
      <c r="F100" s="7">
        <v>31135.9</v>
      </c>
      <c r="G100" s="7">
        <v>15171</v>
      </c>
      <c r="H100" s="81">
        <f t="shared" ref="H100:I100" si="61">SUM(H73:H99)</f>
        <v>5202.2</v>
      </c>
      <c r="I100" s="81">
        <f t="shared" si="61"/>
        <v>2227.3999999999996</v>
      </c>
      <c r="J100" s="81">
        <v>1962.8000000000002</v>
      </c>
      <c r="K100" s="84">
        <f t="shared" ref="K100" si="62">SUM(K73:K99)</f>
        <v>1784.4</v>
      </c>
      <c r="AB100">
        <f t="shared" si="59"/>
        <v>401.78594856758326</v>
      </c>
      <c r="AD100" s="36"/>
      <c r="AE100">
        <v>706</v>
      </c>
    </row>
    <row r="101" spans="1:31" x14ac:dyDescent="0.25">
      <c r="A101" s="40" t="s">
        <v>129</v>
      </c>
      <c r="B101" s="7">
        <f>SUM(B73,B74,B75,B76,B77,B78,B79,B80,B81,B86,B88)</f>
        <v>25735</v>
      </c>
      <c r="C101" s="7">
        <f>SUM(C73,C74,C75,C76,C77,C78,C79,C80,C81,C86,C88)</f>
        <v>68944</v>
      </c>
      <c r="D101" s="7">
        <f t="shared" ref="D101:K101" si="63">SUM(D73,D74,D75,D76,D77,D78,D79,D80,D81,D86,D88)</f>
        <v>48628</v>
      </c>
      <c r="E101" s="7">
        <f t="shared" si="63"/>
        <v>18515</v>
      </c>
      <c r="F101" s="7">
        <f t="shared" si="63"/>
        <v>24133.200000000001</v>
      </c>
      <c r="G101" s="7">
        <f t="shared" si="63"/>
        <v>10141</v>
      </c>
      <c r="H101" s="64">
        <f t="shared" si="63"/>
        <v>3925</v>
      </c>
      <c r="I101" s="64">
        <f t="shared" si="63"/>
        <v>1421</v>
      </c>
      <c r="J101" s="64">
        <f t="shared" si="63"/>
        <v>966.1</v>
      </c>
      <c r="K101" s="64">
        <f t="shared" si="63"/>
        <v>722.6</v>
      </c>
      <c r="L101" s="7"/>
      <c r="M101" s="7"/>
      <c r="N101" s="7"/>
      <c r="O101" s="7"/>
    </row>
    <row r="102" spans="1:31" x14ac:dyDescent="0.25">
      <c r="A102" s="11" t="s">
        <v>62</v>
      </c>
      <c r="B102" s="12">
        <v>43749.614583333336</v>
      </c>
      <c r="C102" s="12">
        <v>43756.361111111109</v>
      </c>
      <c r="D102" s="12">
        <v>43769.416666666664</v>
      </c>
      <c r="E102" s="12">
        <v>43776.43472222222</v>
      </c>
      <c r="F102" s="12">
        <v>43783.445138888892</v>
      </c>
      <c r="G102" s="12">
        <v>43791.442361111112</v>
      </c>
      <c r="H102" s="12">
        <v>43811.420138888891</v>
      </c>
      <c r="I102" s="12">
        <v>43837.333333333336</v>
      </c>
      <c r="J102" s="12">
        <v>43864.333333333336</v>
      </c>
      <c r="K102" s="49">
        <v>43907.586805555555</v>
      </c>
    </row>
    <row r="103" spans="1:31" x14ac:dyDescent="0.25">
      <c r="A103" s="11" t="s">
        <v>63</v>
      </c>
      <c r="B103">
        <f>B102-B62</f>
        <v>1.9666666666671517</v>
      </c>
      <c r="C103">
        <f>B103+C102-B102</f>
        <v>8.7131944444408873</v>
      </c>
      <c r="D103">
        <f>C103+D102-C102</f>
        <v>21.768749999995634</v>
      </c>
      <c r="E103">
        <f>D103+E102-D102</f>
        <v>28.786805555551837</v>
      </c>
      <c r="F103">
        <f>E103+F102-E102</f>
        <v>35.797222222223354</v>
      </c>
      <c r="G103">
        <f t="shared" ref="G103" si="64">F103+G102-F102</f>
        <v>43.794444444443798</v>
      </c>
      <c r="H103">
        <f>G103+H102-G102</f>
        <v>63.772222222221899</v>
      </c>
      <c r="I103">
        <f>H103+I102-H102</f>
        <v>89.685416666667152</v>
      </c>
      <c r="J103">
        <f>I103+J102-I102</f>
        <v>116.68541666666715</v>
      </c>
      <c r="K103">
        <f>J103+K102-J102</f>
        <v>159.93888888888614</v>
      </c>
      <c r="L103" s="28"/>
      <c r="M103" s="30"/>
    </row>
    <row r="104" spans="1:31" x14ac:dyDescent="0.25">
      <c r="A104" s="11" t="s">
        <v>68</v>
      </c>
      <c r="B104" s="29">
        <v>3.4150000000000005</v>
      </c>
      <c r="C104" s="29">
        <v>3.5519999999999996</v>
      </c>
      <c r="D104" s="33">
        <v>3.6740000000000004</v>
      </c>
      <c r="E104" s="34">
        <v>9.1349999999999998</v>
      </c>
      <c r="F104" s="29">
        <v>9.3879999999999999</v>
      </c>
      <c r="G104" s="27">
        <v>10.479999999999999</v>
      </c>
      <c r="H104" s="28">
        <v>27.127000000000002</v>
      </c>
      <c r="I104">
        <v>34.400999999999996</v>
      </c>
      <c r="J104">
        <v>34.6</v>
      </c>
      <c r="K104">
        <v>62.268000000000001</v>
      </c>
      <c r="L104" s="27"/>
      <c r="M104" s="30"/>
      <c r="N104" s="28"/>
      <c r="O104" s="27"/>
    </row>
    <row r="105" spans="1:31" x14ac:dyDescent="0.25">
      <c r="A105" s="11" t="s">
        <v>69</v>
      </c>
      <c r="B105" s="26">
        <f>B104</f>
        <v>3.4150000000000005</v>
      </c>
      <c r="C105" s="26">
        <f>B105+C104</f>
        <v>6.9670000000000005</v>
      </c>
      <c r="D105" s="26">
        <f>C105+D104</f>
        <v>10.641000000000002</v>
      </c>
      <c r="E105" s="26">
        <f>D105+E104</f>
        <v>19.776000000000003</v>
      </c>
      <c r="F105" s="26">
        <f>E105+F104</f>
        <v>29.164000000000001</v>
      </c>
      <c r="G105" s="26">
        <f t="shared" ref="G105:K105" si="65">F105+G104</f>
        <v>39.643999999999998</v>
      </c>
      <c r="H105" s="26">
        <f t="shared" si="65"/>
        <v>66.771000000000001</v>
      </c>
      <c r="I105" s="26">
        <f t="shared" si="65"/>
        <v>101.172</v>
      </c>
      <c r="J105" s="26">
        <f t="shared" si="65"/>
        <v>135.77199999999999</v>
      </c>
      <c r="K105" s="26">
        <f t="shared" si="65"/>
        <v>198.04</v>
      </c>
      <c r="L105" s="28"/>
      <c r="M105" s="2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31" x14ac:dyDescent="0.25">
      <c r="A106" s="11" t="s">
        <v>131</v>
      </c>
      <c r="B106" s="25">
        <f>B105/$E$65</f>
        <v>0.86387879568169701</v>
      </c>
      <c r="C106" s="25">
        <f t="shared" ref="C106:H106" si="66">C105/$E$65</f>
        <v>1.7624139295796142</v>
      </c>
      <c r="D106" s="25">
        <f t="shared" si="66"/>
        <v>2.6918109121080347</v>
      </c>
      <c r="E106" s="25">
        <f t="shared" si="66"/>
        <v>5.0026550698100261</v>
      </c>
      <c r="F106" s="25">
        <f t="shared" si="66"/>
        <v>7.3774996185244532</v>
      </c>
      <c r="G106" s="25">
        <f t="shared" si="66"/>
        <v>10.028583009079119</v>
      </c>
      <c r="H106" s="25">
        <f t="shared" si="66"/>
        <v>16.890790941863127</v>
      </c>
      <c r="I106" s="25">
        <f t="shared" ref="I106:J106" si="67">I105/$E$65</f>
        <v>25.59307335774777</v>
      </c>
      <c r="J106" s="25">
        <f t="shared" si="67"/>
        <v>34.345696002136265</v>
      </c>
      <c r="K106" s="25">
        <f t="shared" ref="K106" si="68">K105/$E$65</f>
        <v>50.09738117036698</v>
      </c>
      <c r="L106" s="28"/>
      <c r="M106" s="30"/>
      <c r="N106" s="28"/>
      <c r="O106" s="27"/>
    </row>
    <row r="107" spans="1:31" x14ac:dyDescent="0.25">
      <c r="A107" s="11" t="s">
        <v>132</v>
      </c>
      <c r="B107" s="25">
        <f>B106/2</f>
        <v>0.4319393978408485</v>
      </c>
      <c r="C107" s="25">
        <f>B106+(C106-B106)/2</f>
        <v>1.3131463626306557</v>
      </c>
      <c r="D107" s="25">
        <f t="shared" ref="D107" si="69">C106+(D106-C106)/2</f>
        <v>2.2271124208438247</v>
      </c>
      <c r="E107" s="25">
        <f t="shared" ref="E107" si="70">D106+(E106-D106)/2</f>
        <v>3.8472329909590304</v>
      </c>
      <c r="F107" s="25">
        <f t="shared" ref="F107" si="71">E106+(F106-E106)/2</f>
        <v>6.1900773441672392</v>
      </c>
      <c r="G107" s="25">
        <f t="shared" ref="G107" si="72">F106+(G106-F106)/2</f>
        <v>8.703041313801787</v>
      </c>
      <c r="H107" s="25">
        <f t="shared" ref="H107:K107" si="73">G106+(H106-G106)/2</f>
        <v>13.459686975471122</v>
      </c>
      <c r="I107" s="25">
        <f t="shared" si="73"/>
        <v>21.24193214980545</v>
      </c>
      <c r="J107" s="25">
        <f t="shared" si="73"/>
        <v>29.969384679942017</v>
      </c>
      <c r="K107" s="25">
        <f t="shared" si="73"/>
        <v>42.221538586251626</v>
      </c>
      <c r="L107" s="25"/>
      <c r="M107" s="25"/>
      <c r="N107" s="25"/>
      <c r="O107" s="25"/>
    </row>
    <row r="108" spans="1:31" x14ac:dyDescent="0.25">
      <c r="A108" s="11" t="s">
        <v>74</v>
      </c>
      <c r="B108" s="25">
        <v>3.5315975288455519</v>
      </c>
      <c r="C108" s="25">
        <v>11.148702962101638</v>
      </c>
      <c r="D108" s="25">
        <v>22.633191399571064</v>
      </c>
      <c r="E108" s="25">
        <v>106.01258981760846</v>
      </c>
      <c r="F108" s="28">
        <v>155.58717326736911</v>
      </c>
      <c r="G108" s="28">
        <v>214.9372980295567</v>
      </c>
      <c r="H108" s="30">
        <v>457.13058455666311</v>
      </c>
      <c r="I108" s="28">
        <v>580.25734124438134</v>
      </c>
      <c r="J108" s="28">
        <v>734.89291576496157</v>
      </c>
      <c r="K108" s="28">
        <v>735.89291576496203</v>
      </c>
      <c r="N108" s="25"/>
      <c r="O108" s="27"/>
    </row>
    <row r="109" spans="1:31" x14ac:dyDescent="0.25">
      <c r="A109" s="11" t="s">
        <v>76</v>
      </c>
      <c r="B109" s="25">
        <f>B100/1000/1000*B104</f>
        <v>8.9519102500000017E-2</v>
      </c>
      <c r="C109" s="25">
        <f>C100/1000/1000*C104</f>
        <v>0.25525737599999998</v>
      </c>
      <c r="D109" s="25">
        <f t="shared" ref="D109:G109" si="74">D100/1000/1000*D104</f>
        <v>0.19250327140000004</v>
      </c>
      <c r="E109" s="25">
        <f t="shared" si="74"/>
        <v>0.20295594900000002</v>
      </c>
      <c r="F109" s="25">
        <f t="shared" si="74"/>
        <v>0.29230382920000003</v>
      </c>
      <c r="G109" s="25">
        <f t="shared" si="74"/>
        <v>0.15899207999999995</v>
      </c>
      <c r="H109" s="25">
        <f t="shared" ref="H109:J109" si="75">H100/1000/1000*H104</f>
        <v>0.14112007940000001</v>
      </c>
      <c r="I109" s="25">
        <f t="shared" si="75"/>
        <v>7.6624787399999991E-2</v>
      </c>
      <c r="J109" s="25">
        <f t="shared" si="75"/>
        <v>6.7912880000000009E-2</v>
      </c>
      <c r="K109" s="25">
        <f t="shared" ref="K109" si="76">K100/1000/1000*K104</f>
        <v>0.11111101920000001</v>
      </c>
      <c r="L109" s="28"/>
      <c r="M109" s="30"/>
      <c r="N109" s="28"/>
      <c r="O109" s="27"/>
    </row>
    <row r="110" spans="1:31" x14ac:dyDescent="0.25">
      <c r="A110" s="11" t="s">
        <v>130</v>
      </c>
      <c r="B110" s="25">
        <f>B101/1000/1000*B104</f>
        <v>8.7885025000000019E-2</v>
      </c>
      <c r="C110" s="25">
        <f>C101/1000/1000*C104</f>
        <v>0.244889088</v>
      </c>
      <c r="D110" s="25">
        <f t="shared" ref="D110:G110" si="77">D101/1000/1000*D104</f>
        <v>0.17865927200000001</v>
      </c>
      <c r="E110" s="25">
        <f t="shared" si="77"/>
        <v>0.16913452500000001</v>
      </c>
      <c r="F110" s="25">
        <f t="shared" si="77"/>
        <v>0.2265624816</v>
      </c>
      <c r="G110" s="25">
        <f t="shared" si="77"/>
        <v>0.10627768</v>
      </c>
      <c r="H110" s="25">
        <f t="shared" ref="H110:J110" si="78">H101/1000/1000*H104</f>
        <v>0.106473475</v>
      </c>
      <c r="I110" s="25">
        <f t="shared" si="78"/>
        <v>4.8883820999999994E-2</v>
      </c>
      <c r="J110" s="25">
        <f t="shared" si="78"/>
        <v>3.3427060000000008E-2</v>
      </c>
      <c r="K110" s="25">
        <f t="shared" ref="K110" si="79">K101/1000/1000*K104</f>
        <v>4.4994856800000003E-2</v>
      </c>
      <c r="L110" s="28"/>
      <c r="M110" s="30"/>
      <c r="N110" s="28"/>
      <c r="O110" s="27"/>
    </row>
    <row r="111" spans="1:31" x14ac:dyDescent="0.25">
      <c r="A111" s="11" t="s">
        <v>77</v>
      </c>
      <c r="B111" s="25">
        <f>B109</f>
        <v>8.9519102500000017E-2</v>
      </c>
      <c r="C111" s="25">
        <f>B111+C109</f>
        <v>0.34477647849999998</v>
      </c>
      <c r="D111" s="25">
        <f t="shared" ref="D111:K112" si="80">C111+D109</f>
        <v>0.53727974990000005</v>
      </c>
      <c r="E111" s="25">
        <f t="shared" si="80"/>
        <v>0.74023569890000007</v>
      </c>
      <c r="F111" s="25">
        <f t="shared" si="80"/>
        <v>1.0325395281</v>
      </c>
      <c r="G111" s="25">
        <f t="shared" si="80"/>
        <v>1.1915316081</v>
      </c>
      <c r="H111" s="25">
        <f t="shared" si="80"/>
        <v>1.3326516875000001</v>
      </c>
      <c r="I111" s="25">
        <f t="shared" si="80"/>
        <v>1.4092764749</v>
      </c>
      <c r="J111" s="25">
        <f t="shared" si="80"/>
        <v>1.4771893548999999</v>
      </c>
      <c r="K111" s="25">
        <f t="shared" si="80"/>
        <v>1.5883003740999999</v>
      </c>
      <c r="L111" s="28"/>
      <c r="M111" s="30"/>
      <c r="N111" s="28"/>
      <c r="O111" s="27"/>
    </row>
    <row r="112" spans="1:31" x14ac:dyDescent="0.25">
      <c r="A112" s="11" t="s">
        <v>128</v>
      </c>
      <c r="B112" s="25">
        <f>B110</f>
        <v>8.7885025000000019E-2</v>
      </c>
      <c r="C112" s="25">
        <f>B112+C110</f>
        <v>0.33277411300000004</v>
      </c>
      <c r="D112" s="25">
        <f t="shared" ref="D112:I112" si="81">C112+D110</f>
        <v>0.51143338500000002</v>
      </c>
      <c r="E112" s="25">
        <f t="shared" si="81"/>
        <v>0.68056791000000005</v>
      </c>
      <c r="F112" s="25">
        <f t="shared" si="81"/>
        <v>0.90713039160000009</v>
      </c>
      <c r="G112" s="25">
        <f t="shared" si="81"/>
        <v>1.0134080716</v>
      </c>
      <c r="H112" s="25">
        <f t="shared" si="81"/>
        <v>1.1198815466000001</v>
      </c>
      <c r="I112" s="25">
        <f t="shared" si="81"/>
        <v>1.1687653676</v>
      </c>
      <c r="J112" s="25">
        <f t="shared" si="80"/>
        <v>1.2021924276</v>
      </c>
      <c r="K112" s="25">
        <f t="shared" si="80"/>
        <v>1.2471872844</v>
      </c>
      <c r="L112" s="28"/>
      <c r="M112" s="30"/>
      <c r="N112" s="28"/>
      <c r="O112" s="27"/>
    </row>
    <row r="113" spans="1:31" x14ac:dyDescent="0.25">
      <c r="A113" s="11" t="s">
        <v>225</v>
      </c>
      <c r="B113" s="25">
        <f>B111/$E$65*1000</f>
        <v>22.645286810602165</v>
      </c>
      <c r="C113" s="25">
        <f t="shared" ref="C113:J113" si="82">C111/$E$65*1000</f>
        <v>87.216717137908191</v>
      </c>
      <c r="D113" s="25">
        <f t="shared" si="82"/>
        <v>135.91349437416557</v>
      </c>
      <c r="E113" s="25">
        <f t="shared" si="82"/>
        <v>187.25444336349378</v>
      </c>
      <c r="F113" s="25">
        <f t="shared" si="82"/>
        <v>261.19736574781132</v>
      </c>
      <c r="G113" s="25">
        <f t="shared" si="82"/>
        <v>301.41695186591613</v>
      </c>
      <c r="H113" s="25">
        <f t="shared" si="82"/>
        <v>337.11552997384513</v>
      </c>
      <c r="I113" s="25">
        <f t="shared" si="82"/>
        <v>356.49899382698658</v>
      </c>
      <c r="J113" s="25">
        <f t="shared" si="82"/>
        <v>373.67864155339225</v>
      </c>
      <c r="K113" s="25">
        <f t="shared" ref="K113" si="83">K111/$E$65*1000</f>
        <v>401.78594856758315</v>
      </c>
      <c r="L113" s="28"/>
      <c r="M113" s="30"/>
      <c r="N113" s="28"/>
      <c r="O113" s="27"/>
    </row>
    <row r="114" spans="1:31" x14ac:dyDescent="0.25">
      <c r="A114" s="11" t="s">
        <v>87</v>
      </c>
      <c r="B114" s="25">
        <v>185.77103333333332</v>
      </c>
      <c r="C114" s="25">
        <v>492.60583333333329</v>
      </c>
      <c r="D114" s="25">
        <v>304.62466666666666</v>
      </c>
      <c r="E114" s="25">
        <v>84.275599999999997</v>
      </c>
      <c r="F114" s="25">
        <v>91.207253333333327</v>
      </c>
      <c r="G114" s="25">
        <v>32.676133333333333</v>
      </c>
      <c r="H114" s="25">
        <v>12.283066666666667</v>
      </c>
      <c r="I114">
        <v>2.8061999999999996</v>
      </c>
      <c r="J114" s="28"/>
      <c r="K114" s="27"/>
      <c r="L114" s="28"/>
      <c r="M114" s="30"/>
      <c r="N114" s="28"/>
      <c r="O114" s="27"/>
    </row>
    <row r="115" spans="1:31" x14ac:dyDescent="0.25">
      <c r="C115" s="134"/>
      <c r="D115" s="134"/>
      <c r="E115" s="134"/>
      <c r="F115" s="134"/>
      <c r="G115" s="134"/>
      <c r="H115" s="134"/>
      <c r="I115" s="134"/>
      <c r="J115" s="134"/>
      <c r="K115" s="134"/>
      <c r="L115" s="28"/>
      <c r="M115" s="30"/>
      <c r="N115" s="28"/>
      <c r="O115" s="13"/>
    </row>
    <row r="116" spans="1:31" x14ac:dyDescent="0.25">
      <c r="A116" s="16" t="s">
        <v>61</v>
      </c>
      <c r="B116" s="227">
        <v>43749.493750000001</v>
      </c>
      <c r="C116" s="227"/>
      <c r="D116" s="227"/>
      <c r="E116" s="15"/>
      <c r="F116" s="15"/>
      <c r="G116" s="17"/>
      <c r="J116" s="28"/>
      <c r="K116" s="27"/>
      <c r="L116" s="28"/>
      <c r="M116" s="30"/>
      <c r="N116" s="28"/>
      <c r="O116" s="27"/>
    </row>
    <row r="117" spans="1:31" x14ac:dyDescent="0.25">
      <c r="A117" s="35" t="s">
        <v>75</v>
      </c>
      <c r="B117" s="13" t="s">
        <v>64</v>
      </c>
      <c r="C117" s="13" t="s">
        <v>65</v>
      </c>
      <c r="D117" s="13" t="s">
        <v>66</v>
      </c>
      <c r="E117" s="13" t="s">
        <v>86</v>
      </c>
      <c r="F117" s="13" t="s">
        <v>67</v>
      </c>
      <c r="G117" s="18"/>
      <c r="J117" s="28"/>
      <c r="K117" s="27"/>
      <c r="L117" s="28"/>
      <c r="M117" s="30"/>
      <c r="N117" s="28"/>
      <c r="O117" s="13"/>
    </row>
    <row r="118" spans="1:31" x14ac:dyDescent="0.25">
      <c r="A118" s="35">
        <v>0.4</v>
      </c>
      <c r="B118" s="24">
        <v>1.4443018738508415</v>
      </c>
      <c r="C118" s="24">
        <v>0.2077128095113045</v>
      </c>
      <c r="D118" s="39" t="s">
        <v>89</v>
      </c>
      <c r="E118" s="24">
        <v>8.2820436359052234</v>
      </c>
      <c r="F118" s="24">
        <v>15.949028190203135</v>
      </c>
      <c r="G118" s="18"/>
      <c r="H118" t="s">
        <v>80</v>
      </c>
      <c r="J118" s="28"/>
      <c r="K118" s="27"/>
      <c r="L118" s="28"/>
      <c r="M118" s="30"/>
      <c r="N118" s="28"/>
      <c r="O118" s="27"/>
    </row>
    <row r="119" spans="1:31" x14ac:dyDescent="0.25">
      <c r="A119" s="19"/>
      <c r="B119" s="20" t="s">
        <v>70</v>
      </c>
      <c r="C119" s="20"/>
      <c r="D119" s="20"/>
      <c r="E119" s="31">
        <v>3.6753006067291785</v>
      </c>
      <c r="G119" s="21"/>
      <c r="H119">
        <f>$H$2/1000*E119</f>
        <v>2.5947622283507998</v>
      </c>
      <c r="I119" t="s">
        <v>84</v>
      </c>
      <c r="J119" s="13"/>
      <c r="K119" s="13"/>
      <c r="L119" s="28"/>
      <c r="M119" s="27"/>
      <c r="N119" s="28"/>
      <c r="O119" s="27"/>
    </row>
    <row r="120" spans="1:31" x14ac:dyDescent="0.25">
      <c r="A120" s="3"/>
      <c r="B120" s="45" t="s">
        <v>161</v>
      </c>
      <c r="C120" s="6" t="s">
        <v>59</v>
      </c>
      <c r="D120" s="6" t="s">
        <v>124</v>
      </c>
      <c r="E120" s="6" t="s">
        <v>126</v>
      </c>
      <c r="F120" s="54" t="s">
        <v>165</v>
      </c>
      <c r="G120" s="63" t="s">
        <v>163</v>
      </c>
      <c r="H120" s="63" t="s">
        <v>173</v>
      </c>
      <c r="I120" s="63" t="s">
        <v>174</v>
      </c>
      <c r="J120" s="45" t="s">
        <v>254</v>
      </c>
    </row>
    <row r="121" spans="1:31" x14ac:dyDescent="0.25">
      <c r="A121" s="3"/>
      <c r="B121" s="46" t="s">
        <v>72</v>
      </c>
      <c r="C121" s="7" t="s">
        <v>60</v>
      </c>
      <c r="D121" s="7" t="s">
        <v>125</v>
      </c>
      <c r="E121" s="7" t="s">
        <v>127</v>
      </c>
      <c r="F121" s="55" t="s">
        <v>166</v>
      </c>
      <c r="G121" s="64" t="s">
        <v>164</v>
      </c>
      <c r="H121" s="64" t="s">
        <v>175</v>
      </c>
      <c r="I121" s="64" t="s">
        <v>176</v>
      </c>
      <c r="J121" s="46" t="s">
        <v>255</v>
      </c>
    </row>
    <row r="122" spans="1:31" x14ac:dyDescent="0.25">
      <c r="A122" s="3"/>
      <c r="B122" s="45" t="s">
        <v>162</v>
      </c>
      <c r="C122" s="6" t="s">
        <v>54</v>
      </c>
      <c r="D122" s="6" t="s">
        <v>92</v>
      </c>
      <c r="E122" s="6" t="s">
        <v>96</v>
      </c>
      <c r="F122" s="54" t="s">
        <v>141</v>
      </c>
      <c r="G122" s="63" t="s">
        <v>157</v>
      </c>
      <c r="H122" s="63" t="s">
        <v>177</v>
      </c>
      <c r="I122" s="63" t="s">
        <v>178</v>
      </c>
      <c r="J122" s="45" t="s">
        <v>256</v>
      </c>
    </row>
    <row r="123" spans="1:31" x14ac:dyDescent="0.25">
      <c r="A123" s="3" t="s">
        <v>2</v>
      </c>
      <c r="B123" s="45" t="s">
        <v>37</v>
      </c>
      <c r="C123" s="6" t="s">
        <v>37</v>
      </c>
      <c r="D123" s="6" t="s">
        <v>37</v>
      </c>
      <c r="E123" s="6" t="s">
        <v>37</v>
      </c>
      <c r="F123" s="54" t="s">
        <v>37</v>
      </c>
      <c r="G123" s="63" t="s">
        <v>37</v>
      </c>
      <c r="H123" s="63" t="s">
        <v>37</v>
      </c>
      <c r="I123" s="63" t="s">
        <v>37</v>
      </c>
      <c r="J123" s="9" t="s">
        <v>37</v>
      </c>
    </row>
    <row r="124" spans="1:31" ht="43.5" x14ac:dyDescent="0.25">
      <c r="A124" s="4" t="s">
        <v>3</v>
      </c>
      <c r="B124" s="45" t="s">
        <v>38</v>
      </c>
      <c r="C124" s="6" t="s">
        <v>38</v>
      </c>
      <c r="D124" s="6" t="s">
        <v>38</v>
      </c>
      <c r="E124" s="6" t="s">
        <v>38</v>
      </c>
      <c r="F124" s="54" t="s">
        <v>38</v>
      </c>
      <c r="G124" s="63" t="s">
        <v>38</v>
      </c>
      <c r="H124" s="63" t="s">
        <v>38</v>
      </c>
      <c r="I124" s="63" t="s">
        <v>38</v>
      </c>
      <c r="J124" s="9" t="s">
        <v>38</v>
      </c>
      <c r="AB124" s="38" t="s">
        <v>83</v>
      </c>
      <c r="AC124" s="37"/>
      <c r="AD124" s="42" t="s">
        <v>90</v>
      </c>
      <c r="AE124" t="s">
        <v>90</v>
      </c>
    </row>
    <row r="125" spans="1:31" x14ac:dyDescent="0.25">
      <c r="A125" s="3" t="s">
        <v>4</v>
      </c>
      <c r="B125" s="45"/>
      <c r="C125" s="6" t="s">
        <v>39</v>
      </c>
      <c r="D125" s="6" t="s">
        <v>39</v>
      </c>
      <c r="E125" s="6" t="s">
        <v>39</v>
      </c>
      <c r="F125" s="54"/>
      <c r="G125" s="63"/>
      <c r="H125" s="63"/>
      <c r="I125" s="63"/>
      <c r="J125" s="9"/>
      <c r="AD125" s="43"/>
    </row>
    <row r="126" spans="1:31" x14ac:dyDescent="0.25">
      <c r="A126" s="3" t="s">
        <v>5</v>
      </c>
      <c r="B126" s="45"/>
      <c r="C126" s="6" t="s">
        <v>39</v>
      </c>
      <c r="D126" s="6" t="s">
        <v>39</v>
      </c>
      <c r="E126" s="6" t="s">
        <v>39</v>
      </c>
      <c r="F126" s="54"/>
      <c r="G126" s="63"/>
      <c r="H126" s="63"/>
      <c r="I126" s="63"/>
      <c r="J126" s="9"/>
      <c r="AD126" s="43"/>
    </row>
    <row r="127" spans="1:31" x14ac:dyDescent="0.25">
      <c r="A127" s="3" t="s">
        <v>6</v>
      </c>
      <c r="B127" s="58">
        <v>620</v>
      </c>
      <c r="C127" s="6">
        <v>75</v>
      </c>
      <c r="D127" s="6">
        <v>32</v>
      </c>
      <c r="E127" s="6">
        <v>18</v>
      </c>
      <c r="F127" s="54">
        <v>31</v>
      </c>
      <c r="G127" s="63">
        <v>32</v>
      </c>
      <c r="H127" s="79">
        <v>25</v>
      </c>
      <c r="I127" s="63">
        <v>8.6999999999999993</v>
      </c>
      <c r="J127" s="9">
        <v>17</v>
      </c>
      <c r="AB127">
        <f>(B127*$B$158+C127*$C$158+D127*$D$158+E127*$E$158+G127*$G$158+F127*$F$158+H127*$H$158+I127*$I$158+J127*$J$158)/1000/$E$119</f>
        <v>1.8238543774424762</v>
      </c>
      <c r="AD127" s="44" t="s">
        <v>82</v>
      </c>
    </row>
    <row r="128" spans="1:31" x14ac:dyDescent="0.25">
      <c r="A128" s="3" t="s">
        <v>7</v>
      </c>
      <c r="B128" s="58">
        <v>2200</v>
      </c>
      <c r="C128" s="6">
        <v>230</v>
      </c>
      <c r="D128" s="6">
        <v>45</v>
      </c>
      <c r="E128" s="6">
        <v>33</v>
      </c>
      <c r="F128" s="54">
        <v>33</v>
      </c>
      <c r="G128" s="63">
        <v>29</v>
      </c>
      <c r="H128" s="79">
        <v>28</v>
      </c>
      <c r="I128" s="63">
        <v>20</v>
      </c>
      <c r="J128" s="9">
        <v>30</v>
      </c>
      <c r="AB128">
        <f t="shared" ref="AB128:AB154" si="84">(B128*$B$158+C128*$C$158+D128*$D$158+E128*$E$158+G128*$G$158+F128*$F$158+H128*$H$158+I128*$I$158+J128*$J$158)/1000/$E$119</f>
        <v>5.4254362115281856</v>
      </c>
      <c r="AD128" s="44" t="s">
        <v>82</v>
      </c>
      <c r="AE128">
        <v>3</v>
      </c>
    </row>
    <row r="129" spans="1:31" x14ac:dyDescent="0.25">
      <c r="A129" s="3" t="s">
        <v>8</v>
      </c>
      <c r="B129" s="58">
        <v>3700</v>
      </c>
      <c r="C129" s="6">
        <v>450</v>
      </c>
      <c r="D129" s="6">
        <v>100</v>
      </c>
      <c r="E129" s="6">
        <v>91</v>
      </c>
      <c r="F129" s="54">
        <v>97</v>
      </c>
      <c r="G129" s="63">
        <v>75</v>
      </c>
      <c r="H129" s="79">
        <v>53</v>
      </c>
      <c r="I129" s="63">
        <v>41</v>
      </c>
      <c r="J129" s="9">
        <v>36</v>
      </c>
      <c r="AB129">
        <f t="shared" si="84"/>
        <v>9.4923435476609228</v>
      </c>
      <c r="AD129" s="44" t="s">
        <v>82</v>
      </c>
      <c r="AE129">
        <v>6</v>
      </c>
    </row>
    <row r="130" spans="1:31" x14ac:dyDescent="0.25">
      <c r="A130" s="3" t="s">
        <v>9</v>
      </c>
      <c r="B130" s="58">
        <v>2500</v>
      </c>
      <c r="C130" s="6">
        <v>290</v>
      </c>
      <c r="D130" s="6">
        <v>58</v>
      </c>
      <c r="E130" s="6">
        <v>46</v>
      </c>
      <c r="F130" s="54">
        <v>41</v>
      </c>
      <c r="G130" s="63">
        <v>34</v>
      </c>
      <c r="H130" s="79">
        <v>27</v>
      </c>
      <c r="I130" s="63">
        <v>23</v>
      </c>
      <c r="J130" s="9">
        <v>22</v>
      </c>
      <c r="AB130">
        <f t="shared" si="84"/>
        <v>6.1825984950445125</v>
      </c>
      <c r="AD130" s="44" t="s">
        <v>82</v>
      </c>
      <c r="AE130">
        <v>4</v>
      </c>
    </row>
    <row r="131" spans="1:31" x14ac:dyDescent="0.25">
      <c r="A131" s="3" t="s">
        <v>10</v>
      </c>
      <c r="B131" s="58">
        <v>16000</v>
      </c>
      <c r="C131" s="6">
        <v>2200</v>
      </c>
      <c r="D131" s="6">
        <v>410</v>
      </c>
      <c r="E131" s="6">
        <v>240</v>
      </c>
      <c r="F131" s="54">
        <v>190</v>
      </c>
      <c r="G131" s="63">
        <v>160</v>
      </c>
      <c r="H131" s="79">
        <v>125</v>
      </c>
      <c r="I131" s="63">
        <v>95</v>
      </c>
      <c r="J131" s="83">
        <v>140</v>
      </c>
      <c r="AB131">
        <f t="shared" si="84"/>
        <v>39.134262850951167</v>
      </c>
      <c r="AD131" s="44">
        <v>32</v>
      </c>
      <c r="AE131">
        <v>41</v>
      </c>
    </row>
    <row r="132" spans="1:31" x14ac:dyDescent="0.25">
      <c r="A132" s="3" t="s">
        <v>11</v>
      </c>
      <c r="B132" s="58">
        <v>11000</v>
      </c>
      <c r="C132" s="6">
        <v>4000</v>
      </c>
      <c r="D132" s="6">
        <v>940</v>
      </c>
      <c r="E132" s="6">
        <v>290</v>
      </c>
      <c r="F132" s="54">
        <v>140</v>
      </c>
      <c r="G132" s="63">
        <v>68</v>
      </c>
      <c r="H132" s="79">
        <v>32</v>
      </c>
      <c r="I132" s="63">
        <v>24</v>
      </c>
      <c r="J132" s="9">
        <v>18</v>
      </c>
      <c r="AB132">
        <f t="shared" si="84"/>
        <v>30.689250776789947</v>
      </c>
      <c r="AD132" s="44"/>
      <c r="AE132">
        <v>38</v>
      </c>
    </row>
    <row r="133" spans="1:31" x14ac:dyDescent="0.25">
      <c r="A133" s="3" t="s">
        <v>12</v>
      </c>
      <c r="B133" s="45">
        <v>22000</v>
      </c>
      <c r="C133" s="58">
        <v>25000</v>
      </c>
      <c r="D133" s="6">
        <v>18000</v>
      </c>
      <c r="E133" s="6">
        <v>9100</v>
      </c>
      <c r="F133" s="54">
        <v>9700</v>
      </c>
      <c r="G133" s="63">
        <v>6200</v>
      </c>
      <c r="H133" s="79">
        <v>1800</v>
      </c>
      <c r="I133" s="63">
        <v>690</v>
      </c>
      <c r="J133" s="9">
        <v>280</v>
      </c>
      <c r="AB133">
        <f t="shared" si="84"/>
        <v>166.22972523156619</v>
      </c>
      <c r="AD133" s="44">
        <v>195</v>
      </c>
      <c r="AE133">
        <v>240</v>
      </c>
    </row>
    <row r="134" spans="1:31" x14ac:dyDescent="0.25">
      <c r="A134" s="3" t="s">
        <v>13</v>
      </c>
      <c r="B134" s="58">
        <v>680</v>
      </c>
      <c r="C134" s="6">
        <v>470</v>
      </c>
      <c r="D134" s="6">
        <v>450</v>
      </c>
      <c r="E134" s="6">
        <v>380</v>
      </c>
      <c r="F134" s="54">
        <v>530</v>
      </c>
      <c r="G134" s="63">
        <v>690</v>
      </c>
      <c r="H134" s="79">
        <v>750</v>
      </c>
      <c r="I134" s="63">
        <v>750</v>
      </c>
      <c r="J134" s="9">
        <v>480</v>
      </c>
      <c r="AB134">
        <f t="shared" si="84"/>
        <v>16.147841047705946</v>
      </c>
      <c r="AD134" s="44">
        <v>49</v>
      </c>
      <c r="AE134">
        <v>44</v>
      </c>
    </row>
    <row r="135" spans="1:31" x14ac:dyDescent="0.25">
      <c r="A135" s="3" t="s">
        <v>14</v>
      </c>
      <c r="B135" s="45">
        <v>100</v>
      </c>
      <c r="C135" s="6">
        <v>110</v>
      </c>
      <c r="D135" s="6">
        <v>71</v>
      </c>
      <c r="E135" s="6">
        <v>80</v>
      </c>
      <c r="F135" s="58">
        <v>280</v>
      </c>
      <c r="G135" s="63">
        <v>97</v>
      </c>
      <c r="H135" s="79">
        <v>150</v>
      </c>
      <c r="I135" s="63">
        <v>220</v>
      </c>
      <c r="J135" s="9">
        <v>51</v>
      </c>
      <c r="AB135">
        <f t="shared" si="84"/>
        <v>3.7811192843807588</v>
      </c>
      <c r="AD135" s="44">
        <v>51</v>
      </c>
      <c r="AE135">
        <v>64</v>
      </c>
    </row>
    <row r="136" spans="1:31" x14ac:dyDescent="0.25">
      <c r="A136" s="5" t="s">
        <v>15</v>
      </c>
      <c r="B136" s="47">
        <v>2</v>
      </c>
      <c r="C136" s="8">
        <v>12</v>
      </c>
      <c r="D136" s="8">
        <v>3.5</v>
      </c>
      <c r="E136" s="8">
        <v>3.9</v>
      </c>
      <c r="F136" s="57">
        <v>8.1</v>
      </c>
      <c r="G136" s="65">
        <v>0</v>
      </c>
      <c r="H136" s="80">
        <v>2</v>
      </c>
      <c r="I136" s="65">
        <v>4.4000000000000004</v>
      </c>
      <c r="J136" s="10">
        <v>0</v>
      </c>
      <c r="AB136">
        <f t="shared" si="84"/>
        <v>8.8440792953062439E-2</v>
      </c>
      <c r="AD136" s="44"/>
    </row>
    <row r="137" spans="1:31" x14ac:dyDescent="0.25">
      <c r="A137" s="5" t="s">
        <v>16</v>
      </c>
      <c r="B137" s="47">
        <v>1</v>
      </c>
      <c r="C137" s="8">
        <v>7</v>
      </c>
      <c r="D137" s="8">
        <v>2.5</v>
      </c>
      <c r="E137" s="8">
        <v>1.9</v>
      </c>
      <c r="F137" s="54">
        <v>2.5</v>
      </c>
      <c r="G137" s="65">
        <v>0</v>
      </c>
      <c r="H137" s="80">
        <v>0</v>
      </c>
      <c r="I137" s="65">
        <v>0</v>
      </c>
      <c r="J137" s="10">
        <v>0</v>
      </c>
      <c r="AB137">
        <f t="shared" si="84"/>
        <v>2.3301794645912245E-2</v>
      </c>
      <c r="AD137" s="44"/>
    </row>
    <row r="138" spans="1:31" x14ac:dyDescent="0.25">
      <c r="A138" s="3" t="s">
        <v>17</v>
      </c>
      <c r="B138" s="45">
        <v>3.1</v>
      </c>
      <c r="C138" s="6">
        <v>0</v>
      </c>
      <c r="D138" s="6">
        <v>0</v>
      </c>
      <c r="E138" s="6">
        <v>0</v>
      </c>
      <c r="F138" s="54">
        <v>0</v>
      </c>
      <c r="G138" s="63">
        <v>0</v>
      </c>
      <c r="H138" s="79">
        <v>0</v>
      </c>
      <c r="I138" s="63">
        <v>0</v>
      </c>
      <c r="J138" s="9">
        <v>7.7</v>
      </c>
      <c r="AB138">
        <f t="shared" si="84"/>
        <v>2.0943348105749084E-2</v>
      </c>
      <c r="AD138" s="44" t="s">
        <v>82</v>
      </c>
    </row>
    <row r="139" spans="1:31" x14ac:dyDescent="0.25">
      <c r="A139" s="3" t="s">
        <v>18</v>
      </c>
      <c r="B139" s="45">
        <v>0</v>
      </c>
      <c r="C139" s="6">
        <v>0</v>
      </c>
      <c r="D139" s="6">
        <v>0</v>
      </c>
      <c r="E139" s="6">
        <v>0</v>
      </c>
      <c r="F139" s="54">
        <v>0</v>
      </c>
      <c r="G139" s="63">
        <v>0</v>
      </c>
      <c r="H139" s="79">
        <v>0</v>
      </c>
      <c r="I139" s="63">
        <v>0</v>
      </c>
      <c r="J139" s="9">
        <v>0</v>
      </c>
      <c r="AB139">
        <f t="shared" si="84"/>
        <v>0</v>
      </c>
      <c r="AD139" s="44" t="s">
        <v>82</v>
      </c>
    </row>
    <row r="140" spans="1:31" x14ac:dyDescent="0.25">
      <c r="A140" s="3" t="s">
        <v>19</v>
      </c>
      <c r="B140" s="45">
        <v>25</v>
      </c>
      <c r="C140" s="6">
        <v>3</v>
      </c>
      <c r="D140" s="6">
        <v>0</v>
      </c>
      <c r="E140" s="6">
        <v>0</v>
      </c>
      <c r="F140" s="54">
        <v>0</v>
      </c>
      <c r="G140" s="63">
        <v>0</v>
      </c>
      <c r="H140" s="79">
        <v>0</v>
      </c>
      <c r="I140" s="63">
        <v>0</v>
      </c>
      <c r="J140" s="9">
        <v>0</v>
      </c>
      <c r="AB140">
        <f t="shared" si="84"/>
        <v>5.5425126213359099E-2</v>
      </c>
      <c r="AD140" s="44" t="s">
        <v>82</v>
      </c>
    </row>
    <row r="141" spans="1:31" x14ac:dyDescent="0.25">
      <c r="A141" s="3" t="s">
        <v>20</v>
      </c>
      <c r="B141" s="45">
        <v>36</v>
      </c>
      <c r="C141" s="6">
        <v>60</v>
      </c>
      <c r="D141" s="6">
        <v>16</v>
      </c>
      <c r="E141" s="6">
        <v>4</v>
      </c>
      <c r="F141" s="54">
        <v>0</v>
      </c>
      <c r="G141" s="63">
        <v>0</v>
      </c>
      <c r="H141" s="79">
        <v>0</v>
      </c>
      <c r="I141" s="63">
        <v>0</v>
      </c>
      <c r="J141" s="9">
        <v>0</v>
      </c>
      <c r="AB141">
        <f t="shared" si="84"/>
        <v>0.18630748155574101</v>
      </c>
      <c r="AD141" s="44" t="s">
        <v>82</v>
      </c>
    </row>
    <row r="142" spans="1:31" x14ac:dyDescent="0.25">
      <c r="A142" s="3" t="s">
        <v>21</v>
      </c>
      <c r="B142" s="45">
        <v>26000</v>
      </c>
      <c r="C142" s="58">
        <v>29000</v>
      </c>
      <c r="D142" s="6">
        <v>16000</v>
      </c>
      <c r="E142" s="6">
        <v>7300</v>
      </c>
      <c r="F142" s="54">
        <v>6100</v>
      </c>
      <c r="G142" s="63">
        <v>3000</v>
      </c>
      <c r="H142" s="79">
        <v>650</v>
      </c>
      <c r="I142" s="63">
        <v>280</v>
      </c>
      <c r="J142" s="9">
        <v>110</v>
      </c>
      <c r="AB142">
        <f t="shared" si="84"/>
        <v>150.68906717071968</v>
      </c>
      <c r="AD142" s="44">
        <v>231</v>
      </c>
      <c r="AE142">
        <v>240</v>
      </c>
    </row>
    <row r="143" spans="1:31" x14ac:dyDescent="0.25">
      <c r="A143" s="3" t="s">
        <v>22</v>
      </c>
      <c r="B143" s="45">
        <v>4.3</v>
      </c>
      <c r="C143" s="6">
        <v>24</v>
      </c>
      <c r="D143" s="6">
        <v>5.5</v>
      </c>
      <c r="E143" s="6">
        <v>3.4</v>
      </c>
      <c r="F143" s="54">
        <v>3.8</v>
      </c>
      <c r="G143" s="63">
        <v>3</v>
      </c>
      <c r="H143" s="79">
        <v>2</v>
      </c>
      <c r="I143" s="63">
        <v>2.2000000000000002</v>
      </c>
      <c r="J143" s="9">
        <v>1.1000000000000001</v>
      </c>
      <c r="AB143">
        <f t="shared" si="84"/>
        <v>9.801418674174435E-2</v>
      </c>
      <c r="AD143" s="44"/>
    </row>
    <row r="144" spans="1:31" x14ac:dyDescent="0.25">
      <c r="A144" s="3" t="s">
        <v>23</v>
      </c>
      <c r="B144" s="45">
        <v>0</v>
      </c>
      <c r="C144" s="6">
        <v>1</v>
      </c>
      <c r="D144" s="6">
        <v>0</v>
      </c>
      <c r="E144" s="6">
        <v>0</v>
      </c>
      <c r="F144" s="54">
        <v>0</v>
      </c>
      <c r="G144" s="63">
        <v>0</v>
      </c>
      <c r="H144" s="79">
        <v>0</v>
      </c>
      <c r="I144" s="63">
        <v>0</v>
      </c>
      <c r="J144" s="9">
        <v>0</v>
      </c>
      <c r="AB144">
        <f t="shared" si="84"/>
        <v>1.4469564721490186E-3</v>
      </c>
      <c r="AD144" s="44" t="s">
        <v>82</v>
      </c>
    </row>
    <row r="145" spans="1:31" x14ac:dyDescent="0.25">
      <c r="A145" s="3" t="s">
        <v>24</v>
      </c>
      <c r="B145" s="45">
        <v>0</v>
      </c>
      <c r="C145" s="6">
        <v>0</v>
      </c>
      <c r="D145" s="6">
        <v>0</v>
      </c>
      <c r="E145" s="6">
        <v>0</v>
      </c>
      <c r="F145" s="54">
        <v>0</v>
      </c>
      <c r="G145" s="63">
        <v>0</v>
      </c>
      <c r="H145" s="79">
        <v>0</v>
      </c>
      <c r="I145" s="63">
        <v>0</v>
      </c>
      <c r="J145" s="9">
        <v>0</v>
      </c>
      <c r="AB145">
        <f t="shared" si="84"/>
        <v>0</v>
      </c>
      <c r="AD145" s="44"/>
    </row>
    <row r="146" spans="1:31" x14ac:dyDescent="0.25">
      <c r="A146" s="3" t="s">
        <v>25</v>
      </c>
      <c r="B146" s="45">
        <v>23</v>
      </c>
      <c r="C146" s="6">
        <v>3</v>
      </c>
      <c r="D146" s="6">
        <v>0</v>
      </c>
      <c r="E146" s="6">
        <v>0</v>
      </c>
      <c r="F146" s="54">
        <v>0</v>
      </c>
      <c r="G146" s="63">
        <v>0</v>
      </c>
      <c r="H146" s="79">
        <v>0</v>
      </c>
      <c r="I146" s="63">
        <v>0</v>
      </c>
      <c r="J146" s="9">
        <v>0</v>
      </c>
      <c r="AB146">
        <f t="shared" si="84"/>
        <v>5.1338385669606135E-2</v>
      </c>
      <c r="AD146" s="36"/>
    </row>
    <row r="147" spans="1:31" x14ac:dyDescent="0.25">
      <c r="A147" s="3" t="s">
        <v>26</v>
      </c>
      <c r="B147" s="45">
        <v>0</v>
      </c>
      <c r="C147" s="6">
        <v>4</v>
      </c>
      <c r="D147" s="6">
        <v>19</v>
      </c>
      <c r="E147" s="6">
        <v>9.4</v>
      </c>
      <c r="F147" s="54">
        <v>0</v>
      </c>
      <c r="G147" s="63">
        <v>0</v>
      </c>
      <c r="H147" s="79">
        <v>2</v>
      </c>
      <c r="I147" s="63">
        <v>0</v>
      </c>
      <c r="J147" s="9">
        <v>0</v>
      </c>
      <c r="AB147">
        <f t="shared" si="84"/>
        <v>5.683143294934058E-2</v>
      </c>
      <c r="AD147" s="36"/>
    </row>
    <row r="148" spans="1:31" x14ac:dyDescent="0.25">
      <c r="A148" s="5" t="s">
        <v>27</v>
      </c>
      <c r="B148" s="47">
        <v>330</v>
      </c>
      <c r="C148" s="8">
        <v>350</v>
      </c>
      <c r="D148" s="59">
        <v>990</v>
      </c>
      <c r="E148" s="8">
        <v>930</v>
      </c>
      <c r="F148" s="54">
        <v>580</v>
      </c>
      <c r="G148" s="65">
        <v>570</v>
      </c>
      <c r="H148" s="80">
        <v>670</v>
      </c>
      <c r="I148" s="65">
        <v>380</v>
      </c>
      <c r="J148" s="10">
        <v>210</v>
      </c>
      <c r="AB148">
        <f t="shared" si="84"/>
        <v>13.325780729426171</v>
      </c>
      <c r="AD148" s="36"/>
      <c r="AE148">
        <v>26</v>
      </c>
    </row>
    <row r="149" spans="1:31" x14ac:dyDescent="0.25">
      <c r="A149" s="5" t="s">
        <v>28</v>
      </c>
      <c r="B149" s="47">
        <v>0</v>
      </c>
      <c r="C149" s="8">
        <v>0</v>
      </c>
      <c r="D149" s="8">
        <v>0</v>
      </c>
      <c r="E149" s="8">
        <v>0</v>
      </c>
      <c r="F149" s="54">
        <v>0</v>
      </c>
      <c r="G149" s="65">
        <v>0</v>
      </c>
      <c r="H149" s="80">
        <v>0</v>
      </c>
      <c r="I149" s="65">
        <v>0</v>
      </c>
      <c r="J149" s="10">
        <v>0</v>
      </c>
      <c r="AB149">
        <f t="shared" si="84"/>
        <v>0</v>
      </c>
      <c r="AD149" s="36"/>
    </row>
    <row r="150" spans="1:31" x14ac:dyDescent="0.25">
      <c r="A150" s="5" t="s">
        <v>29</v>
      </c>
      <c r="B150" s="47">
        <v>0</v>
      </c>
      <c r="C150" s="8">
        <v>0</v>
      </c>
      <c r="D150" s="8">
        <v>0</v>
      </c>
      <c r="E150" s="8">
        <v>0</v>
      </c>
      <c r="F150" s="54">
        <v>6.4</v>
      </c>
      <c r="G150" s="65">
        <v>0</v>
      </c>
      <c r="H150" s="80">
        <v>12</v>
      </c>
      <c r="I150" s="65">
        <v>52</v>
      </c>
      <c r="J150" s="10">
        <v>0</v>
      </c>
      <c r="AB150">
        <f t="shared" si="84"/>
        <v>0.40611556977602753</v>
      </c>
      <c r="AD150" s="36"/>
    </row>
    <row r="151" spans="1:31" x14ac:dyDescent="0.25">
      <c r="A151" s="5" t="s">
        <v>30</v>
      </c>
      <c r="B151" s="47">
        <v>4.0999999999999996</v>
      </c>
      <c r="C151" s="8">
        <v>430</v>
      </c>
      <c r="D151" s="8">
        <v>140</v>
      </c>
      <c r="E151" s="8">
        <v>120</v>
      </c>
      <c r="F151" s="54">
        <v>22</v>
      </c>
      <c r="G151" s="65">
        <v>5.7</v>
      </c>
      <c r="H151" s="80">
        <v>210</v>
      </c>
      <c r="I151" s="65">
        <v>240</v>
      </c>
      <c r="J151" s="10">
        <v>120</v>
      </c>
      <c r="AB151">
        <f t="shared" si="84"/>
        <v>4.1317127018663369</v>
      </c>
      <c r="AD151" s="36"/>
    </row>
    <row r="152" spans="1:31" x14ac:dyDescent="0.25">
      <c r="A152" s="5" t="s">
        <v>31</v>
      </c>
      <c r="B152" s="47">
        <v>250</v>
      </c>
      <c r="C152" s="8">
        <v>190</v>
      </c>
      <c r="D152" s="8">
        <v>120</v>
      </c>
      <c r="E152" s="8">
        <v>88</v>
      </c>
      <c r="F152" s="54">
        <v>200</v>
      </c>
      <c r="G152" s="65">
        <v>250</v>
      </c>
      <c r="H152" s="80">
        <v>95</v>
      </c>
      <c r="I152" s="65">
        <v>72</v>
      </c>
      <c r="J152" s="10">
        <v>35</v>
      </c>
      <c r="AB152">
        <f t="shared" si="84"/>
        <v>3.1139896363974713</v>
      </c>
      <c r="AD152" s="36"/>
    </row>
    <row r="153" spans="1:31" x14ac:dyDescent="0.25">
      <c r="A153" s="5" t="s">
        <v>32</v>
      </c>
      <c r="B153" s="47">
        <v>470</v>
      </c>
      <c r="C153" s="8">
        <v>2800</v>
      </c>
      <c r="D153" s="59">
        <v>3000</v>
      </c>
      <c r="E153" s="8">
        <v>2500</v>
      </c>
      <c r="F153" s="54">
        <v>2200</v>
      </c>
      <c r="G153" s="65">
        <v>560</v>
      </c>
      <c r="H153" s="80">
        <v>2200</v>
      </c>
      <c r="I153" s="65">
        <v>3000</v>
      </c>
      <c r="J153" s="10">
        <v>1500</v>
      </c>
      <c r="AB153">
        <f t="shared" si="84"/>
        <v>53.877160316478864</v>
      </c>
      <c r="AD153" s="36"/>
    </row>
    <row r="154" spans="1:31" x14ac:dyDescent="0.25">
      <c r="A154" s="3" t="s">
        <v>33</v>
      </c>
      <c r="B154" s="48">
        <f>SUM(B127:B153)</f>
        <v>85948.500000000015</v>
      </c>
      <c r="C154" s="14">
        <v>65709</v>
      </c>
      <c r="D154" s="14">
        <v>40402.5</v>
      </c>
      <c r="E154" s="14">
        <v>21247.300000000003</v>
      </c>
      <c r="F154" s="56">
        <v>20164.8</v>
      </c>
      <c r="G154" s="81">
        <f t="shared" ref="G154" si="85">SUM(G127:G153)</f>
        <v>11773.7</v>
      </c>
      <c r="H154" s="81">
        <v>6833</v>
      </c>
      <c r="I154" s="81">
        <f t="shared" ref="I154:J154" si="86">SUM(I127:I153)</f>
        <v>5902.3</v>
      </c>
      <c r="J154" s="84">
        <f t="shared" si="86"/>
        <v>3057.8</v>
      </c>
      <c r="AB154">
        <f t="shared" si="84"/>
        <v>505.04462611887169</v>
      </c>
      <c r="AD154" s="36"/>
      <c r="AE154">
        <v>706</v>
      </c>
    </row>
    <row r="155" spans="1:31" x14ac:dyDescent="0.25">
      <c r="A155" s="40" t="s">
        <v>129</v>
      </c>
      <c r="B155" s="7">
        <f>SUM(B127,B128,B129,B130,B131,B132,B133,B134,B135,B140,B142)</f>
        <v>84825</v>
      </c>
      <c r="C155" s="7">
        <f>SUM(C127,C128,C129,C130,C131,C132,C133,C134,C135,C140,C142)</f>
        <v>61828</v>
      </c>
      <c r="D155" s="7">
        <f t="shared" ref="D155:J155" si="87">SUM(D127,D128,D129,D130,D131,D132,D133,D134,D135,D140,D142)</f>
        <v>36106</v>
      </c>
      <c r="E155" s="7">
        <f t="shared" si="87"/>
        <v>17578</v>
      </c>
      <c r="F155" s="7">
        <f>SUM(F127,F128,F129,F130,F131,F132,F133,F134,F135,F140,F142)</f>
        <v>17142</v>
      </c>
      <c r="G155" s="64">
        <f t="shared" si="87"/>
        <v>10385</v>
      </c>
      <c r="H155" s="64">
        <f t="shared" si="87"/>
        <v>3640</v>
      </c>
      <c r="I155" s="64">
        <f t="shared" si="87"/>
        <v>2151.6999999999998</v>
      </c>
      <c r="J155" s="64">
        <f t="shared" si="87"/>
        <v>1184</v>
      </c>
      <c r="K155" s="7"/>
      <c r="L155" s="7"/>
      <c r="M155" s="7"/>
      <c r="N155" s="7"/>
      <c r="O155" s="7"/>
    </row>
    <row r="156" spans="1:31" x14ac:dyDescent="0.25">
      <c r="A156" s="11" t="s">
        <v>62</v>
      </c>
      <c r="B156" s="12">
        <v>43754.427083333336</v>
      </c>
      <c r="C156" s="12">
        <v>43762.623611111114</v>
      </c>
      <c r="D156" s="12">
        <v>43769.425694444442</v>
      </c>
      <c r="E156" s="12">
        <v>43783.451388888891</v>
      </c>
      <c r="F156" s="12">
        <v>43798.37222222222</v>
      </c>
      <c r="G156" s="49">
        <v>43811.443055555559</v>
      </c>
      <c r="H156" s="49">
        <v>43857.402083333334</v>
      </c>
      <c r="I156" s="49">
        <v>43896.413194444445</v>
      </c>
      <c r="J156" s="49">
        <v>43908.666666666664</v>
      </c>
    </row>
    <row r="157" spans="1:31" x14ac:dyDescent="0.25">
      <c r="A157" s="11" t="s">
        <v>63</v>
      </c>
      <c r="B157">
        <f>B156-B116</f>
        <v>4.9333333333343035</v>
      </c>
      <c r="C157">
        <f>B157+C156-B156</f>
        <v>13.129861111112405</v>
      </c>
      <c r="D157">
        <f t="shared" ref="D157:J157" si="88">C157+D156-C156</f>
        <v>19.931944444440887</v>
      </c>
      <c r="E157">
        <f t="shared" si="88"/>
        <v>33.957638888889051</v>
      </c>
      <c r="F157">
        <f t="shared" si="88"/>
        <v>48.878472222218988</v>
      </c>
      <c r="G157">
        <f t="shared" si="88"/>
        <v>61.949305555557657</v>
      </c>
      <c r="H157">
        <f t="shared" si="88"/>
        <v>107.90833333333285</v>
      </c>
      <c r="I157">
        <f t="shared" si="88"/>
        <v>146.9194444444438</v>
      </c>
      <c r="J157">
        <f t="shared" si="88"/>
        <v>159.17291666666279</v>
      </c>
      <c r="K157" s="27"/>
      <c r="L157" s="30"/>
    </row>
    <row r="158" spans="1:31" x14ac:dyDescent="0.25">
      <c r="A158" s="11" t="s">
        <v>68</v>
      </c>
      <c r="B158" s="51">
        <f>3.721+2.545+1.244</f>
        <v>7.51</v>
      </c>
      <c r="C158" s="26">
        <f>4.074+C170</f>
        <v>5.3179999999999996</v>
      </c>
      <c r="D158">
        <v>4.6550000000000002</v>
      </c>
      <c r="E158" s="26">
        <f>6.448-C170</f>
        <v>5.2040000000000006</v>
      </c>
      <c r="F158">
        <v>7.7519999999999989</v>
      </c>
      <c r="G158">
        <v>7.1159999999999997</v>
      </c>
      <c r="H158">
        <v>25.119</v>
      </c>
      <c r="I158">
        <v>21.952999999999999</v>
      </c>
      <c r="J158">
        <v>6.9730000000000008</v>
      </c>
      <c r="K158" s="27"/>
      <c r="L158" s="30"/>
    </row>
    <row r="159" spans="1:31" x14ac:dyDescent="0.25">
      <c r="A159" s="11" t="s">
        <v>69</v>
      </c>
      <c r="B159" s="26">
        <f>B158</f>
        <v>7.51</v>
      </c>
      <c r="C159" s="26">
        <f>B159+C158</f>
        <v>12.827999999999999</v>
      </c>
      <c r="D159" s="26">
        <f t="shared" ref="D159" si="89">C159+D158</f>
        <v>17.483000000000001</v>
      </c>
      <c r="E159" s="26">
        <f t="shared" ref="E159:J159" si="90">D159+E158</f>
        <v>22.687000000000001</v>
      </c>
      <c r="F159" s="26">
        <f t="shared" si="90"/>
        <v>30.439</v>
      </c>
      <c r="G159" s="26">
        <f t="shared" si="90"/>
        <v>37.555</v>
      </c>
      <c r="H159" s="26">
        <f t="shared" si="90"/>
        <v>62.673999999999999</v>
      </c>
      <c r="I159" s="26">
        <f t="shared" si="90"/>
        <v>84.626999999999995</v>
      </c>
      <c r="J159" s="26">
        <f t="shared" si="90"/>
        <v>91.6</v>
      </c>
      <c r="K159" s="27"/>
      <c r="L159" s="30"/>
    </row>
    <row r="160" spans="1:31" x14ac:dyDescent="0.25">
      <c r="A160" s="11" t="s">
        <v>131</v>
      </c>
      <c r="B160" s="25">
        <f>B159/$E$119</f>
        <v>2.0433702718764817</v>
      </c>
      <c r="C160" s="25">
        <f t="shared" ref="C160:F160" si="91">C159/$E$119</f>
        <v>3.4903267440255004</v>
      </c>
      <c r="D160" s="25">
        <f t="shared" si="91"/>
        <v>4.7568898086839591</v>
      </c>
      <c r="E160" s="25">
        <f t="shared" si="91"/>
        <v>6.1728284098617507</v>
      </c>
      <c r="F160" s="25">
        <f t="shared" si="91"/>
        <v>8.2820436359052234</v>
      </c>
      <c r="G160" s="25">
        <f t="shared" ref="G160:H160" si="92">G159/$E$119</f>
        <v>10.218211792319744</v>
      </c>
      <c r="H160" s="25">
        <f t="shared" si="92"/>
        <v>17.052754782901015</v>
      </c>
      <c r="I160" s="25">
        <f t="shared" ref="I160:J160" si="93">I159/$E$119</f>
        <v>23.025871637562052</v>
      </c>
      <c r="J160" s="25">
        <f t="shared" si="93"/>
        <v>24.923131411968804</v>
      </c>
      <c r="K160" s="27"/>
      <c r="L160" s="30"/>
    </row>
    <row r="161" spans="1:15" x14ac:dyDescent="0.25">
      <c r="A161" s="11" t="s">
        <v>132</v>
      </c>
      <c r="B161" s="25">
        <f>B160/2</f>
        <v>1.0216851359382408</v>
      </c>
      <c r="C161" s="25">
        <f>B160+(C160-B160)/2</f>
        <v>2.766848507950991</v>
      </c>
      <c r="D161" s="25">
        <f t="shared" ref="D161" si="94">C160+(D160-C160)/2</f>
        <v>4.1236082763547302</v>
      </c>
      <c r="E161" s="25">
        <f t="shared" ref="E161" si="95">D160+(E160-D160)/2</f>
        <v>5.4648591092728545</v>
      </c>
      <c r="F161" s="25">
        <f t="shared" ref="F161:J161" si="96">E160+(F160-E160)/2</f>
        <v>7.2274360228834871</v>
      </c>
      <c r="G161" s="25">
        <f t="shared" si="96"/>
        <v>9.2501277141124838</v>
      </c>
      <c r="H161" s="25">
        <f t="shared" si="96"/>
        <v>13.635483287610381</v>
      </c>
      <c r="I161" s="25">
        <f t="shared" si="96"/>
        <v>20.039313210231533</v>
      </c>
      <c r="J161" s="25">
        <f t="shared" si="96"/>
        <v>23.974501524765429</v>
      </c>
      <c r="K161" s="27"/>
      <c r="L161" s="30"/>
    </row>
    <row r="162" spans="1:15" x14ac:dyDescent="0.25">
      <c r="A162" s="11" t="s">
        <v>74</v>
      </c>
      <c r="B162" s="50">
        <v>10.832216844588981</v>
      </c>
      <c r="C162" s="50">
        <v>30.908482333964443</v>
      </c>
      <c r="D162" s="50">
        <v>45.79828688839028</v>
      </c>
      <c r="E162" s="50">
        <v>69.887334863653592</v>
      </c>
      <c r="F162" s="50">
        <v>97.607760836520598</v>
      </c>
      <c r="G162" s="50">
        <v>134.42326030736325</v>
      </c>
      <c r="H162" s="50">
        <v>199.0078716529585</v>
      </c>
      <c r="I162" s="50">
        <v>289.25770880181301</v>
      </c>
      <c r="J162" s="50">
        <v>290.25770880181301</v>
      </c>
      <c r="K162" s="27"/>
      <c r="L162" s="30"/>
    </row>
    <row r="163" spans="1:15" x14ac:dyDescent="0.25">
      <c r="A163" s="11" t="s">
        <v>76</v>
      </c>
      <c r="B163" s="25">
        <f>B154/1000/1000*B158</f>
        <v>0.64547323500000009</v>
      </c>
      <c r="C163" s="25">
        <f>C154/1000/1000*C158</f>
        <v>0.34944046200000001</v>
      </c>
      <c r="D163" s="25">
        <f>D154/1000/1000*D158</f>
        <v>0.1880736375</v>
      </c>
      <c r="E163" s="25">
        <f>E154/1000/1000*E158</f>
        <v>0.11057094920000003</v>
      </c>
      <c r="F163" s="25">
        <f>F154/1000/1000*F158</f>
        <v>0.15631752959999998</v>
      </c>
      <c r="G163" s="25">
        <f t="shared" ref="G163:H163" si="97">G154/1000/1000*G158</f>
        <v>8.3781649200000002E-2</v>
      </c>
      <c r="H163" s="25">
        <f t="shared" si="97"/>
        <v>0.171638127</v>
      </c>
      <c r="I163" s="25">
        <f t="shared" ref="I163:J163" si="98">I154/1000/1000*I158</f>
        <v>0.1295731919</v>
      </c>
      <c r="J163" s="25">
        <f t="shared" si="98"/>
        <v>2.1322039400000003E-2</v>
      </c>
      <c r="K163" s="28"/>
      <c r="L163" s="30"/>
    </row>
    <row r="164" spans="1:15" x14ac:dyDescent="0.25">
      <c r="A164" s="11" t="s">
        <v>130</v>
      </c>
      <c r="B164" s="25">
        <f>B155/1000/1000*B158</f>
        <v>0.63703575000000001</v>
      </c>
      <c r="C164" s="25">
        <f>C155/1000/1000*C158</f>
        <v>0.32880130399999996</v>
      </c>
      <c r="D164" s="25">
        <f t="shared" ref="D164:E164" si="99">D155/1000/1000*D158</f>
        <v>0.16807343</v>
      </c>
      <c r="E164" s="25">
        <f t="shared" si="99"/>
        <v>9.1475912000000006E-2</v>
      </c>
      <c r="F164" s="25">
        <f t="shared" ref="F164:H164" si="100">F155/1000/1000*F158</f>
        <v>0.13288478399999998</v>
      </c>
      <c r="G164" s="25">
        <f t="shared" si="100"/>
        <v>7.3899659999999992E-2</v>
      </c>
      <c r="H164" s="25">
        <f t="shared" si="100"/>
        <v>9.1433159999999999E-2</v>
      </c>
      <c r="I164" s="25">
        <f t="shared" ref="I164:J164" si="101">I155/1000/1000*I158</f>
        <v>4.7236270099999998E-2</v>
      </c>
      <c r="J164" s="25">
        <f t="shared" si="101"/>
        <v>8.256032E-3</v>
      </c>
      <c r="K164" s="27"/>
      <c r="L164" s="28"/>
      <c r="M164" s="30"/>
      <c r="N164" s="28"/>
      <c r="O164" s="27"/>
    </row>
    <row r="165" spans="1:15" x14ac:dyDescent="0.25">
      <c r="A165" s="11" t="s">
        <v>77</v>
      </c>
      <c r="B165" s="25">
        <f>B163</f>
        <v>0.64547323500000009</v>
      </c>
      <c r="C165" s="25">
        <f>B165+C163</f>
        <v>0.9949136970000001</v>
      </c>
      <c r="D165" s="25">
        <f t="shared" ref="D165:E165" si="102">C165+D163</f>
        <v>1.1829873345000002</v>
      </c>
      <c r="E165" s="25">
        <f t="shared" si="102"/>
        <v>1.2935582837000001</v>
      </c>
      <c r="F165" s="25">
        <f t="shared" ref="F165:F166" si="103">E165+F163</f>
        <v>1.4498758133</v>
      </c>
      <c r="G165" s="25">
        <f t="shared" ref="G165:J166" si="104">F165+G163</f>
        <v>1.5336574625000001</v>
      </c>
      <c r="H165" s="25">
        <f t="shared" si="104"/>
        <v>1.7052955895000002</v>
      </c>
      <c r="I165" s="25">
        <f t="shared" si="104"/>
        <v>1.8348687814000002</v>
      </c>
      <c r="J165" s="25">
        <f t="shared" si="104"/>
        <v>1.8561908208000002</v>
      </c>
      <c r="K165" s="28"/>
      <c r="L165" s="30"/>
    </row>
    <row r="166" spans="1:15" x14ac:dyDescent="0.25">
      <c r="A166" s="11" t="s">
        <v>128</v>
      </c>
      <c r="B166" s="25">
        <f>B164</f>
        <v>0.63703575000000001</v>
      </c>
      <c r="C166" s="25">
        <f>B166+C164</f>
        <v>0.96583705399999997</v>
      </c>
      <c r="D166" s="25">
        <f>C166+D164</f>
        <v>1.1339104840000001</v>
      </c>
      <c r="E166" s="25">
        <f>D166+E164</f>
        <v>1.225386396</v>
      </c>
      <c r="F166" s="25">
        <f t="shared" si="103"/>
        <v>1.35827118</v>
      </c>
      <c r="G166" s="25">
        <f t="shared" si="104"/>
        <v>1.4321708399999999</v>
      </c>
      <c r="H166" s="25">
        <f t="shared" si="104"/>
        <v>1.523604</v>
      </c>
      <c r="I166" s="25">
        <f t="shared" si="104"/>
        <v>1.5708402700999999</v>
      </c>
      <c r="J166" s="25">
        <f t="shared" si="104"/>
        <v>1.5790963021</v>
      </c>
      <c r="K166" s="27"/>
      <c r="L166" s="28"/>
      <c r="M166" s="30"/>
      <c r="N166" s="28"/>
      <c r="O166" s="27"/>
    </row>
    <row r="167" spans="1:15" x14ac:dyDescent="0.25">
      <c r="A167" s="11" t="s">
        <v>225</v>
      </c>
      <c r="B167" s="25">
        <f>B165/$E$119*1000</f>
        <v>175.62460981237581</v>
      </c>
      <c r="C167" s="25">
        <f t="shared" ref="C167:H167" si="105">C165/$E$119*1000</f>
        <v>270.70267264081571</v>
      </c>
      <c r="D167" s="25">
        <f t="shared" si="105"/>
        <v>321.87498686067903</v>
      </c>
      <c r="E167" s="25">
        <f t="shared" si="105"/>
        <v>351.95985910148397</v>
      </c>
      <c r="F167" s="25">
        <f t="shared" si="105"/>
        <v>394.49176229160537</v>
      </c>
      <c r="G167" s="25">
        <f t="shared" si="105"/>
        <v>417.28762531478304</v>
      </c>
      <c r="H167" s="25">
        <f t="shared" si="105"/>
        <v>463.98805756942483</v>
      </c>
      <c r="I167" s="25">
        <f t="shared" ref="I167:J167" si="106">I165/$E$119*1000</f>
        <v>499.24318518069072</v>
      </c>
      <c r="J167" s="25">
        <f t="shared" si="106"/>
        <v>505.04462611887169</v>
      </c>
      <c r="K167" s="27"/>
      <c r="L167" s="28"/>
      <c r="M167" s="30"/>
      <c r="N167" s="28"/>
      <c r="O167" s="27"/>
    </row>
    <row r="168" spans="1:15" x14ac:dyDescent="0.25">
      <c r="A168" s="11" t="s">
        <v>87</v>
      </c>
      <c r="B168" s="25">
        <v>604.26251666666667</v>
      </c>
      <c r="C168" s="25">
        <v>378.77916666666664</v>
      </c>
      <c r="D168" s="25">
        <v>179.78653333333332</v>
      </c>
      <c r="E168" s="25">
        <v>80.250299999999996</v>
      </c>
      <c r="F168" s="25">
        <v>65.252600000000001</v>
      </c>
      <c r="G168" s="25">
        <v>32.74903333333333</v>
      </c>
    </row>
    <row r="169" spans="1:15" x14ac:dyDescent="0.25"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28"/>
    </row>
    <row r="170" spans="1:15" x14ac:dyDescent="0.25">
      <c r="B170" s="52" t="s">
        <v>73</v>
      </c>
      <c r="C170" s="53">
        <v>1.2440000000000002</v>
      </c>
    </row>
    <row r="172" spans="1:15" x14ac:dyDescent="0.25">
      <c r="A172" s="16" t="s">
        <v>61</v>
      </c>
      <c r="B172" s="228">
        <v>43893.486111111109</v>
      </c>
      <c r="C172" s="228"/>
      <c r="D172" s="228"/>
      <c r="E172" s="15"/>
      <c r="F172" s="15"/>
      <c r="G172" s="17"/>
    </row>
    <row r="173" spans="1:15" x14ac:dyDescent="0.25">
      <c r="A173" s="35" t="s">
        <v>75</v>
      </c>
      <c r="B173" s="13" t="s">
        <v>64</v>
      </c>
      <c r="C173" s="13" t="s">
        <v>65</v>
      </c>
      <c r="D173" s="13" t="s">
        <v>66</v>
      </c>
      <c r="E173" s="13" t="s">
        <v>86</v>
      </c>
      <c r="F173" s="13" t="s">
        <v>67</v>
      </c>
      <c r="G173" s="18"/>
    </row>
    <row r="174" spans="1:15" x14ac:dyDescent="0.25">
      <c r="A174" s="35">
        <v>0.4</v>
      </c>
      <c r="B174" s="24"/>
      <c r="C174" s="24"/>
      <c r="D174" s="39"/>
      <c r="E174" s="24"/>
      <c r="F174" s="24"/>
      <c r="G174" s="18"/>
    </row>
    <row r="175" spans="1:15" x14ac:dyDescent="0.25">
      <c r="A175" s="19"/>
      <c r="B175" s="20" t="s">
        <v>70</v>
      </c>
      <c r="C175" s="20"/>
      <c r="D175" s="20"/>
      <c r="E175" s="31">
        <v>3.9370000000000003</v>
      </c>
      <c r="G175" s="21"/>
    </row>
    <row r="176" spans="1:15" x14ac:dyDescent="0.25">
      <c r="A176" s="3"/>
      <c r="B176" s="63" t="s">
        <v>182</v>
      </c>
      <c r="C176" s="63" t="s">
        <v>183</v>
      </c>
      <c r="D176" s="63" t="s">
        <v>184</v>
      </c>
      <c r="E176" s="63" t="s">
        <v>185</v>
      </c>
      <c r="F176" s="63" t="s">
        <v>186</v>
      </c>
      <c r="G176" s="63" t="s">
        <v>187</v>
      </c>
      <c r="H176" s="63" t="s">
        <v>188</v>
      </c>
      <c r="I176" s="63" t="s">
        <v>189</v>
      </c>
      <c r="J176" s="63" t="s">
        <v>190</v>
      </c>
      <c r="K176" s="45" t="s">
        <v>246</v>
      </c>
      <c r="L176" s="45" t="s">
        <v>247</v>
      </c>
    </row>
    <row r="177" spans="1:33" x14ac:dyDescent="0.25">
      <c r="A177" s="3"/>
      <c r="B177" s="64" t="s">
        <v>191</v>
      </c>
      <c r="C177" s="64" t="s">
        <v>192</v>
      </c>
      <c r="D177" s="64" t="s">
        <v>193</v>
      </c>
      <c r="E177" s="64" t="s">
        <v>194</v>
      </c>
      <c r="F177" s="64" t="s">
        <v>195</v>
      </c>
      <c r="G177" s="64" t="s">
        <v>196</v>
      </c>
      <c r="H177" s="64" t="s">
        <v>197</v>
      </c>
      <c r="I177" s="64" t="s">
        <v>198</v>
      </c>
      <c r="J177" s="64" t="s">
        <v>199</v>
      </c>
      <c r="K177" s="46" t="s">
        <v>248</v>
      </c>
      <c r="L177" s="46" t="s">
        <v>249</v>
      </c>
    </row>
    <row r="178" spans="1:33" x14ac:dyDescent="0.25">
      <c r="A178" s="3"/>
      <c r="B178" s="63" t="s">
        <v>200</v>
      </c>
      <c r="C178" s="63" t="s">
        <v>200</v>
      </c>
      <c r="D178" s="63" t="s">
        <v>201</v>
      </c>
      <c r="E178" s="63" t="s">
        <v>202</v>
      </c>
      <c r="F178" s="63" t="s">
        <v>178</v>
      </c>
      <c r="G178" s="63" t="s">
        <v>179</v>
      </c>
      <c r="H178" s="63" t="s">
        <v>203</v>
      </c>
      <c r="I178" s="63" t="s">
        <v>180</v>
      </c>
      <c r="J178" s="63" t="s">
        <v>181</v>
      </c>
      <c r="K178" s="45" t="s">
        <v>245</v>
      </c>
      <c r="L178" s="45" t="s">
        <v>250</v>
      </c>
      <c r="AD178" s="66" t="s">
        <v>91</v>
      </c>
      <c r="AE178" s="43"/>
      <c r="AF178" s="43"/>
      <c r="AG178" s="43"/>
    </row>
    <row r="179" spans="1:33" x14ac:dyDescent="0.25">
      <c r="A179" s="3" t="s">
        <v>2</v>
      </c>
      <c r="B179" s="63" t="s">
        <v>37</v>
      </c>
      <c r="C179" s="63" t="s">
        <v>37</v>
      </c>
      <c r="D179" s="63" t="s">
        <v>37</v>
      </c>
      <c r="E179" s="63" t="s">
        <v>37</v>
      </c>
      <c r="F179" s="63" t="s">
        <v>37</v>
      </c>
      <c r="G179" s="63" t="s">
        <v>37</v>
      </c>
      <c r="H179" s="63" t="s">
        <v>37</v>
      </c>
      <c r="I179" s="63" t="s">
        <v>37</v>
      </c>
      <c r="J179" s="63" t="s">
        <v>37</v>
      </c>
      <c r="K179" s="9" t="s">
        <v>37</v>
      </c>
      <c r="L179" s="9" t="s">
        <v>37</v>
      </c>
      <c r="AD179" s="43" t="s">
        <v>136</v>
      </c>
      <c r="AE179" s="43" t="s">
        <v>133</v>
      </c>
      <c r="AF179" s="43" t="s">
        <v>135</v>
      </c>
      <c r="AG179" s="43"/>
    </row>
    <row r="180" spans="1:33" ht="30" x14ac:dyDescent="0.25">
      <c r="A180" s="4" t="s">
        <v>3</v>
      </c>
      <c r="B180" s="63" t="s">
        <v>38</v>
      </c>
      <c r="C180" s="63" t="s">
        <v>38</v>
      </c>
      <c r="D180" s="63" t="s">
        <v>38</v>
      </c>
      <c r="E180" s="63" t="s">
        <v>38</v>
      </c>
      <c r="F180" s="63" t="s">
        <v>38</v>
      </c>
      <c r="G180" s="63" t="s">
        <v>38</v>
      </c>
      <c r="H180" s="63" t="s">
        <v>38</v>
      </c>
      <c r="I180" s="63" t="s">
        <v>38</v>
      </c>
      <c r="J180" s="63" t="s">
        <v>38</v>
      </c>
      <c r="K180" s="9" t="s">
        <v>38</v>
      </c>
      <c r="L180" s="9" t="s">
        <v>38</v>
      </c>
      <c r="P180" s="38" t="s">
        <v>83</v>
      </c>
      <c r="AD180" s="43" t="s">
        <v>83</v>
      </c>
      <c r="AE180" s="43" t="s">
        <v>83</v>
      </c>
      <c r="AF180" s="43" t="s">
        <v>83</v>
      </c>
      <c r="AG180" s="43"/>
    </row>
    <row r="181" spans="1:33" x14ac:dyDescent="0.25">
      <c r="A181" s="3" t="s">
        <v>4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9"/>
      <c r="L181" s="9"/>
      <c r="AD181" s="43"/>
      <c r="AE181" s="43"/>
      <c r="AF181" s="43"/>
      <c r="AG181" s="43"/>
    </row>
    <row r="182" spans="1:33" x14ac:dyDescent="0.25">
      <c r="A182" s="3" t="s">
        <v>5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9"/>
      <c r="L182" s="9"/>
      <c r="AD182" s="43"/>
      <c r="AE182" s="43"/>
      <c r="AF182" s="43"/>
      <c r="AG182" s="43"/>
    </row>
    <row r="183" spans="1:33" x14ac:dyDescent="0.25">
      <c r="A183" s="3" t="s">
        <v>6</v>
      </c>
      <c r="B183" s="79">
        <v>6900</v>
      </c>
      <c r="C183" s="79">
        <v>1200</v>
      </c>
      <c r="D183" s="79">
        <v>51</v>
      </c>
      <c r="E183" s="79">
        <v>19</v>
      </c>
      <c r="F183" s="63">
        <v>20</v>
      </c>
      <c r="G183" s="63">
        <v>14</v>
      </c>
      <c r="H183" s="63">
        <v>12</v>
      </c>
      <c r="I183" s="63">
        <v>8.1999999999999993</v>
      </c>
      <c r="J183" s="63">
        <v>4.4000000000000004</v>
      </c>
      <c r="K183" s="9">
        <v>26</v>
      </c>
      <c r="L183" s="9">
        <v>17</v>
      </c>
      <c r="P183" s="67">
        <f>(B183*$B$214+C183*$C$214+D183*$D$214+E183*$E$214+F183*$F$214+G183*$G$214+H183*$H$214+I183*$I$214+J183*$J$214+K183*$K$214+L183*$L$214)/1000/$E$175</f>
        <v>2.6609957835915665</v>
      </c>
      <c r="AD183" s="43">
        <v>1.6944401865776622</v>
      </c>
      <c r="AE183" s="43">
        <v>1.7175300556617707</v>
      </c>
      <c r="AF183" s="43">
        <v>1.7612026145688149</v>
      </c>
      <c r="AG183" s="43"/>
    </row>
    <row r="184" spans="1:33" x14ac:dyDescent="0.25">
      <c r="A184" s="3" t="s">
        <v>7</v>
      </c>
      <c r="B184" s="79">
        <v>22000</v>
      </c>
      <c r="C184" s="79">
        <v>4100</v>
      </c>
      <c r="D184" s="79">
        <v>150</v>
      </c>
      <c r="E184" s="79">
        <v>53</v>
      </c>
      <c r="F184" s="63">
        <v>37</v>
      </c>
      <c r="G184" s="63">
        <v>27</v>
      </c>
      <c r="H184" s="63">
        <v>22</v>
      </c>
      <c r="I184" s="63">
        <v>18</v>
      </c>
      <c r="J184" s="63">
        <v>13</v>
      </c>
      <c r="K184" s="9">
        <v>30</v>
      </c>
      <c r="L184" s="9">
        <v>22</v>
      </c>
      <c r="P184" s="67">
        <f t="shared" ref="P184:P209" si="107">(B184*$B$214+C184*$C$214+D184*$D$214+E184*$E$214+F184*$F$214+G184*$G$214+H184*$H$214+I184*$I$214+J184*$J$214+K184*$K$214+L184*$L$214)/1000/$E$175</f>
        <v>8.2404318008636004</v>
      </c>
      <c r="AD184" s="43">
        <v>4.5902751239378574</v>
      </c>
      <c r="AE184" s="43">
        <v>4.7110148202425188</v>
      </c>
      <c r="AF184" s="43">
        <v>4.8495786502821394</v>
      </c>
      <c r="AG184" s="43"/>
    </row>
    <row r="185" spans="1:33" x14ac:dyDescent="0.25">
      <c r="A185" s="3" t="s">
        <v>8</v>
      </c>
      <c r="B185" s="79">
        <v>34000</v>
      </c>
      <c r="C185" s="79">
        <v>7500</v>
      </c>
      <c r="D185" s="79">
        <v>390</v>
      </c>
      <c r="E185" s="79">
        <v>150</v>
      </c>
      <c r="F185" s="63">
        <v>93</v>
      </c>
      <c r="G185" s="63">
        <v>53</v>
      </c>
      <c r="H185" s="63">
        <v>46</v>
      </c>
      <c r="I185" s="63">
        <v>37</v>
      </c>
      <c r="J185" s="63">
        <v>29</v>
      </c>
      <c r="K185" s="9">
        <v>39</v>
      </c>
      <c r="L185" s="9">
        <v>26</v>
      </c>
      <c r="P185" s="67">
        <f t="shared" si="107"/>
        <v>13.795587503175005</v>
      </c>
      <c r="AD185" s="43">
        <v>8.1214855039830045</v>
      </c>
      <c r="AE185" s="43">
        <v>8.368638901723477</v>
      </c>
      <c r="AF185" s="43">
        <v>8.6819533873407426</v>
      </c>
      <c r="AG185" s="43"/>
    </row>
    <row r="186" spans="1:33" x14ac:dyDescent="0.25">
      <c r="A186" s="3" t="s">
        <v>9</v>
      </c>
      <c r="B186" s="79">
        <v>17000</v>
      </c>
      <c r="C186" s="79">
        <v>5100</v>
      </c>
      <c r="D186" s="79">
        <v>420</v>
      </c>
      <c r="E186" s="79">
        <v>140</v>
      </c>
      <c r="F186" s="63">
        <v>64</v>
      </c>
      <c r="G186" s="63">
        <v>38</v>
      </c>
      <c r="H186" s="63">
        <v>26</v>
      </c>
      <c r="I186" s="63">
        <v>23</v>
      </c>
      <c r="J186" s="63">
        <v>19</v>
      </c>
      <c r="K186" s="9">
        <v>24</v>
      </c>
      <c r="L186" s="9">
        <v>16</v>
      </c>
      <c r="P186" s="67">
        <f t="shared" si="107"/>
        <v>8.1515092710185399</v>
      </c>
      <c r="AD186" s="43">
        <v>5.0695321305240437</v>
      </c>
      <c r="AE186" s="43">
        <v>5.2471334639644693</v>
      </c>
      <c r="AF186" s="43">
        <v>5.4482540708212346</v>
      </c>
      <c r="AG186" s="43"/>
    </row>
    <row r="187" spans="1:33" x14ac:dyDescent="0.25">
      <c r="A187" s="3" t="s">
        <v>10</v>
      </c>
      <c r="B187" s="79">
        <v>52000</v>
      </c>
      <c r="C187" s="79">
        <v>32000</v>
      </c>
      <c r="D187" s="127">
        <v>8800</v>
      </c>
      <c r="E187" s="127">
        <v>2400</v>
      </c>
      <c r="F187" s="63">
        <v>770</v>
      </c>
      <c r="G187" s="63">
        <v>320</v>
      </c>
      <c r="H187" s="63">
        <v>250</v>
      </c>
      <c r="I187" s="63">
        <v>230</v>
      </c>
      <c r="J187" s="63">
        <v>240</v>
      </c>
      <c r="K187" s="9">
        <v>260</v>
      </c>
      <c r="L187" s="9">
        <v>230</v>
      </c>
      <c r="P187" s="67">
        <f t="shared" si="107"/>
        <v>44.647035814071629</v>
      </c>
      <c r="AD187" s="43">
        <v>30.11915832869833</v>
      </c>
      <c r="AE187" s="43">
        <v>31.45463066611201</v>
      </c>
      <c r="AF187" s="43">
        <v>33.007453701746869</v>
      </c>
      <c r="AG187" s="43"/>
    </row>
    <row r="188" spans="1:33" x14ac:dyDescent="0.25">
      <c r="A188" s="3" t="s">
        <v>11</v>
      </c>
      <c r="B188" s="79">
        <v>13000</v>
      </c>
      <c r="C188" s="79">
        <v>16000</v>
      </c>
      <c r="D188" s="127">
        <v>13000</v>
      </c>
      <c r="E188" s="127">
        <v>7500</v>
      </c>
      <c r="F188" s="63">
        <v>3600</v>
      </c>
      <c r="G188" s="63">
        <v>1100</v>
      </c>
      <c r="H188" s="63">
        <v>200</v>
      </c>
      <c r="I188" s="63">
        <v>93</v>
      </c>
      <c r="J188" s="63">
        <v>54</v>
      </c>
      <c r="K188" s="9">
        <v>35</v>
      </c>
      <c r="L188" s="9">
        <v>24</v>
      </c>
      <c r="P188">
        <f t="shared" si="107"/>
        <v>32.213901701803401</v>
      </c>
      <c r="AD188" s="43">
        <v>24.059746026049464</v>
      </c>
      <c r="AE188" s="43">
        <v>24.716285110046787</v>
      </c>
      <c r="AF188" s="43">
        <v>24.9887174189912</v>
      </c>
      <c r="AG188" s="43"/>
    </row>
    <row r="189" spans="1:33" x14ac:dyDescent="0.25">
      <c r="A189" s="3" t="s">
        <v>12</v>
      </c>
      <c r="B189" s="79">
        <v>22000</v>
      </c>
      <c r="C189" s="79">
        <v>30000</v>
      </c>
      <c r="D189" s="127">
        <v>33000</v>
      </c>
      <c r="E189" s="127">
        <v>31000</v>
      </c>
      <c r="F189" s="63">
        <v>27000</v>
      </c>
      <c r="G189" s="63">
        <v>37000</v>
      </c>
      <c r="H189" s="63">
        <v>17000</v>
      </c>
      <c r="I189" s="63">
        <v>6800</v>
      </c>
      <c r="J189" s="63">
        <v>3800</v>
      </c>
      <c r="K189" s="9">
        <v>1400</v>
      </c>
      <c r="L189" s="9">
        <v>790</v>
      </c>
      <c r="P189">
        <f t="shared" si="107"/>
        <v>237.24121666243332</v>
      </c>
      <c r="AD189" s="43">
        <v>102.45507801654857</v>
      </c>
      <c r="AE189" s="43">
        <v>156.98962712323959</v>
      </c>
      <c r="AF189" s="43">
        <v>168.7538537584347</v>
      </c>
      <c r="AG189" s="43"/>
    </row>
    <row r="190" spans="1:33" x14ac:dyDescent="0.25">
      <c r="A190" s="3" t="s">
        <v>13</v>
      </c>
      <c r="B190" s="79">
        <v>1200</v>
      </c>
      <c r="C190" s="79">
        <v>1100</v>
      </c>
      <c r="D190" s="127">
        <v>650</v>
      </c>
      <c r="E190" s="127">
        <v>610</v>
      </c>
      <c r="F190" s="63">
        <v>650</v>
      </c>
      <c r="G190" s="63">
        <v>1500</v>
      </c>
      <c r="H190" s="63">
        <v>930</v>
      </c>
      <c r="I190" s="63">
        <v>500</v>
      </c>
      <c r="J190" s="63">
        <v>690</v>
      </c>
      <c r="K190" s="9">
        <v>490</v>
      </c>
      <c r="L190" s="9">
        <v>380</v>
      </c>
      <c r="P190">
        <f t="shared" si="107"/>
        <v>13.421501143002285</v>
      </c>
      <c r="AD190" s="43">
        <v>2.0037045464464027</v>
      </c>
      <c r="AE190" s="43">
        <v>4.7139669439463816</v>
      </c>
      <c r="AF190" s="43">
        <v>8.9449124449487467</v>
      </c>
      <c r="AG190" s="43"/>
    </row>
    <row r="191" spans="1:33" x14ac:dyDescent="0.25">
      <c r="A191" s="3" t="s">
        <v>14</v>
      </c>
      <c r="B191" s="79">
        <v>710</v>
      </c>
      <c r="C191" s="79">
        <v>420</v>
      </c>
      <c r="D191" s="79">
        <v>280</v>
      </c>
      <c r="E191" s="79">
        <v>290</v>
      </c>
      <c r="F191" s="63">
        <v>230</v>
      </c>
      <c r="G191" s="63">
        <v>390</v>
      </c>
      <c r="H191" s="63">
        <v>240</v>
      </c>
      <c r="I191" s="63">
        <v>270</v>
      </c>
      <c r="J191" s="63">
        <v>180</v>
      </c>
      <c r="K191" s="9">
        <v>61</v>
      </c>
      <c r="L191" s="9">
        <v>43</v>
      </c>
      <c r="P191">
        <f t="shared" si="107"/>
        <v>3.6314516129032253</v>
      </c>
      <c r="AD191" s="43">
        <v>0.56739554027991979</v>
      </c>
      <c r="AE191" s="43">
        <v>1.3374490394641911</v>
      </c>
      <c r="AF191" s="43">
        <v>2.7389084155175123</v>
      </c>
      <c r="AG191" s="43"/>
    </row>
    <row r="192" spans="1:33" x14ac:dyDescent="0.25">
      <c r="A192" s="5" t="s">
        <v>15</v>
      </c>
      <c r="B192" s="80">
        <v>230</v>
      </c>
      <c r="C192" s="80">
        <v>80</v>
      </c>
      <c r="D192" s="80">
        <v>52</v>
      </c>
      <c r="E192" s="80">
        <v>29</v>
      </c>
      <c r="F192" s="65">
        <v>27</v>
      </c>
      <c r="G192" s="65">
        <v>23</v>
      </c>
      <c r="H192" s="65">
        <v>8.4</v>
      </c>
      <c r="I192" s="65">
        <v>13</v>
      </c>
      <c r="J192" s="65">
        <v>6.3</v>
      </c>
      <c r="K192" s="10">
        <v>1.6</v>
      </c>
      <c r="L192" s="10">
        <v>0</v>
      </c>
      <c r="P192">
        <f t="shared" si="107"/>
        <v>0.28925864871729734</v>
      </c>
      <c r="AD192" s="43">
        <v>7.1009105056776017E-2</v>
      </c>
      <c r="AE192" s="43">
        <v>0.15796136887843548</v>
      </c>
      <c r="AF192" s="43">
        <v>0.22457719768355286</v>
      </c>
      <c r="AG192" s="43"/>
    </row>
    <row r="193" spans="1:33" x14ac:dyDescent="0.25">
      <c r="A193" s="5" t="s">
        <v>16</v>
      </c>
      <c r="B193" s="80">
        <v>89</v>
      </c>
      <c r="C193" s="80">
        <v>31</v>
      </c>
      <c r="D193" s="80">
        <v>17</v>
      </c>
      <c r="E193" s="80">
        <v>8.1</v>
      </c>
      <c r="F193" s="65">
        <v>4.9000000000000004</v>
      </c>
      <c r="G193" s="65">
        <v>2.4</v>
      </c>
      <c r="H193" s="65">
        <v>1.1000000000000001</v>
      </c>
      <c r="I193" s="65">
        <v>1.6</v>
      </c>
      <c r="J193" s="123">
        <v>1</v>
      </c>
      <c r="K193" s="10">
        <v>0</v>
      </c>
      <c r="L193" s="10">
        <v>0</v>
      </c>
      <c r="P193">
        <f t="shared" si="107"/>
        <v>7.162506985013968E-2</v>
      </c>
      <c r="AD193" s="43">
        <v>3.5829775960094741E-2</v>
      </c>
      <c r="AE193" s="43">
        <v>8.6026819163545959E-2</v>
      </c>
      <c r="AF193" s="43">
        <v>0.11757831568938604</v>
      </c>
      <c r="AG193" s="43"/>
    </row>
    <row r="194" spans="1:33" x14ac:dyDescent="0.25">
      <c r="A194" s="3" t="s">
        <v>17</v>
      </c>
      <c r="B194" s="79">
        <v>58</v>
      </c>
      <c r="C194" s="79">
        <v>16</v>
      </c>
      <c r="D194" s="79">
        <v>25</v>
      </c>
      <c r="E194" s="79">
        <v>7.1</v>
      </c>
      <c r="F194" s="63">
        <v>86</v>
      </c>
      <c r="G194" s="63">
        <v>0</v>
      </c>
      <c r="H194" s="63">
        <v>0</v>
      </c>
      <c r="I194" s="63">
        <v>26</v>
      </c>
      <c r="J194" s="63">
        <v>14</v>
      </c>
      <c r="K194" s="9">
        <v>0</v>
      </c>
      <c r="L194" s="9">
        <v>17</v>
      </c>
      <c r="P194">
        <f t="shared" si="107"/>
        <v>0.2671604013208026</v>
      </c>
      <c r="AD194" s="43" t="e">
        <v>#VALUE!</v>
      </c>
      <c r="AE194" s="43" t="e">
        <v>#VALUE!</v>
      </c>
      <c r="AF194" s="43" t="e">
        <v>#VALUE!</v>
      </c>
      <c r="AG194" s="43"/>
    </row>
    <row r="195" spans="1:33" x14ac:dyDescent="0.25">
      <c r="A195" s="3" t="s">
        <v>18</v>
      </c>
      <c r="B195" s="79">
        <v>22</v>
      </c>
      <c r="C195" s="79">
        <v>6</v>
      </c>
      <c r="D195" s="79">
        <v>0</v>
      </c>
      <c r="E195" s="79">
        <v>0</v>
      </c>
      <c r="F195" s="63">
        <v>0</v>
      </c>
      <c r="G195" s="63">
        <v>0</v>
      </c>
      <c r="H195" s="63">
        <v>0</v>
      </c>
      <c r="I195" s="63">
        <v>0</v>
      </c>
      <c r="J195" s="63">
        <v>0</v>
      </c>
      <c r="K195" s="9">
        <v>0</v>
      </c>
      <c r="L195" s="9">
        <v>0</v>
      </c>
      <c r="P195">
        <f t="shared" si="107"/>
        <v>9.2237744475488943E-3</v>
      </c>
      <c r="AD195" s="43" t="e">
        <v>#VALUE!</v>
      </c>
      <c r="AE195" s="43" t="e">
        <v>#VALUE!</v>
      </c>
      <c r="AF195" s="43" t="e">
        <v>#VALUE!</v>
      </c>
      <c r="AG195" s="43"/>
    </row>
    <row r="196" spans="1:33" x14ac:dyDescent="0.25">
      <c r="A196" s="3" t="s">
        <v>19</v>
      </c>
      <c r="B196" s="79">
        <v>100</v>
      </c>
      <c r="C196" s="79">
        <v>54</v>
      </c>
      <c r="D196" s="79">
        <v>12</v>
      </c>
      <c r="E196" s="79">
        <v>3.1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9">
        <v>0</v>
      </c>
      <c r="L196" s="9">
        <v>0</v>
      </c>
      <c r="P196">
        <f t="shared" si="107"/>
        <v>6.8177927355854706E-2</v>
      </c>
      <c r="AD196" s="43" t="e">
        <v>#VALUE!</v>
      </c>
      <c r="AE196" s="43" t="e">
        <v>#VALUE!</v>
      </c>
      <c r="AF196" s="43" t="e">
        <v>#VALUE!</v>
      </c>
      <c r="AG196" s="43"/>
    </row>
    <row r="197" spans="1:33" x14ac:dyDescent="0.25">
      <c r="A197" s="3" t="s">
        <v>20</v>
      </c>
      <c r="B197" s="79">
        <v>120</v>
      </c>
      <c r="C197" s="79">
        <v>170</v>
      </c>
      <c r="D197" s="79">
        <v>190</v>
      </c>
      <c r="E197" s="79">
        <v>120</v>
      </c>
      <c r="F197" s="63">
        <v>34</v>
      </c>
      <c r="G197" s="63">
        <v>10</v>
      </c>
      <c r="H197" s="63">
        <v>1.6</v>
      </c>
      <c r="I197" s="63">
        <v>0</v>
      </c>
      <c r="J197" s="63">
        <v>0</v>
      </c>
      <c r="K197" s="9">
        <v>0</v>
      </c>
      <c r="L197" s="9">
        <v>0</v>
      </c>
      <c r="P197">
        <f t="shared" si="107"/>
        <v>0.37022392684785371</v>
      </c>
      <c r="AD197" s="43">
        <v>0.22275716481065522</v>
      </c>
      <c r="AE197" s="43" t="e">
        <v>#VALUE!</v>
      </c>
      <c r="AF197" s="43" t="e">
        <v>#VALUE!</v>
      </c>
      <c r="AG197" s="43"/>
    </row>
    <row r="198" spans="1:33" x14ac:dyDescent="0.25">
      <c r="A198" s="3" t="s">
        <v>21</v>
      </c>
      <c r="B198" s="79">
        <v>25000</v>
      </c>
      <c r="C198" s="79">
        <v>35000</v>
      </c>
      <c r="D198" s="79">
        <v>36000</v>
      </c>
      <c r="E198" s="79">
        <v>31000</v>
      </c>
      <c r="F198" s="63">
        <v>21000</v>
      </c>
      <c r="G198" s="63">
        <v>22000</v>
      </c>
      <c r="H198" s="63">
        <v>8000</v>
      </c>
      <c r="I198" s="63">
        <v>2900</v>
      </c>
      <c r="J198" s="63">
        <v>1500</v>
      </c>
      <c r="K198" s="9">
        <v>740</v>
      </c>
      <c r="L198" s="9">
        <v>360</v>
      </c>
      <c r="P198">
        <f t="shared" si="107"/>
        <v>169.48989585979169</v>
      </c>
      <c r="AD198" s="43">
        <v>116.56201732947923</v>
      </c>
      <c r="AE198" s="43">
        <v>148.37856597932492</v>
      </c>
      <c r="AF198" s="43">
        <v>152.57591251830399</v>
      </c>
      <c r="AG198" s="43"/>
    </row>
    <row r="199" spans="1:33" x14ac:dyDescent="0.25">
      <c r="A199" s="3" t="s">
        <v>22</v>
      </c>
      <c r="B199" s="79">
        <v>6.9</v>
      </c>
      <c r="C199" s="79">
        <v>5.6</v>
      </c>
      <c r="D199" s="79">
        <v>4.7</v>
      </c>
      <c r="E199" s="79">
        <v>3.4</v>
      </c>
      <c r="F199" s="63">
        <v>2.6</v>
      </c>
      <c r="G199" s="124">
        <v>4</v>
      </c>
      <c r="H199" s="63">
        <v>2.8</v>
      </c>
      <c r="I199" s="63">
        <v>2.6</v>
      </c>
      <c r="J199" s="63">
        <v>1.9</v>
      </c>
      <c r="K199" s="9">
        <v>1.3</v>
      </c>
      <c r="L199" s="9">
        <v>1.1000000000000001</v>
      </c>
      <c r="P199">
        <f t="shared" si="107"/>
        <v>4.4713995427990851E-2</v>
      </c>
      <c r="AD199" s="43">
        <v>8.4296272462721131E-2</v>
      </c>
      <c r="AE199" s="43">
        <v>0.1470502222013815</v>
      </c>
      <c r="AF199" s="43">
        <v>0.16752686631053784</v>
      </c>
      <c r="AG199" s="43"/>
    </row>
    <row r="200" spans="1:33" x14ac:dyDescent="0.25">
      <c r="A200" s="3" t="s">
        <v>23</v>
      </c>
      <c r="B200" s="79">
        <v>0</v>
      </c>
      <c r="C200" s="79">
        <v>0</v>
      </c>
      <c r="D200" s="79">
        <v>0</v>
      </c>
      <c r="E200" s="79">
        <v>0</v>
      </c>
      <c r="F200" s="63">
        <v>0</v>
      </c>
      <c r="G200" s="63">
        <v>0</v>
      </c>
      <c r="H200" s="63">
        <v>0</v>
      </c>
      <c r="I200" s="63">
        <v>0</v>
      </c>
      <c r="J200" s="63">
        <v>0</v>
      </c>
      <c r="K200" s="9">
        <v>0</v>
      </c>
      <c r="L200" s="9">
        <v>0</v>
      </c>
      <c r="P200">
        <f t="shared" si="107"/>
        <v>0</v>
      </c>
      <c r="AD200" s="43" t="e">
        <v>#VALUE!</v>
      </c>
      <c r="AE200" s="43" t="e">
        <v>#VALUE!</v>
      </c>
      <c r="AF200" s="43" t="e">
        <v>#VALUE!</v>
      </c>
      <c r="AG200" s="43"/>
    </row>
    <row r="201" spans="1:33" x14ac:dyDescent="0.25">
      <c r="A201" s="3" t="s">
        <v>24</v>
      </c>
      <c r="B201" s="79">
        <v>0</v>
      </c>
      <c r="C201" s="79">
        <v>0</v>
      </c>
      <c r="D201" s="79">
        <v>0</v>
      </c>
      <c r="E201" s="79">
        <v>0</v>
      </c>
      <c r="F201" s="63">
        <v>0</v>
      </c>
      <c r="G201" s="63">
        <v>0</v>
      </c>
      <c r="H201" s="63">
        <v>0</v>
      </c>
      <c r="I201" s="63">
        <v>0</v>
      </c>
      <c r="J201" s="63">
        <v>0</v>
      </c>
      <c r="K201" s="9">
        <v>0</v>
      </c>
      <c r="L201" s="9">
        <v>0</v>
      </c>
      <c r="P201">
        <f t="shared" si="107"/>
        <v>0</v>
      </c>
      <c r="AD201" s="43" t="e">
        <v>#VALUE!</v>
      </c>
      <c r="AE201" s="43" t="e">
        <v>#VALUE!</v>
      </c>
      <c r="AF201" s="43" t="e">
        <v>#VALUE!</v>
      </c>
      <c r="AG201" s="43"/>
    </row>
    <row r="202" spans="1:33" x14ac:dyDescent="0.25">
      <c r="A202" s="3" t="s">
        <v>25</v>
      </c>
      <c r="B202" s="79">
        <v>170</v>
      </c>
      <c r="C202" s="79">
        <v>96</v>
      </c>
      <c r="D202" s="79">
        <v>18</v>
      </c>
      <c r="E202" s="79">
        <v>5.9</v>
      </c>
      <c r="F202" s="63">
        <v>3.3</v>
      </c>
      <c r="G202" s="63">
        <v>3.9</v>
      </c>
      <c r="H202" s="63">
        <v>5.8</v>
      </c>
      <c r="I202" s="63">
        <v>1.8</v>
      </c>
      <c r="J202" s="63">
        <v>2.2000000000000002</v>
      </c>
      <c r="K202" s="9">
        <v>2.9</v>
      </c>
      <c r="L202" s="9">
        <v>1.7</v>
      </c>
      <c r="P202">
        <f t="shared" si="107"/>
        <v>0.16737145034290069</v>
      </c>
      <c r="AD202" s="43">
        <v>6.9227089510107684E-2</v>
      </c>
      <c r="AE202" s="43" t="e">
        <v>#VALUE!</v>
      </c>
      <c r="AF202" s="43" t="e">
        <v>#VALUE!</v>
      </c>
      <c r="AG202" s="43"/>
    </row>
    <row r="203" spans="1:33" x14ac:dyDescent="0.25">
      <c r="A203" s="3" t="s">
        <v>26</v>
      </c>
      <c r="B203" s="79">
        <v>62</v>
      </c>
      <c r="C203" s="79">
        <v>85</v>
      </c>
      <c r="D203" s="79">
        <v>76</v>
      </c>
      <c r="E203" s="79">
        <v>67</v>
      </c>
      <c r="F203" s="63">
        <v>49</v>
      </c>
      <c r="G203" s="63">
        <v>56</v>
      </c>
      <c r="H203" s="63">
        <v>24</v>
      </c>
      <c r="I203" s="63">
        <v>10</v>
      </c>
      <c r="J203" s="63">
        <v>5</v>
      </c>
      <c r="K203" s="9">
        <v>2.2999999999999998</v>
      </c>
      <c r="L203" s="9">
        <v>1.4</v>
      </c>
      <c r="P203">
        <f t="shared" si="107"/>
        <v>0.42483261366522734</v>
      </c>
      <c r="AD203" s="43" t="e">
        <v>#VALUE!</v>
      </c>
      <c r="AE203" s="43" t="e">
        <v>#VALUE!</v>
      </c>
      <c r="AF203" s="43" t="e">
        <v>#VALUE!</v>
      </c>
      <c r="AG203" s="43"/>
    </row>
    <row r="204" spans="1:33" x14ac:dyDescent="0.25">
      <c r="A204" s="5" t="s">
        <v>27</v>
      </c>
      <c r="B204" s="80">
        <v>780</v>
      </c>
      <c r="C204" s="80">
        <v>600</v>
      </c>
      <c r="D204" s="80">
        <v>500</v>
      </c>
      <c r="E204" s="80">
        <v>500</v>
      </c>
      <c r="F204" s="65">
        <v>680</v>
      </c>
      <c r="G204" s="65">
        <v>960</v>
      </c>
      <c r="H204" s="65">
        <v>570</v>
      </c>
      <c r="I204" s="65">
        <v>660</v>
      </c>
      <c r="J204" s="65">
        <v>600</v>
      </c>
      <c r="K204" s="10">
        <v>330</v>
      </c>
      <c r="L204" s="10">
        <v>210</v>
      </c>
      <c r="P204">
        <f t="shared" si="107"/>
        <v>9.7678079756159502</v>
      </c>
      <c r="AD204" s="43">
        <v>1.4330567718494154</v>
      </c>
      <c r="AE204" s="43">
        <v>3.7401788670050906</v>
      </c>
      <c r="AF204" s="43">
        <v>7.5013928275288295</v>
      </c>
      <c r="AG204" s="43"/>
    </row>
    <row r="205" spans="1:33" x14ac:dyDescent="0.25">
      <c r="A205" s="5" t="s">
        <v>28</v>
      </c>
      <c r="B205" s="80">
        <v>1.5</v>
      </c>
      <c r="C205" s="80">
        <v>1.1000000000000001</v>
      </c>
      <c r="D205" s="80">
        <v>0</v>
      </c>
      <c r="E205" s="80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10">
        <v>0</v>
      </c>
      <c r="L205" s="10">
        <v>0</v>
      </c>
      <c r="P205">
        <f t="shared" si="107"/>
        <v>1.1627381254762511E-3</v>
      </c>
      <c r="AD205" s="43" t="e">
        <v>#VALUE!</v>
      </c>
      <c r="AE205" s="43" t="e">
        <v>#VALUE!</v>
      </c>
      <c r="AF205" s="43" t="e">
        <v>#VALUE!</v>
      </c>
      <c r="AG205" s="43"/>
    </row>
    <row r="206" spans="1:33" x14ac:dyDescent="0.25">
      <c r="A206" s="5" t="s">
        <v>29</v>
      </c>
      <c r="B206" s="80">
        <v>51</v>
      </c>
      <c r="C206" s="80">
        <v>40</v>
      </c>
      <c r="D206" s="80">
        <v>34</v>
      </c>
      <c r="E206" s="80">
        <v>26</v>
      </c>
      <c r="F206" s="65">
        <v>71</v>
      </c>
      <c r="G206" s="65">
        <v>88</v>
      </c>
      <c r="H206" s="65">
        <v>24</v>
      </c>
      <c r="I206" s="65">
        <v>17</v>
      </c>
      <c r="J206" s="65">
        <v>32</v>
      </c>
      <c r="K206" s="10">
        <v>0</v>
      </c>
      <c r="L206" s="10">
        <v>0</v>
      </c>
      <c r="P206">
        <f t="shared" si="107"/>
        <v>0.50911074422148839</v>
      </c>
      <c r="AD206" s="43" t="e">
        <v>#VALUE!</v>
      </c>
      <c r="AE206" s="43" t="e">
        <v>#VALUE!</v>
      </c>
      <c r="AF206" s="43" t="e">
        <v>#VALUE!</v>
      </c>
      <c r="AG206" s="43"/>
    </row>
    <row r="207" spans="1:33" x14ac:dyDescent="0.25">
      <c r="A207" s="5" t="s">
        <v>30</v>
      </c>
      <c r="B207" s="80">
        <v>94</v>
      </c>
      <c r="C207" s="80">
        <v>190</v>
      </c>
      <c r="D207" s="80">
        <v>460</v>
      </c>
      <c r="E207" s="80">
        <v>550</v>
      </c>
      <c r="F207" s="65">
        <v>570</v>
      </c>
      <c r="G207" s="65">
        <v>1100</v>
      </c>
      <c r="H207" s="65">
        <v>550</v>
      </c>
      <c r="I207" s="65">
        <v>290</v>
      </c>
      <c r="J207" s="65">
        <v>220</v>
      </c>
      <c r="K207" s="10">
        <v>85</v>
      </c>
      <c r="L207" s="10">
        <v>39</v>
      </c>
      <c r="P207">
        <f t="shared" si="107"/>
        <v>6.3921008382016753</v>
      </c>
      <c r="AD207" s="43">
        <v>2.8596762083418832</v>
      </c>
      <c r="AE207" s="43">
        <v>5.3376549803565805</v>
      </c>
      <c r="AF207" s="43">
        <v>7.045896028231553</v>
      </c>
      <c r="AG207" s="43"/>
    </row>
    <row r="208" spans="1:33" x14ac:dyDescent="0.25">
      <c r="A208" s="5" t="s">
        <v>31</v>
      </c>
      <c r="B208" s="80">
        <v>150</v>
      </c>
      <c r="C208" s="80">
        <v>180</v>
      </c>
      <c r="D208" s="80">
        <v>140</v>
      </c>
      <c r="E208" s="80">
        <v>140</v>
      </c>
      <c r="F208" s="65">
        <v>130</v>
      </c>
      <c r="G208" s="65">
        <v>220</v>
      </c>
      <c r="H208" s="65">
        <v>170</v>
      </c>
      <c r="I208" s="65">
        <v>110</v>
      </c>
      <c r="J208" s="65">
        <v>79</v>
      </c>
      <c r="K208" s="10">
        <v>45</v>
      </c>
      <c r="L208" s="10">
        <v>28</v>
      </c>
      <c r="P208">
        <f t="shared" si="107"/>
        <v>1.9161170942341883</v>
      </c>
      <c r="AD208" s="43">
        <v>0.80569629653531116</v>
      </c>
      <c r="AE208" s="43">
        <v>1.6483536890722044</v>
      </c>
      <c r="AF208" s="43">
        <v>2.2804003157757404</v>
      </c>
      <c r="AG208" s="43"/>
    </row>
    <row r="209" spans="1:33" x14ac:dyDescent="0.25">
      <c r="A209" s="5" t="s">
        <v>32</v>
      </c>
      <c r="B209" s="80">
        <v>3300</v>
      </c>
      <c r="C209" s="80">
        <v>4500</v>
      </c>
      <c r="D209" s="80">
        <v>4400</v>
      </c>
      <c r="E209" s="80">
        <v>4500</v>
      </c>
      <c r="F209" s="65">
        <v>4400</v>
      </c>
      <c r="G209" s="65">
        <v>9000</v>
      </c>
      <c r="H209" s="65">
        <v>5000</v>
      </c>
      <c r="I209" s="65">
        <v>3100</v>
      </c>
      <c r="J209" s="65">
        <v>2800</v>
      </c>
      <c r="K209" s="10">
        <v>1600</v>
      </c>
      <c r="L209" s="10">
        <v>1400</v>
      </c>
      <c r="P209">
        <f t="shared" si="107"/>
        <v>66.808712217424429</v>
      </c>
      <c r="AD209" s="43">
        <v>15.692478135031212</v>
      </c>
      <c r="AE209" s="43">
        <v>34.415849685826004</v>
      </c>
      <c r="AF209" s="43">
        <v>57.436521766078499</v>
      </c>
      <c r="AG209" s="43"/>
    </row>
    <row r="210" spans="1:33" x14ac:dyDescent="0.25">
      <c r="A210" s="3" t="s">
        <v>33</v>
      </c>
      <c r="B210" s="81">
        <f t="shared" ref="B210:L210" si="108">SUM(B183:B209)</f>
        <v>199044.4</v>
      </c>
      <c r="C210" s="81">
        <f t="shared" si="108"/>
        <v>138474.70000000001</v>
      </c>
      <c r="D210" s="81">
        <f t="shared" si="108"/>
        <v>98669.7</v>
      </c>
      <c r="E210" s="81">
        <f t="shared" si="108"/>
        <v>79121.599999999977</v>
      </c>
      <c r="F210" s="81">
        <f t="shared" si="108"/>
        <v>59521.8</v>
      </c>
      <c r="G210" s="81">
        <f t="shared" si="108"/>
        <v>73909.3</v>
      </c>
      <c r="H210" s="81">
        <f t="shared" si="108"/>
        <v>33083.699999999997</v>
      </c>
      <c r="I210" s="81">
        <f t="shared" si="108"/>
        <v>15111.199999999999</v>
      </c>
      <c r="J210" s="81">
        <f t="shared" si="108"/>
        <v>10290.799999999999</v>
      </c>
      <c r="K210" s="84">
        <f t="shared" si="108"/>
        <v>5173.1000000000004</v>
      </c>
      <c r="L210" s="84">
        <f t="shared" si="108"/>
        <v>3606.2</v>
      </c>
      <c r="P210">
        <f>(B210*$B$214+C210*$C$214+D210*$D$214+E210*$E$214+F210*$F$214+G210*$G$214+H210*$H$214+I210*$I$214+J210*$J$214+K210*$K$214+L210*$L$214)/1000/$E$175</f>
        <v>620.60112656845308</v>
      </c>
      <c r="AD210" s="43">
        <v>316.58722492360369</v>
      </c>
      <c r="AE210" s="43">
        <v>433.57130071293869</v>
      </c>
      <c r="AF210" s="43">
        <v>486.98832713359053</v>
      </c>
      <c r="AG210" s="43"/>
    </row>
    <row r="211" spans="1:33" x14ac:dyDescent="0.25">
      <c r="A211" s="40" t="s">
        <v>129</v>
      </c>
      <c r="B211" s="64">
        <f>SUM(B183,B184,B185,B186,B187,B188,B189,B190,B191,B196,B198)</f>
        <v>193910</v>
      </c>
      <c r="C211" s="64">
        <f t="shared" ref="C211:I211" si="109">SUM(C183,C184,C185,C186,C187,C188,C189,C190,C191,C196,C198)</f>
        <v>132474</v>
      </c>
      <c r="D211" s="64">
        <f t="shared" si="109"/>
        <v>92753</v>
      </c>
      <c r="E211" s="64">
        <f t="shared" si="109"/>
        <v>73165.100000000006</v>
      </c>
      <c r="F211" s="64">
        <f t="shared" si="109"/>
        <v>53464</v>
      </c>
      <c r="G211" s="64">
        <f t="shared" si="109"/>
        <v>62442</v>
      </c>
      <c r="H211" s="64">
        <f t="shared" si="109"/>
        <v>26726</v>
      </c>
      <c r="I211" s="64">
        <f t="shared" si="109"/>
        <v>10879.2</v>
      </c>
      <c r="J211" s="64">
        <f>SUM(J183,J184,J185,J186,J187,J188,J189,J190,J191,J196,J198)</f>
        <v>6529.4</v>
      </c>
      <c r="K211" s="64">
        <f t="shared" ref="K211:L211" si="110">SUM(K183,K184,K185,K186,K187,K188,K189,K190,K191,K196,K198)</f>
        <v>3105</v>
      </c>
      <c r="L211" s="64">
        <f t="shared" si="110"/>
        <v>1908</v>
      </c>
    </row>
    <row r="212" spans="1:33" x14ac:dyDescent="0.25">
      <c r="A212" s="11" t="s">
        <v>62</v>
      </c>
      <c r="B212" s="49">
        <v>43893.708333333336</v>
      </c>
      <c r="C212" s="49">
        <v>43894.34375</v>
      </c>
      <c r="D212" s="49">
        <v>43894.555555555555</v>
      </c>
      <c r="E212" s="49">
        <v>43895.34375</v>
      </c>
      <c r="F212" s="49">
        <v>43896.583333333336</v>
      </c>
      <c r="G212" s="49">
        <v>43899.402777777781</v>
      </c>
      <c r="H212" s="49">
        <v>43901.381944444445</v>
      </c>
      <c r="I212" s="49">
        <v>43903.418055555558</v>
      </c>
      <c r="J212" s="49">
        <v>43906.42083333333</v>
      </c>
      <c r="K212" s="49">
        <v>43910.466666666667</v>
      </c>
      <c r="L212" s="49">
        <v>43913.402777777781</v>
      </c>
    </row>
    <row r="213" spans="1:33" x14ac:dyDescent="0.25">
      <c r="A213" s="11" t="s">
        <v>63</v>
      </c>
      <c r="B213">
        <f>B212-B172</f>
        <v>0.22222222222626442</v>
      </c>
      <c r="C213">
        <f>B213+C212-B212</f>
        <v>0.85763888889050577</v>
      </c>
      <c r="D213">
        <f t="shared" ref="D213:J213" si="111">C213+D212-C212</f>
        <v>1.0694444444452529</v>
      </c>
      <c r="E213">
        <f t="shared" si="111"/>
        <v>1.8576388888905058</v>
      </c>
      <c r="F213">
        <f t="shared" si="111"/>
        <v>3.0972222222262644</v>
      </c>
      <c r="G213">
        <f t="shared" si="111"/>
        <v>5.9166666666715173</v>
      </c>
      <c r="H213">
        <f t="shared" si="111"/>
        <v>7.8958333333357587</v>
      </c>
      <c r="I213">
        <f t="shared" si="111"/>
        <v>9.9319444444481633</v>
      </c>
      <c r="J213">
        <f t="shared" si="111"/>
        <v>12.934722222220444</v>
      </c>
      <c r="K213">
        <f t="shared" ref="K213" si="112">J213+K212-J212</f>
        <v>16.980555555557657</v>
      </c>
      <c r="L213">
        <f t="shared" ref="L213" si="113">K213+L212-K212</f>
        <v>19.916666666671517</v>
      </c>
    </row>
    <row r="214" spans="1:33" x14ac:dyDescent="0.25">
      <c r="A214" s="11" t="s">
        <v>68</v>
      </c>
      <c r="B214">
        <v>0.82100000000000006</v>
      </c>
      <c r="C214">
        <v>3.0419999999999998</v>
      </c>
      <c r="D214">
        <v>0.98099999999999998</v>
      </c>
      <c r="E214">
        <v>3.3149999999999999</v>
      </c>
      <c r="F214">
        <v>4.4790000000000001</v>
      </c>
      <c r="G214">
        <v>9.593</v>
      </c>
      <c r="H214">
        <v>5.9410000000000007</v>
      </c>
      <c r="I214">
        <v>6.1449999999999996</v>
      </c>
      <c r="J214">
        <v>9.7509999999999994</v>
      </c>
      <c r="K214">
        <v>16.675999999999998</v>
      </c>
      <c r="L214">
        <v>13.292999999999999</v>
      </c>
    </row>
    <row r="215" spans="1:33" x14ac:dyDescent="0.25">
      <c r="A215" s="11" t="s">
        <v>69</v>
      </c>
      <c r="B215" s="26">
        <f>B214</f>
        <v>0.82100000000000006</v>
      </c>
      <c r="C215" s="26">
        <f>B215+C214</f>
        <v>3.863</v>
      </c>
      <c r="D215" s="26">
        <f t="shared" ref="D215:J215" si="114">C215+D214</f>
        <v>4.8440000000000003</v>
      </c>
      <c r="E215" s="26">
        <f t="shared" si="114"/>
        <v>8.1590000000000007</v>
      </c>
      <c r="F215" s="26">
        <f t="shared" si="114"/>
        <v>12.638000000000002</v>
      </c>
      <c r="G215" s="26">
        <f t="shared" si="114"/>
        <v>22.231000000000002</v>
      </c>
      <c r="H215" s="26">
        <f t="shared" si="114"/>
        <v>28.172000000000004</v>
      </c>
      <c r="I215" s="26">
        <f t="shared" si="114"/>
        <v>34.317000000000007</v>
      </c>
      <c r="J215" s="26">
        <f t="shared" si="114"/>
        <v>44.068000000000005</v>
      </c>
      <c r="K215" s="26">
        <f t="shared" ref="K215" si="115">J215+K214</f>
        <v>60.744</v>
      </c>
      <c r="L215" s="26">
        <f t="shared" ref="L215" si="116">K215+L214</f>
        <v>74.037000000000006</v>
      </c>
    </row>
    <row r="216" spans="1:33" x14ac:dyDescent="0.25">
      <c r="A216" s="11" t="s">
        <v>131</v>
      </c>
      <c r="B216" s="25">
        <f>B215/$E$175</f>
        <v>0.20853441706883413</v>
      </c>
      <c r="C216" s="25">
        <f>C215/$E$175</f>
        <v>0.98120396240792473</v>
      </c>
      <c r="D216" s="25">
        <f t="shared" ref="D216:J216" si="117">D215/$E$175</f>
        <v>1.2303784607569215</v>
      </c>
      <c r="E216" s="25">
        <f t="shared" si="117"/>
        <v>2.0723901447802895</v>
      </c>
      <c r="F216" s="25">
        <f t="shared" si="117"/>
        <v>3.2100584201168405</v>
      </c>
      <c r="G216" s="25">
        <f t="shared" si="117"/>
        <v>5.6466852933705871</v>
      </c>
      <c r="H216" s="25">
        <f t="shared" si="117"/>
        <v>7.1557023114046237</v>
      </c>
      <c r="I216" s="25">
        <f t="shared" si="117"/>
        <v>8.7165354330708666</v>
      </c>
      <c r="J216" s="25">
        <f t="shared" si="117"/>
        <v>11.193294386588773</v>
      </c>
      <c r="K216" s="25">
        <f t="shared" ref="K216:L216" si="118">K215/$E$175</f>
        <v>15.429006858013715</v>
      </c>
      <c r="L216" s="25">
        <f t="shared" si="118"/>
        <v>18.805435610871221</v>
      </c>
    </row>
    <row r="217" spans="1:33" x14ac:dyDescent="0.25">
      <c r="A217" s="11" t="s">
        <v>132</v>
      </c>
      <c r="B217" s="25">
        <f>B216/2</f>
        <v>0.10426720853441707</v>
      </c>
      <c r="C217" s="25">
        <f>B216+(C216-B216)/2</f>
        <v>0.59486918973837943</v>
      </c>
      <c r="D217" s="25">
        <f t="shared" ref="D217:J217" si="119">C216+(D216-C216)/2</f>
        <v>1.1057912115824231</v>
      </c>
      <c r="E217" s="25">
        <f t="shared" si="119"/>
        <v>1.6513843027686055</v>
      </c>
      <c r="F217" s="25">
        <f t="shared" si="119"/>
        <v>2.6412242824485652</v>
      </c>
      <c r="G217" s="25">
        <f t="shared" si="119"/>
        <v>4.4283718567437136</v>
      </c>
      <c r="H217" s="25">
        <f t="shared" si="119"/>
        <v>6.4011938023876054</v>
      </c>
      <c r="I217" s="25">
        <f t="shared" si="119"/>
        <v>7.9361188722377456</v>
      </c>
      <c r="J217" s="25">
        <f t="shared" si="119"/>
        <v>9.9549149098298209</v>
      </c>
      <c r="K217" s="25">
        <f t="shared" ref="K217" si="120">J216+(K216-J216)/2</f>
        <v>13.311150622301245</v>
      </c>
      <c r="L217" s="25">
        <f t="shared" ref="L217" si="121">K216+(L216-K216)/2</f>
        <v>17.117221234442468</v>
      </c>
    </row>
    <row r="218" spans="1:33" x14ac:dyDescent="0.25">
      <c r="A218" s="11" t="s">
        <v>74</v>
      </c>
      <c r="B218">
        <v>0.80657964644892755</v>
      </c>
      <c r="C218">
        <v>4.0337518238744705</v>
      </c>
      <c r="D218">
        <v>4.8662452230659321</v>
      </c>
      <c r="E218">
        <v>7.6756569965074917</v>
      </c>
      <c r="F218">
        <v>10.994659962082908</v>
      </c>
      <c r="G218">
        <v>19.777532515396821</v>
      </c>
      <c r="H218">
        <v>23.285161722589912</v>
      </c>
      <c r="I218">
        <v>29.448202881250772</v>
      </c>
      <c r="J218">
        <v>41.265505666086746</v>
      </c>
      <c r="K218">
        <v>42.265505666086703</v>
      </c>
      <c r="L218">
        <v>43.265505666086703</v>
      </c>
    </row>
    <row r="219" spans="1:33" x14ac:dyDescent="0.25">
      <c r="A219" s="11" t="s">
        <v>76</v>
      </c>
      <c r="B219" s="25">
        <f>B210/1000/1000*B214</f>
        <v>0.16341545239999999</v>
      </c>
      <c r="C219" s="25">
        <f>C210/1000/1000*C214</f>
        <v>0.42124003739999999</v>
      </c>
      <c r="D219" s="25">
        <f t="shared" ref="D219:J219" si="122">D210/1000/1000*D214</f>
        <v>9.679497569999998E-2</v>
      </c>
      <c r="E219" s="25">
        <f t="shared" si="122"/>
        <v>0.26228810399999991</v>
      </c>
      <c r="F219" s="25">
        <f t="shared" si="122"/>
        <v>0.26659814220000005</v>
      </c>
      <c r="G219" s="25">
        <f t="shared" si="122"/>
        <v>0.70901191489999993</v>
      </c>
      <c r="H219" s="25">
        <f t="shared" si="122"/>
        <v>0.19655026170000003</v>
      </c>
      <c r="I219" s="25">
        <f t="shared" si="122"/>
        <v>9.2858323999999978E-2</v>
      </c>
      <c r="J219" s="25">
        <f t="shared" si="122"/>
        <v>0.10034559079999998</v>
      </c>
      <c r="K219" s="25">
        <f t="shared" ref="K219:L219" si="123">K210/1000/1000*K214</f>
        <v>8.6266615599999999E-2</v>
      </c>
      <c r="L219" s="25">
        <f t="shared" si="123"/>
        <v>4.7937216599999999E-2</v>
      </c>
    </row>
    <row r="220" spans="1:33" x14ac:dyDescent="0.25">
      <c r="A220" s="11" t="s">
        <v>130</v>
      </c>
      <c r="B220" s="25">
        <f>B211/1000/1000*B214</f>
        <v>0.15920011000000001</v>
      </c>
      <c r="C220" s="25">
        <f>C211/1000/1000*C214</f>
        <v>0.40298590799999989</v>
      </c>
      <c r="D220" s="25">
        <f t="shared" ref="D220:J220" si="124">D211/1000/1000*D214</f>
        <v>9.0990692999999997E-2</v>
      </c>
      <c r="E220" s="25">
        <f t="shared" si="124"/>
        <v>0.24254230650000003</v>
      </c>
      <c r="F220" s="25">
        <f t="shared" si="124"/>
        <v>0.23946525599999999</v>
      </c>
      <c r="G220" s="25">
        <f t="shared" si="124"/>
        <v>0.59900610599999993</v>
      </c>
      <c r="H220" s="25">
        <f t="shared" si="124"/>
        <v>0.15877916600000003</v>
      </c>
      <c r="I220" s="25">
        <f t="shared" si="124"/>
        <v>6.6852683999999996E-2</v>
      </c>
      <c r="J220" s="25">
        <f t="shared" si="124"/>
        <v>6.3668179399999997E-2</v>
      </c>
      <c r="K220" s="25">
        <f t="shared" ref="K220:L220" si="125">K211/1000/1000*K214</f>
        <v>5.1778979999999995E-2</v>
      </c>
      <c r="L220" s="25">
        <f t="shared" si="125"/>
        <v>2.5363043999999998E-2</v>
      </c>
    </row>
    <row r="221" spans="1:33" x14ac:dyDescent="0.25">
      <c r="A221" s="11" t="s">
        <v>77</v>
      </c>
      <c r="B221" s="25">
        <f>B219</f>
        <v>0.16341545239999999</v>
      </c>
      <c r="C221" s="25">
        <f>B221+C219</f>
        <v>0.58465548980000004</v>
      </c>
      <c r="D221" s="25">
        <f t="shared" ref="D221:J221" si="126">C221+D219</f>
        <v>0.68145046549999999</v>
      </c>
      <c r="E221" s="25">
        <f t="shared" si="126"/>
        <v>0.9437385694999999</v>
      </c>
      <c r="F221" s="25">
        <f t="shared" si="126"/>
        <v>1.2103367116999999</v>
      </c>
      <c r="G221" s="25">
        <f t="shared" si="126"/>
        <v>1.9193486265999997</v>
      </c>
      <c r="H221" s="25">
        <f t="shared" si="126"/>
        <v>2.1158988882999998</v>
      </c>
      <c r="I221" s="25">
        <f t="shared" si="126"/>
        <v>2.2087572122999997</v>
      </c>
      <c r="J221" s="25">
        <f t="shared" si="126"/>
        <v>2.3091028030999996</v>
      </c>
      <c r="K221" s="25">
        <f t="shared" ref="K221:K222" si="127">J221+K219</f>
        <v>2.3953694186999996</v>
      </c>
      <c r="L221" s="25">
        <f t="shared" ref="L221:L222" si="128">K221+L219</f>
        <v>2.4433066352999995</v>
      </c>
    </row>
    <row r="222" spans="1:33" x14ac:dyDescent="0.25">
      <c r="A222" s="11" t="s">
        <v>128</v>
      </c>
      <c r="B222" s="25">
        <f>B220</f>
        <v>0.15920011000000001</v>
      </c>
      <c r="C222" s="25">
        <f>B222+C220</f>
        <v>0.5621860179999999</v>
      </c>
      <c r="D222" s="25">
        <f t="shared" ref="D222:J222" si="129">C222+D220</f>
        <v>0.65317671099999985</v>
      </c>
      <c r="E222" s="25">
        <f t="shared" si="129"/>
        <v>0.89571901749999983</v>
      </c>
      <c r="F222" s="25">
        <f t="shared" si="129"/>
        <v>1.1351842734999997</v>
      </c>
      <c r="G222" s="25">
        <f t="shared" si="129"/>
        <v>1.7341903794999998</v>
      </c>
      <c r="H222" s="25">
        <f t="shared" si="129"/>
        <v>1.8929695454999997</v>
      </c>
      <c r="I222" s="25">
        <f t="shared" si="129"/>
        <v>1.9598222294999998</v>
      </c>
      <c r="J222" s="25">
        <f t="shared" si="129"/>
        <v>2.0234904088999999</v>
      </c>
      <c r="K222" s="25">
        <f t="shared" si="127"/>
        <v>2.0752693888999998</v>
      </c>
      <c r="L222" s="25">
        <f t="shared" si="128"/>
        <v>2.1006324328999999</v>
      </c>
    </row>
    <row r="223" spans="1:33" x14ac:dyDescent="0.25">
      <c r="A223" s="11" t="s">
        <v>225</v>
      </c>
      <c r="B223" s="25">
        <f>B221/$E$175*1000</f>
        <v>41.507607924815844</v>
      </c>
      <c r="C223" s="25">
        <f t="shared" ref="C223:J223" si="130">C221/$E$175*1000</f>
        <v>148.50279141478285</v>
      </c>
      <c r="D223" s="25">
        <f t="shared" si="130"/>
        <v>173.08876441452881</v>
      </c>
      <c r="E223" s="25">
        <f t="shared" si="130"/>
        <v>239.71007607315212</v>
      </c>
      <c r="F223" s="25">
        <f t="shared" si="130"/>
        <v>307.42613962407921</v>
      </c>
      <c r="G223" s="25">
        <f t="shared" si="130"/>
        <v>487.51552618745228</v>
      </c>
      <c r="H223" s="25">
        <f t="shared" si="130"/>
        <v>537.43939250698486</v>
      </c>
      <c r="I223" s="25">
        <f t="shared" si="130"/>
        <v>561.02545397510778</v>
      </c>
      <c r="J223" s="25">
        <f t="shared" si="130"/>
        <v>586.51328501396995</v>
      </c>
      <c r="K223" s="25">
        <f t="shared" ref="K223:L223" si="131">K221/$E$175*1000</f>
        <v>608.42504919989824</v>
      </c>
      <c r="L223" s="25">
        <f t="shared" si="131"/>
        <v>620.60112656845297</v>
      </c>
    </row>
    <row r="224" spans="1:33" x14ac:dyDescent="0.25">
      <c r="A224" s="11" t="s">
        <v>87</v>
      </c>
    </row>
  </sheetData>
  <mergeCells count="4">
    <mergeCell ref="B5:D5"/>
    <mergeCell ref="B62:D62"/>
    <mergeCell ref="B116:D116"/>
    <mergeCell ref="B172:D172"/>
  </mergeCells>
  <phoneticPr fontId="11" type="noConversion"/>
  <pageMargins left="0.7" right="0.7" top="0.78740157499999996" bottom="0.78740157499999996" header="0.3" footer="0.3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zoomScale="85" zoomScaleNormal="85" workbookViewId="0">
      <selection activeCell="D9" sqref="D9"/>
    </sheetView>
  </sheetViews>
  <sheetFormatPr baseColWidth="10" defaultRowHeight="15" x14ac:dyDescent="0.25"/>
  <cols>
    <col min="1" max="2" width="35.42578125" style="134" customWidth="1"/>
  </cols>
  <sheetData>
    <row r="1" spans="1:2" x14ac:dyDescent="0.25">
      <c r="B1" s="1" t="s">
        <v>234</v>
      </c>
    </row>
    <row r="2" spans="1:2" x14ac:dyDescent="0.25">
      <c r="B2" s="134" t="s">
        <v>260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s="90" customFormat="1" x14ac:dyDescent="0.25">
      <c r="A9" s="220" t="s">
        <v>6</v>
      </c>
      <c r="B9" s="96" t="s">
        <v>40</v>
      </c>
    </row>
    <row r="10" spans="1:2" s="90" customFormat="1" x14ac:dyDescent="0.25">
      <c r="A10" s="220" t="s">
        <v>7</v>
      </c>
      <c r="B10" s="96" t="s">
        <v>40</v>
      </c>
    </row>
    <row r="11" spans="1:2" s="90" customFormat="1" x14ac:dyDescent="0.25">
      <c r="A11" s="220" t="s">
        <v>8</v>
      </c>
      <c r="B11" s="96" t="s">
        <v>40</v>
      </c>
    </row>
    <row r="12" spans="1:2" s="90" customFormat="1" x14ac:dyDescent="0.25">
      <c r="A12" s="220" t="s">
        <v>9</v>
      </c>
      <c r="B12" s="96" t="s">
        <v>40</v>
      </c>
    </row>
    <row r="13" spans="1:2" s="90" customFormat="1" x14ac:dyDescent="0.25">
      <c r="A13" s="220" t="s">
        <v>10</v>
      </c>
      <c r="B13" s="89">
        <v>3</v>
      </c>
    </row>
    <row r="14" spans="1:2" s="90" customFormat="1" x14ac:dyDescent="0.25">
      <c r="A14" s="220" t="s">
        <v>11</v>
      </c>
      <c r="B14" s="96" t="s">
        <v>40</v>
      </c>
    </row>
    <row r="15" spans="1:2" s="90" customFormat="1" x14ac:dyDescent="0.25">
      <c r="A15" s="220" t="s">
        <v>12</v>
      </c>
      <c r="B15" s="89">
        <v>4.5999999999999996</v>
      </c>
    </row>
    <row r="16" spans="1:2" s="90" customFormat="1" x14ac:dyDescent="0.25">
      <c r="A16" s="220" t="s">
        <v>13</v>
      </c>
      <c r="B16" s="89">
        <v>3</v>
      </c>
    </row>
    <row r="17" spans="1:2" s="90" customFormat="1" x14ac:dyDescent="0.25">
      <c r="A17" s="220" t="s">
        <v>14</v>
      </c>
      <c r="B17" s="89">
        <v>27</v>
      </c>
    </row>
    <row r="18" spans="1:2" x14ac:dyDescent="0.25">
      <c r="A18" s="220" t="s">
        <v>15</v>
      </c>
      <c r="B18" s="80">
        <v>11</v>
      </c>
    </row>
    <row r="19" spans="1:2" x14ac:dyDescent="0.25">
      <c r="A19" s="220" t="s">
        <v>16</v>
      </c>
      <c r="B19" s="80">
        <v>8.1999999999999993</v>
      </c>
    </row>
    <row r="20" spans="1:2" x14ac:dyDescent="0.25">
      <c r="A20" s="220" t="s">
        <v>17</v>
      </c>
      <c r="B20" s="96" t="s">
        <v>40</v>
      </c>
    </row>
    <row r="21" spans="1:2" x14ac:dyDescent="0.25">
      <c r="A21" s="220" t="s">
        <v>18</v>
      </c>
      <c r="B21" s="96" t="s">
        <v>40</v>
      </c>
    </row>
    <row r="22" spans="1:2" x14ac:dyDescent="0.25">
      <c r="A22" s="220" t="s">
        <v>19</v>
      </c>
      <c r="B22" s="96" t="s">
        <v>40</v>
      </c>
    </row>
    <row r="23" spans="1:2" x14ac:dyDescent="0.25">
      <c r="A23" s="220" t="s">
        <v>20</v>
      </c>
      <c r="B23" s="96" t="s">
        <v>40</v>
      </c>
    </row>
    <row r="24" spans="1:2" s="90" customFormat="1" x14ac:dyDescent="0.25">
      <c r="A24" s="220" t="s">
        <v>21</v>
      </c>
      <c r="B24" s="89">
        <v>3.7</v>
      </c>
    </row>
    <row r="25" spans="1:2" x14ac:dyDescent="0.25">
      <c r="A25" s="222" t="s">
        <v>22</v>
      </c>
      <c r="B25" s="96" t="s">
        <v>40</v>
      </c>
    </row>
    <row r="26" spans="1:2" x14ac:dyDescent="0.25">
      <c r="A26" s="222" t="s">
        <v>23</v>
      </c>
      <c r="B26" s="96" t="s">
        <v>40</v>
      </c>
    </row>
    <row r="27" spans="1:2" x14ac:dyDescent="0.25">
      <c r="A27" s="222" t="s">
        <v>24</v>
      </c>
      <c r="B27" s="96" t="s">
        <v>40</v>
      </c>
    </row>
    <row r="28" spans="1:2" x14ac:dyDescent="0.25">
      <c r="A28" s="223" t="s">
        <v>25</v>
      </c>
      <c r="B28" s="96" t="s">
        <v>40</v>
      </c>
    </row>
    <row r="29" spans="1:2" x14ac:dyDescent="0.25">
      <c r="A29" s="223" t="s">
        <v>26</v>
      </c>
      <c r="B29" s="96" t="s">
        <v>40</v>
      </c>
    </row>
    <row r="30" spans="1:2" s="90" customFormat="1" x14ac:dyDescent="0.25">
      <c r="A30" s="223" t="s">
        <v>27</v>
      </c>
      <c r="B30" s="93">
        <v>1.9</v>
      </c>
    </row>
    <row r="31" spans="1:2" x14ac:dyDescent="0.25">
      <c r="A31" s="223" t="s">
        <v>28</v>
      </c>
      <c r="B31" s="96" t="s">
        <v>40</v>
      </c>
    </row>
    <row r="32" spans="1:2" x14ac:dyDescent="0.25">
      <c r="A32" s="223" t="s">
        <v>29</v>
      </c>
      <c r="B32" s="96" t="s">
        <v>40</v>
      </c>
    </row>
    <row r="33" spans="1:2" x14ac:dyDescent="0.25">
      <c r="A33" s="223" t="s">
        <v>30</v>
      </c>
      <c r="B33" s="96" t="s">
        <v>40</v>
      </c>
    </row>
    <row r="34" spans="1:2" x14ac:dyDescent="0.25">
      <c r="A34" s="222" t="s">
        <v>31</v>
      </c>
      <c r="B34" s="96" t="s">
        <v>40</v>
      </c>
    </row>
    <row r="35" spans="1:2" x14ac:dyDescent="0.25">
      <c r="A35" s="222" t="s">
        <v>32</v>
      </c>
      <c r="B35" s="80">
        <v>24</v>
      </c>
    </row>
    <row r="36" spans="1:2" s="90" customFormat="1" x14ac:dyDescent="0.25">
      <c r="A36" s="222" t="s">
        <v>209</v>
      </c>
      <c r="B36" s="93">
        <v>110</v>
      </c>
    </row>
    <row r="37" spans="1:2" s="90" customFormat="1" x14ac:dyDescent="0.25">
      <c r="A37" s="222" t="s">
        <v>210</v>
      </c>
      <c r="B37" s="93">
        <v>110</v>
      </c>
    </row>
    <row r="38" spans="1:2" s="90" customFormat="1" x14ac:dyDescent="0.25">
      <c r="A38" s="222" t="s">
        <v>211</v>
      </c>
      <c r="B38" s="93">
        <v>180</v>
      </c>
    </row>
    <row r="39" spans="1:2" s="90" customFormat="1" x14ac:dyDescent="0.25">
      <c r="A39" s="222" t="s">
        <v>212</v>
      </c>
      <c r="B39" s="93">
        <v>5.0999999999999996</v>
      </c>
    </row>
    <row r="40" spans="1:2" s="90" customFormat="1" x14ac:dyDescent="0.25">
      <c r="A40" s="222" t="s">
        <v>213</v>
      </c>
      <c r="B40" s="93">
        <v>32</v>
      </c>
    </row>
    <row r="41" spans="1:2" s="90" customFormat="1" x14ac:dyDescent="0.25">
      <c r="A41" s="222" t="s">
        <v>214</v>
      </c>
      <c r="B41" s="93">
        <v>72</v>
      </c>
    </row>
    <row r="42" spans="1:2" s="90" customFormat="1" x14ac:dyDescent="0.25">
      <c r="A42" s="222" t="s">
        <v>215</v>
      </c>
      <c r="B42" s="93">
        <v>160</v>
      </c>
    </row>
    <row r="43" spans="1:2" s="90" customFormat="1" x14ac:dyDescent="0.25">
      <c r="A43" s="135" t="s">
        <v>216</v>
      </c>
      <c r="B43" s="93">
        <v>260</v>
      </c>
    </row>
    <row r="44" spans="1:2" s="90" customFormat="1" x14ac:dyDescent="0.25">
      <c r="A44" s="135" t="s">
        <v>217</v>
      </c>
      <c r="B44" s="93">
        <v>240</v>
      </c>
    </row>
    <row r="45" spans="1:2" x14ac:dyDescent="0.25">
      <c r="A45" s="137" t="s">
        <v>33</v>
      </c>
      <c r="B45" s="188">
        <f>SUM(B9:B44)</f>
        <v>1255.5</v>
      </c>
    </row>
    <row r="46" spans="1:2" x14ac:dyDescent="0.25">
      <c r="A46" s="137" t="s">
        <v>218</v>
      </c>
      <c r="B46" s="80">
        <v>510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"/>
  <sheetViews>
    <sheetView topLeftCell="A20" zoomScale="85" zoomScaleNormal="85" workbookViewId="0">
      <selection activeCell="B24" sqref="B24"/>
    </sheetView>
  </sheetViews>
  <sheetFormatPr baseColWidth="10" defaultRowHeight="15" x14ac:dyDescent="0.25"/>
  <cols>
    <col min="1" max="1" width="35.140625" style="134" customWidth="1"/>
    <col min="2" max="2" width="11.42578125" style="134"/>
  </cols>
  <sheetData>
    <row r="1" spans="1:2" x14ac:dyDescent="0.25">
      <c r="B1" s="1" t="s">
        <v>234</v>
      </c>
    </row>
    <row r="2" spans="1:2" x14ac:dyDescent="0.25">
      <c r="B2" s="134" t="s">
        <v>261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x14ac:dyDescent="0.25">
      <c r="A9" s="220" t="s">
        <v>6</v>
      </c>
      <c r="B9" s="79" t="s">
        <v>40</v>
      </c>
    </row>
    <row r="10" spans="1:2" x14ac:dyDescent="0.25">
      <c r="A10" s="220" t="s">
        <v>7</v>
      </c>
      <c r="B10" s="79" t="s">
        <v>40</v>
      </c>
    </row>
    <row r="11" spans="1:2" x14ac:dyDescent="0.25">
      <c r="A11" s="220" t="s">
        <v>8</v>
      </c>
      <c r="B11" s="79" t="s">
        <v>40</v>
      </c>
    </row>
    <row r="12" spans="1:2" x14ac:dyDescent="0.25">
      <c r="A12" s="220" t="s">
        <v>9</v>
      </c>
      <c r="B12" s="79" t="s">
        <v>40</v>
      </c>
    </row>
    <row r="13" spans="1:2" x14ac:dyDescent="0.25">
      <c r="A13" s="220" t="s">
        <v>10</v>
      </c>
      <c r="B13" s="89">
        <v>3.1625894299561503</v>
      </c>
    </row>
    <row r="14" spans="1:2" x14ac:dyDescent="0.25">
      <c r="A14" s="220" t="s">
        <v>11</v>
      </c>
      <c r="B14" s="79" t="s">
        <v>40</v>
      </c>
    </row>
    <row r="15" spans="1:2" x14ac:dyDescent="0.25">
      <c r="A15" s="220" t="s">
        <v>12</v>
      </c>
      <c r="B15" s="89">
        <v>4.6094622663281788</v>
      </c>
    </row>
    <row r="16" spans="1:2" x14ac:dyDescent="0.25">
      <c r="A16" s="220" t="s">
        <v>13</v>
      </c>
      <c r="B16" s="89">
        <v>6.6643434110316173</v>
      </c>
    </row>
    <row r="17" spans="1:2" x14ac:dyDescent="0.25">
      <c r="A17" s="220" t="s">
        <v>14</v>
      </c>
      <c r="B17" s="89">
        <v>28.2418647588276</v>
      </c>
    </row>
    <row r="18" spans="1:2" x14ac:dyDescent="0.25">
      <c r="A18" s="220" t="s">
        <v>15</v>
      </c>
      <c r="B18" s="80">
        <v>9.9078698361412414</v>
      </c>
    </row>
    <row r="19" spans="1:2" x14ac:dyDescent="0.25">
      <c r="A19" s="220" t="s">
        <v>16</v>
      </c>
      <c r="B19" s="80">
        <v>7.2884606508192942</v>
      </c>
    </row>
    <row r="20" spans="1:2" x14ac:dyDescent="0.25">
      <c r="A20" s="220" t="s">
        <v>17</v>
      </c>
      <c r="B20" s="79" t="s">
        <v>40</v>
      </c>
    </row>
    <row r="21" spans="1:2" x14ac:dyDescent="0.25">
      <c r="A21" s="220" t="s">
        <v>18</v>
      </c>
      <c r="B21" s="79" t="s">
        <v>40</v>
      </c>
    </row>
    <row r="22" spans="1:2" x14ac:dyDescent="0.25">
      <c r="A22" s="220" t="s">
        <v>19</v>
      </c>
      <c r="B22" s="79" t="s">
        <v>40</v>
      </c>
    </row>
    <row r="23" spans="1:2" x14ac:dyDescent="0.25">
      <c r="A23" s="220" t="s">
        <v>20</v>
      </c>
      <c r="B23" s="79" t="s">
        <v>40</v>
      </c>
    </row>
    <row r="24" spans="1:2" x14ac:dyDescent="0.25">
      <c r="A24" s="220" t="s">
        <v>21</v>
      </c>
      <c r="B24" s="89">
        <v>3.1222940226171243</v>
      </c>
    </row>
    <row r="25" spans="1:2" x14ac:dyDescent="0.25">
      <c r="A25" s="222" t="s">
        <v>22</v>
      </c>
      <c r="B25" s="79" t="s">
        <v>40</v>
      </c>
    </row>
    <row r="26" spans="1:2" x14ac:dyDescent="0.25">
      <c r="A26" s="222" t="s">
        <v>23</v>
      </c>
      <c r="B26" s="79" t="s">
        <v>40</v>
      </c>
    </row>
    <row r="27" spans="1:2" x14ac:dyDescent="0.25">
      <c r="A27" s="222" t="s">
        <v>24</v>
      </c>
      <c r="B27" s="79" t="s">
        <v>40</v>
      </c>
    </row>
    <row r="28" spans="1:2" x14ac:dyDescent="0.25">
      <c r="A28" s="223" t="s">
        <v>25</v>
      </c>
      <c r="B28" s="79" t="s">
        <v>40</v>
      </c>
    </row>
    <row r="29" spans="1:2" x14ac:dyDescent="0.25">
      <c r="A29" s="223" t="s">
        <v>26</v>
      </c>
      <c r="B29" s="79" t="s">
        <v>40</v>
      </c>
    </row>
    <row r="30" spans="1:2" x14ac:dyDescent="0.25">
      <c r="A30" s="223" t="s">
        <v>27</v>
      </c>
      <c r="B30" s="93">
        <v>1.9903531040849294</v>
      </c>
    </row>
    <row r="31" spans="1:2" x14ac:dyDescent="0.25">
      <c r="A31" s="223" t="s">
        <v>28</v>
      </c>
      <c r="B31" s="79" t="s">
        <v>40</v>
      </c>
    </row>
    <row r="32" spans="1:2" x14ac:dyDescent="0.25">
      <c r="A32" s="223" t="s">
        <v>29</v>
      </c>
      <c r="B32" s="79" t="s">
        <v>40</v>
      </c>
    </row>
    <row r="33" spans="1:2" x14ac:dyDescent="0.25">
      <c r="A33" s="223" t="s">
        <v>30</v>
      </c>
      <c r="B33" s="96">
        <v>0.9899607662127855</v>
      </c>
    </row>
    <row r="34" spans="1:2" x14ac:dyDescent="0.25">
      <c r="A34" s="222" t="s">
        <v>31</v>
      </c>
      <c r="B34" s="79" t="s">
        <v>40</v>
      </c>
    </row>
    <row r="35" spans="1:2" x14ac:dyDescent="0.25">
      <c r="A35" s="222" t="s">
        <v>32</v>
      </c>
      <c r="B35" s="80">
        <v>38.871913224094165</v>
      </c>
    </row>
    <row r="36" spans="1:2" x14ac:dyDescent="0.25">
      <c r="A36" s="222" t="s">
        <v>209</v>
      </c>
      <c r="B36" s="93">
        <v>96.894530348488331</v>
      </c>
    </row>
    <row r="37" spans="1:2" x14ac:dyDescent="0.25">
      <c r="A37" s="222" t="s">
        <v>210</v>
      </c>
      <c r="B37" s="93">
        <v>97.939303023309478</v>
      </c>
    </row>
    <row r="38" spans="1:2" x14ac:dyDescent="0.25">
      <c r="A38" s="222" t="s">
        <v>211</v>
      </c>
      <c r="B38" s="93">
        <v>156.64666512808677</v>
      </c>
    </row>
    <row r="39" spans="1:2" x14ac:dyDescent="0.25">
      <c r="A39" s="222" t="s">
        <v>212</v>
      </c>
      <c r="B39" s="93">
        <v>5.3795061158550652</v>
      </c>
    </row>
    <row r="40" spans="1:2" x14ac:dyDescent="0.25">
      <c r="A40" s="222" t="s">
        <v>213</v>
      </c>
      <c r="B40" s="93">
        <v>31.361181629356103</v>
      </c>
    </row>
    <row r="41" spans="1:2" x14ac:dyDescent="0.25">
      <c r="A41" s="222" t="s">
        <v>214</v>
      </c>
      <c r="B41" s="93">
        <v>68.690514654973455</v>
      </c>
    </row>
    <row r="42" spans="1:2" x14ac:dyDescent="0.25">
      <c r="A42" s="222" t="s">
        <v>215</v>
      </c>
      <c r="B42" s="93">
        <v>146.51742441726284</v>
      </c>
    </row>
    <row r="43" spans="1:2" x14ac:dyDescent="0.25">
      <c r="A43" s="135" t="s">
        <v>216</v>
      </c>
      <c r="B43" s="93">
        <v>226.67666743595657</v>
      </c>
    </row>
    <row r="44" spans="1:2" x14ac:dyDescent="0.25">
      <c r="A44" s="135" t="s">
        <v>217</v>
      </c>
      <c r="B44" s="93">
        <v>245.75121163166398</v>
      </c>
    </row>
    <row r="45" spans="1:2" x14ac:dyDescent="0.25">
      <c r="A45" s="137" t="s">
        <v>33</v>
      </c>
      <c r="B45" s="188">
        <v>1180.7061158550655</v>
      </c>
    </row>
    <row r="46" spans="1:2" x14ac:dyDescent="0.25">
      <c r="A46" s="137" t="s">
        <v>218</v>
      </c>
      <c r="B46" s="80">
        <v>1003.0856219709209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topLeftCell="A20" zoomScale="85" zoomScaleNormal="85" workbookViewId="0">
      <selection activeCell="B3" sqref="B3"/>
    </sheetView>
  </sheetViews>
  <sheetFormatPr baseColWidth="10" defaultRowHeight="15" x14ac:dyDescent="0.25"/>
  <cols>
    <col min="1" max="1" width="35.140625" style="134" customWidth="1"/>
    <col min="2" max="2" width="11.42578125" style="134"/>
  </cols>
  <sheetData>
    <row r="1" spans="1:2" x14ac:dyDescent="0.25">
      <c r="B1" s="1" t="s">
        <v>234</v>
      </c>
    </row>
    <row r="2" spans="1:2" x14ac:dyDescent="0.25">
      <c r="B2" s="134" t="s">
        <v>262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x14ac:dyDescent="0.25">
      <c r="A9" s="220" t="s">
        <v>6</v>
      </c>
      <c r="B9" s="79" t="s">
        <v>40</v>
      </c>
    </row>
    <row r="10" spans="1:2" x14ac:dyDescent="0.25">
      <c r="A10" s="220" t="s">
        <v>7</v>
      </c>
      <c r="B10" s="79" t="s">
        <v>40</v>
      </c>
    </row>
    <row r="11" spans="1:2" x14ac:dyDescent="0.25">
      <c r="A11" s="220" t="s">
        <v>8</v>
      </c>
      <c r="B11" s="79" t="s">
        <v>40</v>
      </c>
    </row>
    <row r="12" spans="1:2" x14ac:dyDescent="0.25">
      <c r="A12" s="220" t="s">
        <v>9</v>
      </c>
      <c r="B12" s="79" t="s">
        <v>40</v>
      </c>
    </row>
    <row r="13" spans="1:2" x14ac:dyDescent="0.25">
      <c r="A13" s="220" t="s">
        <v>10</v>
      </c>
      <c r="B13" s="89">
        <v>3.911353334772286</v>
      </c>
    </row>
    <row r="14" spans="1:2" x14ac:dyDescent="0.25">
      <c r="A14" s="220" t="s">
        <v>11</v>
      </c>
      <c r="B14" s="79" t="s">
        <v>40</v>
      </c>
    </row>
    <row r="15" spans="1:2" x14ac:dyDescent="0.25">
      <c r="A15" s="220" t="s">
        <v>12</v>
      </c>
      <c r="B15" s="89">
        <v>9.302201597237211</v>
      </c>
    </row>
    <row r="16" spans="1:2" x14ac:dyDescent="0.25">
      <c r="A16" s="220" t="s">
        <v>13</v>
      </c>
      <c r="B16" s="89">
        <v>16.467990502913878</v>
      </c>
    </row>
    <row r="17" spans="1:2" x14ac:dyDescent="0.25">
      <c r="A17" s="220" t="s">
        <v>14</v>
      </c>
      <c r="B17" s="89">
        <v>39.723289445283839</v>
      </c>
    </row>
    <row r="18" spans="1:2" x14ac:dyDescent="0.25">
      <c r="A18" s="220" t="s">
        <v>15</v>
      </c>
      <c r="B18" s="80">
        <v>13.582128210662638</v>
      </c>
    </row>
    <row r="19" spans="1:2" x14ac:dyDescent="0.25">
      <c r="A19" s="220" t="s">
        <v>16</v>
      </c>
      <c r="B19" s="80">
        <v>9.8466436434275852</v>
      </c>
    </row>
    <row r="20" spans="1:2" x14ac:dyDescent="0.25">
      <c r="A20" s="220" t="s">
        <v>17</v>
      </c>
      <c r="B20" s="79" t="s">
        <v>40</v>
      </c>
    </row>
    <row r="21" spans="1:2" x14ac:dyDescent="0.25">
      <c r="A21" s="220" t="s">
        <v>18</v>
      </c>
      <c r="B21" s="79" t="s">
        <v>40</v>
      </c>
    </row>
    <row r="22" spans="1:2" x14ac:dyDescent="0.25">
      <c r="A22" s="220" t="s">
        <v>19</v>
      </c>
      <c r="B22" s="79" t="s">
        <v>40</v>
      </c>
    </row>
    <row r="23" spans="1:2" x14ac:dyDescent="0.25">
      <c r="A23" s="220" t="s">
        <v>20</v>
      </c>
      <c r="B23" s="79" t="s">
        <v>40</v>
      </c>
    </row>
    <row r="24" spans="1:2" x14ac:dyDescent="0.25">
      <c r="A24" s="220" t="s">
        <v>21</v>
      </c>
      <c r="B24" s="89">
        <v>5.340600043168573</v>
      </c>
    </row>
    <row r="25" spans="1:2" x14ac:dyDescent="0.25">
      <c r="A25" s="222" t="s">
        <v>22</v>
      </c>
      <c r="B25" s="79" t="s">
        <v>40</v>
      </c>
    </row>
    <row r="26" spans="1:2" x14ac:dyDescent="0.25">
      <c r="A26" s="222" t="s">
        <v>23</v>
      </c>
      <c r="B26" s="79" t="s">
        <v>40</v>
      </c>
    </row>
    <row r="27" spans="1:2" x14ac:dyDescent="0.25">
      <c r="A27" s="222" t="s">
        <v>24</v>
      </c>
      <c r="B27" s="79" t="s">
        <v>40</v>
      </c>
    </row>
    <row r="28" spans="1:2" x14ac:dyDescent="0.25">
      <c r="A28" s="223" t="s">
        <v>25</v>
      </c>
      <c r="B28" s="79" t="s">
        <v>40</v>
      </c>
    </row>
    <row r="29" spans="1:2" x14ac:dyDescent="0.25">
      <c r="A29" s="223" t="s">
        <v>26</v>
      </c>
      <c r="B29" s="79" t="s">
        <v>40</v>
      </c>
    </row>
    <row r="30" spans="1:2" x14ac:dyDescent="0.25">
      <c r="A30" s="223" t="s">
        <v>27</v>
      </c>
      <c r="B30" s="93">
        <v>5.3537664580185629</v>
      </c>
    </row>
    <row r="31" spans="1:2" x14ac:dyDescent="0.25">
      <c r="A31" s="223" t="s">
        <v>28</v>
      </c>
      <c r="B31" s="79" t="s">
        <v>40</v>
      </c>
    </row>
    <row r="32" spans="1:2" x14ac:dyDescent="0.25">
      <c r="A32" s="223" t="s">
        <v>29</v>
      </c>
      <c r="B32" s="79" t="s">
        <v>40</v>
      </c>
    </row>
    <row r="33" spans="1:2" x14ac:dyDescent="0.25">
      <c r="A33" s="223" t="s">
        <v>30</v>
      </c>
      <c r="B33" s="96">
        <v>1.5017914957910641</v>
      </c>
    </row>
    <row r="34" spans="1:2" x14ac:dyDescent="0.25">
      <c r="A34" s="222" t="s">
        <v>31</v>
      </c>
      <c r="B34" s="79">
        <v>0.50628102741204406</v>
      </c>
    </row>
    <row r="35" spans="1:2" x14ac:dyDescent="0.25">
      <c r="A35" s="222" t="s">
        <v>32</v>
      </c>
      <c r="B35" s="80">
        <v>75.581912367796249</v>
      </c>
    </row>
    <row r="36" spans="1:2" x14ac:dyDescent="0.25">
      <c r="A36" s="222" t="s">
        <v>209</v>
      </c>
      <c r="B36" s="93">
        <v>113.41463414634147</v>
      </c>
    </row>
    <row r="37" spans="1:2" x14ac:dyDescent="0.25">
      <c r="A37" s="222" t="s">
        <v>210</v>
      </c>
      <c r="B37" s="93">
        <v>113.41463414634147</v>
      </c>
    </row>
    <row r="38" spans="1:2" x14ac:dyDescent="0.25">
      <c r="A38" s="222" t="s">
        <v>211</v>
      </c>
      <c r="B38" s="93">
        <v>193.40815886034966</v>
      </c>
    </row>
    <row r="39" spans="1:2" x14ac:dyDescent="0.25">
      <c r="A39" s="222" t="s">
        <v>212</v>
      </c>
      <c r="B39" s="93">
        <v>5.5137276063026119</v>
      </c>
    </row>
    <row r="40" spans="1:2" x14ac:dyDescent="0.25">
      <c r="A40" s="222" t="s">
        <v>213</v>
      </c>
      <c r="B40" s="93">
        <v>36.264407511331754</v>
      </c>
    </row>
    <row r="41" spans="1:2" x14ac:dyDescent="0.25">
      <c r="A41" s="222" t="s">
        <v>214</v>
      </c>
      <c r="B41" s="93">
        <v>77.377940859054618</v>
      </c>
    </row>
    <row r="42" spans="1:2" x14ac:dyDescent="0.25">
      <c r="A42" s="222" t="s">
        <v>215</v>
      </c>
      <c r="B42" s="93">
        <v>172.64407511331748</v>
      </c>
    </row>
    <row r="43" spans="1:2" x14ac:dyDescent="0.25">
      <c r="A43" s="135" t="s">
        <v>216</v>
      </c>
      <c r="B43" s="93">
        <v>279.22944096697603</v>
      </c>
    </row>
    <row r="44" spans="1:2" x14ac:dyDescent="0.25">
      <c r="A44" s="135" t="s">
        <v>217</v>
      </c>
      <c r="B44" s="93">
        <v>268.20202892294407</v>
      </c>
    </row>
    <row r="45" spans="1:2" x14ac:dyDescent="0.25">
      <c r="A45" s="137" t="s">
        <v>33</v>
      </c>
      <c r="B45" s="188">
        <v>1440.966717030002</v>
      </c>
    </row>
    <row r="46" spans="1:2" x14ac:dyDescent="0.25">
      <c r="A46" s="137" t="s">
        <v>218</v>
      </c>
      <c r="B46" s="80">
        <v>1284.6535721994387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E134"/>
  <sheetViews>
    <sheetView topLeftCell="A13" zoomScaleNormal="100" workbookViewId="0">
      <selection activeCell="T32" sqref="T32"/>
    </sheetView>
  </sheetViews>
  <sheetFormatPr baseColWidth="10" defaultRowHeight="15" x14ac:dyDescent="0.25"/>
  <cols>
    <col min="4" max="5" width="11.42578125" style="134"/>
    <col min="7" max="8" width="11.42578125" style="134"/>
    <col min="10" max="11" width="11.42578125" style="134"/>
    <col min="13" max="14" width="11.42578125" style="134"/>
    <col min="16" max="17" width="11.42578125" style="134"/>
    <col min="19" max="20" width="11.42578125" style="134"/>
    <col min="22" max="23" width="11.42578125" style="134"/>
    <col min="25" max="26" width="11.42578125" style="134"/>
    <col min="28" max="29" width="11.42578125" style="134"/>
    <col min="31" max="32" width="11.42578125" style="134"/>
    <col min="34" max="35" width="11.42578125" style="134"/>
    <col min="37" max="38" width="11.42578125" style="134"/>
    <col min="40" max="41" width="11.42578125" style="134"/>
    <col min="43" max="43" width="14.5703125" style="134" customWidth="1"/>
    <col min="46" max="46" width="11.42578125" style="134"/>
  </cols>
  <sheetData>
    <row r="1" spans="2:81" s="134" customFormat="1" x14ac:dyDescent="0.25"/>
    <row r="2" spans="2:81" s="134" customFormat="1" x14ac:dyDescent="0.25"/>
    <row r="3" spans="2:81" s="134" customFormat="1" x14ac:dyDescent="0.25"/>
    <row r="4" spans="2:81" s="134" customFormat="1" x14ac:dyDescent="0.25"/>
    <row r="5" spans="2:81" s="134" customFormat="1" ht="15" customHeight="1" x14ac:dyDescent="0.25"/>
    <row r="6" spans="2:81" s="134" customFormat="1" ht="15.75" customHeight="1" x14ac:dyDescent="0.25"/>
    <row r="7" spans="2:81" s="134" customFormat="1" x14ac:dyDescent="0.25"/>
    <row r="8" spans="2:81" s="134" customFormat="1" ht="15.75" thickBot="1" x14ac:dyDescent="0.3"/>
    <row r="9" spans="2:81" s="134" customFormat="1" x14ac:dyDescent="0.25">
      <c r="D9" s="233" t="s">
        <v>91</v>
      </c>
      <c r="E9" s="167" t="s">
        <v>278</v>
      </c>
      <c r="J9" s="233" t="s">
        <v>260</v>
      </c>
      <c r="K9" s="167" t="s">
        <v>278</v>
      </c>
      <c r="P9" s="233" t="s">
        <v>261</v>
      </c>
      <c r="Q9" s="167" t="s">
        <v>278</v>
      </c>
      <c r="V9" s="233" t="s">
        <v>262</v>
      </c>
      <c r="W9" s="167" t="s">
        <v>278</v>
      </c>
      <c r="AB9" s="233" t="s">
        <v>263</v>
      </c>
      <c r="AC9" s="167" t="s">
        <v>278</v>
      </c>
      <c r="AH9" s="233" t="s">
        <v>257</v>
      </c>
      <c r="AI9" s="167" t="s">
        <v>278</v>
      </c>
      <c r="AN9" s="233" t="s">
        <v>264</v>
      </c>
      <c r="AO9" s="167" t="s">
        <v>278</v>
      </c>
      <c r="AT9" s="233" t="s">
        <v>258</v>
      </c>
      <c r="AU9" s="167" t="s">
        <v>278</v>
      </c>
      <c r="AZ9" s="233" t="s">
        <v>303</v>
      </c>
      <c r="BA9" s="167" t="s">
        <v>278</v>
      </c>
      <c r="BF9" s="233" t="s">
        <v>266</v>
      </c>
      <c r="BG9" s="167" t="s">
        <v>278</v>
      </c>
      <c r="BL9" s="233" t="s">
        <v>267</v>
      </c>
      <c r="BM9" s="167" t="s">
        <v>278</v>
      </c>
      <c r="BR9" s="233" t="s">
        <v>268</v>
      </c>
      <c r="BS9" s="167" t="s">
        <v>278</v>
      </c>
      <c r="BX9" s="233" t="s">
        <v>269</v>
      </c>
      <c r="BY9" s="167" t="s">
        <v>278</v>
      </c>
    </row>
    <row r="10" spans="2:81" s="134" customFormat="1" ht="15.75" thickBot="1" x14ac:dyDescent="0.3">
      <c r="D10" s="234"/>
      <c r="E10" s="77">
        <v>4.0220000000000002</v>
      </c>
      <c r="J10" s="234"/>
      <c r="K10" s="77">
        <v>3.9531008482563617</v>
      </c>
      <c r="P10" s="234"/>
      <c r="Q10" s="77">
        <v>3.6753006067291785</v>
      </c>
      <c r="V10" s="234"/>
      <c r="W10" s="77">
        <v>3.9370000000000003</v>
      </c>
      <c r="AB10" s="234"/>
      <c r="AC10" s="77">
        <v>3.7372999999999998</v>
      </c>
      <c r="AH10" s="234"/>
      <c r="AI10" s="77">
        <v>3.5924</v>
      </c>
      <c r="AN10" s="234"/>
      <c r="AO10" s="77">
        <v>3.7109999999999999</v>
      </c>
      <c r="AT10" s="234"/>
      <c r="AU10" s="77">
        <v>3.7366158715273712</v>
      </c>
      <c r="AZ10" s="234"/>
      <c r="BA10" s="77">
        <v>3.6843917337670065</v>
      </c>
      <c r="BF10" s="234"/>
      <c r="BG10" s="77">
        <v>3.5030000000000001</v>
      </c>
      <c r="BL10" s="234"/>
      <c r="BM10" s="77">
        <v>3.4958</v>
      </c>
      <c r="BR10" s="234"/>
      <c r="BS10" s="77">
        <v>3.5</v>
      </c>
      <c r="BX10" s="234"/>
      <c r="BY10" s="77">
        <v>4</v>
      </c>
    </row>
    <row r="11" spans="2:81" s="134" customFormat="1" ht="105" x14ac:dyDescent="0.25">
      <c r="B11" s="151"/>
      <c r="C11" s="174" t="s">
        <v>279</v>
      </c>
      <c r="D11" s="109" t="s">
        <v>224</v>
      </c>
      <c r="E11" s="110" t="s">
        <v>219</v>
      </c>
      <c r="F11" s="110" t="s">
        <v>226</v>
      </c>
      <c r="G11" s="110" t="s">
        <v>233</v>
      </c>
      <c r="H11" s="110" t="s">
        <v>244</v>
      </c>
      <c r="I11" s="120" t="s">
        <v>243</v>
      </c>
      <c r="J11" s="139" t="s">
        <v>224</v>
      </c>
      <c r="K11" s="110" t="s">
        <v>235</v>
      </c>
      <c r="L11" s="110" t="s">
        <v>236</v>
      </c>
      <c r="M11" s="110" t="s">
        <v>233</v>
      </c>
      <c r="N11" s="110" t="s">
        <v>244</v>
      </c>
      <c r="O11" s="120" t="s">
        <v>243</v>
      </c>
      <c r="P11" s="109" t="s">
        <v>224</v>
      </c>
      <c r="Q11" s="110" t="s">
        <v>239</v>
      </c>
      <c r="R11" s="110" t="s">
        <v>240</v>
      </c>
      <c r="S11" s="110" t="s">
        <v>233</v>
      </c>
      <c r="T11" s="110" t="s">
        <v>244</v>
      </c>
      <c r="U11" s="120" t="s">
        <v>243</v>
      </c>
      <c r="V11" s="109" t="s">
        <v>224</v>
      </c>
      <c r="W11" s="110" t="s">
        <v>238</v>
      </c>
      <c r="X11" s="110" t="s">
        <v>237</v>
      </c>
      <c r="Y11" s="110" t="s">
        <v>233</v>
      </c>
      <c r="Z11" s="110" t="s">
        <v>244</v>
      </c>
      <c r="AA11" s="120" t="s">
        <v>243</v>
      </c>
      <c r="AB11" s="109" t="s">
        <v>231</v>
      </c>
      <c r="AC11" s="110" t="s">
        <v>230</v>
      </c>
      <c r="AD11" s="110" t="s">
        <v>232</v>
      </c>
      <c r="AE11" s="110" t="s">
        <v>233</v>
      </c>
      <c r="AF11" s="110" t="s">
        <v>244</v>
      </c>
      <c r="AG11" s="194" t="s">
        <v>243</v>
      </c>
      <c r="AH11" s="109" t="s">
        <v>231</v>
      </c>
      <c r="AI11" s="110" t="s">
        <v>285</v>
      </c>
      <c r="AJ11" s="110" t="s">
        <v>290</v>
      </c>
      <c r="AK11" s="110" t="s">
        <v>233</v>
      </c>
      <c r="AL11" s="110" t="s">
        <v>244</v>
      </c>
      <c r="AM11" s="120" t="s">
        <v>243</v>
      </c>
      <c r="AN11" s="139" t="s">
        <v>231</v>
      </c>
      <c r="AO11" s="110" t="s">
        <v>286</v>
      </c>
      <c r="AP11" s="110" t="s">
        <v>289</v>
      </c>
      <c r="AQ11" s="110" t="s">
        <v>233</v>
      </c>
      <c r="AR11" s="110" t="s">
        <v>244</v>
      </c>
      <c r="AS11" s="120" t="s">
        <v>243</v>
      </c>
      <c r="AT11" s="109" t="s">
        <v>228</v>
      </c>
      <c r="AU11" s="110" t="s">
        <v>227</v>
      </c>
      <c r="AV11" s="110" t="s">
        <v>229</v>
      </c>
      <c r="AW11" s="110" t="s">
        <v>233</v>
      </c>
      <c r="AX11" s="110" t="s">
        <v>244</v>
      </c>
      <c r="AY11" s="120" t="s">
        <v>243</v>
      </c>
      <c r="AZ11" s="109" t="s">
        <v>228</v>
      </c>
      <c r="BA11" s="110" t="s">
        <v>287</v>
      </c>
      <c r="BB11" s="110" t="s">
        <v>288</v>
      </c>
      <c r="BC11" s="110" t="s">
        <v>233</v>
      </c>
      <c r="BD11" s="110" t="s">
        <v>244</v>
      </c>
      <c r="BE11" s="120" t="s">
        <v>243</v>
      </c>
      <c r="BF11" s="109" t="s">
        <v>293</v>
      </c>
      <c r="BG11" s="110" t="s">
        <v>296</v>
      </c>
      <c r="BH11" s="110" t="s">
        <v>294</v>
      </c>
      <c r="BI11" s="110" t="s">
        <v>233</v>
      </c>
      <c r="BJ11" s="110" t="s">
        <v>244</v>
      </c>
      <c r="BK11" s="120" t="s">
        <v>243</v>
      </c>
      <c r="BL11" s="109" t="s">
        <v>293</v>
      </c>
      <c r="BM11" s="110" t="s">
        <v>297</v>
      </c>
      <c r="BN11" s="110" t="s">
        <v>298</v>
      </c>
      <c r="BO11" s="110" t="s">
        <v>233</v>
      </c>
      <c r="BP11" s="110" t="s">
        <v>244</v>
      </c>
      <c r="BQ11" s="120" t="s">
        <v>243</v>
      </c>
      <c r="BR11" s="109" t="s">
        <v>295</v>
      </c>
      <c r="BS11" s="110" t="s">
        <v>299</v>
      </c>
      <c r="BT11" s="110" t="s">
        <v>300</v>
      </c>
      <c r="BU11" s="110" t="s">
        <v>233</v>
      </c>
      <c r="BV11" s="110" t="s">
        <v>244</v>
      </c>
      <c r="BW11" s="120" t="s">
        <v>243</v>
      </c>
      <c r="BX11" s="109" t="s">
        <v>295</v>
      </c>
      <c r="BY11" s="110" t="s">
        <v>301</v>
      </c>
      <c r="BZ11" s="110" t="s">
        <v>302</v>
      </c>
      <c r="CA11" s="110" t="s">
        <v>233</v>
      </c>
      <c r="CB11" s="110" t="s">
        <v>244</v>
      </c>
      <c r="CC11" s="120" t="s">
        <v>243</v>
      </c>
    </row>
    <row r="12" spans="2:81" s="134" customFormat="1" x14ac:dyDescent="0.25">
      <c r="B12" s="158" t="s">
        <v>2</v>
      </c>
      <c r="C12" s="152"/>
      <c r="D12" s="111" t="s">
        <v>204</v>
      </c>
      <c r="E12" s="187" t="s">
        <v>204</v>
      </c>
      <c r="F12" s="187" t="s">
        <v>204</v>
      </c>
      <c r="G12" s="187" t="s">
        <v>204</v>
      </c>
      <c r="H12" s="187" t="s">
        <v>204</v>
      </c>
      <c r="I12" s="112" t="s">
        <v>204</v>
      </c>
      <c r="J12" s="171" t="s">
        <v>204</v>
      </c>
      <c r="K12" s="187" t="s">
        <v>204</v>
      </c>
      <c r="L12" s="187" t="s">
        <v>204</v>
      </c>
      <c r="M12" s="187" t="s">
        <v>204</v>
      </c>
      <c r="N12" s="187" t="s">
        <v>204</v>
      </c>
      <c r="O12" s="112"/>
      <c r="P12" s="111" t="s">
        <v>204</v>
      </c>
      <c r="Q12" s="187" t="s">
        <v>204</v>
      </c>
      <c r="R12" s="187" t="s">
        <v>204</v>
      </c>
      <c r="S12" s="187" t="s">
        <v>204</v>
      </c>
      <c r="T12" s="187" t="s">
        <v>204</v>
      </c>
      <c r="U12" s="112"/>
      <c r="V12" s="111" t="s">
        <v>204</v>
      </c>
      <c r="W12" s="187" t="s">
        <v>204</v>
      </c>
      <c r="X12" s="187" t="s">
        <v>204</v>
      </c>
      <c r="Y12" s="187" t="s">
        <v>204</v>
      </c>
      <c r="Z12" s="187" t="s">
        <v>204</v>
      </c>
      <c r="AA12" s="112"/>
      <c r="AB12" s="111" t="s">
        <v>204</v>
      </c>
      <c r="AC12" s="187" t="s">
        <v>204</v>
      </c>
      <c r="AD12" s="187" t="s">
        <v>204</v>
      </c>
      <c r="AE12" s="187" t="s">
        <v>204</v>
      </c>
      <c r="AF12" s="187" t="s">
        <v>204</v>
      </c>
      <c r="AG12" s="98"/>
      <c r="AH12" s="111" t="s">
        <v>204</v>
      </c>
      <c r="AI12" s="187" t="s">
        <v>204</v>
      </c>
      <c r="AJ12" s="187" t="s">
        <v>204</v>
      </c>
      <c r="AK12" s="187" t="s">
        <v>204</v>
      </c>
      <c r="AL12" s="187" t="s">
        <v>204</v>
      </c>
      <c r="AM12" s="112"/>
      <c r="AN12" s="171" t="s">
        <v>204</v>
      </c>
      <c r="AO12" s="187" t="s">
        <v>204</v>
      </c>
      <c r="AP12" s="187" t="s">
        <v>204</v>
      </c>
      <c r="AQ12" s="187" t="s">
        <v>204</v>
      </c>
      <c r="AR12" s="187" t="s">
        <v>204</v>
      </c>
      <c r="AS12" s="112"/>
      <c r="AT12" s="111" t="s">
        <v>204</v>
      </c>
      <c r="AU12" s="187" t="s">
        <v>204</v>
      </c>
      <c r="AV12" s="187" t="s">
        <v>204</v>
      </c>
      <c r="AW12" s="187" t="s">
        <v>204</v>
      </c>
      <c r="AX12" s="187" t="s">
        <v>204</v>
      </c>
      <c r="AY12" s="112"/>
      <c r="AZ12" s="111" t="s">
        <v>204</v>
      </c>
      <c r="BA12" s="187" t="s">
        <v>204</v>
      </c>
      <c r="BB12" s="187" t="s">
        <v>204</v>
      </c>
      <c r="BC12" s="187" t="s">
        <v>204</v>
      </c>
      <c r="BD12" s="187" t="s">
        <v>204</v>
      </c>
      <c r="BE12" s="112"/>
      <c r="BF12" s="111" t="s">
        <v>204</v>
      </c>
      <c r="BG12" s="187" t="s">
        <v>204</v>
      </c>
      <c r="BH12" s="187" t="s">
        <v>204</v>
      </c>
      <c r="BI12" s="187" t="s">
        <v>204</v>
      </c>
      <c r="BJ12" s="187" t="s">
        <v>204</v>
      </c>
      <c r="BK12" s="112"/>
      <c r="BL12" s="111" t="s">
        <v>204</v>
      </c>
      <c r="BM12" s="187" t="s">
        <v>204</v>
      </c>
      <c r="BN12" s="187" t="s">
        <v>204</v>
      </c>
      <c r="BO12" s="187" t="s">
        <v>204</v>
      </c>
      <c r="BP12" s="187" t="s">
        <v>204</v>
      </c>
      <c r="BQ12" s="112"/>
      <c r="BR12" s="111" t="s">
        <v>204</v>
      </c>
      <c r="BS12" s="187" t="s">
        <v>204</v>
      </c>
      <c r="BT12" s="187" t="s">
        <v>204</v>
      </c>
      <c r="BU12" s="187" t="s">
        <v>204</v>
      </c>
      <c r="BV12" s="187" t="s">
        <v>204</v>
      </c>
      <c r="BW12" s="112"/>
      <c r="BX12" s="111" t="s">
        <v>204</v>
      </c>
      <c r="BY12" s="187" t="s">
        <v>204</v>
      </c>
      <c r="BZ12" s="187" t="s">
        <v>204</v>
      </c>
      <c r="CA12" s="187" t="s">
        <v>204</v>
      </c>
      <c r="CB12" s="187" t="s">
        <v>204</v>
      </c>
      <c r="CC12" s="112"/>
    </row>
    <row r="13" spans="2:81" s="134" customFormat="1" ht="60" x14ac:dyDescent="0.25">
      <c r="B13" s="159" t="s">
        <v>207</v>
      </c>
      <c r="C13" s="175"/>
      <c r="D13" s="111" t="s">
        <v>205</v>
      </c>
      <c r="E13" s="9" t="s">
        <v>205</v>
      </c>
      <c r="F13" s="62"/>
      <c r="G13" s="62"/>
      <c r="H13" s="62"/>
      <c r="I13" s="113"/>
      <c r="J13" s="171" t="s">
        <v>205</v>
      </c>
      <c r="K13" s="9" t="s">
        <v>205</v>
      </c>
      <c r="L13" s="62"/>
      <c r="M13" s="62"/>
      <c r="N13" s="62"/>
      <c r="O13" s="113"/>
      <c r="P13" s="111" t="s">
        <v>205</v>
      </c>
      <c r="Q13" s="9" t="s">
        <v>205</v>
      </c>
      <c r="R13" s="62"/>
      <c r="S13" s="62"/>
      <c r="T13" s="62"/>
      <c r="U13" s="113"/>
      <c r="V13" s="111" t="s">
        <v>205</v>
      </c>
      <c r="W13" s="9" t="s">
        <v>205</v>
      </c>
      <c r="X13" s="62"/>
      <c r="Y13" s="62"/>
      <c r="Z13" s="62"/>
      <c r="AA13" s="113"/>
      <c r="AB13" s="111" t="s">
        <v>205</v>
      </c>
      <c r="AC13" s="9" t="s">
        <v>205</v>
      </c>
      <c r="AD13" s="62"/>
      <c r="AE13" s="62"/>
      <c r="AF13" s="62"/>
      <c r="AG13" s="189"/>
      <c r="AH13" s="111" t="s">
        <v>205</v>
      </c>
      <c r="AI13" s="9" t="s">
        <v>205</v>
      </c>
      <c r="AJ13" s="62"/>
      <c r="AK13" s="62"/>
      <c r="AL13" s="62"/>
      <c r="AM13" s="113"/>
      <c r="AN13" s="171" t="s">
        <v>205</v>
      </c>
      <c r="AO13" s="9" t="s">
        <v>205</v>
      </c>
      <c r="AP13" s="62"/>
      <c r="AQ13" s="62"/>
      <c r="AR13" s="62"/>
      <c r="AS13" s="113"/>
      <c r="AT13" s="111" t="s">
        <v>205</v>
      </c>
      <c r="AU13" s="9" t="s">
        <v>205</v>
      </c>
      <c r="AV13" s="62"/>
      <c r="AW13" s="62"/>
      <c r="AX13" s="62"/>
      <c r="AY13" s="113"/>
      <c r="AZ13" s="111" t="s">
        <v>205</v>
      </c>
      <c r="BA13" s="9" t="s">
        <v>205</v>
      </c>
      <c r="BB13" s="62"/>
      <c r="BC13" s="62"/>
      <c r="BD13" s="62"/>
      <c r="BE13" s="113"/>
      <c r="BF13" s="111" t="s">
        <v>205</v>
      </c>
      <c r="BG13" s="9" t="s">
        <v>205</v>
      </c>
      <c r="BH13" s="62"/>
      <c r="BI13" s="62"/>
      <c r="BJ13" s="62"/>
      <c r="BK13" s="113"/>
      <c r="BL13" s="111" t="s">
        <v>205</v>
      </c>
      <c r="BM13" s="9" t="s">
        <v>205</v>
      </c>
      <c r="BN13" s="62"/>
      <c r="BO13" s="62"/>
      <c r="BP13" s="62"/>
      <c r="BQ13" s="113"/>
      <c r="BR13" s="111" t="s">
        <v>205</v>
      </c>
      <c r="BS13" s="9" t="s">
        <v>205</v>
      </c>
      <c r="BT13" s="62"/>
      <c r="BU13" s="62"/>
      <c r="BV13" s="62"/>
      <c r="BW13" s="113"/>
      <c r="BX13" s="111" t="s">
        <v>205</v>
      </c>
      <c r="BY13" s="9" t="s">
        <v>205</v>
      </c>
      <c r="BZ13" s="62"/>
      <c r="CA13" s="62"/>
      <c r="CB13" s="62"/>
      <c r="CC13" s="113"/>
    </row>
    <row r="14" spans="2:81" s="134" customFormat="1" ht="60" x14ac:dyDescent="0.25">
      <c r="B14" s="159" t="s">
        <v>208</v>
      </c>
      <c r="C14" s="175"/>
      <c r="D14" s="114" t="s">
        <v>206</v>
      </c>
      <c r="E14" s="88" t="s">
        <v>206</v>
      </c>
      <c r="F14" s="62"/>
      <c r="G14" s="62"/>
      <c r="H14" s="62"/>
      <c r="I14" s="113"/>
      <c r="J14" s="172" t="s">
        <v>206</v>
      </c>
      <c r="K14" s="88" t="s">
        <v>206</v>
      </c>
      <c r="L14" s="62"/>
      <c r="M14" s="62"/>
      <c r="N14" s="62"/>
      <c r="O14" s="113"/>
      <c r="P14" s="114" t="s">
        <v>206</v>
      </c>
      <c r="Q14" s="88" t="s">
        <v>206</v>
      </c>
      <c r="R14" s="62"/>
      <c r="S14" s="62"/>
      <c r="T14" s="62"/>
      <c r="U14" s="113"/>
      <c r="V14" s="114" t="s">
        <v>206</v>
      </c>
      <c r="W14" s="88" t="s">
        <v>206</v>
      </c>
      <c r="X14" s="62"/>
      <c r="Y14" s="62"/>
      <c r="Z14" s="62"/>
      <c r="AA14" s="113"/>
      <c r="AB14" s="114" t="s">
        <v>206</v>
      </c>
      <c r="AC14" s="88" t="s">
        <v>206</v>
      </c>
      <c r="AD14" s="62"/>
      <c r="AE14" s="62"/>
      <c r="AF14" s="62"/>
      <c r="AG14" s="189"/>
      <c r="AH14" s="114" t="s">
        <v>206</v>
      </c>
      <c r="AI14" s="88" t="s">
        <v>206</v>
      </c>
      <c r="AJ14" s="62"/>
      <c r="AK14" s="62"/>
      <c r="AL14" s="62"/>
      <c r="AM14" s="113"/>
      <c r="AN14" s="172" t="s">
        <v>206</v>
      </c>
      <c r="AO14" s="88" t="s">
        <v>206</v>
      </c>
      <c r="AP14" s="62"/>
      <c r="AQ14" s="62"/>
      <c r="AR14" s="62"/>
      <c r="AS14" s="113"/>
      <c r="AT14" s="114" t="s">
        <v>206</v>
      </c>
      <c r="AU14" s="88" t="s">
        <v>206</v>
      </c>
      <c r="AV14" s="62"/>
      <c r="AW14" s="62"/>
      <c r="AX14" s="62"/>
      <c r="AY14" s="113"/>
      <c r="AZ14" s="114" t="s">
        <v>206</v>
      </c>
      <c r="BA14" s="88" t="s">
        <v>206</v>
      </c>
      <c r="BB14" s="62"/>
      <c r="BC14" s="62"/>
      <c r="BD14" s="62"/>
      <c r="BE14" s="113"/>
      <c r="BF14" s="114" t="s">
        <v>206</v>
      </c>
      <c r="BG14" s="88" t="s">
        <v>206</v>
      </c>
      <c r="BH14" s="62"/>
      <c r="BI14" s="62"/>
      <c r="BJ14" s="62"/>
      <c r="BK14" s="113"/>
      <c r="BL14" s="114" t="s">
        <v>206</v>
      </c>
      <c r="BM14" s="88" t="s">
        <v>206</v>
      </c>
      <c r="BN14" s="62"/>
      <c r="BO14" s="62"/>
      <c r="BP14" s="62"/>
      <c r="BQ14" s="113"/>
      <c r="BR14" s="114" t="s">
        <v>206</v>
      </c>
      <c r="BS14" s="88" t="s">
        <v>206</v>
      </c>
      <c r="BT14" s="62"/>
      <c r="BU14" s="62"/>
      <c r="BV14" s="62"/>
      <c r="BW14" s="113"/>
      <c r="BX14" s="114" t="s">
        <v>206</v>
      </c>
      <c r="BY14" s="88" t="s">
        <v>206</v>
      </c>
      <c r="BZ14" s="62"/>
      <c r="CA14" s="62"/>
      <c r="CB14" s="62"/>
      <c r="CC14" s="113"/>
    </row>
    <row r="15" spans="2:81" s="134" customFormat="1" x14ac:dyDescent="0.25">
      <c r="B15" s="158" t="s">
        <v>4</v>
      </c>
      <c r="C15" s="176"/>
      <c r="D15" s="115"/>
      <c r="E15" s="75"/>
      <c r="F15" s="62"/>
      <c r="G15" s="62"/>
      <c r="H15" s="62"/>
      <c r="I15" s="113"/>
      <c r="J15" s="87"/>
      <c r="K15" s="75"/>
      <c r="L15" s="62"/>
      <c r="M15" s="62"/>
      <c r="N15" s="62"/>
      <c r="O15" s="113"/>
      <c r="P15" s="115"/>
      <c r="Q15" s="75"/>
      <c r="R15" s="62"/>
      <c r="S15" s="62"/>
      <c r="T15" s="62"/>
      <c r="U15" s="113"/>
      <c r="V15" s="115"/>
      <c r="W15" s="75"/>
      <c r="X15" s="62"/>
      <c r="Y15" s="62"/>
      <c r="Z15" s="62"/>
      <c r="AA15" s="113"/>
      <c r="AB15" s="115"/>
      <c r="AC15" s="75"/>
      <c r="AD15" s="62"/>
      <c r="AE15" s="62"/>
      <c r="AF15" s="62"/>
      <c r="AG15" s="189"/>
      <c r="AH15" s="115"/>
      <c r="AI15" s="62"/>
      <c r="AJ15" s="62"/>
      <c r="AK15" s="62"/>
      <c r="AL15" s="62"/>
      <c r="AM15" s="113"/>
      <c r="AN15" s="87"/>
      <c r="AO15" s="183"/>
      <c r="AP15" s="183"/>
      <c r="AQ15" s="183"/>
      <c r="AR15" s="183"/>
      <c r="AS15" s="183"/>
      <c r="AT15" s="115"/>
      <c r="AU15" s="75"/>
      <c r="AV15" s="62"/>
      <c r="AW15" s="62"/>
      <c r="AX15" s="62"/>
      <c r="AY15" s="113"/>
      <c r="AZ15" s="115"/>
      <c r="BA15" s="75"/>
      <c r="BB15" s="62"/>
      <c r="BC15" s="62"/>
      <c r="BD15" s="62"/>
      <c r="BE15" s="113"/>
      <c r="BF15" s="115"/>
      <c r="BG15" s="75"/>
      <c r="BH15" s="62"/>
      <c r="BI15" s="62"/>
      <c r="BJ15" s="62"/>
      <c r="BK15" s="113"/>
      <c r="BL15" s="115"/>
      <c r="BM15" s="75"/>
      <c r="BN15" s="62"/>
      <c r="BO15" s="62"/>
      <c r="BP15" s="62"/>
      <c r="BQ15" s="113"/>
      <c r="BR15" s="115"/>
      <c r="BS15" s="75"/>
      <c r="BT15" s="62"/>
      <c r="BU15" s="62"/>
      <c r="BV15" s="62"/>
      <c r="BW15" s="113"/>
      <c r="BX15" s="115"/>
      <c r="BY15" s="75"/>
      <c r="BZ15" s="62"/>
      <c r="CA15" s="62"/>
      <c r="CB15" s="62"/>
      <c r="CC15" s="113"/>
    </row>
    <row r="16" spans="2:81" s="134" customFormat="1" x14ac:dyDescent="0.25">
      <c r="B16" s="158" t="s">
        <v>5</v>
      </c>
      <c r="C16" s="176"/>
      <c r="D16" s="115"/>
      <c r="E16" s="75"/>
      <c r="F16" s="62"/>
      <c r="G16" s="62"/>
      <c r="H16" s="62"/>
      <c r="I16" s="113"/>
      <c r="J16" s="87"/>
      <c r="K16" s="75"/>
      <c r="L16" s="62"/>
      <c r="M16" s="62"/>
      <c r="N16" s="62"/>
      <c r="O16" s="113"/>
      <c r="P16" s="115"/>
      <c r="Q16" s="75"/>
      <c r="R16" s="62"/>
      <c r="S16" s="62"/>
      <c r="T16" s="62"/>
      <c r="U16" s="113"/>
      <c r="V16" s="115"/>
      <c r="W16" s="75"/>
      <c r="X16" s="62"/>
      <c r="Y16" s="62"/>
      <c r="Z16" s="62"/>
      <c r="AA16" s="113"/>
      <c r="AB16" s="115"/>
      <c r="AC16" s="75"/>
      <c r="AD16" s="62"/>
      <c r="AE16" s="62"/>
      <c r="AF16" s="62"/>
      <c r="AG16" s="189"/>
      <c r="AH16" s="115"/>
      <c r="AI16" s="62"/>
      <c r="AJ16" s="62"/>
      <c r="AK16" s="62"/>
      <c r="AL16" s="62"/>
      <c r="AM16" s="113"/>
      <c r="AN16" s="87"/>
      <c r="AO16" s="183"/>
      <c r="AP16" s="183"/>
      <c r="AQ16" s="183"/>
      <c r="AR16" s="183"/>
      <c r="AS16" s="183"/>
      <c r="AT16" s="115"/>
      <c r="AU16" s="75"/>
      <c r="AV16" s="62"/>
      <c r="AW16" s="62"/>
      <c r="AX16" s="62"/>
      <c r="AY16" s="113"/>
      <c r="AZ16" s="115"/>
      <c r="BA16" s="75"/>
      <c r="BB16" s="62"/>
      <c r="BC16" s="62"/>
      <c r="BD16" s="62"/>
      <c r="BE16" s="113"/>
      <c r="BF16" s="115"/>
      <c r="BG16" s="75"/>
      <c r="BH16" s="62"/>
      <c r="BI16" s="62"/>
      <c r="BJ16" s="62"/>
      <c r="BK16" s="113"/>
      <c r="BL16" s="115"/>
      <c r="BM16" s="75"/>
      <c r="BN16" s="62"/>
      <c r="BO16" s="62"/>
      <c r="BP16" s="62"/>
      <c r="BQ16" s="113"/>
      <c r="BR16" s="115"/>
      <c r="BS16" s="75"/>
      <c r="BT16" s="62"/>
      <c r="BU16" s="62"/>
      <c r="BV16" s="62"/>
      <c r="BW16" s="113"/>
      <c r="BX16" s="115"/>
      <c r="BY16" s="75"/>
      <c r="BZ16" s="62"/>
      <c r="CA16" s="62"/>
      <c r="CB16" s="62"/>
      <c r="CC16" s="113"/>
    </row>
    <row r="17" spans="2:83" s="134" customFormat="1" x14ac:dyDescent="0.25">
      <c r="B17" s="160" t="s">
        <v>6</v>
      </c>
      <c r="C17" s="177">
        <v>0.62131377312651848</v>
      </c>
      <c r="D17" s="116">
        <v>2.8000000000000003</v>
      </c>
      <c r="E17" s="94">
        <v>7.6133541063877139</v>
      </c>
      <c r="F17" s="94">
        <v>2.6481540461102684</v>
      </c>
      <c r="G17" s="94">
        <f>D17-E17</f>
        <v>-4.8133541063877132</v>
      </c>
      <c r="H17" s="94">
        <v>10.261508152497999</v>
      </c>
      <c r="I17" s="117">
        <f>G17-F17</f>
        <v>-7.4615081524979816</v>
      </c>
      <c r="J17" s="95">
        <v>2.8000000000000003</v>
      </c>
      <c r="K17" s="94">
        <v>0</v>
      </c>
      <c r="L17" s="94">
        <v>1.8361614536602577</v>
      </c>
      <c r="M17" s="94">
        <f>J17-K17</f>
        <v>2.8000000000000003</v>
      </c>
      <c r="N17" s="94">
        <f>K17+L17</f>
        <v>1.8361614536602577</v>
      </c>
      <c r="O17" s="117">
        <f>M17-L17</f>
        <v>0.96383854633974253</v>
      </c>
      <c r="P17" s="116">
        <v>2.8000000000000003</v>
      </c>
      <c r="Q17" s="94">
        <v>0</v>
      </c>
      <c r="R17" s="94">
        <v>1.8238543774424762</v>
      </c>
      <c r="S17" s="94">
        <f>P17-Q17</f>
        <v>2.8000000000000003</v>
      </c>
      <c r="T17" s="94">
        <f>Q17+R17</f>
        <v>1.8238543774424762</v>
      </c>
      <c r="U17" s="117">
        <f>S17-R17</f>
        <v>0.97614562255752402</v>
      </c>
      <c r="V17" s="116">
        <v>2.8000000000000003</v>
      </c>
      <c r="W17" s="94">
        <v>0</v>
      </c>
      <c r="X17" s="94">
        <v>2.6609957835915665</v>
      </c>
      <c r="Y17" s="94">
        <f>V17-W17</f>
        <v>2.8000000000000003</v>
      </c>
      <c r="Z17" s="94">
        <f>W17+X17</f>
        <v>2.6609957835915665</v>
      </c>
      <c r="AA17" s="117">
        <f>Y17-X17</f>
        <v>0.13900421640843375</v>
      </c>
      <c r="AB17" s="116">
        <v>4.4000000000000004</v>
      </c>
      <c r="AC17" s="94">
        <v>0.37033880247176654</v>
      </c>
      <c r="AD17" s="94">
        <v>0.11406261204612955</v>
      </c>
      <c r="AE17" s="94">
        <v>4.4000000000000004</v>
      </c>
      <c r="AF17" s="94">
        <v>5.8768683274021349E-2</v>
      </c>
      <c r="AG17" s="97">
        <f>AE17-AD17</f>
        <v>4.2859373879538705</v>
      </c>
      <c r="AH17" s="116">
        <v>4.4000000000000004</v>
      </c>
      <c r="AI17" s="94">
        <v>0</v>
      </c>
      <c r="AJ17" s="94">
        <v>1.5579075826745348</v>
      </c>
      <c r="AK17" s="94">
        <f>AH17-AI17</f>
        <v>4.4000000000000004</v>
      </c>
      <c r="AL17" s="94">
        <f>AI17+AJ17</f>
        <v>1.5579075826745348</v>
      </c>
      <c r="AM17" s="117">
        <f>AK17-AJ17</f>
        <v>2.8420924173254658</v>
      </c>
      <c r="AN17" s="95">
        <v>4.4000000000000004</v>
      </c>
      <c r="AO17" s="184">
        <v>0</v>
      </c>
      <c r="AP17" s="184">
        <v>1.9613853678253841</v>
      </c>
      <c r="AQ17" s="94">
        <f>AN17-AO17</f>
        <v>4.4000000000000004</v>
      </c>
      <c r="AR17" s="94">
        <f>AO17+AP17</f>
        <v>1.9613853678253841</v>
      </c>
      <c r="AS17" s="117">
        <f>AQ17-AP17</f>
        <v>2.438614632174616</v>
      </c>
      <c r="AT17" s="116">
        <v>3</v>
      </c>
      <c r="AU17" s="94">
        <v>0</v>
      </c>
      <c r="AV17" s="94">
        <v>1.9613883931302341</v>
      </c>
      <c r="AW17" s="94">
        <v>3</v>
      </c>
      <c r="AX17" s="94">
        <v>1.815962687442729</v>
      </c>
      <c r="AY17" s="117">
        <f>AW17-AV17</f>
        <v>1.0386116068697659</v>
      </c>
      <c r="AZ17" s="116">
        <v>3</v>
      </c>
      <c r="BA17" s="94">
        <v>1</v>
      </c>
      <c r="BB17" s="94">
        <v>2.3792241524321978</v>
      </c>
      <c r="BC17" s="94">
        <f>AZ17-BA17</f>
        <v>2</v>
      </c>
      <c r="BD17" s="94">
        <f>BA17+BB17</f>
        <v>3.3792241524321978</v>
      </c>
      <c r="BE17" s="117">
        <f>BC17-BB17</f>
        <v>-0.37922415243219776</v>
      </c>
      <c r="BF17" s="116">
        <v>3.3</v>
      </c>
      <c r="BG17" s="94">
        <v>0</v>
      </c>
      <c r="BH17" s="94">
        <v>3.1579765914930058</v>
      </c>
      <c r="BI17" s="94">
        <f>BF17-BG17</f>
        <v>3.3</v>
      </c>
      <c r="BJ17" s="94">
        <f>BG17+BH17</f>
        <v>3.1579765914930058</v>
      </c>
      <c r="BK17" s="117">
        <f>BI17-BH17</f>
        <v>0.14202340850699402</v>
      </c>
      <c r="BL17" s="116">
        <v>3.3</v>
      </c>
      <c r="BM17" s="94">
        <v>0</v>
      </c>
      <c r="BN17" s="94">
        <v>3.2328033640368439</v>
      </c>
      <c r="BO17" s="94">
        <f>BL17-BM17</f>
        <v>3.3</v>
      </c>
      <c r="BP17" s="94">
        <f>BM17+BN17</f>
        <v>3.2328033640368439</v>
      </c>
      <c r="BQ17" s="117">
        <f>BO17-BN17</f>
        <v>6.7196635963155948E-2</v>
      </c>
      <c r="BR17" s="116">
        <v>10</v>
      </c>
      <c r="BS17" s="94">
        <v>0</v>
      </c>
      <c r="BT17" s="94">
        <v>0.35213297142857147</v>
      </c>
      <c r="BU17" s="94">
        <f>BR17-BS17</f>
        <v>10</v>
      </c>
      <c r="BV17" s="94">
        <f>BS17+BT17</f>
        <v>0.35213297142857147</v>
      </c>
      <c r="BW17" s="117">
        <f>BU17-BT17</f>
        <v>9.6478670285714294</v>
      </c>
      <c r="BX17" s="116">
        <v>10</v>
      </c>
      <c r="BY17" s="94">
        <v>0</v>
      </c>
      <c r="BZ17" s="94">
        <v>0.36660584999999996</v>
      </c>
      <c r="CA17" s="94">
        <f>BX17-BY17</f>
        <v>10</v>
      </c>
      <c r="CB17" s="94">
        <f>BY17+BZ17</f>
        <v>0.36660584999999996</v>
      </c>
      <c r="CC17" s="117">
        <f>CA17-BZ17</f>
        <v>9.6333941500000009</v>
      </c>
      <c r="CE17" s="50">
        <f>_xlfn.STDEV.P(BG17,BM17)</f>
        <v>0</v>
      </c>
    </row>
    <row r="18" spans="2:83" s="134" customFormat="1" x14ac:dyDescent="0.25">
      <c r="B18" s="160" t="s">
        <v>7</v>
      </c>
      <c r="C18" s="177">
        <v>0.64753645142965344</v>
      </c>
      <c r="D18" s="116">
        <v>7.7714285714285722</v>
      </c>
      <c r="E18" s="94">
        <v>0</v>
      </c>
      <c r="F18" s="94">
        <v>5.8314090451886846</v>
      </c>
      <c r="G18" s="94">
        <f t="shared" ref="G18:G52" si="0">D18-E18</f>
        <v>7.7714285714285722</v>
      </c>
      <c r="H18" s="94">
        <v>5.8314090451886846</v>
      </c>
      <c r="I18" s="117">
        <f t="shared" ref="I18:I27" si="1">G18-F18</f>
        <v>1.9400195262398876</v>
      </c>
      <c r="J18" s="95">
        <v>7.7714285714285722</v>
      </c>
      <c r="K18" s="94">
        <v>0</v>
      </c>
      <c r="L18" s="94">
        <v>3.7903487857156479</v>
      </c>
      <c r="M18" s="94">
        <f t="shared" ref="M18:M52" si="2">J18-K18</f>
        <v>7.7714285714285722</v>
      </c>
      <c r="N18" s="94">
        <f t="shared" ref="N18:N27" si="3">K18+L18</f>
        <v>3.7903487857156479</v>
      </c>
      <c r="O18" s="117">
        <f t="shared" ref="O18:O27" si="4">M18-L18</f>
        <v>3.9810797857129243</v>
      </c>
      <c r="P18" s="116">
        <v>7.7714285714285722</v>
      </c>
      <c r="Q18" s="94">
        <v>0</v>
      </c>
      <c r="R18" s="94">
        <v>5.4254362115281856</v>
      </c>
      <c r="S18" s="94">
        <f t="shared" ref="S18:S52" si="5">P18-Q18</f>
        <v>7.7714285714285722</v>
      </c>
      <c r="T18" s="94">
        <f t="shared" ref="T18:T27" si="6">Q18+R18</f>
        <v>5.4254362115281856</v>
      </c>
      <c r="U18" s="117">
        <f t="shared" ref="U18:U27" si="7">S18-R18</f>
        <v>2.3459923599003867</v>
      </c>
      <c r="V18" s="116">
        <v>7.7714285714285722</v>
      </c>
      <c r="W18" s="94">
        <v>0</v>
      </c>
      <c r="X18" s="94">
        <v>8.2404318008636004</v>
      </c>
      <c r="Y18" s="94">
        <f t="shared" ref="Y18:Y52" si="8">V18-W18</f>
        <v>7.7714285714285722</v>
      </c>
      <c r="Z18" s="94">
        <f t="shared" ref="Z18:Z27" si="9">W18+X18</f>
        <v>8.2404318008636004</v>
      </c>
      <c r="AA18" s="117">
        <f t="shared" ref="AA18:AA27" si="10">Y18-X18</f>
        <v>-0.46900322943502815</v>
      </c>
      <c r="AB18" s="116">
        <v>2.9</v>
      </c>
      <c r="AC18" s="94">
        <v>2.6407202216066481</v>
      </c>
      <c r="AD18" s="94">
        <v>4.3217670510796558E-2</v>
      </c>
      <c r="AE18" s="94">
        <v>0.23333333333333339</v>
      </c>
      <c r="AF18" s="94">
        <v>2.688872644244062</v>
      </c>
      <c r="AG18" s="97">
        <f t="shared" ref="AG18:AG27" si="11">AE18-AD18</f>
        <v>0.19011566282253684</v>
      </c>
      <c r="AH18" s="116">
        <v>2.9</v>
      </c>
      <c r="AI18" s="94">
        <v>3.9000000000000004</v>
      </c>
      <c r="AJ18" s="94">
        <v>1.2553108506847788</v>
      </c>
      <c r="AK18" s="94">
        <f t="shared" ref="AK18:AK52" si="12">AH18-AI18</f>
        <v>-1.0000000000000004</v>
      </c>
      <c r="AL18" s="94">
        <f t="shared" ref="AL18:AL52" si="13">AI18+AJ18</f>
        <v>5.1553108506847796</v>
      </c>
      <c r="AM18" s="117">
        <f t="shared" ref="AM18:AM52" si="14">AK18-AJ18</f>
        <v>-2.2553108506847792</v>
      </c>
      <c r="AN18" s="95">
        <v>2.9</v>
      </c>
      <c r="AO18" s="184">
        <v>3.4000000000000004</v>
      </c>
      <c r="AP18" s="184">
        <v>1.3941164645648074</v>
      </c>
      <c r="AQ18" s="94">
        <f t="shared" ref="AQ18:AQ27" si="15">AN18-AO18</f>
        <v>-0.50000000000000044</v>
      </c>
      <c r="AR18" s="94">
        <f t="shared" ref="AR18:AR52" si="16">AO18+AP18</f>
        <v>4.7941164645648078</v>
      </c>
      <c r="AS18" s="117">
        <f t="shared" ref="AS18:AS52" si="17">AQ18-AP18</f>
        <v>-1.8941164645648079</v>
      </c>
      <c r="AT18" s="116">
        <v>4</v>
      </c>
      <c r="AU18" s="94">
        <v>3.5036972216145261</v>
      </c>
      <c r="AV18" s="94">
        <v>1.5282322016327095</v>
      </c>
      <c r="AW18" s="94">
        <v>0.5</v>
      </c>
      <c r="AX18" s="94">
        <v>4.7109397528599715</v>
      </c>
      <c r="AY18" s="117">
        <f t="shared" ref="AY18:AY27" si="18">AW18-AV18</f>
        <v>-1.0282322016327095</v>
      </c>
      <c r="AZ18" s="116">
        <v>4</v>
      </c>
      <c r="BA18" s="94">
        <v>3</v>
      </c>
      <c r="BB18" s="94">
        <v>3.8308479444907371</v>
      </c>
      <c r="BC18" s="94">
        <f t="shared" ref="BC18:BC27" si="19">AZ18-BA18</f>
        <v>1</v>
      </c>
      <c r="BD18" s="94">
        <f t="shared" ref="BD18:BD52" si="20">BA18+BB18</f>
        <v>6.8308479444907366</v>
      </c>
      <c r="BE18" s="117">
        <f t="shared" ref="BE18:BE52" si="21">BC18-BB18</f>
        <v>-2.8308479444907371</v>
      </c>
      <c r="BF18" s="116">
        <v>3.3</v>
      </c>
      <c r="BG18" s="94">
        <v>0</v>
      </c>
      <c r="BH18" s="94">
        <v>7.8892983157293761</v>
      </c>
      <c r="BI18" s="94">
        <f t="shared" ref="BI18:BI27" si="22">BF18-BG18</f>
        <v>3.3</v>
      </c>
      <c r="BJ18" s="94">
        <f t="shared" ref="BJ18:BJ52" si="23">BG18+BH18</f>
        <v>7.8892983157293761</v>
      </c>
      <c r="BK18" s="117">
        <f t="shared" ref="BK18:BK52" si="24">BI18-BH18</f>
        <v>-4.5892983157293763</v>
      </c>
      <c r="BL18" s="116">
        <v>3.3</v>
      </c>
      <c r="BM18" s="94">
        <v>0</v>
      </c>
      <c r="BN18" s="94">
        <v>8.857571943475028</v>
      </c>
      <c r="BO18" s="94">
        <f t="shared" ref="BO18:BO27" si="25">BL18-BM18</f>
        <v>3.3</v>
      </c>
      <c r="BP18" s="94">
        <f t="shared" ref="BP18:BP52" si="26">BM18+BN18</f>
        <v>8.857571943475028</v>
      </c>
      <c r="BQ18" s="117">
        <f t="shared" ref="BQ18:BQ52" si="27">BO18-BN18</f>
        <v>-5.5575719434750281</v>
      </c>
      <c r="BR18" s="116">
        <v>0</v>
      </c>
      <c r="BS18" s="94">
        <v>0</v>
      </c>
      <c r="BT18" s="94">
        <v>0.8876459714285716</v>
      </c>
      <c r="BU18" s="94">
        <f t="shared" ref="BU18:BU27" si="28">BR18-BS18</f>
        <v>0</v>
      </c>
      <c r="BV18" s="94">
        <f t="shared" ref="BV18:BV52" si="29">BS18+BT18</f>
        <v>0.8876459714285716</v>
      </c>
      <c r="BW18" s="117">
        <f t="shared" ref="BW18:BW52" si="30">BU18-BT18</f>
        <v>-0.8876459714285716</v>
      </c>
      <c r="BX18" s="116">
        <v>0</v>
      </c>
      <c r="BY18" s="94">
        <v>0</v>
      </c>
      <c r="BZ18" s="94">
        <v>0.7568742249999999</v>
      </c>
      <c r="CA18" s="94">
        <f t="shared" ref="CA18:CA27" si="31">BX18-BY18</f>
        <v>0</v>
      </c>
      <c r="CB18" s="94">
        <f t="shared" ref="CB18:CB52" si="32">BY18+BZ18</f>
        <v>0.7568742249999999</v>
      </c>
      <c r="CC18" s="117">
        <f t="shared" ref="CC18:CC52" si="33">CA18-BZ18</f>
        <v>-0.7568742249999999</v>
      </c>
      <c r="CE18" s="50">
        <f t="shared" ref="CE18:CE52" si="34">_xlfn.STDEV.P(BG18,BM18)</f>
        <v>0</v>
      </c>
    </row>
    <row r="19" spans="2:83" s="134" customFormat="1" x14ac:dyDescent="0.25">
      <c r="B19" s="160" t="s">
        <v>8</v>
      </c>
      <c r="C19" s="177">
        <v>0.66542907180385291</v>
      </c>
      <c r="D19" s="116">
        <v>12.785714285714286</v>
      </c>
      <c r="E19" s="94">
        <v>0</v>
      </c>
      <c r="F19" s="94">
        <v>9.7271635633143934</v>
      </c>
      <c r="G19" s="94">
        <f t="shared" si="0"/>
        <v>12.785714285714286</v>
      </c>
      <c r="H19" s="94">
        <v>9.7271635633143934</v>
      </c>
      <c r="I19" s="117">
        <f t="shared" si="1"/>
        <v>3.0585507223998931</v>
      </c>
      <c r="J19" s="95">
        <v>12.785714285714286</v>
      </c>
      <c r="K19" s="94">
        <v>0</v>
      </c>
      <c r="L19" s="94">
        <v>6.616485893987945</v>
      </c>
      <c r="M19" s="94">
        <f t="shared" si="2"/>
        <v>12.785714285714286</v>
      </c>
      <c r="N19" s="94">
        <f t="shared" si="3"/>
        <v>6.616485893987945</v>
      </c>
      <c r="O19" s="117">
        <f t="shared" si="4"/>
        <v>6.1692283917263415</v>
      </c>
      <c r="P19" s="116">
        <v>12.785714285714286</v>
      </c>
      <c r="Q19" s="94">
        <v>0</v>
      </c>
      <c r="R19" s="94">
        <v>9.4923435476609228</v>
      </c>
      <c r="S19" s="94">
        <f t="shared" si="5"/>
        <v>12.785714285714286</v>
      </c>
      <c r="T19" s="94">
        <f t="shared" si="6"/>
        <v>9.4923435476609228</v>
      </c>
      <c r="U19" s="117">
        <f t="shared" si="7"/>
        <v>3.2933707380533637</v>
      </c>
      <c r="V19" s="116">
        <v>12.785714285714286</v>
      </c>
      <c r="W19" s="94">
        <v>0</v>
      </c>
      <c r="X19" s="94">
        <v>13.795587503175005</v>
      </c>
      <c r="Y19" s="94">
        <f t="shared" si="8"/>
        <v>12.785714285714286</v>
      </c>
      <c r="Z19" s="94">
        <f t="shared" si="9"/>
        <v>13.795587503175005</v>
      </c>
      <c r="AA19" s="117">
        <f t="shared" si="10"/>
        <v>-1.0098732174607186</v>
      </c>
      <c r="AB19" s="116">
        <v>4.3</v>
      </c>
      <c r="AC19" s="94">
        <v>5.3442574046452176</v>
      </c>
      <c r="AD19" s="94">
        <v>4.529288523800605E-2</v>
      </c>
      <c r="AE19" s="94">
        <v>-1.0999999999999996</v>
      </c>
      <c r="AF19" s="94">
        <v>5.435892917346747</v>
      </c>
      <c r="AG19" s="97">
        <f t="shared" si="11"/>
        <v>-1.1452928852380058</v>
      </c>
      <c r="AH19" s="116">
        <v>4.3</v>
      </c>
      <c r="AI19" s="94">
        <v>10</v>
      </c>
      <c r="AJ19" s="94">
        <v>0.33612273132167908</v>
      </c>
      <c r="AK19" s="94">
        <f t="shared" si="12"/>
        <v>-5.7</v>
      </c>
      <c r="AL19" s="94">
        <f t="shared" si="13"/>
        <v>10.336122731321678</v>
      </c>
      <c r="AM19" s="117">
        <f t="shared" si="14"/>
        <v>-6.0361227313216794</v>
      </c>
      <c r="AN19" s="95">
        <v>4.3</v>
      </c>
      <c r="AO19" s="184">
        <v>8.9</v>
      </c>
      <c r="AP19" s="184">
        <v>0.25217927782268929</v>
      </c>
      <c r="AQ19" s="94">
        <f t="shared" si="15"/>
        <v>-4.6000000000000005</v>
      </c>
      <c r="AR19" s="94">
        <f t="shared" si="16"/>
        <v>9.1521792778226896</v>
      </c>
      <c r="AS19" s="117">
        <f t="shared" si="17"/>
        <v>-4.8521792778226898</v>
      </c>
      <c r="AT19" s="116">
        <v>7</v>
      </c>
      <c r="AU19" s="94">
        <v>7.6661999562458973</v>
      </c>
      <c r="AV19" s="94">
        <v>0.79718772344195965</v>
      </c>
      <c r="AW19" s="94">
        <v>-0.66666666666666696</v>
      </c>
      <c r="AX19" s="94">
        <v>8.3779210185660098</v>
      </c>
      <c r="AY19" s="117">
        <f t="shared" si="18"/>
        <v>-1.4638543901086267</v>
      </c>
      <c r="AZ19" s="116">
        <v>7</v>
      </c>
      <c r="BA19" s="94">
        <v>7</v>
      </c>
      <c r="BB19" s="94">
        <v>1.5817556658237086</v>
      </c>
      <c r="BC19" s="94">
        <f t="shared" si="19"/>
        <v>0</v>
      </c>
      <c r="BD19" s="94">
        <f t="shared" si="20"/>
        <v>8.5817556658237084</v>
      </c>
      <c r="BE19" s="117">
        <f t="shared" si="21"/>
        <v>-1.5817556658237086</v>
      </c>
      <c r="BF19" s="116">
        <v>5.0999999999999996</v>
      </c>
      <c r="BG19" s="94">
        <v>1.7000000000000002</v>
      </c>
      <c r="BH19" s="94">
        <v>10.153942335141307</v>
      </c>
      <c r="BI19" s="94">
        <f t="shared" si="22"/>
        <v>3.3999999999999995</v>
      </c>
      <c r="BJ19" s="94">
        <f t="shared" si="23"/>
        <v>11.853942335141308</v>
      </c>
      <c r="BK19" s="117">
        <f t="shared" si="24"/>
        <v>-6.7539423351413079</v>
      </c>
      <c r="BL19" s="116">
        <v>5.0999999999999996</v>
      </c>
      <c r="BM19" s="94">
        <v>1.9</v>
      </c>
      <c r="BN19" s="94">
        <v>11.43230447966131</v>
      </c>
      <c r="BO19" s="94">
        <f t="shared" si="25"/>
        <v>3.1999999999999997</v>
      </c>
      <c r="BP19" s="94">
        <f t="shared" si="26"/>
        <v>13.33230447966131</v>
      </c>
      <c r="BQ19" s="117">
        <f t="shared" si="27"/>
        <v>-8.2323044796613107</v>
      </c>
      <c r="BR19" s="116">
        <v>1.2</v>
      </c>
      <c r="BS19" s="94">
        <v>0</v>
      </c>
      <c r="BT19" s="94">
        <v>1.6163713428571431</v>
      </c>
      <c r="BU19" s="94">
        <f t="shared" si="28"/>
        <v>1.2</v>
      </c>
      <c r="BV19" s="94">
        <f t="shared" si="29"/>
        <v>1.6163713428571431</v>
      </c>
      <c r="BW19" s="117">
        <f t="shared" si="30"/>
        <v>-0.41637134285714317</v>
      </c>
      <c r="BX19" s="116">
        <v>1.2</v>
      </c>
      <c r="BY19" s="94">
        <v>0</v>
      </c>
      <c r="BZ19" s="94">
        <v>1.7302033999999999</v>
      </c>
      <c r="CA19" s="94">
        <f t="shared" si="31"/>
        <v>1.2</v>
      </c>
      <c r="CB19" s="94">
        <f t="shared" si="32"/>
        <v>1.7302033999999999</v>
      </c>
      <c r="CC19" s="117">
        <f t="shared" si="33"/>
        <v>-0.53020339999999999</v>
      </c>
      <c r="CE19" s="50">
        <f t="shared" si="34"/>
        <v>9.9999999999999867E-2</v>
      </c>
    </row>
    <row r="20" spans="2:83" s="134" customFormat="1" x14ac:dyDescent="0.25">
      <c r="B20" s="160" t="s">
        <v>9</v>
      </c>
      <c r="C20" s="177">
        <v>0.67838817777289462</v>
      </c>
      <c r="D20" s="116">
        <v>8.6142857142857157</v>
      </c>
      <c r="E20" s="94">
        <v>0</v>
      </c>
      <c r="F20" s="94">
        <v>6.2513418665751734</v>
      </c>
      <c r="G20" s="94">
        <f t="shared" si="0"/>
        <v>8.6142857142857157</v>
      </c>
      <c r="H20" s="94">
        <v>6.2513418665751734</v>
      </c>
      <c r="I20" s="117">
        <f t="shared" si="1"/>
        <v>2.3629438477105422</v>
      </c>
      <c r="J20" s="95">
        <v>8.6142857142857157</v>
      </c>
      <c r="K20" s="94">
        <v>0</v>
      </c>
      <c r="L20" s="94">
        <v>3.8844273367761502</v>
      </c>
      <c r="M20" s="94">
        <f t="shared" si="2"/>
        <v>8.6142857142857157</v>
      </c>
      <c r="N20" s="94">
        <f t="shared" si="3"/>
        <v>3.8844273367761502</v>
      </c>
      <c r="O20" s="117">
        <f t="shared" si="4"/>
        <v>4.7298583775095651</v>
      </c>
      <c r="P20" s="116">
        <v>8.6142857142857157</v>
      </c>
      <c r="Q20" s="94">
        <v>0</v>
      </c>
      <c r="R20" s="94">
        <v>6.1825984950445125</v>
      </c>
      <c r="S20" s="94">
        <f t="shared" si="5"/>
        <v>8.6142857142857157</v>
      </c>
      <c r="T20" s="94">
        <f t="shared" si="6"/>
        <v>6.1825984950445125</v>
      </c>
      <c r="U20" s="117">
        <f t="shared" si="7"/>
        <v>2.4316872192412031</v>
      </c>
      <c r="V20" s="116">
        <v>8.6142857142857157</v>
      </c>
      <c r="W20" s="94">
        <v>0</v>
      </c>
      <c r="X20" s="94">
        <v>8.1515092710185399</v>
      </c>
      <c r="Y20" s="94">
        <f t="shared" si="8"/>
        <v>8.6142857142857157</v>
      </c>
      <c r="Z20" s="94">
        <f t="shared" si="9"/>
        <v>8.1515092710185399</v>
      </c>
      <c r="AA20" s="117">
        <f t="shared" si="10"/>
        <v>0.46277644326717571</v>
      </c>
      <c r="AB20" s="116">
        <v>2.6</v>
      </c>
      <c r="AC20" s="94">
        <v>3.5301725974856168</v>
      </c>
      <c r="AD20" s="94">
        <v>2.5326198057421135E-2</v>
      </c>
      <c r="AE20" s="94">
        <v>-0.96666666666666634</v>
      </c>
      <c r="AF20" s="94">
        <v>3.5919928647240877</v>
      </c>
      <c r="AG20" s="97">
        <f t="shared" si="11"/>
        <v>-0.99199286472408743</v>
      </c>
      <c r="AH20" s="116">
        <v>2.6</v>
      </c>
      <c r="AI20" s="94">
        <v>5.8</v>
      </c>
      <c r="AJ20" s="94">
        <v>9.4192768065916935E-2</v>
      </c>
      <c r="AK20" s="94">
        <f t="shared" si="12"/>
        <v>-3.1999999999999997</v>
      </c>
      <c r="AL20" s="94">
        <f t="shared" si="13"/>
        <v>5.894192768065917</v>
      </c>
      <c r="AM20" s="117">
        <f t="shared" si="14"/>
        <v>-3.2941927680659169</v>
      </c>
      <c r="AN20" s="95">
        <v>2.6</v>
      </c>
      <c r="AO20" s="184">
        <v>5.4</v>
      </c>
      <c r="AP20" s="184">
        <v>4.9063675559148479E-2</v>
      </c>
      <c r="AQ20" s="94">
        <f t="shared" si="15"/>
        <v>-2.8000000000000003</v>
      </c>
      <c r="AR20" s="94">
        <f t="shared" si="16"/>
        <v>5.4490636755591488</v>
      </c>
      <c r="AS20" s="117">
        <f t="shared" si="17"/>
        <v>-2.8490636755591487</v>
      </c>
      <c r="AT20" s="116">
        <v>4</v>
      </c>
      <c r="AU20" s="94">
        <v>4.3650842266462488</v>
      </c>
      <c r="AV20" s="94">
        <v>0.34633246886868824</v>
      </c>
      <c r="AW20" s="94">
        <v>-0.36666666666666714</v>
      </c>
      <c r="AX20" s="94">
        <v>4.6878801500075138</v>
      </c>
      <c r="AY20" s="117">
        <f t="shared" si="18"/>
        <v>-0.71299913553535532</v>
      </c>
      <c r="AZ20" s="116">
        <v>4</v>
      </c>
      <c r="BA20" s="94">
        <v>4</v>
      </c>
      <c r="BB20" s="94">
        <v>0.4808901789030135</v>
      </c>
      <c r="BC20" s="94">
        <f t="shared" si="19"/>
        <v>0</v>
      </c>
      <c r="BD20" s="94">
        <f t="shared" si="20"/>
        <v>4.4808901789030138</v>
      </c>
      <c r="BE20" s="117">
        <f t="shared" si="21"/>
        <v>-0.4808901789030135</v>
      </c>
      <c r="BF20" s="116">
        <v>2.9</v>
      </c>
      <c r="BG20" s="94">
        <v>1.7999999999999998</v>
      </c>
      <c r="BH20" s="94">
        <v>4.3884199257779049</v>
      </c>
      <c r="BI20" s="94">
        <f t="shared" si="22"/>
        <v>1.1000000000000001</v>
      </c>
      <c r="BJ20" s="94">
        <f t="shared" si="23"/>
        <v>6.1884199257779047</v>
      </c>
      <c r="BK20" s="117">
        <f t="shared" si="24"/>
        <v>-3.2884199257779048</v>
      </c>
      <c r="BL20" s="116">
        <v>2.9</v>
      </c>
      <c r="BM20" s="94">
        <v>2</v>
      </c>
      <c r="BN20" s="94">
        <v>5.2520235711425141</v>
      </c>
      <c r="BO20" s="94">
        <f t="shared" si="25"/>
        <v>0.89999999999999991</v>
      </c>
      <c r="BP20" s="94">
        <f t="shared" si="26"/>
        <v>7.2520235711425141</v>
      </c>
      <c r="BQ20" s="117">
        <f t="shared" si="27"/>
        <v>-4.3520235711425137</v>
      </c>
      <c r="BR20" s="116">
        <v>0</v>
      </c>
      <c r="BS20" s="94">
        <v>0</v>
      </c>
      <c r="BT20" s="94">
        <v>0.74018785714285718</v>
      </c>
      <c r="BU20" s="94">
        <f t="shared" si="28"/>
        <v>0</v>
      </c>
      <c r="BV20" s="94">
        <f t="shared" si="29"/>
        <v>0.74018785714285718</v>
      </c>
      <c r="BW20" s="117">
        <f t="shared" si="30"/>
        <v>-0.74018785714285718</v>
      </c>
      <c r="BX20" s="116">
        <v>0</v>
      </c>
      <c r="BY20" s="94">
        <v>0</v>
      </c>
      <c r="BZ20" s="94">
        <v>0.79693675000000008</v>
      </c>
      <c r="CA20" s="94">
        <f t="shared" si="31"/>
        <v>0</v>
      </c>
      <c r="CB20" s="94">
        <f t="shared" si="32"/>
        <v>0.79693675000000008</v>
      </c>
      <c r="CC20" s="117">
        <f t="shared" si="33"/>
        <v>-0.79693675000000008</v>
      </c>
      <c r="CE20" s="50">
        <f t="shared" si="34"/>
        <v>0.10000000000000009</v>
      </c>
    </row>
    <row r="21" spans="2:83" s="134" customFormat="1" x14ac:dyDescent="0.25">
      <c r="B21" s="160" t="s">
        <v>10</v>
      </c>
      <c r="C21" s="177">
        <v>0.68821696814548272</v>
      </c>
      <c r="D21" s="116">
        <v>45.285714285714285</v>
      </c>
      <c r="E21" s="94">
        <v>1.800222568439795</v>
      </c>
      <c r="F21" s="94">
        <v>37.846543399072935</v>
      </c>
      <c r="G21" s="94">
        <f t="shared" si="0"/>
        <v>43.485491717274492</v>
      </c>
      <c r="H21" s="94">
        <v>39.646765967512728</v>
      </c>
      <c r="I21" s="117">
        <f t="shared" si="1"/>
        <v>5.6389483182015567</v>
      </c>
      <c r="J21" s="95">
        <v>45.285714285714285</v>
      </c>
      <c r="K21" s="94">
        <v>3</v>
      </c>
      <c r="L21" s="94">
        <v>25.113112923437857</v>
      </c>
      <c r="M21" s="94">
        <f t="shared" si="2"/>
        <v>42.285714285714285</v>
      </c>
      <c r="N21" s="94">
        <f t="shared" si="3"/>
        <v>28.113112923437857</v>
      </c>
      <c r="O21" s="117">
        <f t="shared" si="4"/>
        <v>17.172601362276428</v>
      </c>
      <c r="P21" s="116">
        <v>45.285714285714285</v>
      </c>
      <c r="Q21" s="94">
        <v>3.1625894299561503</v>
      </c>
      <c r="R21" s="94">
        <v>39.134262850951167</v>
      </c>
      <c r="S21" s="94">
        <f t="shared" si="5"/>
        <v>42.123124855758135</v>
      </c>
      <c r="T21" s="94">
        <f t="shared" si="6"/>
        <v>42.296852280907316</v>
      </c>
      <c r="U21" s="117">
        <f t="shared" si="7"/>
        <v>2.9888620048069683</v>
      </c>
      <c r="V21" s="116">
        <v>45.285714285714285</v>
      </c>
      <c r="W21" s="94">
        <v>3.911353334772286</v>
      </c>
      <c r="X21" s="94">
        <v>44.647035814071629</v>
      </c>
      <c r="Y21" s="94">
        <f t="shared" si="8"/>
        <v>41.374360950941998</v>
      </c>
      <c r="Z21" s="94">
        <f t="shared" si="9"/>
        <v>48.558389148843915</v>
      </c>
      <c r="AA21" s="117">
        <f t="shared" si="10"/>
        <v>-3.2726748631296303</v>
      </c>
      <c r="AB21" s="116">
        <v>11</v>
      </c>
      <c r="AC21" s="94">
        <v>18.859365011719582</v>
      </c>
      <c r="AD21" s="94">
        <v>0.20094587001311104</v>
      </c>
      <c r="AE21" s="94">
        <v>-8</v>
      </c>
      <c r="AF21" s="94">
        <v>19.182145934230594</v>
      </c>
      <c r="AG21" s="97">
        <f t="shared" si="11"/>
        <v>-8.2009458700131113</v>
      </c>
      <c r="AH21" s="116">
        <v>11</v>
      </c>
      <c r="AI21" s="94">
        <v>34.5</v>
      </c>
      <c r="AJ21" s="94">
        <v>0.50940933637679542</v>
      </c>
      <c r="AK21" s="94">
        <f t="shared" si="12"/>
        <v>-23.5</v>
      </c>
      <c r="AL21" s="94">
        <f t="shared" si="13"/>
        <v>35.009409336376798</v>
      </c>
      <c r="AM21" s="117">
        <f t="shared" si="14"/>
        <v>-24.009409336376795</v>
      </c>
      <c r="AN21" s="95">
        <v>11</v>
      </c>
      <c r="AO21" s="184">
        <v>31.5</v>
      </c>
      <c r="AP21" s="184">
        <v>0.37049994610617087</v>
      </c>
      <c r="AQ21" s="94">
        <f t="shared" si="15"/>
        <v>-20.5</v>
      </c>
      <c r="AR21" s="94">
        <f t="shared" si="16"/>
        <v>31.870499946106172</v>
      </c>
      <c r="AS21" s="117">
        <f t="shared" si="17"/>
        <v>-20.870499946106172</v>
      </c>
      <c r="AT21" s="116">
        <v>24</v>
      </c>
      <c r="AU21" s="94">
        <v>24.33099978122949</v>
      </c>
      <c r="AV21" s="94">
        <v>1.483272482524272</v>
      </c>
      <c r="AW21" s="94">
        <v>-0.33333333333333215</v>
      </c>
      <c r="AX21" s="94">
        <v>25.708197562526919</v>
      </c>
      <c r="AY21" s="117">
        <f t="shared" si="18"/>
        <v>-1.8166058158576042</v>
      </c>
      <c r="AZ21" s="116">
        <v>24</v>
      </c>
      <c r="BA21" s="94">
        <v>2</v>
      </c>
      <c r="BB21" s="94">
        <v>2.1822950926500102</v>
      </c>
      <c r="BC21" s="94">
        <f t="shared" si="19"/>
        <v>22</v>
      </c>
      <c r="BD21" s="94">
        <f t="shared" si="20"/>
        <v>4.1822950926500102</v>
      </c>
      <c r="BE21" s="117">
        <f t="shared" si="21"/>
        <v>19.817704907349992</v>
      </c>
      <c r="BF21" s="116">
        <v>13</v>
      </c>
      <c r="BG21" s="94">
        <v>13.100000000000001</v>
      </c>
      <c r="BH21" s="94">
        <v>13.9582043962318</v>
      </c>
      <c r="BI21" s="94">
        <f t="shared" si="22"/>
        <v>-0.10000000000000142</v>
      </c>
      <c r="BJ21" s="94">
        <f t="shared" si="23"/>
        <v>27.058204396231801</v>
      </c>
      <c r="BK21" s="117">
        <f t="shared" si="24"/>
        <v>-14.058204396231801</v>
      </c>
      <c r="BL21" s="116">
        <v>13</v>
      </c>
      <c r="BM21" s="94">
        <v>15.9</v>
      </c>
      <c r="BN21" s="94">
        <v>16.597863150065795</v>
      </c>
      <c r="BO21" s="94">
        <f t="shared" si="25"/>
        <v>-2.9000000000000004</v>
      </c>
      <c r="BP21" s="94">
        <f t="shared" si="26"/>
        <v>32.497863150065797</v>
      </c>
      <c r="BQ21" s="117">
        <f t="shared" si="27"/>
        <v>-19.497863150065797</v>
      </c>
      <c r="BR21" s="116">
        <v>3.7</v>
      </c>
      <c r="BS21" s="94">
        <v>0</v>
      </c>
      <c r="BT21" s="94">
        <v>4.8794562857142854</v>
      </c>
      <c r="BU21" s="94">
        <f t="shared" si="28"/>
        <v>3.7</v>
      </c>
      <c r="BV21" s="94">
        <f t="shared" si="29"/>
        <v>4.8794562857142854</v>
      </c>
      <c r="BW21" s="117">
        <f t="shared" si="30"/>
        <v>-1.1794562857142852</v>
      </c>
      <c r="BX21" s="116">
        <v>3.7</v>
      </c>
      <c r="BY21" s="94">
        <v>0</v>
      </c>
      <c r="BZ21" s="94">
        <v>5.6095580000000025</v>
      </c>
      <c r="CA21" s="94">
        <f t="shared" si="31"/>
        <v>3.7</v>
      </c>
      <c r="CB21" s="94">
        <f t="shared" si="32"/>
        <v>5.6095580000000025</v>
      </c>
      <c r="CC21" s="117">
        <f t="shared" si="33"/>
        <v>-1.9095580000000023</v>
      </c>
      <c r="CE21" s="50">
        <f t="shared" si="34"/>
        <v>1.3999999999999995</v>
      </c>
    </row>
    <row r="22" spans="2:83" s="134" customFormat="1" x14ac:dyDescent="0.25">
      <c r="B22" s="160" t="s">
        <v>11</v>
      </c>
      <c r="C22" s="177">
        <v>0.69592742630580939</v>
      </c>
      <c r="D22" s="116">
        <v>35</v>
      </c>
      <c r="E22" s="94">
        <v>0</v>
      </c>
      <c r="F22" s="94">
        <v>25.622167777656546</v>
      </c>
      <c r="G22" s="94">
        <f t="shared" si="0"/>
        <v>35</v>
      </c>
      <c r="H22" s="94">
        <v>25.622167777656546</v>
      </c>
      <c r="I22" s="117">
        <f t="shared" si="1"/>
        <v>9.3778322223434536</v>
      </c>
      <c r="J22" s="95">
        <v>35</v>
      </c>
      <c r="K22" s="94">
        <v>0</v>
      </c>
      <c r="L22" s="94">
        <v>14.642616827124819</v>
      </c>
      <c r="M22" s="94">
        <f t="shared" si="2"/>
        <v>35</v>
      </c>
      <c r="N22" s="94">
        <f t="shared" si="3"/>
        <v>14.642616827124819</v>
      </c>
      <c r="O22" s="117">
        <f t="shared" si="4"/>
        <v>20.357383172875181</v>
      </c>
      <c r="P22" s="116">
        <v>35</v>
      </c>
      <c r="Q22" s="94">
        <v>0</v>
      </c>
      <c r="R22" s="94">
        <v>30.689250776789947</v>
      </c>
      <c r="S22" s="94">
        <f t="shared" si="5"/>
        <v>35</v>
      </c>
      <c r="T22" s="94">
        <f t="shared" si="6"/>
        <v>30.689250776789947</v>
      </c>
      <c r="U22" s="117">
        <f t="shared" si="7"/>
        <v>4.3107492232100526</v>
      </c>
      <c r="V22" s="116">
        <v>35</v>
      </c>
      <c r="W22" s="94">
        <v>0.37971077055903302</v>
      </c>
      <c r="X22" s="94">
        <v>32.213901701803401</v>
      </c>
      <c r="Y22" s="94">
        <f t="shared" si="8"/>
        <v>34.620289229440964</v>
      </c>
      <c r="Z22" s="94">
        <f t="shared" si="9"/>
        <v>32.593612472362437</v>
      </c>
      <c r="AA22" s="117">
        <f t="shared" si="10"/>
        <v>2.4063875276375626</v>
      </c>
      <c r="AB22" s="116">
        <v>8.9</v>
      </c>
      <c r="AC22" s="94">
        <v>13.894523758789688</v>
      </c>
      <c r="AD22" s="94">
        <v>7.7085061407968308E-2</v>
      </c>
      <c r="AE22" s="94">
        <v>-5.0999999999999996</v>
      </c>
      <c r="AF22" s="94">
        <v>14.077085061407969</v>
      </c>
      <c r="AG22" s="97">
        <f t="shared" si="11"/>
        <v>-5.1770850614079675</v>
      </c>
      <c r="AH22" s="116">
        <v>8.9</v>
      </c>
      <c r="AI22" s="94">
        <v>24.4</v>
      </c>
      <c r="AJ22" s="94">
        <v>7.4057593809152639E-2</v>
      </c>
      <c r="AK22" s="94">
        <f t="shared" si="12"/>
        <v>-15.499999999999998</v>
      </c>
      <c r="AL22" s="94">
        <f t="shared" si="13"/>
        <v>24.47405759380915</v>
      </c>
      <c r="AM22" s="117">
        <f t="shared" si="14"/>
        <v>-15.574057593809151</v>
      </c>
      <c r="AN22" s="95">
        <v>8.9</v>
      </c>
      <c r="AO22" s="184">
        <v>21.8</v>
      </c>
      <c r="AP22" s="184">
        <v>5.6889571544058215E-2</v>
      </c>
      <c r="AQ22" s="94">
        <f t="shared" si="15"/>
        <v>-12.9</v>
      </c>
      <c r="AR22" s="94">
        <f t="shared" si="16"/>
        <v>21.856889571544059</v>
      </c>
      <c r="AS22" s="117">
        <f t="shared" si="17"/>
        <v>-12.956889571544059</v>
      </c>
      <c r="AT22" s="116">
        <v>19</v>
      </c>
      <c r="AU22" s="94">
        <v>17.665499890614743</v>
      </c>
      <c r="AV22" s="94">
        <v>0.48459136883659637</v>
      </c>
      <c r="AW22" s="94">
        <v>1.3333333333333321</v>
      </c>
      <c r="AX22" s="94">
        <v>18.108952375666899</v>
      </c>
      <c r="AY22" s="117">
        <f t="shared" si="18"/>
        <v>0.84874196449673578</v>
      </c>
      <c r="AZ22" s="116">
        <v>19</v>
      </c>
      <c r="BA22" s="94">
        <v>2</v>
      </c>
      <c r="BB22" s="94">
        <v>0.8188593173601959</v>
      </c>
      <c r="BC22" s="94">
        <f t="shared" si="19"/>
        <v>17</v>
      </c>
      <c r="BD22" s="94">
        <f t="shared" si="20"/>
        <v>2.8188593173601957</v>
      </c>
      <c r="BE22" s="117">
        <f t="shared" si="21"/>
        <v>16.181140682639803</v>
      </c>
      <c r="BF22" s="116">
        <v>8.6</v>
      </c>
      <c r="BG22" s="94">
        <v>10.1</v>
      </c>
      <c r="BH22" s="94">
        <v>6.5013565515272624</v>
      </c>
      <c r="BI22" s="94">
        <f t="shared" si="22"/>
        <v>-1.5</v>
      </c>
      <c r="BJ22" s="94">
        <f t="shared" si="23"/>
        <v>16.60135655152726</v>
      </c>
      <c r="BK22" s="117">
        <f t="shared" si="24"/>
        <v>-8.0013565515272624</v>
      </c>
      <c r="BL22" s="116">
        <v>8.6</v>
      </c>
      <c r="BM22" s="94">
        <v>12.3</v>
      </c>
      <c r="BN22" s="94">
        <v>8.1931743806853934</v>
      </c>
      <c r="BO22" s="94">
        <f t="shared" si="25"/>
        <v>-3.7000000000000011</v>
      </c>
      <c r="BP22" s="94">
        <f t="shared" si="26"/>
        <v>20.493174380685396</v>
      </c>
      <c r="BQ22" s="117">
        <f t="shared" si="27"/>
        <v>-11.893174380685394</v>
      </c>
      <c r="BR22" s="116">
        <v>1.6</v>
      </c>
      <c r="BS22" s="94">
        <v>0</v>
      </c>
      <c r="BT22" s="94">
        <v>1.5435511428571427</v>
      </c>
      <c r="BU22" s="94">
        <f t="shared" si="28"/>
        <v>1.6</v>
      </c>
      <c r="BV22" s="94">
        <f t="shared" si="29"/>
        <v>1.5435511428571427</v>
      </c>
      <c r="BW22" s="117">
        <f t="shared" si="30"/>
        <v>5.6448857142857412E-2</v>
      </c>
      <c r="BX22" s="116">
        <v>1.6</v>
      </c>
      <c r="BY22" s="94">
        <v>0</v>
      </c>
      <c r="BZ22" s="94">
        <v>1.6980913750000002</v>
      </c>
      <c r="CA22" s="94">
        <f t="shared" si="31"/>
        <v>1.6</v>
      </c>
      <c r="CB22" s="94">
        <f t="shared" si="32"/>
        <v>1.6980913750000002</v>
      </c>
      <c r="CC22" s="117">
        <f t="shared" si="33"/>
        <v>-9.8091375000000092E-2</v>
      </c>
      <c r="CE22" s="50">
        <f t="shared" si="34"/>
        <v>1.1000000000000005</v>
      </c>
    </row>
    <row r="23" spans="2:83" s="134" customFormat="1" x14ac:dyDescent="0.25">
      <c r="B23" s="160" t="s">
        <v>12</v>
      </c>
      <c r="C23" s="177">
        <v>0.70215141612200438</v>
      </c>
      <c r="D23" s="116">
        <v>217.14285714285714</v>
      </c>
      <c r="E23" s="94">
        <v>3.0002225684397952</v>
      </c>
      <c r="F23" s="94">
        <v>175.88014760485851</v>
      </c>
      <c r="G23" s="94">
        <f t="shared" si="0"/>
        <v>214.14263457441734</v>
      </c>
      <c r="H23" s="94">
        <v>178.8803701732983</v>
      </c>
      <c r="I23" s="117">
        <f>G23-F23</f>
        <v>38.262486969558836</v>
      </c>
      <c r="J23" s="95">
        <v>217.14285714285714</v>
      </c>
      <c r="K23" s="94">
        <v>4.5999999999999996</v>
      </c>
      <c r="L23" s="94">
        <v>128.51992638237203</v>
      </c>
      <c r="M23" s="94">
        <f t="shared" si="2"/>
        <v>212.54285714285714</v>
      </c>
      <c r="N23" s="94">
        <f t="shared" si="3"/>
        <v>133.11992638237203</v>
      </c>
      <c r="O23" s="117">
        <f>M23-L23</f>
        <v>84.02293076048511</v>
      </c>
      <c r="P23" s="116">
        <v>217.14285714285714</v>
      </c>
      <c r="Q23" s="94">
        <v>4.6094622663281788</v>
      </c>
      <c r="R23" s="94">
        <v>166.22972523156619</v>
      </c>
      <c r="S23" s="94">
        <f t="shared" si="5"/>
        <v>212.53339487652897</v>
      </c>
      <c r="T23" s="94">
        <f t="shared" si="6"/>
        <v>170.83918749789436</v>
      </c>
      <c r="U23" s="117">
        <f>S23-R23</f>
        <v>46.303669644962781</v>
      </c>
      <c r="V23" s="116">
        <v>217.14285714285714</v>
      </c>
      <c r="W23" s="94">
        <v>9.302201597237211</v>
      </c>
      <c r="X23" s="94">
        <v>237.24121666243332</v>
      </c>
      <c r="Y23" s="94">
        <f t="shared" si="8"/>
        <v>207.84065554561994</v>
      </c>
      <c r="Z23" s="94">
        <f t="shared" si="9"/>
        <v>246.54341825967052</v>
      </c>
      <c r="AA23" s="117">
        <f>Y23-X23</f>
        <v>-29.400561116813378</v>
      </c>
      <c r="AB23" s="116">
        <v>56</v>
      </c>
      <c r="AC23" s="94">
        <v>86.46260387811634</v>
      </c>
      <c r="AD23" s="94">
        <v>0.61454472480132716</v>
      </c>
      <c r="AE23" s="94">
        <v>-31</v>
      </c>
      <c r="AF23" s="94">
        <v>87.601274181896017</v>
      </c>
      <c r="AG23" s="97">
        <f>AE23-AD23</f>
        <v>-31.614544724801327</v>
      </c>
      <c r="AH23" s="116">
        <v>56</v>
      </c>
      <c r="AI23" s="94">
        <v>150</v>
      </c>
      <c r="AJ23" s="94">
        <v>0.39911190290613507</v>
      </c>
      <c r="AK23" s="94">
        <f t="shared" si="12"/>
        <v>-94</v>
      </c>
      <c r="AL23" s="94">
        <f t="shared" si="13"/>
        <v>150.39911190290613</v>
      </c>
      <c r="AM23" s="117">
        <f t="shared" si="14"/>
        <v>-94.399111902906128</v>
      </c>
      <c r="AN23" s="95">
        <v>56</v>
      </c>
      <c r="AO23" s="184">
        <v>140</v>
      </c>
      <c r="AP23" s="184">
        <v>0.33097828078684993</v>
      </c>
      <c r="AQ23" s="94">
        <f t="shared" si="15"/>
        <v>-84</v>
      </c>
      <c r="AR23" s="94">
        <f t="shared" si="16"/>
        <v>140.33097828078684</v>
      </c>
      <c r="AS23" s="117">
        <f t="shared" si="17"/>
        <v>-84.330978280786852</v>
      </c>
      <c r="AT23" s="116">
        <v>130</v>
      </c>
      <c r="AU23" s="94">
        <v>113.19842485232991</v>
      </c>
      <c r="AV23" s="94">
        <v>2.7507379279526001</v>
      </c>
      <c r="AW23" s="94">
        <v>16.666666666666671</v>
      </c>
      <c r="AX23" s="94">
        <v>115.88576348080296</v>
      </c>
      <c r="AY23" s="117">
        <f>AW23-AV23</f>
        <v>13.915928738714072</v>
      </c>
      <c r="AZ23" s="116">
        <v>130</v>
      </c>
      <c r="BA23" s="94">
        <v>92</v>
      </c>
      <c r="BB23" s="94">
        <v>3.8859721860686944</v>
      </c>
      <c r="BC23" s="94">
        <f t="shared" si="19"/>
        <v>38</v>
      </c>
      <c r="BD23" s="94">
        <f t="shared" si="20"/>
        <v>95.885972186068699</v>
      </c>
      <c r="BE23" s="117">
        <f t="shared" si="21"/>
        <v>34.114027813931308</v>
      </c>
      <c r="BF23" s="116">
        <v>44</v>
      </c>
      <c r="BG23" s="94">
        <v>59.6</v>
      </c>
      <c r="BH23" s="94">
        <v>26.521564373394231</v>
      </c>
      <c r="BI23" s="94">
        <f t="shared" si="22"/>
        <v>-15.600000000000001</v>
      </c>
      <c r="BJ23" s="94">
        <f t="shared" si="23"/>
        <v>86.121564373394236</v>
      </c>
      <c r="BK23" s="117">
        <f t="shared" si="24"/>
        <v>-42.121564373394236</v>
      </c>
      <c r="BL23" s="116">
        <v>44</v>
      </c>
      <c r="BM23" s="94">
        <v>70.199999999999989</v>
      </c>
      <c r="BN23" s="94">
        <v>30.895042622575666</v>
      </c>
      <c r="BO23" s="94">
        <f t="shared" si="25"/>
        <v>-26.199999999999989</v>
      </c>
      <c r="BP23" s="94">
        <f t="shared" si="26"/>
        <v>101.09504262257565</v>
      </c>
      <c r="BQ23" s="117">
        <f t="shared" si="27"/>
        <v>-57.095042622575654</v>
      </c>
      <c r="BR23" s="116">
        <v>8.8000000000000007</v>
      </c>
      <c r="BS23" s="94">
        <v>4.6999999999999993</v>
      </c>
      <c r="BT23" s="94">
        <v>5.9659971428571428</v>
      </c>
      <c r="BU23" s="94">
        <f t="shared" si="28"/>
        <v>4.1000000000000014</v>
      </c>
      <c r="BV23" s="94">
        <f t="shared" si="29"/>
        <v>10.665997142857142</v>
      </c>
      <c r="BW23" s="117">
        <f t="shared" si="30"/>
        <v>-1.8659971428571414</v>
      </c>
      <c r="BX23" s="116">
        <v>8.8000000000000007</v>
      </c>
      <c r="BY23" s="94">
        <v>4.6000000000000005</v>
      </c>
      <c r="BZ23" s="94">
        <v>6.3491289999999996</v>
      </c>
      <c r="CA23" s="94">
        <f t="shared" si="31"/>
        <v>4.2</v>
      </c>
      <c r="CB23" s="94">
        <f t="shared" si="32"/>
        <v>10.949128999999999</v>
      </c>
      <c r="CC23" s="117">
        <f t="shared" si="33"/>
        <v>-2.1491289999999994</v>
      </c>
      <c r="CE23" s="50">
        <f t="shared" si="34"/>
        <v>5.2999999999999936</v>
      </c>
    </row>
    <row r="24" spans="2:83" s="134" customFormat="1" x14ac:dyDescent="0.25">
      <c r="B24" s="160" t="s">
        <v>13</v>
      </c>
      <c r="C24" s="177">
        <v>0.70725947987023352</v>
      </c>
      <c r="D24" s="116">
        <v>43.285714285714285</v>
      </c>
      <c r="E24" s="94">
        <v>2.2231693745826844</v>
      </c>
      <c r="F24" s="94">
        <v>18.130290321379519</v>
      </c>
      <c r="G24" s="94">
        <f t="shared" si="0"/>
        <v>41.062544911131603</v>
      </c>
      <c r="H24" s="94">
        <v>20.353459695962204</v>
      </c>
      <c r="I24" s="117">
        <f t="shared" si="1"/>
        <v>22.932254589752084</v>
      </c>
      <c r="J24" s="95">
        <v>43.285714285714285</v>
      </c>
      <c r="K24" s="94">
        <v>3</v>
      </c>
      <c r="L24" s="94">
        <v>20.662005128461892</v>
      </c>
      <c r="M24" s="94">
        <f t="shared" si="2"/>
        <v>40.285714285714285</v>
      </c>
      <c r="N24" s="94">
        <f t="shared" si="3"/>
        <v>23.662005128461892</v>
      </c>
      <c r="O24" s="117">
        <f t="shared" si="4"/>
        <v>19.623709157252392</v>
      </c>
      <c r="P24" s="116">
        <v>43.285714285714285</v>
      </c>
      <c r="Q24" s="94">
        <v>6.6643434110316173</v>
      </c>
      <c r="R24" s="94">
        <v>16.147841047705946</v>
      </c>
      <c r="S24" s="94">
        <f t="shared" si="5"/>
        <v>36.621370874682668</v>
      </c>
      <c r="T24" s="94">
        <f t="shared" si="6"/>
        <v>22.812184458737562</v>
      </c>
      <c r="U24" s="117">
        <f t="shared" si="7"/>
        <v>20.473529826976723</v>
      </c>
      <c r="V24" s="116">
        <v>43.285714285714285</v>
      </c>
      <c r="W24" s="94">
        <v>16.467990502913878</v>
      </c>
      <c r="X24" s="94">
        <v>13.421501143002285</v>
      </c>
      <c r="Y24" s="94">
        <f t="shared" si="8"/>
        <v>26.817723782800407</v>
      </c>
      <c r="Z24" s="94">
        <f t="shared" si="9"/>
        <v>29.889491645916163</v>
      </c>
      <c r="AA24" s="117">
        <f t="shared" si="10"/>
        <v>13.396222639798122</v>
      </c>
      <c r="AB24" s="116">
        <v>9.8000000000000007</v>
      </c>
      <c r="AC24" s="94">
        <v>13.266354144470489</v>
      </c>
      <c r="AD24" s="94">
        <v>0.10506087282262597</v>
      </c>
      <c r="AE24" s="94">
        <v>-3.5333333333333332</v>
      </c>
      <c r="AF24" s="94">
        <v>13.43839420615596</v>
      </c>
      <c r="AG24" s="97">
        <f t="shared" si="11"/>
        <v>-3.6383942061559593</v>
      </c>
      <c r="AH24" s="116">
        <v>9.8000000000000007</v>
      </c>
      <c r="AI24" s="94">
        <v>21.9</v>
      </c>
      <c r="AJ24" s="94">
        <v>4.7957243068700597E-2</v>
      </c>
      <c r="AK24" s="94">
        <f t="shared" si="12"/>
        <v>-12.099999999999998</v>
      </c>
      <c r="AL24" s="94">
        <f t="shared" si="13"/>
        <v>21.9479572430687</v>
      </c>
      <c r="AM24" s="117">
        <f t="shared" si="14"/>
        <v>-12.147957243068699</v>
      </c>
      <c r="AN24" s="95">
        <v>9.8000000000000007</v>
      </c>
      <c r="AO24" s="184">
        <v>20.399999999999999</v>
      </c>
      <c r="AP24" s="184">
        <v>4.4234545944489362E-2</v>
      </c>
      <c r="AQ24" s="94">
        <f t="shared" si="15"/>
        <v>-10.599999999999998</v>
      </c>
      <c r="AR24" s="94">
        <f t="shared" si="16"/>
        <v>20.444234545944489</v>
      </c>
      <c r="AS24" s="117">
        <f t="shared" si="17"/>
        <v>-10.644234545944487</v>
      </c>
      <c r="AT24" s="116">
        <v>23</v>
      </c>
      <c r="AU24" s="94">
        <v>16.665499890614743</v>
      </c>
      <c r="AV24" s="94">
        <v>0.33826471423816556</v>
      </c>
      <c r="AW24" s="94">
        <v>6.3333333333333321</v>
      </c>
      <c r="AX24" s="94">
        <v>16.978490343507104</v>
      </c>
      <c r="AY24" s="117">
        <f t="shared" si="18"/>
        <v>5.995068619095167</v>
      </c>
      <c r="AZ24" s="116">
        <v>23</v>
      </c>
      <c r="BA24" s="94">
        <v>13</v>
      </c>
      <c r="BB24" s="94">
        <v>0.40817361688693382</v>
      </c>
      <c r="BC24" s="94">
        <f t="shared" si="19"/>
        <v>10</v>
      </c>
      <c r="BD24" s="94">
        <f t="shared" si="20"/>
        <v>13.408173616886934</v>
      </c>
      <c r="BE24" s="117">
        <f t="shared" si="21"/>
        <v>9.5918263831130659</v>
      </c>
      <c r="BF24" s="116">
        <v>5.4</v>
      </c>
      <c r="BG24" s="94">
        <v>13.5</v>
      </c>
      <c r="BH24" s="94">
        <v>1.874637739080788</v>
      </c>
      <c r="BI24" s="94">
        <f t="shared" si="22"/>
        <v>-8.1</v>
      </c>
      <c r="BJ24" s="94">
        <f t="shared" si="23"/>
        <v>15.374637739080788</v>
      </c>
      <c r="BK24" s="117">
        <f t="shared" si="24"/>
        <v>-9.9746377390807872</v>
      </c>
      <c r="BL24" s="116">
        <v>5.4</v>
      </c>
      <c r="BM24" s="94">
        <v>16.100000000000001</v>
      </c>
      <c r="BN24" s="94">
        <v>2.5987410607014128</v>
      </c>
      <c r="BO24" s="94">
        <f t="shared" si="25"/>
        <v>-10.700000000000001</v>
      </c>
      <c r="BP24" s="94">
        <f t="shared" si="26"/>
        <v>18.698741060701416</v>
      </c>
      <c r="BQ24" s="117">
        <f t="shared" si="27"/>
        <v>-13.298741060701413</v>
      </c>
      <c r="BR24" s="116">
        <v>1.5</v>
      </c>
      <c r="BS24" s="94">
        <v>1.3</v>
      </c>
      <c r="BT24" s="94">
        <v>0.36499648571428578</v>
      </c>
      <c r="BU24" s="94">
        <f t="shared" si="28"/>
        <v>0.19999999999999996</v>
      </c>
      <c r="BV24" s="94">
        <f t="shared" si="29"/>
        <v>1.6649964857142858</v>
      </c>
      <c r="BW24" s="117">
        <f t="shared" si="30"/>
        <v>-0.16499648571428582</v>
      </c>
      <c r="BX24" s="116">
        <v>1.5</v>
      </c>
      <c r="BY24" s="94">
        <v>1.4000000000000001</v>
      </c>
      <c r="BZ24" s="94">
        <v>0.27593224999999999</v>
      </c>
      <c r="CA24" s="94">
        <f t="shared" si="31"/>
        <v>9.9999999999999867E-2</v>
      </c>
      <c r="CB24" s="94">
        <f t="shared" si="32"/>
        <v>1.6759322500000002</v>
      </c>
      <c r="CC24" s="117">
        <f t="shared" si="33"/>
        <v>-0.17593225000000012</v>
      </c>
      <c r="CE24" s="50">
        <f t="shared" si="34"/>
        <v>1.3000000000000007</v>
      </c>
    </row>
    <row r="25" spans="2:83" s="134" customFormat="1" x14ac:dyDescent="0.25">
      <c r="B25" s="160" t="s">
        <v>14</v>
      </c>
      <c r="C25" s="177">
        <v>0.71153558052434451</v>
      </c>
      <c r="D25" s="116">
        <v>67</v>
      </c>
      <c r="E25" s="94">
        <v>20.977743156020473</v>
      </c>
      <c r="F25" s="94">
        <v>6.6754232758500605</v>
      </c>
      <c r="G25" s="94">
        <f t="shared" si="0"/>
        <v>46.022256843979527</v>
      </c>
      <c r="H25" s="94">
        <v>27.653166431870535</v>
      </c>
      <c r="I25" s="117">
        <f t="shared" si="1"/>
        <v>39.346833568129469</v>
      </c>
      <c r="J25" s="95">
        <v>67</v>
      </c>
      <c r="K25" s="94">
        <v>27</v>
      </c>
      <c r="L25" s="94">
        <v>5.9359239495117118</v>
      </c>
      <c r="M25" s="94">
        <f t="shared" si="2"/>
        <v>40</v>
      </c>
      <c r="N25" s="94">
        <f t="shared" si="3"/>
        <v>32.935923949511711</v>
      </c>
      <c r="O25" s="117">
        <f t="shared" si="4"/>
        <v>34.064076050488289</v>
      </c>
      <c r="P25" s="116">
        <v>67</v>
      </c>
      <c r="Q25" s="94">
        <v>28.2418647588276</v>
      </c>
      <c r="R25" s="94">
        <v>3.7811192843807588</v>
      </c>
      <c r="S25" s="94">
        <f t="shared" si="5"/>
        <v>38.758135241172397</v>
      </c>
      <c r="T25" s="94">
        <f t="shared" si="6"/>
        <v>32.022984043208361</v>
      </c>
      <c r="U25" s="117">
        <f t="shared" si="7"/>
        <v>34.977015956791639</v>
      </c>
      <c r="V25" s="116">
        <v>67</v>
      </c>
      <c r="W25" s="94">
        <v>39.723289445283839</v>
      </c>
      <c r="X25" s="94">
        <v>3.6314516129032253</v>
      </c>
      <c r="Y25" s="94">
        <f t="shared" si="8"/>
        <v>27.276710554716161</v>
      </c>
      <c r="Z25" s="94">
        <f t="shared" si="9"/>
        <v>43.354741058187066</v>
      </c>
      <c r="AA25" s="117">
        <f t="shared" si="10"/>
        <v>23.645258941812934</v>
      </c>
      <c r="AB25" s="116">
        <v>18</v>
      </c>
      <c r="AC25" s="94">
        <v>18.567867036011076</v>
      </c>
      <c r="AD25" s="94">
        <v>0.30106119391004205</v>
      </c>
      <c r="AE25" s="94">
        <v>-0.66666666666666785</v>
      </c>
      <c r="AF25" s="94">
        <v>18.967727860576709</v>
      </c>
      <c r="AG25" s="97">
        <f t="shared" si="11"/>
        <v>-0.9677278605767099</v>
      </c>
      <c r="AH25" s="116">
        <v>18</v>
      </c>
      <c r="AI25" s="94">
        <v>30</v>
      </c>
      <c r="AJ25" s="94">
        <v>8.730767731878411E-2</v>
      </c>
      <c r="AK25" s="94">
        <f t="shared" si="12"/>
        <v>-12</v>
      </c>
      <c r="AL25" s="94">
        <f t="shared" si="13"/>
        <v>30.087307677318783</v>
      </c>
      <c r="AM25" s="117">
        <f t="shared" si="14"/>
        <v>-12.087307677318783</v>
      </c>
      <c r="AN25" s="95">
        <v>18</v>
      </c>
      <c r="AO25" s="184">
        <v>27.5</v>
      </c>
      <c r="AP25" s="184">
        <v>4.9960414982484512E-2</v>
      </c>
      <c r="AQ25" s="94">
        <f t="shared" si="15"/>
        <v>-9.5</v>
      </c>
      <c r="AR25" s="94">
        <f t="shared" si="16"/>
        <v>27.549960414982486</v>
      </c>
      <c r="AS25" s="117">
        <f t="shared" si="17"/>
        <v>-9.5499604149824844</v>
      </c>
      <c r="AT25" s="116">
        <v>35</v>
      </c>
      <c r="AU25" s="94">
        <v>25.33099978122949</v>
      </c>
      <c r="AV25" s="94">
        <v>0.33484809330656795</v>
      </c>
      <c r="AW25" s="94">
        <v>9.6666666666666679</v>
      </c>
      <c r="AX25" s="94">
        <v>25.333333333333332</v>
      </c>
      <c r="AY25" s="117">
        <f t="shared" si="18"/>
        <v>9.3318185733600991</v>
      </c>
      <c r="AZ25" s="116">
        <v>35</v>
      </c>
      <c r="BA25" s="94">
        <v>19</v>
      </c>
      <c r="BB25" s="94">
        <v>0.47468809680881763</v>
      </c>
      <c r="BC25" s="94">
        <f t="shared" si="19"/>
        <v>16</v>
      </c>
      <c r="BD25" s="94">
        <f t="shared" si="20"/>
        <v>19.474688096808819</v>
      </c>
      <c r="BE25" s="117">
        <f t="shared" si="21"/>
        <v>15.525311903191183</v>
      </c>
      <c r="BF25" s="116">
        <v>6.8</v>
      </c>
      <c r="BG25" s="94">
        <v>31.299999999999997</v>
      </c>
      <c r="BH25" s="94">
        <v>0.76148444190693687</v>
      </c>
      <c r="BI25" s="94">
        <f t="shared" si="22"/>
        <v>-24.499999999999996</v>
      </c>
      <c r="BJ25" s="94">
        <f t="shared" si="23"/>
        <v>32.061484441906934</v>
      </c>
      <c r="BK25" s="117">
        <f t="shared" si="24"/>
        <v>-25.261484441906934</v>
      </c>
      <c r="BL25" s="116">
        <v>6.8</v>
      </c>
      <c r="BM25" s="94">
        <v>38.1</v>
      </c>
      <c r="BN25" s="94">
        <v>0.93089730533783388</v>
      </c>
      <c r="BO25" s="94">
        <f t="shared" si="25"/>
        <v>-31.3</v>
      </c>
      <c r="BP25" s="94">
        <f t="shared" si="26"/>
        <v>39.030897305337838</v>
      </c>
      <c r="BQ25" s="117">
        <f t="shared" si="27"/>
        <v>-32.230897305337834</v>
      </c>
      <c r="BR25" s="116">
        <v>1.9</v>
      </c>
      <c r="BS25" s="94">
        <v>2.9</v>
      </c>
      <c r="BT25" s="94">
        <v>3.5436828571428582E-2</v>
      </c>
      <c r="BU25" s="94">
        <f t="shared" si="28"/>
        <v>-1</v>
      </c>
      <c r="BV25" s="94">
        <f t="shared" si="29"/>
        <v>2.9354368285714285</v>
      </c>
      <c r="BW25" s="117">
        <f t="shared" si="30"/>
        <v>-1.0354368285714286</v>
      </c>
      <c r="BX25" s="116">
        <v>1.9</v>
      </c>
      <c r="BY25" s="94">
        <v>2.7</v>
      </c>
      <c r="BZ25" s="94">
        <v>4.0215050000000002E-2</v>
      </c>
      <c r="CA25" s="94">
        <f t="shared" si="31"/>
        <v>-0.80000000000000027</v>
      </c>
      <c r="CB25" s="94">
        <f t="shared" si="32"/>
        <v>2.7402150500000002</v>
      </c>
      <c r="CC25" s="117">
        <f t="shared" si="33"/>
        <v>-0.8402150500000003</v>
      </c>
      <c r="CE25" s="50">
        <f t="shared" si="34"/>
        <v>3.4000000000000017</v>
      </c>
    </row>
    <row r="26" spans="2:83" s="134" customFormat="1" x14ac:dyDescent="0.25">
      <c r="B26" s="161" t="s">
        <v>15</v>
      </c>
      <c r="C26" s="178">
        <v>0.7151676680068062</v>
      </c>
      <c r="D26" s="115">
        <v>17.166666666666668</v>
      </c>
      <c r="E26" s="75">
        <v>10.668150456265302</v>
      </c>
      <c r="F26" s="75">
        <v>0.30052825678002054</v>
      </c>
      <c r="G26" s="94">
        <f t="shared" si="0"/>
        <v>6.4985162104013661</v>
      </c>
      <c r="H26" s="75">
        <v>10.668150456265302</v>
      </c>
      <c r="I26" s="118">
        <f t="shared" si="1"/>
        <v>6.1979879536213458</v>
      </c>
      <c r="J26" s="87">
        <v>17.166666666666668</v>
      </c>
      <c r="K26" s="75">
        <v>11</v>
      </c>
      <c r="L26" s="75">
        <v>0.15230089570458533</v>
      </c>
      <c r="M26" s="94">
        <f t="shared" si="2"/>
        <v>6.1666666666666679</v>
      </c>
      <c r="N26" s="94">
        <f t="shared" si="3"/>
        <v>11.152300895704585</v>
      </c>
      <c r="O26" s="118">
        <f t="shared" si="4"/>
        <v>6.0143657709620824</v>
      </c>
      <c r="P26" s="115">
        <v>17.166666666666668</v>
      </c>
      <c r="Q26" s="75">
        <v>9.9078698361412414</v>
      </c>
      <c r="R26" s="75">
        <v>8.8440792953062439E-2</v>
      </c>
      <c r="S26" s="94">
        <f t="shared" si="5"/>
        <v>7.2587968305254265</v>
      </c>
      <c r="T26" s="94">
        <f t="shared" si="6"/>
        <v>9.9963106290943031</v>
      </c>
      <c r="U26" s="118">
        <f t="shared" si="7"/>
        <v>7.1703560375723638</v>
      </c>
      <c r="V26" s="115">
        <v>17.166666666666668</v>
      </c>
      <c r="W26" s="75">
        <v>13.582128210662638</v>
      </c>
      <c r="X26" s="75">
        <v>0.28925864871729734</v>
      </c>
      <c r="Y26" s="94">
        <f t="shared" si="8"/>
        <v>3.5845384560040294</v>
      </c>
      <c r="Z26" s="94">
        <f t="shared" si="9"/>
        <v>13.871386859379935</v>
      </c>
      <c r="AA26" s="118">
        <f t="shared" si="10"/>
        <v>3.295279807286732</v>
      </c>
      <c r="AB26" s="115">
        <v>4.5</v>
      </c>
      <c r="AC26" s="75">
        <v>6.0321755806520354</v>
      </c>
      <c r="AD26" s="75">
        <v>0.10261044069247853</v>
      </c>
      <c r="AE26" s="75">
        <v>-1.5666666666666664</v>
      </c>
      <c r="AF26" s="75">
        <v>6.0666666666666664</v>
      </c>
      <c r="AG26" s="99">
        <f t="shared" si="11"/>
        <v>-1.669277107359145</v>
      </c>
      <c r="AH26" s="115">
        <v>4.5</v>
      </c>
      <c r="AI26" s="75">
        <v>9.8000000000000007</v>
      </c>
      <c r="AJ26" s="75">
        <v>3.360705934751141E-2</v>
      </c>
      <c r="AK26" s="75">
        <f t="shared" si="12"/>
        <v>-5.3000000000000007</v>
      </c>
      <c r="AL26" s="75">
        <f t="shared" si="13"/>
        <v>9.8336070593475124</v>
      </c>
      <c r="AM26" s="118">
        <f t="shared" si="14"/>
        <v>-5.3336070593475124</v>
      </c>
      <c r="AN26" s="87">
        <v>4.5</v>
      </c>
      <c r="AO26" s="185">
        <v>9</v>
      </c>
      <c r="AP26" s="185">
        <v>2.5715790891942873E-2</v>
      </c>
      <c r="AQ26" s="75">
        <f t="shared" si="15"/>
        <v>-4.5</v>
      </c>
      <c r="AR26" s="75">
        <f t="shared" si="16"/>
        <v>9.0257157908919421</v>
      </c>
      <c r="AS26" s="118">
        <f t="shared" si="17"/>
        <v>-4.525715790891943</v>
      </c>
      <c r="AT26" s="115">
        <v>10</v>
      </c>
      <c r="AU26" s="75">
        <v>8.6375628965215476</v>
      </c>
      <c r="AV26" s="75">
        <v>7.8389299320797051E-2</v>
      </c>
      <c r="AW26" s="75">
        <v>1.3666666666666671</v>
      </c>
      <c r="AX26" s="75">
        <v>8.6333333333333329</v>
      </c>
      <c r="AY26" s="118">
        <f t="shared" si="18"/>
        <v>1.2882773673458701</v>
      </c>
      <c r="AZ26" s="115">
        <v>10</v>
      </c>
      <c r="BA26" s="75">
        <v>7</v>
      </c>
      <c r="BB26" s="75">
        <v>0.1410317733692048</v>
      </c>
      <c r="BC26" s="75">
        <f t="shared" si="19"/>
        <v>3</v>
      </c>
      <c r="BD26" s="75">
        <f t="shared" si="20"/>
        <v>7.141031773369205</v>
      </c>
      <c r="BE26" s="118">
        <f t="shared" si="21"/>
        <v>2.858968226630795</v>
      </c>
      <c r="BF26" s="115">
        <v>1.6</v>
      </c>
      <c r="BG26" s="75">
        <v>10</v>
      </c>
      <c r="BH26" s="75">
        <v>6.122623465600914E-2</v>
      </c>
      <c r="BI26" s="75">
        <f t="shared" si="22"/>
        <v>-8.4</v>
      </c>
      <c r="BJ26" s="75">
        <f t="shared" si="23"/>
        <v>10.06122623465601</v>
      </c>
      <c r="BK26" s="118">
        <f t="shared" si="24"/>
        <v>-8.4612262346560101</v>
      </c>
      <c r="BL26" s="115">
        <v>1.6</v>
      </c>
      <c r="BM26" s="75">
        <v>11.7</v>
      </c>
      <c r="BN26" s="75">
        <v>6.9894358945019733E-2</v>
      </c>
      <c r="BO26" s="75">
        <f t="shared" si="25"/>
        <v>-10.1</v>
      </c>
      <c r="BP26" s="75">
        <f t="shared" si="26"/>
        <v>11.769894358945018</v>
      </c>
      <c r="BQ26" s="118">
        <f t="shared" si="27"/>
        <v>-10.169894358945019</v>
      </c>
      <c r="BR26" s="115">
        <v>0</v>
      </c>
      <c r="BS26" s="75">
        <v>0</v>
      </c>
      <c r="BT26" s="75">
        <v>0</v>
      </c>
      <c r="BU26" s="75">
        <f t="shared" si="28"/>
        <v>0</v>
      </c>
      <c r="BV26" s="75">
        <f t="shared" si="29"/>
        <v>0</v>
      </c>
      <c r="BW26" s="118">
        <f t="shared" si="30"/>
        <v>0</v>
      </c>
      <c r="BX26" s="115">
        <v>0</v>
      </c>
      <c r="BY26" s="75">
        <v>0</v>
      </c>
      <c r="BZ26" s="75">
        <v>0</v>
      </c>
      <c r="CA26" s="75">
        <f t="shared" si="31"/>
        <v>0</v>
      </c>
      <c r="CB26" s="75">
        <f t="shared" si="32"/>
        <v>0</v>
      </c>
      <c r="CC26" s="118">
        <f t="shared" si="33"/>
        <v>0</v>
      </c>
      <c r="CE26" s="50">
        <f t="shared" si="34"/>
        <v>0.84999999999999964</v>
      </c>
    </row>
    <row r="27" spans="2:83" s="134" customFormat="1" x14ac:dyDescent="0.25">
      <c r="B27" s="161" t="s">
        <v>16</v>
      </c>
      <c r="C27" s="178">
        <v>0.71830110207110953</v>
      </c>
      <c r="D27" s="115">
        <v>12.15</v>
      </c>
      <c r="E27" s="75">
        <v>7.9017805475183609</v>
      </c>
      <c r="F27" s="75">
        <v>0.15697729449157849</v>
      </c>
      <c r="G27" s="94">
        <f t="shared" si="0"/>
        <v>4.2482194524816395</v>
      </c>
      <c r="H27" s="75">
        <v>7.9017805475183609</v>
      </c>
      <c r="I27" s="118">
        <f t="shared" si="1"/>
        <v>4.0912421579900613</v>
      </c>
      <c r="J27" s="87">
        <v>12.15</v>
      </c>
      <c r="K27" s="75">
        <v>8.1999999999999993</v>
      </c>
      <c r="L27" s="75">
        <v>6.2571057378690786E-2</v>
      </c>
      <c r="M27" s="94">
        <f t="shared" si="2"/>
        <v>3.9500000000000011</v>
      </c>
      <c r="N27" s="94">
        <f t="shared" si="3"/>
        <v>8.2625710573786897</v>
      </c>
      <c r="O27" s="118">
        <f t="shared" si="4"/>
        <v>3.8874289426213102</v>
      </c>
      <c r="P27" s="115">
        <v>12.15</v>
      </c>
      <c r="Q27" s="75">
        <v>7.2884606508192942</v>
      </c>
      <c r="R27" s="75">
        <v>2.3301794645912245E-2</v>
      </c>
      <c r="S27" s="94">
        <f t="shared" si="5"/>
        <v>4.8615393491807062</v>
      </c>
      <c r="T27" s="94">
        <f t="shared" si="6"/>
        <v>7.3117624454652068</v>
      </c>
      <c r="U27" s="118">
        <f t="shared" si="7"/>
        <v>4.8382375545347935</v>
      </c>
      <c r="V27" s="115">
        <v>12.15</v>
      </c>
      <c r="W27" s="75">
        <v>9.8466436434275852</v>
      </c>
      <c r="X27" s="75">
        <v>7.162506985013968E-2</v>
      </c>
      <c r="Y27" s="94">
        <f t="shared" si="8"/>
        <v>2.3033563565724151</v>
      </c>
      <c r="Z27" s="94">
        <f t="shared" si="9"/>
        <v>9.9182687132777243</v>
      </c>
      <c r="AA27" s="118">
        <f t="shared" si="10"/>
        <v>2.2317312867222756</v>
      </c>
      <c r="AB27" s="115">
        <v>1.9</v>
      </c>
      <c r="AC27" s="75">
        <v>4.4125719156190071</v>
      </c>
      <c r="AD27" s="75">
        <v>6.1066438337837474E-2</v>
      </c>
      <c r="AE27" s="75">
        <v>-2.5333333333333328</v>
      </c>
      <c r="AF27" s="75">
        <v>4.4333333333333327</v>
      </c>
      <c r="AG27" s="99">
        <f t="shared" si="11"/>
        <v>-2.5943997716711702</v>
      </c>
      <c r="AH27" s="115">
        <v>1.9</v>
      </c>
      <c r="AI27" s="75">
        <v>7.4</v>
      </c>
      <c r="AJ27" s="75">
        <v>1.876032735775526E-2</v>
      </c>
      <c r="AK27" s="75">
        <f t="shared" si="12"/>
        <v>-5.5</v>
      </c>
      <c r="AL27" s="75">
        <f t="shared" si="13"/>
        <v>7.4187603273577558</v>
      </c>
      <c r="AM27" s="118">
        <f t="shared" si="14"/>
        <v>-5.5187603273577555</v>
      </c>
      <c r="AN27" s="87">
        <v>1.9</v>
      </c>
      <c r="AO27" s="185">
        <v>6.8999999999999995</v>
      </c>
      <c r="AP27" s="185">
        <v>2.1703664780382645E-2</v>
      </c>
      <c r="AQ27" s="75">
        <f t="shared" si="15"/>
        <v>-5</v>
      </c>
      <c r="AR27" s="75">
        <f t="shared" si="16"/>
        <v>6.9217036647803818</v>
      </c>
      <c r="AS27" s="118">
        <f t="shared" si="17"/>
        <v>-5.0217036647803823</v>
      </c>
      <c r="AT27" s="115">
        <v>10</v>
      </c>
      <c r="AU27" s="75">
        <v>6.271012907460074</v>
      </c>
      <c r="AV27" s="75">
        <v>7.4712844348617996E-2</v>
      </c>
      <c r="AW27" s="75">
        <v>3.7333333333333334</v>
      </c>
      <c r="AX27" s="75">
        <v>6.2666666666666666</v>
      </c>
      <c r="AY27" s="118">
        <f t="shared" si="18"/>
        <v>3.6586204889847154</v>
      </c>
      <c r="AZ27" s="115">
        <v>10</v>
      </c>
      <c r="BA27" s="75">
        <v>5</v>
      </c>
      <c r="BB27" s="75">
        <v>0.1284378356576579</v>
      </c>
      <c r="BC27" s="75">
        <f t="shared" si="19"/>
        <v>5</v>
      </c>
      <c r="BD27" s="75">
        <f t="shared" si="20"/>
        <v>5.1284378356576577</v>
      </c>
      <c r="BE27" s="118">
        <f t="shared" si="21"/>
        <v>4.8715621643423423</v>
      </c>
      <c r="BF27" s="115">
        <v>1.1000000000000001</v>
      </c>
      <c r="BG27" s="75">
        <v>8.4</v>
      </c>
      <c r="BH27" s="75">
        <v>1.7870682272337994E-3</v>
      </c>
      <c r="BI27" s="75">
        <f t="shared" si="22"/>
        <v>-7.3000000000000007</v>
      </c>
      <c r="BJ27" s="75">
        <f t="shared" si="23"/>
        <v>8.4017870682272342</v>
      </c>
      <c r="BK27" s="118">
        <f t="shared" si="24"/>
        <v>-7.3017870682272346</v>
      </c>
      <c r="BL27" s="115">
        <v>1.1000000000000001</v>
      </c>
      <c r="BM27" s="75">
        <v>9.6</v>
      </c>
      <c r="BN27" s="75">
        <v>4.3780250586417987E-3</v>
      </c>
      <c r="BO27" s="75">
        <f t="shared" si="25"/>
        <v>-8.5</v>
      </c>
      <c r="BP27" s="75">
        <f t="shared" si="26"/>
        <v>9.6043780250586419</v>
      </c>
      <c r="BQ27" s="118">
        <f t="shared" si="27"/>
        <v>-8.5043780250586423</v>
      </c>
      <c r="BR27" s="115">
        <v>0</v>
      </c>
      <c r="BS27" s="75">
        <v>0</v>
      </c>
      <c r="BT27" s="75">
        <v>0</v>
      </c>
      <c r="BU27" s="75">
        <f t="shared" si="28"/>
        <v>0</v>
      </c>
      <c r="BV27" s="75">
        <f t="shared" si="29"/>
        <v>0</v>
      </c>
      <c r="BW27" s="118">
        <f t="shared" si="30"/>
        <v>0</v>
      </c>
      <c r="BX27" s="115">
        <v>0</v>
      </c>
      <c r="BY27" s="75">
        <v>0</v>
      </c>
      <c r="BZ27" s="75">
        <v>0</v>
      </c>
      <c r="CA27" s="75">
        <f t="shared" si="31"/>
        <v>0</v>
      </c>
      <c r="CB27" s="75">
        <f t="shared" si="32"/>
        <v>0</v>
      </c>
      <c r="CC27" s="118">
        <f t="shared" si="33"/>
        <v>0</v>
      </c>
      <c r="CE27" s="50">
        <f t="shared" si="34"/>
        <v>0.59999999999999964</v>
      </c>
    </row>
    <row r="28" spans="2:83" s="134" customFormat="1" x14ac:dyDescent="0.25">
      <c r="B28" s="162" t="s">
        <v>17</v>
      </c>
      <c r="C28" s="178">
        <v>0.56975008330556476</v>
      </c>
      <c r="D28" s="115">
        <v>0</v>
      </c>
      <c r="E28" s="75"/>
      <c r="F28" s="75">
        <v>0.10818229248591624</v>
      </c>
      <c r="G28" s="94">
        <f t="shared" si="0"/>
        <v>0</v>
      </c>
      <c r="H28" s="75"/>
      <c r="I28" s="118"/>
      <c r="J28" s="87">
        <v>0</v>
      </c>
      <c r="K28" s="75"/>
      <c r="L28" s="75">
        <v>6.738345674067292E-2</v>
      </c>
      <c r="M28" s="94">
        <f t="shared" si="2"/>
        <v>0</v>
      </c>
      <c r="N28" s="75"/>
      <c r="O28" s="118"/>
      <c r="P28" s="115">
        <v>0</v>
      </c>
      <c r="Q28" s="75">
        <v>0</v>
      </c>
      <c r="R28" s="75">
        <v>2.0943348105749084E-2</v>
      </c>
      <c r="S28" s="94">
        <f t="shared" si="5"/>
        <v>0</v>
      </c>
      <c r="T28" s="75"/>
      <c r="U28" s="118"/>
      <c r="V28" s="115">
        <v>0</v>
      </c>
      <c r="W28" s="75">
        <v>0</v>
      </c>
      <c r="X28" s="75">
        <v>0.2671604013208026</v>
      </c>
      <c r="Y28" s="94">
        <f t="shared" si="8"/>
        <v>0</v>
      </c>
      <c r="Z28" s="75"/>
      <c r="AA28" s="118"/>
      <c r="AB28" s="115"/>
      <c r="AC28" s="75"/>
      <c r="AD28" s="75">
        <v>7.4125705723383201E-2</v>
      </c>
      <c r="AE28" s="75"/>
      <c r="AF28" s="75"/>
      <c r="AG28" s="99"/>
      <c r="AH28" s="115"/>
      <c r="AI28" s="75"/>
      <c r="AJ28" s="75">
        <v>0.35792461863934971</v>
      </c>
      <c r="AK28" s="75"/>
      <c r="AL28" s="75">
        <f t="shared" si="13"/>
        <v>0.35792461863934971</v>
      </c>
      <c r="AM28" s="118">
        <f t="shared" si="14"/>
        <v>-0.35792461863934971</v>
      </c>
      <c r="AN28" s="87"/>
      <c r="AO28" s="185">
        <v>0</v>
      </c>
      <c r="AP28" s="185">
        <v>0.45121042845594178</v>
      </c>
      <c r="AQ28" s="75"/>
      <c r="AR28" s="75">
        <f t="shared" si="16"/>
        <v>0.45121042845594178</v>
      </c>
      <c r="AS28" s="118">
        <f t="shared" si="17"/>
        <v>-0.45121042845594178</v>
      </c>
      <c r="AT28" s="115"/>
      <c r="AU28" s="75"/>
      <c r="AV28" s="75">
        <v>0.27645252697001316</v>
      </c>
      <c r="AW28" s="75"/>
      <c r="AX28" s="75"/>
      <c r="AY28" s="118"/>
      <c r="AZ28" s="115"/>
      <c r="BA28" s="75">
        <v>0</v>
      </c>
      <c r="BB28" s="75">
        <v>0.23686721257180751</v>
      </c>
      <c r="BC28" s="75"/>
      <c r="BD28" s="75">
        <f t="shared" si="20"/>
        <v>0.23686721257180751</v>
      </c>
      <c r="BE28" s="118">
        <f t="shared" si="21"/>
        <v>-0.23686721257180751</v>
      </c>
      <c r="BF28" s="115">
        <v>0</v>
      </c>
      <c r="BG28" s="75">
        <v>0</v>
      </c>
      <c r="BH28" s="75">
        <v>0.73364550385383942</v>
      </c>
      <c r="BI28" s="75"/>
      <c r="BJ28" s="75">
        <f t="shared" si="23"/>
        <v>0.73364550385383942</v>
      </c>
      <c r="BK28" s="118">
        <f t="shared" si="24"/>
        <v>-0.73364550385383942</v>
      </c>
      <c r="BL28" s="115">
        <v>0</v>
      </c>
      <c r="BM28" s="75">
        <v>0</v>
      </c>
      <c r="BN28" s="75">
        <v>6.3090966302420046E-2</v>
      </c>
      <c r="BO28" s="75"/>
      <c r="BP28" s="75">
        <f t="shared" si="26"/>
        <v>6.3090966302420046E-2</v>
      </c>
      <c r="BQ28" s="118">
        <f t="shared" si="27"/>
        <v>-6.3090966302420046E-2</v>
      </c>
      <c r="BR28" s="115">
        <v>0</v>
      </c>
      <c r="BS28" s="75">
        <v>0</v>
      </c>
      <c r="BT28" s="75">
        <v>0.13234905714285716</v>
      </c>
      <c r="BU28" s="75"/>
      <c r="BV28" s="75">
        <f t="shared" si="29"/>
        <v>0.13234905714285716</v>
      </c>
      <c r="BW28" s="118">
        <f t="shared" si="30"/>
        <v>-0.13234905714285716</v>
      </c>
      <c r="BX28" s="115">
        <v>0</v>
      </c>
      <c r="BY28" s="75">
        <v>0</v>
      </c>
      <c r="BZ28" s="75">
        <v>0.112970275</v>
      </c>
      <c r="CA28" s="75"/>
      <c r="CB28" s="75">
        <f t="shared" si="32"/>
        <v>0.112970275</v>
      </c>
      <c r="CC28" s="118">
        <f t="shared" si="33"/>
        <v>-0.112970275</v>
      </c>
      <c r="CE28" s="50">
        <f t="shared" si="34"/>
        <v>0</v>
      </c>
    </row>
    <row r="29" spans="2:83" s="134" customFormat="1" x14ac:dyDescent="0.25">
      <c r="B29" s="162" t="s">
        <v>18</v>
      </c>
      <c r="C29" s="178">
        <v>0.59689445109634498</v>
      </c>
      <c r="D29" s="115">
        <v>0</v>
      </c>
      <c r="E29" s="75"/>
      <c r="F29" s="75">
        <v>4.5397013884568562E-3</v>
      </c>
      <c r="G29" s="94">
        <f t="shared" si="0"/>
        <v>0</v>
      </c>
      <c r="H29" s="75"/>
      <c r="I29" s="118"/>
      <c r="J29" s="87">
        <v>0</v>
      </c>
      <c r="K29" s="75"/>
      <c r="L29" s="75">
        <v>1.7970702677958341E-3</v>
      </c>
      <c r="M29" s="94">
        <f t="shared" si="2"/>
        <v>0</v>
      </c>
      <c r="N29" s="75"/>
      <c r="O29" s="118"/>
      <c r="P29" s="115">
        <v>0</v>
      </c>
      <c r="Q29" s="75">
        <v>0</v>
      </c>
      <c r="R29" s="75">
        <v>0</v>
      </c>
      <c r="S29" s="94">
        <f t="shared" si="5"/>
        <v>0</v>
      </c>
      <c r="T29" s="75"/>
      <c r="U29" s="118"/>
      <c r="V29" s="115">
        <v>0</v>
      </c>
      <c r="W29" s="75">
        <v>0</v>
      </c>
      <c r="X29" s="75">
        <v>9.2237744475488943E-3</v>
      </c>
      <c r="Y29" s="94">
        <f t="shared" si="8"/>
        <v>0</v>
      </c>
      <c r="Z29" s="75"/>
      <c r="AA29" s="118"/>
      <c r="AB29" s="115"/>
      <c r="AC29" s="75"/>
      <c r="AD29" s="75">
        <v>0</v>
      </c>
      <c r="AE29" s="75"/>
      <c r="AF29" s="75"/>
      <c r="AG29" s="99"/>
      <c r="AH29" s="115"/>
      <c r="AI29" s="75"/>
      <c r="AJ29" s="75">
        <v>0</v>
      </c>
      <c r="AK29" s="75"/>
      <c r="AL29" s="75">
        <f t="shared" si="13"/>
        <v>0</v>
      </c>
      <c r="AM29" s="118">
        <f t="shared" si="14"/>
        <v>0</v>
      </c>
      <c r="AN29" s="87"/>
      <c r="AO29" s="185">
        <v>0</v>
      </c>
      <c r="AP29" s="185">
        <v>4.7016976556184314E-3</v>
      </c>
      <c r="AQ29" s="75"/>
      <c r="AR29" s="75">
        <f t="shared" si="16"/>
        <v>4.7016976556184314E-3</v>
      </c>
      <c r="AS29" s="118">
        <f t="shared" si="17"/>
        <v>-4.7016976556184314E-3</v>
      </c>
      <c r="AT29" s="115"/>
      <c r="AU29" s="75"/>
      <c r="AV29" s="75"/>
      <c r="AW29" s="75"/>
      <c r="AX29" s="75"/>
      <c r="AY29" s="118"/>
      <c r="AZ29" s="115"/>
      <c r="BA29" s="75">
        <v>0</v>
      </c>
      <c r="BB29" s="75">
        <v>0</v>
      </c>
      <c r="BC29" s="75"/>
      <c r="BD29" s="75">
        <f t="shared" si="20"/>
        <v>0</v>
      </c>
      <c r="BE29" s="118">
        <f t="shared" si="21"/>
        <v>0</v>
      </c>
      <c r="BF29" s="115">
        <v>0</v>
      </c>
      <c r="BG29" s="75">
        <v>0</v>
      </c>
      <c r="BH29" s="75">
        <v>1.1372252355124181E-3</v>
      </c>
      <c r="BI29" s="75"/>
      <c r="BJ29" s="75">
        <f t="shared" si="23"/>
        <v>1.1372252355124181E-3</v>
      </c>
      <c r="BK29" s="118">
        <f t="shared" si="24"/>
        <v>-1.1372252355124181E-3</v>
      </c>
      <c r="BL29" s="115">
        <v>0</v>
      </c>
      <c r="BM29" s="75">
        <v>0</v>
      </c>
      <c r="BN29" s="75">
        <v>0</v>
      </c>
      <c r="BO29" s="75"/>
      <c r="BP29" s="75">
        <f t="shared" si="26"/>
        <v>0</v>
      </c>
      <c r="BQ29" s="118">
        <f t="shared" si="27"/>
        <v>0</v>
      </c>
      <c r="BR29" s="115">
        <v>0</v>
      </c>
      <c r="BS29" s="75">
        <v>0</v>
      </c>
      <c r="BT29" s="75">
        <v>5.7202285714285719E-3</v>
      </c>
      <c r="BU29" s="75"/>
      <c r="BV29" s="75">
        <f t="shared" si="29"/>
        <v>5.7202285714285719E-3</v>
      </c>
      <c r="BW29" s="118">
        <f t="shared" si="30"/>
        <v>-5.7202285714285719E-3</v>
      </c>
      <c r="BX29" s="115">
        <v>0</v>
      </c>
      <c r="BY29" s="75">
        <v>0</v>
      </c>
      <c r="BZ29" s="75">
        <v>1.0445949999999999E-2</v>
      </c>
      <c r="CA29" s="75"/>
      <c r="CB29" s="75">
        <f t="shared" si="32"/>
        <v>1.0445949999999999E-2</v>
      </c>
      <c r="CC29" s="118">
        <f t="shared" si="33"/>
        <v>-1.0445949999999999E-2</v>
      </c>
      <c r="CE29" s="50">
        <f t="shared" si="34"/>
        <v>0</v>
      </c>
    </row>
    <row r="30" spans="2:83" s="134" customFormat="1" x14ac:dyDescent="0.25">
      <c r="B30" s="162" t="s">
        <v>19</v>
      </c>
      <c r="C30" s="178">
        <v>0.61725167625215316</v>
      </c>
      <c r="D30" s="115">
        <v>0</v>
      </c>
      <c r="E30" s="75"/>
      <c r="F30" s="75">
        <v>5.9016118049939122E-2</v>
      </c>
      <c r="G30" s="94">
        <f t="shared" si="0"/>
        <v>0</v>
      </c>
      <c r="H30" s="75"/>
      <c r="I30" s="118"/>
      <c r="J30" s="87">
        <v>0</v>
      </c>
      <c r="K30" s="75"/>
      <c r="L30" s="75">
        <v>3.1931388761730378E-2</v>
      </c>
      <c r="M30" s="94">
        <f t="shared" si="2"/>
        <v>0</v>
      </c>
      <c r="N30" s="75"/>
      <c r="O30" s="118"/>
      <c r="P30" s="115">
        <v>0</v>
      </c>
      <c r="Q30" s="75">
        <v>0</v>
      </c>
      <c r="R30" s="75">
        <v>5.5425126213359099E-2</v>
      </c>
      <c r="S30" s="94">
        <f t="shared" si="5"/>
        <v>0</v>
      </c>
      <c r="T30" s="75"/>
      <c r="U30" s="118"/>
      <c r="V30" s="115">
        <v>0</v>
      </c>
      <c r="W30" s="75">
        <v>0</v>
      </c>
      <c r="X30" s="75">
        <v>6.8177927355854706E-2</v>
      </c>
      <c r="Y30" s="94">
        <f t="shared" si="8"/>
        <v>0</v>
      </c>
      <c r="Z30" s="75"/>
      <c r="AA30" s="118"/>
      <c r="AB30" s="115"/>
      <c r="AC30" s="75"/>
      <c r="AD30" s="75">
        <v>0</v>
      </c>
      <c r="AE30" s="75"/>
      <c r="AF30" s="75"/>
      <c r="AG30" s="99"/>
      <c r="AH30" s="115"/>
      <c r="AI30" s="75"/>
      <c r="AJ30" s="75">
        <v>0</v>
      </c>
      <c r="AK30" s="75"/>
      <c r="AL30" s="75">
        <f t="shared" si="13"/>
        <v>0</v>
      </c>
      <c r="AM30" s="118">
        <f t="shared" si="14"/>
        <v>0</v>
      </c>
      <c r="AN30" s="87"/>
      <c r="AO30" s="185">
        <v>0</v>
      </c>
      <c r="AP30" s="185">
        <v>5.1426030719482624E-3</v>
      </c>
      <c r="AQ30" s="75"/>
      <c r="AR30" s="75">
        <f t="shared" si="16"/>
        <v>5.1426030719482624E-3</v>
      </c>
      <c r="AS30" s="118">
        <f t="shared" si="17"/>
        <v>-5.1426030719482624E-3</v>
      </c>
      <c r="AT30" s="115"/>
      <c r="AU30" s="75"/>
      <c r="AV30" s="75"/>
      <c r="AW30" s="75"/>
      <c r="AX30" s="75"/>
      <c r="AY30" s="118"/>
      <c r="AZ30" s="115"/>
      <c r="BA30" s="75">
        <v>0</v>
      </c>
      <c r="BB30" s="75">
        <v>0</v>
      </c>
      <c r="BC30" s="75"/>
      <c r="BD30" s="75">
        <f t="shared" si="20"/>
        <v>0</v>
      </c>
      <c r="BE30" s="118">
        <f t="shared" si="21"/>
        <v>0</v>
      </c>
      <c r="BF30" s="115">
        <v>0</v>
      </c>
      <c r="BG30" s="75">
        <v>0</v>
      </c>
      <c r="BH30" s="75">
        <v>1.8412218098772478E-3</v>
      </c>
      <c r="BI30" s="75"/>
      <c r="BJ30" s="75">
        <f t="shared" si="23"/>
        <v>1.8412218098772478E-3</v>
      </c>
      <c r="BK30" s="118">
        <f t="shared" si="24"/>
        <v>-1.8412218098772478E-3</v>
      </c>
      <c r="BL30" s="115">
        <v>0</v>
      </c>
      <c r="BM30" s="75">
        <v>0</v>
      </c>
      <c r="BN30" s="75">
        <v>3.361004634132388E-3</v>
      </c>
      <c r="BO30" s="75"/>
      <c r="BP30" s="75">
        <f t="shared" si="26"/>
        <v>3.361004634132388E-3</v>
      </c>
      <c r="BQ30" s="118">
        <f t="shared" si="27"/>
        <v>-3.361004634132388E-3</v>
      </c>
      <c r="BR30" s="115">
        <v>0</v>
      </c>
      <c r="BS30" s="75">
        <v>0</v>
      </c>
      <c r="BT30" s="75">
        <v>2.4070200000000003E-2</v>
      </c>
      <c r="BU30" s="75"/>
      <c r="BV30" s="75">
        <f t="shared" si="29"/>
        <v>2.4070200000000003E-2</v>
      </c>
      <c r="BW30" s="118">
        <f t="shared" si="30"/>
        <v>-2.4070200000000003E-2</v>
      </c>
      <c r="BX30" s="115">
        <v>0</v>
      </c>
      <c r="BY30" s="75">
        <v>0</v>
      </c>
      <c r="BZ30" s="75">
        <v>3.6648799999999995E-2</v>
      </c>
      <c r="CA30" s="75"/>
      <c r="CB30" s="75">
        <f t="shared" si="32"/>
        <v>3.6648799999999995E-2</v>
      </c>
      <c r="CC30" s="118">
        <f t="shared" si="33"/>
        <v>-3.6648799999999995E-2</v>
      </c>
      <c r="CE30" s="50">
        <f t="shared" si="34"/>
        <v>0</v>
      </c>
    </row>
    <row r="31" spans="2:83" s="134" customFormat="1" x14ac:dyDescent="0.25">
      <c r="B31" s="162" t="s">
        <v>20</v>
      </c>
      <c r="C31" s="178">
        <v>0.63309952839117145</v>
      </c>
      <c r="D31" s="115">
        <v>0</v>
      </c>
      <c r="E31" s="75"/>
      <c r="F31" s="75">
        <v>0.23448858067822953</v>
      </c>
      <c r="G31" s="94">
        <f t="shared" si="0"/>
        <v>0</v>
      </c>
      <c r="H31" s="75"/>
      <c r="I31" s="118"/>
      <c r="J31" s="87">
        <v>0</v>
      </c>
      <c r="K31" s="75"/>
      <c r="L31" s="75">
        <v>0.13629781295300222</v>
      </c>
      <c r="M31" s="94">
        <f t="shared" si="2"/>
        <v>0</v>
      </c>
      <c r="N31" s="75"/>
      <c r="O31" s="118"/>
      <c r="P31" s="115">
        <v>0</v>
      </c>
      <c r="Q31" s="75">
        <v>0</v>
      </c>
      <c r="R31" s="75">
        <v>0.18630748155574101</v>
      </c>
      <c r="S31" s="94">
        <f t="shared" si="5"/>
        <v>0</v>
      </c>
      <c r="T31" s="75"/>
      <c r="U31" s="118"/>
      <c r="V31" s="115">
        <v>0</v>
      </c>
      <c r="W31" s="75">
        <v>0</v>
      </c>
      <c r="X31" s="75">
        <v>0.37022392684785371</v>
      </c>
      <c r="Y31" s="94">
        <f t="shared" si="8"/>
        <v>0</v>
      </c>
      <c r="Z31" s="75"/>
      <c r="AA31" s="118"/>
      <c r="AB31" s="115"/>
      <c r="AC31" s="75"/>
      <c r="AD31" s="75">
        <v>0</v>
      </c>
      <c r="AE31" s="75"/>
      <c r="AF31" s="75"/>
      <c r="AG31" s="99"/>
      <c r="AH31" s="115"/>
      <c r="AI31" s="75"/>
      <c r="AJ31" s="75">
        <v>0</v>
      </c>
      <c r="AK31" s="75"/>
      <c r="AL31" s="75">
        <f t="shared" si="13"/>
        <v>0</v>
      </c>
      <c r="AM31" s="118">
        <f t="shared" si="14"/>
        <v>0</v>
      </c>
      <c r="AN31" s="87"/>
      <c r="AO31" s="185">
        <v>0</v>
      </c>
      <c r="AP31" s="185">
        <v>0</v>
      </c>
      <c r="AQ31" s="75"/>
      <c r="AR31" s="75">
        <f t="shared" si="16"/>
        <v>0</v>
      </c>
      <c r="AS31" s="118">
        <f t="shared" si="17"/>
        <v>0</v>
      </c>
      <c r="AT31" s="115"/>
      <c r="AU31" s="75"/>
      <c r="AV31" s="75"/>
      <c r="AW31" s="75"/>
      <c r="AX31" s="75"/>
      <c r="AY31" s="118"/>
      <c r="AZ31" s="115"/>
      <c r="BA31" s="75">
        <v>0</v>
      </c>
      <c r="BB31" s="75">
        <v>0</v>
      </c>
      <c r="BC31" s="75"/>
      <c r="BD31" s="75">
        <f t="shared" si="20"/>
        <v>0</v>
      </c>
      <c r="BE31" s="118">
        <f t="shared" si="21"/>
        <v>0</v>
      </c>
      <c r="BF31" s="115">
        <v>0</v>
      </c>
      <c r="BG31" s="75">
        <v>0</v>
      </c>
      <c r="BH31" s="75">
        <v>1.6685498144447617E-2</v>
      </c>
      <c r="BI31" s="75"/>
      <c r="BJ31" s="75">
        <f t="shared" si="23"/>
        <v>1.6685498144447617E-2</v>
      </c>
      <c r="BK31" s="118">
        <f t="shared" si="24"/>
        <v>-1.6685498144447617E-2</v>
      </c>
      <c r="BL31" s="115">
        <v>0</v>
      </c>
      <c r="BM31" s="75">
        <v>0</v>
      </c>
      <c r="BN31" s="75">
        <v>2.4783397219520567E-2</v>
      </c>
      <c r="BO31" s="75"/>
      <c r="BP31" s="75">
        <f t="shared" si="26"/>
        <v>2.4783397219520567E-2</v>
      </c>
      <c r="BQ31" s="118">
        <f t="shared" si="27"/>
        <v>-2.4783397219520567E-2</v>
      </c>
      <c r="BR31" s="115">
        <v>0</v>
      </c>
      <c r="BS31" s="75">
        <v>0</v>
      </c>
      <c r="BT31" s="75">
        <v>1.8342885714285717E-2</v>
      </c>
      <c r="BU31" s="75"/>
      <c r="BV31" s="75">
        <f t="shared" si="29"/>
        <v>1.8342885714285717E-2</v>
      </c>
      <c r="BW31" s="118">
        <f t="shared" si="30"/>
        <v>-1.8342885714285717E-2</v>
      </c>
      <c r="BX31" s="115">
        <v>0</v>
      </c>
      <c r="BY31" s="75">
        <v>0</v>
      </c>
      <c r="BZ31" s="75">
        <v>2.5486000000000005E-2</v>
      </c>
      <c r="CA31" s="75"/>
      <c r="CB31" s="75">
        <f t="shared" si="32"/>
        <v>2.5486000000000005E-2</v>
      </c>
      <c r="CC31" s="118">
        <f t="shared" si="33"/>
        <v>-2.5486000000000005E-2</v>
      </c>
      <c r="CE31" s="50">
        <f t="shared" si="34"/>
        <v>0</v>
      </c>
    </row>
    <row r="32" spans="2:83" s="134" customFormat="1" x14ac:dyDescent="0.25">
      <c r="B32" s="160" t="s">
        <v>21</v>
      </c>
      <c r="C32" s="177">
        <v>0.64577856301342795</v>
      </c>
      <c r="D32" s="116">
        <v>185.71428571428572</v>
      </c>
      <c r="E32" s="94">
        <v>1.8677053193857109</v>
      </c>
      <c r="F32" s="94">
        <v>154.98105964110715</v>
      </c>
      <c r="G32" s="94">
        <f t="shared" si="0"/>
        <v>183.8465803949</v>
      </c>
      <c r="H32" s="94">
        <v>156.84876496049287</v>
      </c>
      <c r="I32" s="117">
        <f t="shared" ref="I32" si="35">G32-F32</f>
        <v>28.86552075379285</v>
      </c>
      <c r="J32" s="95">
        <v>185.71428571428572</v>
      </c>
      <c r="K32" s="94">
        <v>3.7</v>
      </c>
      <c r="L32" s="94">
        <v>104.46300406986727</v>
      </c>
      <c r="M32" s="94">
        <f t="shared" si="2"/>
        <v>182.01428571428573</v>
      </c>
      <c r="N32" s="94">
        <f>K32+L32</f>
        <v>108.16300406986727</v>
      </c>
      <c r="O32" s="117">
        <f t="shared" ref="O32" si="36">M32-L32</f>
        <v>77.551281644418466</v>
      </c>
      <c r="P32" s="116">
        <v>185.71428571428572</v>
      </c>
      <c r="Q32" s="94">
        <v>3.1222940226171243</v>
      </c>
      <c r="R32" s="94">
        <v>150.68906717071968</v>
      </c>
      <c r="S32" s="94">
        <f t="shared" si="5"/>
        <v>182.5919916916686</v>
      </c>
      <c r="T32" s="94">
        <f>Q32+R32</f>
        <v>153.81136119333681</v>
      </c>
      <c r="U32" s="117">
        <f t="shared" ref="U32" si="37">S32-R32</f>
        <v>31.902924520948915</v>
      </c>
      <c r="V32" s="116">
        <v>185.71428571428572</v>
      </c>
      <c r="W32" s="94">
        <v>5.340600043168573</v>
      </c>
      <c r="X32" s="94">
        <v>169.48989585979169</v>
      </c>
      <c r="Y32" s="94">
        <f t="shared" si="8"/>
        <v>180.37368567111716</v>
      </c>
      <c r="Z32" s="94">
        <f>W32+X32</f>
        <v>174.83049590296025</v>
      </c>
      <c r="AA32" s="117">
        <f t="shared" ref="AA32" si="38">Y32-X32</f>
        <v>10.883789811325471</v>
      </c>
      <c r="AB32" s="116">
        <v>46</v>
      </c>
      <c r="AC32" s="94">
        <v>60.075431493714042</v>
      </c>
      <c r="AD32" s="94">
        <v>0.41051146549648138</v>
      </c>
      <c r="AE32" s="94">
        <v>-14.333333333333336</v>
      </c>
      <c r="AF32" s="94">
        <v>60.727809559485905</v>
      </c>
      <c r="AG32" s="97">
        <f t="shared" ref="AG32" si="39">AE32-AD32</f>
        <v>-14.743844798829818</v>
      </c>
      <c r="AH32" s="116">
        <v>46</v>
      </c>
      <c r="AI32" s="94">
        <v>110</v>
      </c>
      <c r="AJ32" s="94">
        <v>0.33480018928849797</v>
      </c>
      <c r="AK32" s="94">
        <f t="shared" si="12"/>
        <v>-64</v>
      </c>
      <c r="AL32" s="94">
        <f t="shared" si="13"/>
        <v>110.3348001892885</v>
      </c>
      <c r="AM32" s="117">
        <f t="shared" si="14"/>
        <v>-64.334800189288501</v>
      </c>
      <c r="AN32" s="95">
        <v>46</v>
      </c>
      <c r="AO32" s="184">
        <v>95.199999999999989</v>
      </c>
      <c r="AP32" s="184">
        <v>0.16685858259229322</v>
      </c>
      <c r="AQ32" s="94">
        <f t="shared" ref="AQ32" si="40">AN32-AO32</f>
        <v>-49.199999999999989</v>
      </c>
      <c r="AR32" s="94">
        <f t="shared" si="16"/>
        <v>95.366858582592286</v>
      </c>
      <c r="AS32" s="117">
        <f t="shared" si="17"/>
        <v>-49.366858582592279</v>
      </c>
      <c r="AT32" s="116">
        <v>110</v>
      </c>
      <c r="AU32" s="94">
        <v>78.323999124917961</v>
      </c>
      <c r="AV32" s="94">
        <v>2.0657128442921509</v>
      </c>
      <c r="AW32" s="94">
        <v>31.666666666666671</v>
      </c>
      <c r="AX32" s="94">
        <v>80.277417405595926</v>
      </c>
      <c r="AY32" s="117">
        <f t="shared" ref="AY32" si="41">AW32-AV32</f>
        <v>29.600953822374521</v>
      </c>
      <c r="AZ32" s="116">
        <v>110</v>
      </c>
      <c r="BA32" s="94">
        <v>0</v>
      </c>
      <c r="BB32" s="94">
        <v>3.3908465501920606</v>
      </c>
      <c r="BC32" s="94">
        <f t="shared" ref="BC32" si="42">AZ32-BA32</f>
        <v>110</v>
      </c>
      <c r="BD32" s="94">
        <f t="shared" si="20"/>
        <v>3.3908465501920606</v>
      </c>
      <c r="BE32" s="117">
        <f t="shared" si="21"/>
        <v>106.60915344980793</v>
      </c>
      <c r="BF32" s="116">
        <v>37</v>
      </c>
      <c r="BG32" s="94">
        <v>57.300000000000004</v>
      </c>
      <c r="BH32" s="94">
        <v>20.607011133314302</v>
      </c>
      <c r="BI32" s="94">
        <f t="shared" ref="BI32" si="43">BF32-BG32</f>
        <v>-20.300000000000004</v>
      </c>
      <c r="BJ32" s="94">
        <f t="shared" si="23"/>
        <v>77.907011133314313</v>
      </c>
      <c r="BK32" s="117">
        <f t="shared" si="24"/>
        <v>-40.907011133314306</v>
      </c>
      <c r="BL32" s="116">
        <v>37</v>
      </c>
      <c r="BM32" s="94">
        <v>72.5</v>
      </c>
      <c r="BN32" s="94">
        <v>25.192013273070543</v>
      </c>
      <c r="BO32" s="94">
        <f t="shared" ref="BO32" si="44">BL32-BM32</f>
        <v>-35.5</v>
      </c>
      <c r="BP32" s="94">
        <f t="shared" si="26"/>
        <v>97.692013273070543</v>
      </c>
      <c r="BQ32" s="117">
        <f t="shared" si="27"/>
        <v>-60.692013273070543</v>
      </c>
      <c r="BR32" s="116">
        <v>7.7</v>
      </c>
      <c r="BS32" s="94">
        <v>4.9000000000000004</v>
      </c>
      <c r="BT32" s="94">
        <v>6.9533942857142863</v>
      </c>
      <c r="BU32" s="94">
        <f t="shared" ref="BU32" si="45">BR32-BS32</f>
        <v>2.8</v>
      </c>
      <c r="BV32" s="94">
        <f t="shared" si="29"/>
        <v>11.853394285714288</v>
      </c>
      <c r="BW32" s="117">
        <f t="shared" si="30"/>
        <v>-4.1533942857142865</v>
      </c>
      <c r="BX32" s="116">
        <v>7.7</v>
      </c>
      <c r="BY32" s="94">
        <v>5.2</v>
      </c>
      <c r="BZ32" s="94">
        <v>7.0217152500000006</v>
      </c>
      <c r="CA32" s="94">
        <f t="shared" ref="CA32" si="46">BX32-BY32</f>
        <v>2.5</v>
      </c>
      <c r="CB32" s="94">
        <f t="shared" si="32"/>
        <v>12.221715250000001</v>
      </c>
      <c r="CC32" s="117">
        <f t="shared" si="33"/>
        <v>-4.5217152500000006</v>
      </c>
      <c r="CE32" s="50">
        <f t="shared" si="34"/>
        <v>7.5999999999999543</v>
      </c>
    </row>
    <row r="33" spans="2:83" s="134" customFormat="1" x14ac:dyDescent="0.25">
      <c r="B33" s="162" t="s">
        <v>22</v>
      </c>
      <c r="C33" s="178">
        <v>0.65615281644619317</v>
      </c>
      <c r="D33" s="115">
        <v>0</v>
      </c>
      <c r="E33" s="75"/>
      <c r="F33" s="75">
        <v>0.17169658874916319</v>
      </c>
      <c r="G33" s="94">
        <f t="shared" si="0"/>
        <v>0</v>
      </c>
      <c r="H33" s="75"/>
      <c r="I33" s="118"/>
      <c r="J33" s="87">
        <v>0</v>
      </c>
      <c r="K33" s="75"/>
      <c r="L33" s="75">
        <v>8.1081209992751965E-2</v>
      </c>
      <c r="M33" s="94">
        <f t="shared" si="2"/>
        <v>0</v>
      </c>
      <c r="N33" s="75"/>
      <c r="O33" s="118"/>
      <c r="P33" s="115">
        <v>0</v>
      </c>
      <c r="Q33" s="75">
        <v>0</v>
      </c>
      <c r="R33" s="75">
        <v>9.801418674174435E-2</v>
      </c>
      <c r="S33" s="94">
        <f t="shared" si="5"/>
        <v>0</v>
      </c>
      <c r="T33" s="75"/>
      <c r="U33" s="118"/>
      <c r="V33" s="115">
        <v>0</v>
      </c>
      <c r="W33" s="75">
        <v>0</v>
      </c>
      <c r="X33" s="75">
        <v>4.4713995427990851E-2</v>
      </c>
      <c r="Y33" s="94">
        <f t="shared" si="8"/>
        <v>0</v>
      </c>
      <c r="Z33" s="75"/>
      <c r="AA33" s="118"/>
      <c r="AB33" s="115"/>
      <c r="AC33" s="75"/>
      <c r="AD33" s="75">
        <v>0</v>
      </c>
      <c r="AE33" s="75"/>
      <c r="AF33" s="75"/>
      <c r="AG33" s="99"/>
      <c r="AH33" s="115"/>
      <c r="AI33" s="75"/>
      <c r="AJ33" s="75">
        <v>0</v>
      </c>
      <c r="AK33" s="75"/>
      <c r="AL33" s="75">
        <f t="shared" si="13"/>
        <v>0</v>
      </c>
      <c r="AM33" s="118">
        <f t="shared" si="14"/>
        <v>0</v>
      </c>
      <c r="AN33" s="87"/>
      <c r="AO33" s="185">
        <v>0</v>
      </c>
      <c r="AP33" s="185">
        <v>0</v>
      </c>
      <c r="AQ33" s="75"/>
      <c r="AR33" s="75">
        <f t="shared" si="16"/>
        <v>0</v>
      </c>
      <c r="AS33" s="118">
        <f t="shared" si="17"/>
        <v>0</v>
      </c>
      <c r="AT33" s="115"/>
      <c r="AU33" s="75"/>
      <c r="AV33" s="75"/>
      <c r="AW33" s="75"/>
      <c r="AX33" s="75"/>
      <c r="AY33" s="118"/>
      <c r="AZ33" s="115"/>
      <c r="BA33" s="75">
        <v>0</v>
      </c>
      <c r="BB33" s="75">
        <v>0</v>
      </c>
      <c r="BC33" s="75"/>
      <c r="BD33" s="75">
        <f t="shared" si="20"/>
        <v>0</v>
      </c>
      <c r="BE33" s="118">
        <f t="shared" si="21"/>
        <v>0</v>
      </c>
      <c r="BF33" s="115">
        <v>0</v>
      </c>
      <c r="BG33" s="75">
        <v>0</v>
      </c>
      <c r="BH33" s="75">
        <v>5.7399942906080498E-3</v>
      </c>
      <c r="BI33" s="75"/>
      <c r="BJ33" s="75">
        <f t="shared" si="23"/>
        <v>5.7399942906080498E-3</v>
      </c>
      <c r="BK33" s="118">
        <f t="shared" si="24"/>
        <v>-5.7399942906080498E-3</v>
      </c>
      <c r="BL33" s="115">
        <v>0</v>
      </c>
      <c r="BM33" s="75">
        <v>0</v>
      </c>
      <c r="BN33" s="75">
        <v>8.7154013387493578E-3</v>
      </c>
      <c r="BO33" s="75"/>
      <c r="BP33" s="75">
        <f t="shared" si="26"/>
        <v>8.7154013387493578E-3</v>
      </c>
      <c r="BQ33" s="118">
        <f t="shared" si="27"/>
        <v>-8.7154013387493578E-3</v>
      </c>
      <c r="BR33" s="115">
        <v>0</v>
      </c>
      <c r="BS33" s="75">
        <v>0</v>
      </c>
      <c r="BT33" s="75">
        <v>0</v>
      </c>
      <c r="BU33" s="75"/>
      <c r="BV33" s="75">
        <f t="shared" si="29"/>
        <v>0</v>
      </c>
      <c r="BW33" s="118">
        <f t="shared" si="30"/>
        <v>0</v>
      </c>
      <c r="BX33" s="115">
        <v>0</v>
      </c>
      <c r="BY33" s="75">
        <v>0</v>
      </c>
      <c r="BZ33" s="75">
        <v>0</v>
      </c>
      <c r="CA33" s="75"/>
      <c r="CB33" s="75">
        <f t="shared" si="32"/>
        <v>0</v>
      </c>
      <c r="CC33" s="118">
        <f t="shared" si="33"/>
        <v>0</v>
      </c>
      <c r="CE33" s="50">
        <f t="shared" si="34"/>
        <v>0</v>
      </c>
    </row>
    <row r="34" spans="2:83" s="134" customFormat="1" x14ac:dyDescent="0.25">
      <c r="B34" s="162" t="s">
        <v>23</v>
      </c>
      <c r="C34" s="178">
        <v>0.66476513824571515</v>
      </c>
      <c r="D34" s="115">
        <v>0</v>
      </c>
      <c r="E34" s="75"/>
      <c r="F34" s="75">
        <v>0</v>
      </c>
      <c r="G34" s="94">
        <f t="shared" si="0"/>
        <v>0</v>
      </c>
      <c r="H34" s="75"/>
      <c r="I34" s="118"/>
      <c r="J34" s="87">
        <v>0</v>
      </c>
      <c r="K34" s="75"/>
      <c r="L34" s="75">
        <v>8.9853513389791706E-4</v>
      </c>
      <c r="M34" s="94">
        <f t="shared" si="2"/>
        <v>0</v>
      </c>
      <c r="N34" s="75"/>
      <c r="O34" s="118"/>
      <c r="P34" s="115">
        <v>0</v>
      </c>
      <c r="Q34" s="75">
        <v>0</v>
      </c>
      <c r="R34" s="75">
        <v>1.4469564721490186E-3</v>
      </c>
      <c r="S34" s="94">
        <f t="shared" si="5"/>
        <v>0</v>
      </c>
      <c r="T34" s="75"/>
      <c r="U34" s="118"/>
      <c r="V34" s="115">
        <v>0</v>
      </c>
      <c r="W34" s="75">
        <v>0</v>
      </c>
      <c r="X34" s="75">
        <v>0</v>
      </c>
      <c r="Y34" s="94">
        <f t="shared" si="8"/>
        <v>0</v>
      </c>
      <c r="Z34" s="75"/>
      <c r="AA34" s="118"/>
      <c r="AB34" s="115"/>
      <c r="AC34" s="75"/>
      <c r="AD34" s="75">
        <v>0</v>
      </c>
      <c r="AE34" s="75"/>
      <c r="AF34" s="75"/>
      <c r="AG34" s="99"/>
      <c r="AH34" s="115"/>
      <c r="AI34" s="75"/>
      <c r="AJ34" s="75">
        <v>0</v>
      </c>
      <c r="AK34" s="75"/>
      <c r="AL34" s="75">
        <f t="shared" si="13"/>
        <v>0</v>
      </c>
      <c r="AM34" s="118">
        <f t="shared" si="14"/>
        <v>0</v>
      </c>
      <c r="AN34" s="87"/>
      <c r="AO34" s="185">
        <v>0</v>
      </c>
      <c r="AP34" s="185">
        <v>0</v>
      </c>
      <c r="AQ34" s="75"/>
      <c r="AR34" s="75">
        <f t="shared" si="16"/>
        <v>0</v>
      </c>
      <c r="AS34" s="118">
        <f t="shared" si="17"/>
        <v>0</v>
      </c>
      <c r="AT34" s="115"/>
      <c r="AU34" s="75"/>
      <c r="AV34" s="75"/>
      <c r="AW34" s="75"/>
      <c r="AX34" s="75"/>
      <c r="AY34" s="118"/>
      <c r="AZ34" s="115"/>
      <c r="BA34" s="75">
        <v>0</v>
      </c>
      <c r="BB34" s="75">
        <v>0</v>
      </c>
      <c r="BC34" s="75"/>
      <c r="BD34" s="75">
        <f t="shared" si="20"/>
        <v>0</v>
      </c>
      <c r="BE34" s="118">
        <f t="shared" si="21"/>
        <v>0</v>
      </c>
      <c r="BF34" s="115">
        <v>0</v>
      </c>
      <c r="BG34" s="75">
        <v>0</v>
      </c>
      <c r="BH34" s="75">
        <v>0</v>
      </c>
      <c r="BI34" s="75"/>
      <c r="BJ34" s="75">
        <f t="shared" si="23"/>
        <v>0</v>
      </c>
      <c r="BK34" s="118">
        <f t="shared" si="24"/>
        <v>0</v>
      </c>
      <c r="BL34" s="115">
        <v>0</v>
      </c>
      <c r="BM34" s="75">
        <v>0</v>
      </c>
      <c r="BN34" s="75">
        <v>0</v>
      </c>
      <c r="BO34" s="75"/>
      <c r="BP34" s="75">
        <f t="shared" si="26"/>
        <v>0</v>
      </c>
      <c r="BQ34" s="118">
        <f t="shared" si="27"/>
        <v>0</v>
      </c>
      <c r="BR34" s="115">
        <v>0</v>
      </c>
      <c r="BS34" s="75">
        <v>0</v>
      </c>
      <c r="BT34" s="75">
        <v>0</v>
      </c>
      <c r="BU34" s="75"/>
      <c r="BV34" s="75">
        <f t="shared" si="29"/>
        <v>0</v>
      </c>
      <c r="BW34" s="118">
        <f t="shared" si="30"/>
        <v>0</v>
      </c>
      <c r="BX34" s="115">
        <v>0</v>
      </c>
      <c r="BY34" s="75">
        <v>0</v>
      </c>
      <c r="BZ34" s="75">
        <v>0</v>
      </c>
      <c r="CA34" s="75"/>
      <c r="CB34" s="75">
        <f t="shared" si="32"/>
        <v>0</v>
      </c>
      <c r="CC34" s="118">
        <f t="shared" si="33"/>
        <v>0</v>
      </c>
      <c r="CE34" s="50">
        <f t="shared" si="34"/>
        <v>0</v>
      </c>
    </row>
    <row r="35" spans="2:83" s="134" customFormat="1" x14ac:dyDescent="0.25">
      <c r="B35" s="162" t="s">
        <v>24</v>
      </c>
      <c r="C35" s="178">
        <v>0.52104163225703037</v>
      </c>
      <c r="D35" s="115">
        <v>0</v>
      </c>
      <c r="E35" s="75"/>
      <c r="F35" s="75">
        <v>3.8718496013281935E-3</v>
      </c>
      <c r="G35" s="94">
        <f t="shared" si="0"/>
        <v>0</v>
      </c>
      <c r="H35" s="75"/>
      <c r="I35" s="118"/>
      <c r="J35" s="87">
        <v>0</v>
      </c>
      <c r="K35" s="75"/>
      <c r="L35" s="75">
        <v>1.5376283665217058E-2</v>
      </c>
      <c r="M35" s="94">
        <f t="shared" si="2"/>
        <v>0</v>
      </c>
      <c r="N35" s="75"/>
      <c r="O35" s="118"/>
      <c r="P35" s="115">
        <v>0</v>
      </c>
      <c r="Q35" s="75">
        <v>0</v>
      </c>
      <c r="R35" s="75">
        <v>0</v>
      </c>
      <c r="S35" s="94">
        <f t="shared" si="5"/>
        <v>0</v>
      </c>
      <c r="T35" s="75"/>
      <c r="U35" s="118"/>
      <c r="V35" s="115">
        <v>0</v>
      </c>
      <c r="W35" s="75">
        <v>0</v>
      </c>
      <c r="X35" s="75">
        <v>0</v>
      </c>
      <c r="Y35" s="94">
        <f t="shared" si="8"/>
        <v>0</v>
      </c>
      <c r="Z35" s="75"/>
      <c r="AA35" s="118"/>
      <c r="AB35" s="115"/>
      <c r="AC35" s="75"/>
      <c r="AD35" s="75">
        <v>0</v>
      </c>
      <c r="AE35" s="75"/>
      <c r="AF35" s="75"/>
      <c r="AG35" s="99"/>
      <c r="AH35" s="115"/>
      <c r="AI35" s="75"/>
      <c r="AJ35" s="75">
        <v>0</v>
      </c>
      <c r="AK35" s="75"/>
      <c r="AL35" s="75">
        <f t="shared" si="13"/>
        <v>0</v>
      </c>
      <c r="AM35" s="118">
        <f t="shared" si="14"/>
        <v>0</v>
      </c>
      <c r="AN35" s="87"/>
      <c r="AO35" s="185">
        <v>0</v>
      </c>
      <c r="AP35" s="185">
        <v>5.6812180005389378E-3</v>
      </c>
      <c r="AQ35" s="75"/>
      <c r="AR35" s="75">
        <f t="shared" si="16"/>
        <v>5.6812180005389378E-3</v>
      </c>
      <c r="AS35" s="118">
        <f t="shared" si="17"/>
        <v>-5.6812180005389378E-3</v>
      </c>
      <c r="AT35" s="115"/>
      <c r="AU35" s="75"/>
      <c r="AV35" s="75"/>
      <c r="AW35" s="75"/>
      <c r="AX35" s="75"/>
      <c r="AY35" s="118"/>
      <c r="AZ35" s="115"/>
      <c r="BA35" s="75">
        <v>0</v>
      </c>
      <c r="BB35" s="75">
        <v>0</v>
      </c>
      <c r="BC35" s="75"/>
      <c r="BD35" s="75">
        <f t="shared" si="20"/>
        <v>0</v>
      </c>
      <c r="BE35" s="118">
        <f t="shared" si="21"/>
        <v>0</v>
      </c>
      <c r="BF35" s="115">
        <v>0</v>
      </c>
      <c r="BG35" s="75">
        <v>0</v>
      </c>
      <c r="BH35" s="75">
        <v>0</v>
      </c>
      <c r="BI35" s="75"/>
      <c r="BJ35" s="75">
        <f t="shared" si="23"/>
        <v>0</v>
      </c>
      <c r="BK35" s="118">
        <f t="shared" si="24"/>
        <v>0</v>
      </c>
      <c r="BL35" s="115">
        <v>0</v>
      </c>
      <c r="BM35" s="75">
        <v>0</v>
      </c>
      <c r="BN35" s="75">
        <v>3.2378854625550652E-3</v>
      </c>
      <c r="BO35" s="75"/>
      <c r="BP35" s="75">
        <f t="shared" si="26"/>
        <v>3.2378854625550652E-3</v>
      </c>
      <c r="BQ35" s="118">
        <f t="shared" si="27"/>
        <v>-3.2378854625550652E-3</v>
      </c>
      <c r="BR35" s="115">
        <v>0</v>
      </c>
      <c r="BS35" s="75">
        <v>0</v>
      </c>
      <c r="BT35" s="75">
        <v>0</v>
      </c>
      <c r="BU35" s="75"/>
      <c r="BV35" s="75">
        <f t="shared" si="29"/>
        <v>0</v>
      </c>
      <c r="BW35" s="118">
        <f t="shared" si="30"/>
        <v>0</v>
      </c>
      <c r="BX35" s="115">
        <v>0</v>
      </c>
      <c r="BY35" s="75">
        <v>0</v>
      </c>
      <c r="BZ35" s="75">
        <v>0</v>
      </c>
      <c r="CA35" s="75"/>
      <c r="CB35" s="75">
        <f t="shared" si="32"/>
        <v>0</v>
      </c>
      <c r="CC35" s="118">
        <f t="shared" si="33"/>
        <v>0</v>
      </c>
      <c r="CE35" s="50">
        <f t="shared" si="34"/>
        <v>0</v>
      </c>
    </row>
    <row r="36" spans="2:83" s="134" customFormat="1" x14ac:dyDescent="0.25">
      <c r="B36" s="162" t="s">
        <v>25</v>
      </c>
      <c r="C36" s="178">
        <v>0.57681321755994941</v>
      </c>
      <c r="D36" s="115">
        <v>0</v>
      </c>
      <c r="E36" s="75"/>
      <c r="F36" s="75">
        <v>6.9227089510107684E-2</v>
      </c>
      <c r="G36" s="94">
        <f t="shared" si="0"/>
        <v>0</v>
      </c>
      <c r="H36" s="75"/>
      <c r="I36" s="118"/>
      <c r="J36" s="87">
        <v>0</v>
      </c>
      <c r="K36" s="75"/>
      <c r="L36" s="75">
        <v>7.6528606684405281E-2</v>
      </c>
      <c r="M36" s="94">
        <f t="shared" si="2"/>
        <v>0</v>
      </c>
      <c r="N36" s="75"/>
      <c r="O36" s="118"/>
      <c r="P36" s="115">
        <v>0</v>
      </c>
      <c r="Q36" s="75">
        <v>0</v>
      </c>
      <c r="R36" s="75">
        <v>5.1338385669606135E-2</v>
      </c>
      <c r="S36" s="94">
        <f t="shared" si="5"/>
        <v>0</v>
      </c>
      <c r="T36" s="75"/>
      <c r="U36" s="118"/>
      <c r="V36" s="115">
        <v>0</v>
      </c>
      <c r="W36" s="75">
        <v>0</v>
      </c>
      <c r="X36" s="75">
        <v>0.16737145034290069</v>
      </c>
      <c r="Y36" s="94">
        <f t="shared" si="8"/>
        <v>0</v>
      </c>
      <c r="Z36" s="75"/>
      <c r="AA36" s="118"/>
      <c r="AB36" s="115"/>
      <c r="AC36" s="75"/>
      <c r="AD36" s="75">
        <v>0</v>
      </c>
      <c r="AE36" s="75"/>
      <c r="AF36" s="75"/>
      <c r="AG36" s="99"/>
      <c r="AH36" s="115"/>
      <c r="AI36" s="75"/>
      <c r="AJ36" s="75">
        <v>0</v>
      </c>
      <c r="AK36" s="75"/>
      <c r="AL36" s="75">
        <f t="shared" si="13"/>
        <v>0</v>
      </c>
      <c r="AM36" s="118">
        <f t="shared" si="14"/>
        <v>0</v>
      </c>
      <c r="AN36" s="87"/>
      <c r="AO36" s="185">
        <v>0</v>
      </c>
      <c r="AP36" s="185">
        <v>0</v>
      </c>
      <c r="AQ36" s="75"/>
      <c r="AR36" s="75">
        <f t="shared" si="16"/>
        <v>0</v>
      </c>
      <c r="AS36" s="118">
        <f t="shared" si="17"/>
        <v>0</v>
      </c>
      <c r="AT36" s="115"/>
      <c r="AU36" s="75"/>
      <c r="AV36" s="75"/>
      <c r="AW36" s="75"/>
      <c r="AX36" s="75"/>
      <c r="AY36" s="118"/>
      <c r="AZ36" s="115"/>
      <c r="BA36" s="75">
        <v>0</v>
      </c>
      <c r="BB36" s="75">
        <v>0</v>
      </c>
      <c r="BC36" s="75"/>
      <c r="BD36" s="75">
        <f t="shared" si="20"/>
        <v>0</v>
      </c>
      <c r="BE36" s="118">
        <f t="shared" si="21"/>
        <v>0</v>
      </c>
      <c r="BF36" s="115">
        <v>0</v>
      </c>
      <c r="BG36" s="75">
        <v>0</v>
      </c>
      <c r="BH36" s="75">
        <v>8.9830145589494727E-3</v>
      </c>
      <c r="BI36" s="75"/>
      <c r="BJ36" s="75">
        <f t="shared" si="23"/>
        <v>8.9830145589494727E-3</v>
      </c>
      <c r="BK36" s="118">
        <f t="shared" si="24"/>
        <v>-8.9830145589494727E-3</v>
      </c>
      <c r="BL36" s="115">
        <v>0</v>
      </c>
      <c r="BM36" s="75">
        <v>0</v>
      </c>
      <c r="BN36" s="75">
        <v>1.6177956404828654E-2</v>
      </c>
      <c r="BO36" s="75"/>
      <c r="BP36" s="75">
        <f t="shared" si="26"/>
        <v>1.6177956404828654E-2</v>
      </c>
      <c r="BQ36" s="118">
        <f t="shared" si="27"/>
        <v>-1.6177956404828654E-2</v>
      </c>
      <c r="BR36" s="115">
        <v>0</v>
      </c>
      <c r="BS36" s="75">
        <v>0</v>
      </c>
      <c r="BT36" s="75">
        <v>9.6348285714285727E-3</v>
      </c>
      <c r="BU36" s="75"/>
      <c r="BV36" s="75">
        <f t="shared" si="29"/>
        <v>9.6348285714285727E-3</v>
      </c>
      <c r="BW36" s="118">
        <f t="shared" si="30"/>
        <v>-9.6348285714285727E-3</v>
      </c>
      <c r="BX36" s="115">
        <v>0</v>
      </c>
      <c r="BY36" s="75">
        <v>0</v>
      </c>
      <c r="BZ36" s="75">
        <v>1.7323425E-2</v>
      </c>
      <c r="CA36" s="75"/>
      <c r="CB36" s="75">
        <f t="shared" si="32"/>
        <v>1.7323425E-2</v>
      </c>
      <c r="CC36" s="118">
        <f t="shared" si="33"/>
        <v>-1.7323425E-2</v>
      </c>
      <c r="CE36" s="50">
        <f t="shared" si="34"/>
        <v>0</v>
      </c>
    </row>
    <row r="37" spans="2:83" s="134" customFormat="1" x14ac:dyDescent="0.25">
      <c r="B37" s="162" t="s">
        <v>26</v>
      </c>
      <c r="C37" s="178">
        <v>0.61146332329519149</v>
      </c>
      <c r="D37" s="115">
        <v>0</v>
      </c>
      <c r="E37" s="75"/>
      <c r="F37" s="75">
        <v>3.3356884398640235E-2</v>
      </c>
      <c r="G37" s="94">
        <f t="shared" si="0"/>
        <v>0</v>
      </c>
      <c r="H37" s="75"/>
      <c r="I37" s="118"/>
      <c r="J37" s="87">
        <v>0</v>
      </c>
      <c r="K37" s="75"/>
      <c r="L37" s="75">
        <v>7.9476343270771355E-2</v>
      </c>
      <c r="M37" s="94">
        <f t="shared" si="2"/>
        <v>0</v>
      </c>
      <c r="N37" s="75"/>
      <c r="O37" s="118"/>
      <c r="P37" s="115">
        <v>0</v>
      </c>
      <c r="Q37" s="75">
        <v>0</v>
      </c>
      <c r="R37" s="75">
        <v>5.683143294934058E-2</v>
      </c>
      <c r="S37" s="94">
        <f t="shared" si="5"/>
        <v>0</v>
      </c>
      <c r="T37" s="75"/>
      <c r="U37" s="118"/>
      <c r="V37" s="115">
        <v>0</v>
      </c>
      <c r="W37" s="75">
        <v>0</v>
      </c>
      <c r="X37" s="75">
        <v>0.42483261366522734</v>
      </c>
      <c r="Y37" s="94">
        <f t="shared" si="8"/>
        <v>0</v>
      </c>
      <c r="Z37" s="75"/>
      <c r="AA37" s="118"/>
      <c r="AB37" s="115"/>
      <c r="AC37" s="75"/>
      <c r="AD37" s="75">
        <v>0</v>
      </c>
      <c r="AE37" s="75"/>
      <c r="AF37" s="75"/>
      <c r="AG37" s="99"/>
      <c r="AH37" s="115"/>
      <c r="AI37" s="75"/>
      <c r="AJ37" s="75">
        <v>0</v>
      </c>
      <c r="AK37" s="75"/>
      <c r="AL37" s="75">
        <f t="shared" si="13"/>
        <v>0</v>
      </c>
      <c r="AM37" s="118">
        <f t="shared" si="14"/>
        <v>0</v>
      </c>
      <c r="AN37" s="87"/>
      <c r="AO37" s="185">
        <v>0</v>
      </c>
      <c r="AP37" s="185">
        <v>0</v>
      </c>
      <c r="AQ37" s="75"/>
      <c r="AR37" s="75">
        <f t="shared" si="16"/>
        <v>0</v>
      </c>
      <c r="AS37" s="118">
        <f t="shared" si="17"/>
        <v>0</v>
      </c>
      <c r="AT37" s="115"/>
      <c r="AU37" s="75"/>
      <c r="AV37" s="75"/>
      <c r="AW37" s="75"/>
      <c r="AX37" s="75"/>
      <c r="AY37" s="118"/>
      <c r="AZ37" s="115"/>
      <c r="BA37" s="75">
        <v>0</v>
      </c>
      <c r="BB37" s="75">
        <v>0</v>
      </c>
      <c r="BC37" s="75"/>
      <c r="BD37" s="75">
        <f t="shared" si="20"/>
        <v>0</v>
      </c>
      <c r="BE37" s="118">
        <f t="shared" si="21"/>
        <v>0</v>
      </c>
      <c r="BF37" s="115">
        <v>0</v>
      </c>
      <c r="BG37" s="75">
        <v>0</v>
      </c>
      <c r="BH37" s="75">
        <v>5.5106622894661721E-2</v>
      </c>
      <c r="BI37" s="75"/>
      <c r="BJ37" s="75">
        <f t="shared" si="23"/>
        <v>5.5106622894661721E-2</v>
      </c>
      <c r="BK37" s="118">
        <f t="shared" si="24"/>
        <v>-5.5106622894661721E-2</v>
      </c>
      <c r="BL37" s="115">
        <v>0</v>
      </c>
      <c r="BM37" s="75">
        <v>0</v>
      </c>
      <c r="BN37" s="75">
        <v>7.6598661250643629E-2</v>
      </c>
      <c r="BO37" s="75"/>
      <c r="BP37" s="75">
        <f t="shared" si="26"/>
        <v>7.6598661250643629E-2</v>
      </c>
      <c r="BQ37" s="118">
        <f t="shared" si="27"/>
        <v>-7.6598661250643629E-2</v>
      </c>
      <c r="BR37" s="115">
        <v>0</v>
      </c>
      <c r="BS37" s="75">
        <v>0</v>
      </c>
      <c r="BT37" s="75">
        <v>3.7141714285714293E-3</v>
      </c>
      <c r="BU37" s="75"/>
      <c r="BV37" s="75">
        <f t="shared" si="29"/>
        <v>3.7141714285714293E-3</v>
      </c>
      <c r="BW37" s="118">
        <f t="shared" si="30"/>
        <v>-3.7141714285714293E-3</v>
      </c>
      <c r="BX37" s="115">
        <v>0</v>
      </c>
      <c r="BY37" s="75">
        <v>0</v>
      </c>
      <c r="BZ37" s="75">
        <v>2.3016500000000001E-3</v>
      </c>
      <c r="CA37" s="75"/>
      <c r="CB37" s="75">
        <f t="shared" si="32"/>
        <v>2.3016500000000001E-3</v>
      </c>
      <c r="CC37" s="118">
        <f t="shared" si="33"/>
        <v>-2.3016500000000001E-3</v>
      </c>
      <c r="CE37" s="50">
        <f t="shared" si="34"/>
        <v>0</v>
      </c>
    </row>
    <row r="38" spans="2:83" s="134" customFormat="1" x14ac:dyDescent="0.25">
      <c r="B38" s="163" t="s">
        <v>27</v>
      </c>
      <c r="C38" s="177">
        <v>0.64704491725768321</v>
      </c>
      <c r="D38" s="116">
        <v>14.957142857142857</v>
      </c>
      <c r="E38" s="94">
        <v>1.4345203650122413</v>
      </c>
      <c r="F38" s="94">
        <v>11.907710091243706</v>
      </c>
      <c r="G38" s="94">
        <f t="shared" si="0"/>
        <v>13.522622492130616</v>
      </c>
      <c r="H38" s="94">
        <v>13.342230456255948</v>
      </c>
      <c r="I38" s="117">
        <f t="shared" ref="I38" si="47">G38-F38</f>
        <v>1.6149124008869098</v>
      </c>
      <c r="J38" s="95">
        <v>14.957142857142857</v>
      </c>
      <c r="K38" s="94">
        <v>1.9</v>
      </c>
      <c r="L38" s="94">
        <v>16.202835813878082</v>
      </c>
      <c r="M38" s="94">
        <f t="shared" si="2"/>
        <v>13.057142857142857</v>
      </c>
      <c r="N38" s="94">
        <f>K38+L38</f>
        <v>18.10283581387808</v>
      </c>
      <c r="O38" s="117">
        <f t="shared" ref="O38" si="48">M38-L38</f>
        <v>-3.1456929567352248</v>
      </c>
      <c r="P38" s="116">
        <v>14.957142857142857</v>
      </c>
      <c r="Q38" s="94">
        <v>1.9903531040849294</v>
      </c>
      <c r="R38" s="94">
        <v>13.325780729426171</v>
      </c>
      <c r="S38" s="94">
        <f t="shared" si="5"/>
        <v>12.966789753057927</v>
      </c>
      <c r="T38" s="94">
        <f>Q38+R38</f>
        <v>15.316133833511101</v>
      </c>
      <c r="U38" s="117">
        <f t="shared" ref="U38" si="49">S38-R38</f>
        <v>-0.35899097636824351</v>
      </c>
      <c r="V38" s="116">
        <v>14.957142857142857</v>
      </c>
      <c r="W38" s="94">
        <v>5.3537664580185629</v>
      </c>
      <c r="X38" s="94">
        <v>9.7678079756159502</v>
      </c>
      <c r="Y38" s="94">
        <f t="shared" si="8"/>
        <v>9.6033763991242935</v>
      </c>
      <c r="Z38" s="94">
        <f>W38+X38</f>
        <v>15.121574433634514</v>
      </c>
      <c r="AA38" s="117">
        <f t="shared" ref="AA38" si="50">Y38-X38</f>
        <v>-0.16443157649165663</v>
      </c>
      <c r="AB38" s="116">
        <v>9.1999999999999993</v>
      </c>
      <c r="AC38" s="94">
        <v>6.8411463882378003</v>
      </c>
      <c r="AD38" s="94">
        <v>6.857972332967649E-2</v>
      </c>
      <c r="AE38" s="94">
        <v>2.3999999999999995</v>
      </c>
      <c r="AF38" s="94">
        <v>6.8</v>
      </c>
      <c r="AG38" s="97">
        <f t="shared" ref="AG38" si="51">AE38-AD38</f>
        <v>2.3314202766703231</v>
      </c>
      <c r="AH38" s="116">
        <v>9.1999999999999993</v>
      </c>
      <c r="AI38" s="94">
        <v>16.7</v>
      </c>
      <c r="AJ38" s="94">
        <v>6.4919134840218232E-2</v>
      </c>
      <c r="AK38" s="94">
        <f t="shared" si="12"/>
        <v>-7.5</v>
      </c>
      <c r="AL38" s="94">
        <f t="shared" si="13"/>
        <v>16.764919134840216</v>
      </c>
      <c r="AM38" s="117">
        <f t="shared" si="14"/>
        <v>-7.5649191348402178</v>
      </c>
      <c r="AN38" s="95">
        <v>9.1999999999999993</v>
      </c>
      <c r="AO38" s="184">
        <v>15.600000000000001</v>
      </c>
      <c r="AP38" s="184">
        <v>5.6022069523039612E-2</v>
      </c>
      <c r="AQ38" s="94">
        <f t="shared" ref="AQ38" si="52">AN38-AO38</f>
        <v>-6.4000000000000021</v>
      </c>
      <c r="AR38" s="94">
        <f t="shared" si="16"/>
        <v>15.656022069523042</v>
      </c>
      <c r="AS38" s="117">
        <f t="shared" si="17"/>
        <v>-6.4560220695230415</v>
      </c>
      <c r="AT38" s="116">
        <v>11</v>
      </c>
      <c r="AU38" s="94">
        <v>9.1681470137825425</v>
      </c>
      <c r="AV38" s="94">
        <v>0.36511320588121804</v>
      </c>
      <c r="AW38" s="94">
        <v>1.8333333333333339</v>
      </c>
      <c r="AX38" s="94">
        <v>9.1666666666666661</v>
      </c>
      <c r="AY38" s="117">
        <f t="shared" ref="AY38" si="53">AW38-AV38</f>
        <v>1.4682201274521158</v>
      </c>
      <c r="AZ38" s="116">
        <v>11</v>
      </c>
      <c r="BA38" s="94">
        <v>11</v>
      </c>
      <c r="BB38" s="94">
        <v>0.52568867263734942</v>
      </c>
      <c r="BC38" s="94">
        <f t="shared" ref="BC38" si="54">AZ38-BA38</f>
        <v>0</v>
      </c>
      <c r="BD38" s="94">
        <f t="shared" si="20"/>
        <v>11.525688672637349</v>
      </c>
      <c r="BE38" s="117">
        <f t="shared" si="21"/>
        <v>-0.52568867263734942</v>
      </c>
      <c r="BF38" s="116">
        <v>4.4000000000000004</v>
      </c>
      <c r="BG38" s="94">
        <v>16.299999999999997</v>
      </c>
      <c r="BH38" s="94">
        <v>6.0357462175278318</v>
      </c>
      <c r="BI38" s="94">
        <f t="shared" ref="BI38" si="55">BF38-BG38</f>
        <v>-11.899999999999997</v>
      </c>
      <c r="BJ38" s="94">
        <f t="shared" si="23"/>
        <v>22.335746217527827</v>
      </c>
      <c r="BK38" s="117">
        <f t="shared" si="24"/>
        <v>-17.935746217527829</v>
      </c>
      <c r="BL38" s="116">
        <v>4.4000000000000004</v>
      </c>
      <c r="BM38" s="94">
        <v>18.700000000000003</v>
      </c>
      <c r="BN38" s="94">
        <v>7.6457128554265124</v>
      </c>
      <c r="BO38" s="94">
        <f t="shared" ref="BO38" si="56">BL38-BM38</f>
        <v>-14.300000000000002</v>
      </c>
      <c r="BP38" s="94">
        <f t="shared" si="26"/>
        <v>26.345712855426516</v>
      </c>
      <c r="BQ38" s="117">
        <f t="shared" si="27"/>
        <v>-21.945712855426514</v>
      </c>
      <c r="BR38" s="116">
        <v>1.5</v>
      </c>
      <c r="BS38" s="94">
        <v>1.1000000000000001</v>
      </c>
      <c r="BT38" s="94">
        <v>1.8096951428571428</v>
      </c>
      <c r="BU38" s="94">
        <f t="shared" ref="BU38" si="57">BR38-BS38</f>
        <v>0.39999999999999991</v>
      </c>
      <c r="BV38" s="94">
        <f t="shared" si="29"/>
        <v>2.9096951428571431</v>
      </c>
      <c r="BW38" s="117">
        <f t="shared" si="30"/>
        <v>-1.4096951428571429</v>
      </c>
      <c r="BX38" s="116">
        <v>1.5</v>
      </c>
      <c r="BY38" s="94">
        <v>1.2</v>
      </c>
      <c r="BZ38" s="94">
        <v>1.7809867500000003</v>
      </c>
      <c r="CA38" s="94">
        <f t="shared" ref="CA38" si="58">BX38-BY38</f>
        <v>0.30000000000000004</v>
      </c>
      <c r="CB38" s="94">
        <f t="shared" si="32"/>
        <v>2.9809867500000005</v>
      </c>
      <c r="CC38" s="117">
        <f t="shared" si="33"/>
        <v>-1.4809867500000002</v>
      </c>
      <c r="CE38" s="50">
        <f t="shared" si="34"/>
        <v>1.2000000000000028</v>
      </c>
    </row>
    <row r="39" spans="2:83" s="134" customFormat="1" x14ac:dyDescent="0.25">
      <c r="B39" s="161" t="s">
        <v>28</v>
      </c>
      <c r="C39" s="178">
        <v>0.62935099287160612</v>
      </c>
      <c r="D39" s="115">
        <v>0</v>
      </c>
      <c r="E39" s="75"/>
      <c r="F39" s="75">
        <v>0</v>
      </c>
      <c r="G39" s="94">
        <f t="shared" si="0"/>
        <v>0</v>
      </c>
      <c r="H39" s="75"/>
      <c r="I39" s="118"/>
      <c r="J39" s="87">
        <v>0</v>
      </c>
      <c r="K39" s="75"/>
      <c r="L39" s="75">
        <v>0</v>
      </c>
      <c r="M39" s="94">
        <f t="shared" si="2"/>
        <v>0</v>
      </c>
      <c r="N39" s="75"/>
      <c r="O39" s="118"/>
      <c r="P39" s="115">
        <v>0</v>
      </c>
      <c r="Q39" s="75">
        <v>0</v>
      </c>
      <c r="R39" s="75">
        <v>0</v>
      </c>
      <c r="S39" s="94">
        <f t="shared" si="5"/>
        <v>0</v>
      </c>
      <c r="T39" s="75"/>
      <c r="U39" s="118"/>
      <c r="V39" s="115">
        <v>0</v>
      </c>
      <c r="W39" s="75">
        <v>0</v>
      </c>
      <c r="X39" s="75">
        <v>1.1627381254762511E-3</v>
      </c>
      <c r="Y39" s="94">
        <f t="shared" si="8"/>
        <v>0</v>
      </c>
      <c r="Z39" s="75"/>
      <c r="AA39" s="118"/>
      <c r="AB39" s="115"/>
      <c r="AC39" s="75"/>
      <c r="AD39" s="75">
        <v>0</v>
      </c>
      <c r="AE39" s="75"/>
      <c r="AF39" s="75"/>
      <c r="AG39" s="99"/>
      <c r="AH39" s="115"/>
      <c r="AI39" s="75"/>
      <c r="AJ39" s="75">
        <v>0</v>
      </c>
      <c r="AK39" s="75"/>
      <c r="AL39" s="75">
        <f t="shared" si="13"/>
        <v>0</v>
      </c>
      <c r="AM39" s="118">
        <f t="shared" si="14"/>
        <v>0</v>
      </c>
      <c r="AN39" s="87"/>
      <c r="AO39" s="185">
        <v>0</v>
      </c>
      <c r="AP39" s="185">
        <v>0</v>
      </c>
      <c r="AQ39" s="75"/>
      <c r="AR39" s="75">
        <f t="shared" si="16"/>
        <v>0</v>
      </c>
      <c r="AS39" s="118">
        <f t="shared" si="17"/>
        <v>0</v>
      </c>
      <c r="AT39" s="115"/>
      <c r="AU39" s="75"/>
      <c r="AV39" s="75"/>
      <c r="AW39" s="75"/>
      <c r="AX39" s="75"/>
      <c r="AY39" s="118"/>
      <c r="AZ39" s="115"/>
      <c r="BA39" s="75">
        <v>0</v>
      </c>
      <c r="BB39" s="75">
        <v>0</v>
      </c>
      <c r="BC39" s="75"/>
      <c r="BD39" s="75">
        <f t="shared" si="20"/>
        <v>0</v>
      </c>
      <c r="BE39" s="118">
        <f t="shared" si="21"/>
        <v>0</v>
      </c>
      <c r="BF39" s="115">
        <v>0</v>
      </c>
      <c r="BG39" s="75">
        <v>0</v>
      </c>
      <c r="BH39" s="75">
        <v>0</v>
      </c>
      <c r="BI39" s="75"/>
      <c r="BJ39" s="75">
        <f t="shared" si="23"/>
        <v>0</v>
      </c>
      <c r="BK39" s="118">
        <f t="shared" si="24"/>
        <v>0</v>
      </c>
      <c r="BL39" s="115">
        <v>0</v>
      </c>
      <c r="BM39" s="75">
        <v>0</v>
      </c>
      <c r="BN39" s="75">
        <v>0</v>
      </c>
      <c r="BO39" s="75"/>
      <c r="BP39" s="75">
        <f t="shared" si="26"/>
        <v>0</v>
      </c>
      <c r="BQ39" s="118">
        <f t="shared" si="27"/>
        <v>0</v>
      </c>
      <c r="BR39" s="115">
        <v>0</v>
      </c>
      <c r="BS39" s="75">
        <v>0</v>
      </c>
      <c r="BT39" s="75">
        <v>6.2399428571428585E-2</v>
      </c>
      <c r="BU39" s="75"/>
      <c r="BV39" s="75">
        <f t="shared" si="29"/>
        <v>6.2399428571428585E-2</v>
      </c>
      <c r="BW39" s="118">
        <f t="shared" si="30"/>
        <v>-6.2399428571428585E-2</v>
      </c>
      <c r="BX39" s="115">
        <v>0</v>
      </c>
      <c r="BY39" s="75">
        <v>0</v>
      </c>
      <c r="BZ39" s="75">
        <v>0</v>
      </c>
      <c r="CA39" s="75"/>
      <c r="CB39" s="75">
        <f t="shared" si="32"/>
        <v>0</v>
      </c>
      <c r="CC39" s="118">
        <f t="shared" si="33"/>
        <v>0</v>
      </c>
      <c r="CE39" s="50">
        <f t="shared" si="34"/>
        <v>0</v>
      </c>
    </row>
    <row r="40" spans="2:83" s="134" customFormat="1" x14ac:dyDescent="0.25">
      <c r="B40" s="161" t="s">
        <v>29</v>
      </c>
      <c r="C40" s="178">
        <v>0.61260622154779965</v>
      </c>
      <c r="D40" s="115">
        <v>0</v>
      </c>
      <c r="E40" s="75"/>
      <c r="F40" s="75">
        <v>0</v>
      </c>
      <c r="G40" s="94">
        <f t="shared" si="0"/>
        <v>0</v>
      </c>
      <c r="H40" s="75"/>
      <c r="I40" s="118"/>
      <c r="J40" s="87">
        <v>0</v>
      </c>
      <c r="K40" s="75"/>
      <c r="L40" s="75">
        <v>0</v>
      </c>
      <c r="M40" s="94">
        <f t="shared" si="2"/>
        <v>0</v>
      </c>
      <c r="N40" s="75"/>
      <c r="O40" s="118"/>
      <c r="P40" s="115">
        <v>0</v>
      </c>
      <c r="Q40" s="75">
        <v>0</v>
      </c>
      <c r="R40" s="75">
        <v>0.40611556977602753</v>
      </c>
      <c r="S40" s="94">
        <f t="shared" si="5"/>
        <v>0</v>
      </c>
      <c r="T40" s="75"/>
      <c r="U40" s="118"/>
      <c r="V40" s="115">
        <v>0</v>
      </c>
      <c r="W40" s="75">
        <v>0</v>
      </c>
      <c r="X40" s="75">
        <v>0.50911074422148839</v>
      </c>
      <c r="Y40" s="94">
        <f t="shared" si="8"/>
        <v>0</v>
      </c>
      <c r="Z40" s="75"/>
      <c r="AA40" s="118"/>
      <c r="AB40" s="115"/>
      <c r="AC40" s="75"/>
      <c r="AD40" s="75">
        <v>3.0862922430631736E-2</v>
      </c>
      <c r="AE40" s="75"/>
      <c r="AF40" s="75"/>
      <c r="AG40" s="99"/>
      <c r="AH40" s="115"/>
      <c r="AI40" s="75"/>
      <c r="AJ40" s="75">
        <v>0</v>
      </c>
      <c r="AK40" s="75"/>
      <c r="AL40" s="75">
        <f t="shared" si="13"/>
        <v>0</v>
      </c>
      <c r="AM40" s="118">
        <f t="shared" si="14"/>
        <v>0</v>
      </c>
      <c r="AN40" s="87"/>
      <c r="AO40" s="185">
        <v>0</v>
      </c>
      <c r="AP40" s="185">
        <v>0</v>
      </c>
      <c r="AQ40" s="75"/>
      <c r="AR40" s="75">
        <f t="shared" si="16"/>
        <v>0</v>
      </c>
      <c r="AS40" s="118">
        <f t="shared" si="17"/>
        <v>0</v>
      </c>
      <c r="AT40" s="115"/>
      <c r="AU40" s="75"/>
      <c r="AV40" s="75"/>
      <c r="AW40" s="75"/>
      <c r="AX40" s="75"/>
      <c r="AY40" s="118"/>
      <c r="AZ40" s="115"/>
      <c r="BA40" s="75">
        <v>0</v>
      </c>
      <c r="BB40" s="75">
        <v>0</v>
      </c>
      <c r="BC40" s="75"/>
      <c r="BD40" s="75">
        <f t="shared" si="20"/>
        <v>0</v>
      </c>
      <c r="BE40" s="118">
        <f t="shared" si="21"/>
        <v>0</v>
      </c>
      <c r="BF40" s="115">
        <v>0</v>
      </c>
      <c r="BG40" s="75">
        <v>0</v>
      </c>
      <c r="BH40" s="75">
        <v>2.7418098772480724E-2</v>
      </c>
      <c r="BI40" s="75"/>
      <c r="BJ40" s="75">
        <f t="shared" si="23"/>
        <v>2.7418098772480724E-2</v>
      </c>
      <c r="BK40" s="118">
        <f t="shared" si="24"/>
        <v>-2.7418098772480724E-2</v>
      </c>
      <c r="BL40" s="115">
        <v>0</v>
      </c>
      <c r="BM40" s="75">
        <v>0</v>
      </c>
      <c r="BN40" s="75">
        <v>1.3950569254534011E-2</v>
      </c>
      <c r="BO40" s="75"/>
      <c r="BP40" s="75">
        <f t="shared" si="26"/>
        <v>1.3950569254534011E-2</v>
      </c>
      <c r="BQ40" s="118">
        <f t="shared" si="27"/>
        <v>-1.3950569254534011E-2</v>
      </c>
      <c r="BR40" s="115">
        <v>0</v>
      </c>
      <c r="BS40" s="75">
        <v>0</v>
      </c>
      <c r="BT40" s="75">
        <v>3.9820000000000001E-2</v>
      </c>
      <c r="BU40" s="75"/>
      <c r="BV40" s="75">
        <f t="shared" si="29"/>
        <v>3.9820000000000001E-2</v>
      </c>
      <c r="BW40" s="118">
        <f t="shared" si="30"/>
        <v>-3.9820000000000001E-2</v>
      </c>
      <c r="BX40" s="115">
        <v>0</v>
      </c>
      <c r="BY40" s="75">
        <v>0</v>
      </c>
      <c r="BZ40" s="75">
        <v>0</v>
      </c>
      <c r="CA40" s="75"/>
      <c r="CB40" s="75">
        <f t="shared" si="32"/>
        <v>0</v>
      </c>
      <c r="CC40" s="118">
        <f t="shared" si="33"/>
        <v>0</v>
      </c>
      <c r="CE40" s="50">
        <f t="shared" si="34"/>
        <v>0</v>
      </c>
    </row>
    <row r="41" spans="2:83" s="134" customFormat="1" x14ac:dyDescent="0.25">
      <c r="B41" s="161" t="s">
        <v>30</v>
      </c>
      <c r="C41" s="178">
        <v>0.57964090427039305</v>
      </c>
      <c r="D41" s="115">
        <v>5.95</v>
      </c>
      <c r="E41" s="75"/>
      <c r="F41" s="75">
        <v>8.449532859698353</v>
      </c>
      <c r="G41" s="94">
        <f t="shared" si="0"/>
        <v>5.95</v>
      </c>
      <c r="H41" s="75">
        <v>8.449532859698353</v>
      </c>
      <c r="I41" s="118">
        <f t="shared" ref="I41:I52" si="59">G41-F41</f>
        <v>-2.4995328596983528</v>
      </c>
      <c r="J41" s="87">
        <v>5.95</v>
      </c>
      <c r="K41" s="75"/>
      <c r="L41" s="75">
        <v>4.3522041962548634</v>
      </c>
      <c r="M41" s="94">
        <f t="shared" si="2"/>
        <v>5.95</v>
      </c>
      <c r="N41" s="94">
        <f t="shared" ref="N41:N43" si="60">K41+L41</f>
        <v>4.3522041962548634</v>
      </c>
      <c r="O41" s="118">
        <f t="shared" ref="O41:O52" si="61">M41-L41</f>
        <v>1.5977958037451367</v>
      </c>
      <c r="P41" s="115">
        <v>5.95</v>
      </c>
      <c r="Q41" s="75">
        <v>0.9899607662127855</v>
      </c>
      <c r="R41" s="75">
        <v>4.1317127018663369</v>
      </c>
      <c r="S41" s="94">
        <f t="shared" si="5"/>
        <v>4.9600392337872146</v>
      </c>
      <c r="T41" s="94">
        <f t="shared" ref="T41:T43" si="62">Q41+R41</f>
        <v>5.1216734680791225</v>
      </c>
      <c r="U41" s="118">
        <f t="shared" ref="U41:U52" si="63">S41-R41</f>
        <v>0.82832653192087768</v>
      </c>
      <c r="V41" s="115">
        <v>5.95</v>
      </c>
      <c r="W41" s="75">
        <v>1.5017914957910641</v>
      </c>
      <c r="X41" s="75">
        <v>6.3921008382016753</v>
      </c>
      <c r="Y41" s="94">
        <f t="shared" si="8"/>
        <v>4.4482085042089361</v>
      </c>
      <c r="Z41" s="94">
        <f t="shared" ref="Z41:Z43" si="64">W41+X41</f>
        <v>7.8938923339927394</v>
      </c>
      <c r="AA41" s="118">
        <f t="shared" ref="AA41:AA52" si="65">Y41-X41</f>
        <v>-1.9438923339927392</v>
      </c>
      <c r="AB41" s="115">
        <v>1.7</v>
      </c>
      <c r="AC41" s="75">
        <v>1.0678883443426379</v>
      </c>
      <c r="AD41" s="75">
        <v>4.2667433708827231E-2</v>
      </c>
      <c r="AE41" s="75">
        <f>AB41-AC41</f>
        <v>0.63211165565736205</v>
      </c>
      <c r="AF41" s="75">
        <v>4.2667433708827231E-2</v>
      </c>
      <c r="AG41" s="99">
        <f t="shared" ref="AG41:AG52" si="66">AE41-AD41</f>
        <v>0.58944422194853485</v>
      </c>
      <c r="AH41" s="115">
        <v>1.7</v>
      </c>
      <c r="AI41" s="75">
        <v>2.2000000000000002</v>
      </c>
      <c r="AJ41" s="75">
        <v>1.4214675425899123E-2</v>
      </c>
      <c r="AK41" s="75">
        <f t="shared" si="12"/>
        <v>-0.50000000000000022</v>
      </c>
      <c r="AL41" s="75">
        <f t="shared" si="13"/>
        <v>2.2142146754258993</v>
      </c>
      <c r="AM41" s="118">
        <f t="shared" si="14"/>
        <v>-0.51421467542589938</v>
      </c>
      <c r="AN41" s="87">
        <v>1.7</v>
      </c>
      <c r="AO41" s="185">
        <v>2.2000000000000002</v>
      </c>
      <c r="AP41" s="185">
        <v>8.3767178658043662E-3</v>
      </c>
      <c r="AQ41" s="75">
        <f t="shared" ref="AQ41:AQ47" si="67">AN41-AO41</f>
        <v>-0.50000000000000022</v>
      </c>
      <c r="AR41" s="75">
        <f t="shared" si="16"/>
        <v>2.2083767178658045</v>
      </c>
      <c r="AS41" s="118">
        <f t="shared" si="17"/>
        <v>-0.50837671786580463</v>
      </c>
      <c r="AT41" s="115">
        <v>5</v>
      </c>
      <c r="AU41" s="75">
        <v>0.70006563115292053</v>
      </c>
      <c r="AV41" s="75">
        <v>0.14621446752477563</v>
      </c>
      <c r="AW41" s="75">
        <f>AT41-AU41</f>
        <v>4.2999343688470795</v>
      </c>
      <c r="AX41" s="75">
        <v>0</v>
      </c>
      <c r="AY41" s="118">
        <f t="shared" ref="AY41:AY52" si="68">AW41-AV41</f>
        <v>4.1537199013223036</v>
      </c>
      <c r="AZ41" s="115">
        <v>5</v>
      </c>
      <c r="BA41" s="75">
        <v>0</v>
      </c>
      <c r="BB41" s="75">
        <v>0.2686264576400193</v>
      </c>
      <c r="BC41" s="75">
        <f t="shared" ref="BC41:BC47" si="69">AZ41-BA41</f>
        <v>5</v>
      </c>
      <c r="BD41" s="75">
        <f t="shared" si="20"/>
        <v>0.2686264576400193</v>
      </c>
      <c r="BE41" s="118">
        <f t="shared" si="21"/>
        <v>4.7313735423599805</v>
      </c>
      <c r="BF41" s="115">
        <v>1.2</v>
      </c>
      <c r="BG41" s="75">
        <v>0</v>
      </c>
      <c r="BH41" s="75">
        <v>2.1541421638595488</v>
      </c>
      <c r="BI41" s="75">
        <f t="shared" ref="BI41:BI47" si="70">BF41-BG41</f>
        <v>1.2</v>
      </c>
      <c r="BJ41" s="75">
        <f t="shared" si="23"/>
        <v>2.1541421638595488</v>
      </c>
      <c r="BK41" s="118">
        <f t="shared" si="24"/>
        <v>-0.95414216385954886</v>
      </c>
      <c r="BL41" s="115">
        <v>1.2</v>
      </c>
      <c r="BM41" s="75">
        <v>0</v>
      </c>
      <c r="BN41" s="75">
        <v>2.5331042965844728</v>
      </c>
      <c r="BO41" s="75">
        <f t="shared" ref="BO41:BO47" si="71">BL41-BM41</f>
        <v>1.2</v>
      </c>
      <c r="BP41" s="75">
        <f t="shared" si="26"/>
        <v>2.5331042965844728</v>
      </c>
      <c r="BQ41" s="118">
        <f t="shared" si="27"/>
        <v>-1.3331042965844728</v>
      </c>
      <c r="BR41" s="115">
        <v>0</v>
      </c>
      <c r="BS41" s="75">
        <v>0</v>
      </c>
      <c r="BT41" s="75">
        <v>0.21063037142857141</v>
      </c>
      <c r="BU41" s="75">
        <f t="shared" ref="BU41:BU47" si="72">BR41-BS41</f>
        <v>0</v>
      </c>
      <c r="BV41" s="75">
        <f t="shared" si="29"/>
        <v>0.21063037142857141</v>
      </c>
      <c r="BW41" s="118">
        <f t="shared" si="30"/>
        <v>-0.21063037142857141</v>
      </c>
      <c r="BX41" s="115">
        <v>0</v>
      </c>
      <c r="BY41" s="75">
        <v>0</v>
      </c>
      <c r="BZ41" s="75">
        <v>0.14573027499999999</v>
      </c>
      <c r="CA41" s="75">
        <f t="shared" ref="CA41:CA47" si="73">BX41-BY41</f>
        <v>0</v>
      </c>
      <c r="CB41" s="75">
        <f t="shared" si="32"/>
        <v>0.14573027499999999</v>
      </c>
      <c r="CC41" s="118">
        <f t="shared" si="33"/>
        <v>-0.14573027499999999</v>
      </c>
      <c r="CE41" s="50">
        <f t="shared" si="34"/>
        <v>0</v>
      </c>
    </row>
    <row r="42" spans="2:83" s="134" customFormat="1" x14ac:dyDescent="0.25">
      <c r="B42" s="161" t="s">
        <v>31</v>
      </c>
      <c r="C42" s="178">
        <v>0.56540696605695495</v>
      </c>
      <c r="D42" s="115">
        <v>3.3000000000000003</v>
      </c>
      <c r="E42" s="75"/>
      <c r="F42" s="75">
        <v>3.3073605341236507</v>
      </c>
      <c r="G42" s="94">
        <f t="shared" si="0"/>
        <v>3.3000000000000003</v>
      </c>
      <c r="H42" s="75">
        <v>3.3073605341236507</v>
      </c>
      <c r="I42" s="118">
        <f t="shared" si="59"/>
        <v>-7.3605341236504529E-3</v>
      </c>
      <c r="J42" s="87">
        <v>3.3000000000000003</v>
      </c>
      <c r="K42" s="75"/>
      <c r="L42" s="75">
        <v>3.6456628740844592</v>
      </c>
      <c r="M42" s="94">
        <f t="shared" si="2"/>
        <v>3.3000000000000003</v>
      </c>
      <c r="N42" s="94">
        <f t="shared" si="60"/>
        <v>3.6456628740844592</v>
      </c>
      <c r="O42" s="118">
        <f t="shared" si="61"/>
        <v>-0.34566287408445895</v>
      </c>
      <c r="P42" s="115">
        <v>3.3000000000000003</v>
      </c>
      <c r="Q42" s="75">
        <v>0</v>
      </c>
      <c r="R42" s="75">
        <v>3.1139896363974713</v>
      </c>
      <c r="S42" s="94">
        <f t="shared" si="5"/>
        <v>3.3000000000000003</v>
      </c>
      <c r="T42" s="94">
        <f t="shared" si="62"/>
        <v>3.1139896363974713</v>
      </c>
      <c r="U42" s="118">
        <f t="shared" si="63"/>
        <v>0.18601036360252898</v>
      </c>
      <c r="V42" s="115">
        <v>3.3000000000000003</v>
      </c>
      <c r="W42" s="75">
        <v>0.50628102741204406</v>
      </c>
      <c r="X42" s="75">
        <v>1.9161170942341883</v>
      </c>
      <c r="Y42" s="94">
        <f t="shared" si="8"/>
        <v>2.7937189725879561</v>
      </c>
      <c r="Z42" s="94">
        <f t="shared" si="64"/>
        <v>2.4223981216462325</v>
      </c>
      <c r="AA42" s="118">
        <f t="shared" si="65"/>
        <v>0.87760187835376779</v>
      </c>
      <c r="AB42" s="115">
        <v>2</v>
      </c>
      <c r="AC42" s="75">
        <v>0.40400596633283614</v>
      </c>
      <c r="AD42" s="75">
        <v>6.9441575468921421E-3</v>
      </c>
      <c r="AE42" s="75">
        <f>AB42-AC42</f>
        <v>1.5959940336671639</v>
      </c>
      <c r="AF42" s="75">
        <v>0</v>
      </c>
      <c r="AG42" s="99">
        <f t="shared" si="66"/>
        <v>1.5890498761202718</v>
      </c>
      <c r="AH42" s="115">
        <v>2</v>
      </c>
      <c r="AI42" s="75">
        <v>1.9</v>
      </c>
      <c r="AJ42" s="75">
        <v>0</v>
      </c>
      <c r="AK42" s="75">
        <f t="shared" si="12"/>
        <v>0.10000000000000009</v>
      </c>
      <c r="AL42" s="75">
        <f t="shared" si="13"/>
        <v>1.9</v>
      </c>
      <c r="AM42" s="118">
        <f t="shared" si="14"/>
        <v>0.10000000000000009</v>
      </c>
      <c r="AN42" s="87">
        <v>2</v>
      </c>
      <c r="AO42" s="185">
        <v>1.7999999999999998</v>
      </c>
      <c r="AP42" s="185">
        <v>7.3144704931285363E-3</v>
      </c>
      <c r="AQ42" s="75">
        <f t="shared" si="67"/>
        <v>0.20000000000000018</v>
      </c>
      <c r="AR42" s="75">
        <f t="shared" si="16"/>
        <v>1.8073144704931283</v>
      </c>
      <c r="AS42" s="118">
        <f t="shared" si="17"/>
        <v>0.19268552950687165</v>
      </c>
      <c r="AT42" s="115">
        <v>3</v>
      </c>
      <c r="AU42" s="75">
        <v>0.83316560927586958</v>
      </c>
      <c r="AV42" s="75"/>
      <c r="AW42" s="75">
        <f>AT42-AU42</f>
        <v>2.1668343907241305</v>
      </c>
      <c r="AX42" s="75">
        <v>0</v>
      </c>
      <c r="AY42" s="118">
        <f>AW42-AV42</f>
        <v>2.1668343907241305</v>
      </c>
      <c r="AZ42" s="115">
        <v>3</v>
      </c>
      <c r="BA42" s="75">
        <v>1</v>
      </c>
      <c r="BB42" s="75">
        <v>3.5165180404835107E-2</v>
      </c>
      <c r="BC42" s="75">
        <f t="shared" si="69"/>
        <v>2</v>
      </c>
      <c r="BD42" s="75">
        <f t="shared" si="20"/>
        <v>1.0351651804048352</v>
      </c>
      <c r="BE42" s="118">
        <f t="shared" si="21"/>
        <v>1.9648348195951648</v>
      </c>
      <c r="BF42" s="115">
        <v>0</v>
      </c>
      <c r="BG42" s="75">
        <v>1.6</v>
      </c>
      <c r="BH42" s="75">
        <v>0.49150439623180131</v>
      </c>
      <c r="BI42" s="75">
        <f t="shared" si="70"/>
        <v>-1.6</v>
      </c>
      <c r="BJ42" s="75">
        <f t="shared" si="23"/>
        <v>2.0915043962318016</v>
      </c>
      <c r="BK42" s="118">
        <f t="shared" si="24"/>
        <v>-2.0915043962318016</v>
      </c>
      <c r="BL42" s="115">
        <v>0</v>
      </c>
      <c r="BM42" s="75">
        <v>1.7999999999999998</v>
      </c>
      <c r="BN42" s="75">
        <v>0.58705712569368962</v>
      </c>
      <c r="BO42" s="75">
        <f t="shared" si="71"/>
        <v>-1.7999999999999998</v>
      </c>
      <c r="BP42" s="75">
        <f t="shared" si="26"/>
        <v>2.3870571256936897</v>
      </c>
      <c r="BQ42" s="118">
        <f t="shared" si="27"/>
        <v>-2.3870571256936897</v>
      </c>
      <c r="BR42" s="115">
        <v>0</v>
      </c>
      <c r="BS42" s="75">
        <v>0</v>
      </c>
      <c r="BT42" s="75">
        <v>0.5894961428571428</v>
      </c>
      <c r="BU42" s="75">
        <f t="shared" si="72"/>
        <v>0</v>
      </c>
      <c r="BV42" s="75">
        <f t="shared" si="29"/>
        <v>0.5894961428571428</v>
      </c>
      <c r="BW42" s="118">
        <f t="shared" si="30"/>
        <v>-0.5894961428571428</v>
      </c>
      <c r="BX42" s="115">
        <v>0</v>
      </c>
      <c r="BY42" s="75">
        <v>0</v>
      </c>
      <c r="BZ42" s="75">
        <v>0.32078770000000001</v>
      </c>
      <c r="CA42" s="75">
        <f t="shared" si="73"/>
        <v>0</v>
      </c>
      <c r="CB42" s="75">
        <f t="shared" si="32"/>
        <v>0.32078770000000001</v>
      </c>
      <c r="CC42" s="118">
        <f t="shared" si="33"/>
        <v>-0.32078770000000001</v>
      </c>
      <c r="CE42" s="50">
        <f t="shared" si="34"/>
        <v>9.9999999999999867E-2</v>
      </c>
    </row>
    <row r="43" spans="2:83" s="134" customFormat="1" x14ac:dyDescent="0.25">
      <c r="B43" s="164" t="s">
        <v>32</v>
      </c>
      <c r="C43" s="176">
        <v>0.55186166122720981</v>
      </c>
      <c r="D43" s="115">
        <v>185</v>
      </c>
      <c r="E43" s="75">
        <v>14.641442243489873</v>
      </c>
      <c r="F43" s="75">
        <v>87.787441572550662</v>
      </c>
      <c r="G43" s="94">
        <f t="shared" si="0"/>
        <v>170.35855775651012</v>
      </c>
      <c r="H43" s="75">
        <v>102.42888381604054</v>
      </c>
      <c r="I43" s="118">
        <f t="shared" si="59"/>
        <v>82.571116183959461</v>
      </c>
      <c r="J43" s="87">
        <v>185</v>
      </c>
      <c r="K43" s="75">
        <v>24</v>
      </c>
      <c r="L43" s="75">
        <v>61.317957548924255</v>
      </c>
      <c r="M43" s="94">
        <f t="shared" si="2"/>
        <v>161</v>
      </c>
      <c r="N43" s="94">
        <f t="shared" si="60"/>
        <v>85.317957548924255</v>
      </c>
      <c r="O43" s="118">
        <f t="shared" si="61"/>
        <v>99.682042451075745</v>
      </c>
      <c r="P43" s="115">
        <v>185</v>
      </c>
      <c r="Q43" s="75">
        <v>38.871913224094165</v>
      </c>
      <c r="R43" s="75">
        <v>53.877160316478864</v>
      </c>
      <c r="S43" s="94">
        <f t="shared" si="5"/>
        <v>146.12808677590584</v>
      </c>
      <c r="T43" s="94">
        <f t="shared" si="62"/>
        <v>92.749073540573022</v>
      </c>
      <c r="U43" s="118">
        <f t="shared" si="63"/>
        <v>92.250926459426978</v>
      </c>
      <c r="V43" s="115">
        <v>185</v>
      </c>
      <c r="W43" s="75">
        <v>75.581912367796249</v>
      </c>
      <c r="X43" s="75">
        <v>66.808712217424429</v>
      </c>
      <c r="Y43" s="94">
        <f t="shared" si="8"/>
        <v>109.41808763220375</v>
      </c>
      <c r="Z43" s="94">
        <f t="shared" si="64"/>
        <v>142.39062458522068</v>
      </c>
      <c r="AA43" s="118">
        <f t="shared" si="65"/>
        <v>42.609375414779322</v>
      </c>
      <c r="AB43" s="115">
        <v>47</v>
      </c>
      <c r="AC43" s="75">
        <v>54.437246963562757</v>
      </c>
      <c r="AD43" s="75">
        <v>0.93503746019853895</v>
      </c>
      <c r="AE43" s="75">
        <v>-7.6666666666666599</v>
      </c>
      <c r="AF43" s="75">
        <v>55.564657194587888</v>
      </c>
      <c r="AG43" s="99">
        <f t="shared" si="66"/>
        <v>-8.601704126865199</v>
      </c>
      <c r="AH43" s="115">
        <v>47</v>
      </c>
      <c r="AI43" s="75">
        <v>83.5</v>
      </c>
      <c r="AJ43" s="75">
        <v>0.31618842556508181</v>
      </c>
      <c r="AK43" s="75">
        <f t="shared" si="12"/>
        <v>-36.5</v>
      </c>
      <c r="AL43" s="75">
        <f t="shared" si="13"/>
        <v>83.816188425565088</v>
      </c>
      <c r="AM43" s="118">
        <f t="shared" si="14"/>
        <v>-36.81618842556508</v>
      </c>
      <c r="AN43" s="87">
        <v>47</v>
      </c>
      <c r="AO43" s="185">
        <v>78.099999999999994</v>
      </c>
      <c r="AP43" s="185">
        <v>0.24103864187550528</v>
      </c>
      <c r="AQ43" s="75">
        <f t="shared" si="67"/>
        <v>-31.099999999999994</v>
      </c>
      <c r="AR43" s="75">
        <f t="shared" si="16"/>
        <v>78.3410386418755</v>
      </c>
      <c r="AS43" s="118">
        <f t="shared" si="17"/>
        <v>-31.3410386418755</v>
      </c>
      <c r="AT43" s="115">
        <v>85</v>
      </c>
      <c r="AU43" s="75">
        <v>58.944869831546704</v>
      </c>
      <c r="AV43" s="75">
        <v>2.1804739582903947</v>
      </c>
      <c r="AW43" s="75">
        <v>26</v>
      </c>
      <c r="AX43" s="75">
        <v>61.078675964309141</v>
      </c>
      <c r="AY43" s="118">
        <f t="shared" si="68"/>
        <v>23.819526041709604</v>
      </c>
      <c r="AZ43" s="115">
        <v>85</v>
      </c>
      <c r="BA43" s="75">
        <v>45</v>
      </c>
      <c r="BB43" s="75">
        <v>2.5464226059392465</v>
      </c>
      <c r="BC43" s="75">
        <f t="shared" si="69"/>
        <v>40</v>
      </c>
      <c r="BD43" s="75">
        <f t="shared" si="20"/>
        <v>47.546422605939249</v>
      </c>
      <c r="BE43" s="118">
        <f t="shared" si="21"/>
        <v>37.453577394060751</v>
      </c>
      <c r="BF43" s="115">
        <v>21</v>
      </c>
      <c r="BG43" s="75">
        <v>49.1</v>
      </c>
      <c r="BH43" s="75">
        <v>10.087248644019411</v>
      </c>
      <c r="BI43" s="75">
        <f t="shared" si="70"/>
        <v>-28.1</v>
      </c>
      <c r="BJ43" s="75">
        <f t="shared" si="23"/>
        <v>59.187248644019412</v>
      </c>
      <c r="BK43" s="118">
        <f t="shared" si="24"/>
        <v>-38.187248644019412</v>
      </c>
      <c r="BL43" s="115">
        <v>21</v>
      </c>
      <c r="BM43" s="75">
        <v>57.699999999999996</v>
      </c>
      <c r="BN43" s="75">
        <v>13.254856685165056</v>
      </c>
      <c r="BO43" s="75">
        <f t="shared" si="71"/>
        <v>-36.699999999999996</v>
      </c>
      <c r="BP43" s="75">
        <f t="shared" si="26"/>
        <v>70.954856685165055</v>
      </c>
      <c r="BQ43" s="118">
        <f t="shared" si="27"/>
        <v>-49.954856685165055</v>
      </c>
      <c r="BR43" s="115">
        <v>1.5</v>
      </c>
      <c r="BS43" s="75">
        <v>1.3</v>
      </c>
      <c r="BT43" s="75">
        <v>0.53046948571428565</v>
      </c>
      <c r="BU43" s="75">
        <f t="shared" si="72"/>
        <v>0.19999999999999996</v>
      </c>
      <c r="BV43" s="75">
        <f t="shared" si="29"/>
        <v>1.8304694857142856</v>
      </c>
      <c r="BW43" s="118">
        <f t="shared" si="30"/>
        <v>-0.33046948571428569</v>
      </c>
      <c r="BX43" s="115">
        <v>1.5</v>
      </c>
      <c r="BY43" s="75">
        <v>0</v>
      </c>
      <c r="BZ43" s="75">
        <v>0.35997099999999999</v>
      </c>
      <c r="CA43" s="75">
        <f t="shared" si="73"/>
        <v>1.5</v>
      </c>
      <c r="CB43" s="75">
        <f t="shared" si="32"/>
        <v>0.35997099999999999</v>
      </c>
      <c r="CC43" s="118">
        <f t="shared" si="33"/>
        <v>1.140029</v>
      </c>
      <c r="CE43" s="50">
        <f t="shared" si="34"/>
        <v>4.2999999999999972</v>
      </c>
    </row>
    <row r="44" spans="2:83" s="134" customFormat="1" x14ac:dyDescent="0.25">
      <c r="B44" s="165" t="s">
        <v>209</v>
      </c>
      <c r="C44" s="177">
        <v>0.5613636363636364</v>
      </c>
      <c r="D44" s="116">
        <v>76.5</v>
      </c>
      <c r="E44" s="94">
        <v>89.83701313153793</v>
      </c>
      <c r="F44" s="91"/>
      <c r="G44" s="94">
        <f t="shared" si="0"/>
        <v>-13.33701313153793</v>
      </c>
      <c r="H44" s="94">
        <v>89.83701313153793</v>
      </c>
      <c r="I44" s="117">
        <f t="shared" si="59"/>
        <v>-13.33701313153793</v>
      </c>
      <c r="J44" s="95">
        <v>76.5</v>
      </c>
      <c r="K44" s="94">
        <v>110</v>
      </c>
      <c r="L44" s="91"/>
      <c r="M44" s="94">
        <f t="shared" si="2"/>
        <v>-33.5</v>
      </c>
      <c r="N44" s="94">
        <v>110</v>
      </c>
      <c r="O44" s="117">
        <f t="shared" si="61"/>
        <v>-33.5</v>
      </c>
      <c r="P44" s="116">
        <v>76.5</v>
      </c>
      <c r="Q44" s="94">
        <v>96.894530348488331</v>
      </c>
      <c r="R44" s="91"/>
      <c r="S44" s="94">
        <f t="shared" si="5"/>
        <v>-20.394530348488331</v>
      </c>
      <c r="T44" s="94">
        <v>97</v>
      </c>
      <c r="U44" s="117">
        <f t="shared" si="63"/>
        <v>-20.394530348488331</v>
      </c>
      <c r="V44" s="116">
        <v>76.5</v>
      </c>
      <c r="W44" s="94">
        <v>113.41463414634147</v>
      </c>
      <c r="X44" s="91"/>
      <c r="Y44" s="94">
        <f t="shared" si="8"/>
        <v>-36.91463414634147</v>
      </c>
      <c r="Z44" s="94">
        <v>113.33333333333333</v>
      </c>
      <c r="AA44" s="117">
        <f t="shared" si="65"/>
        <v>-36.91463414634147</v>
      </c>
      <c r="AB44" s="116">
        <v>64</v>
      </c>
      <c r="AC44" s="94">
        <v>78.241636479863644</v>
      </c>
      <c r="AD44" s="91"/>
      <c r="AE44" s="94">
        <v>-14.666666666666671</v>
      </c>
      <c r="AF44" s="94">
        <v>78.666666666666671</v>
      </c>
      <c r="AG44" s="97">
        <f t="shared" si="66"/>
        <v>-14.666666666666671</v>
      </c>
      <c r="AH44" s="116">
        <v>64</v>
      </c>
      <c r="AI44" s="94">
        <v>105</v>
      </c>
      <c r="AJ44" s="94"/>
      <c r="AK44" s="94">
        <f t="shared" si="12"/>
        <v>-41</v>
      </c>
      <c r="AL44" s="94">
        <f t="shared" si="13"/>
        <v>105</v>
      </c>
      <c r="AM44" s="117">
        <f t="shared" si="14"/>
        <v>-41</v>
      </c>
      <c r="AN44" s="95">
        <v>64</v>
      </c>
      <c r="AO44" s="184">
        <v>85</v>
      </c>
      <c r="AP44" s="184"/>
      <c r="AQ44" s="94">
        <f t="shared" si="67"/>
        <v>-21</v>
      </c>
      <c r="AR44" s="94">
        <f t="shared" si="16"/>
        <v>85</v>
      </c>
      <c r="AS44" s="117">
        <f t="shared" si="17"/>
        <v>-21</v>
      </c>
      <c r="AT44" s="116">
        <v>120</v>
      </c>
      <c r="AU44" s="94">
        <v>136.98971778604243</v>
      </c>
      <c r="AV44" s="91"/>
      <c r="AW44" s="94">
        <v>-16.666666666666657</v>
      </c>
      <c r="AX44" s="94">
        <v>136.66666666666666</v>
      </c>
      <c r="AY44" s="117">
        <f t="shared" si="68"/>
        <v>-16.666666666666657</v>
      </c>
      <c r="AZ44" s="116">
        <v>120</v>
      </c>
      <c r="BA44" s="94">
        <v>160</v>
      </c>
      <c r="BB44" s="91"/>
      <c r="BC44" s="94">
        <f t="shared" si="69"/>
        <v>-40</v>
      </c>
      <c r="BD44" s="94">
        <f t="shared" si="20"/>
        <v>160</v>
      </c>
      <c r="BE44" s="117">
        <f t="shared" si="21"/>
        <v>-40</v>
      </c>
      <c r="BF44" s="116">
        <v>140</v>
      </c>
      <c r="BG44" s="94">
        <v>140</v>
      </c>
      <c r="BH44" s="91"/>
      <c r="BI44" s="94">
        <f t="shared" si="70"/>
        <v>0</v>
      </c>
      <c r="BJ44" s="94">
        <f>BG44+BH44</f>
        <v>140</v>
      </c>
      <c r="BK44" s="117">
        <f>BI44-BH44</f>
        <v>0</v>
      </c>
      <c r="BL44" s="116">
        <v>140</v>
      </c>
      <c r="BM44" s="94">
        <v>140</v>
      </c>
      <c r="BN44" s="91"/>
      <c r="BO44" s="94">
        <f t="shared" si="71"/>
        <v>0</v>
      </c>
      <c r="BP44" s="94">
        <f t="shared" si="26"/>
        <v>140</v>
      </c>
      <c r="BQ44" s="117">
        <f t="shared" si="27"/>
        <v>0</v>
      </c>
      <c r="BR44" s="116">
        <v>10.5</v>
      </c>
      <c r="BS44" s="94">
        <v>5.9</v>
      </c>
      <c r="BT44" s="91"/>
      <c r="BU44" s="94">
        <f t="shared" si="72"/>
        <v>4.5999999999999996</v>
      </c>
      <c r="BV44" s="94">
        <f t="shared" si="29"/>
        <v>5.9</v>
      </c>
      <c r="BW44" s="117">
        <f t="shared" si="30"/>
        <v>4.5999999999999996</v>
      </c>
      <c r="BX44" s="116">
        <v>10.5</v>
      </c>
      <c r="BY44" s="94">
        <v>5.6</v>
      </c>
      <c r="BZ44" s="91"/>
      <c r="CA44" s="94">
        <f t="shared" si="73"/>
        <v>4.9000000000000004</v>
      </c>
      <c r="CB44" s="94">
        <f t="shared" si="32"/>
        <v>5.6</v>
      </c>
      <c r="CC44" s="117">
        <f t="shared" si="33"/>
        <v>4.9000000000000004</v>
      </c>
      <c r="CE44" s="50">
        <f t="shared" si="34"/>
        <v>0</v>
      </c>
    </row>
    <row r="45" spans="2:83" s="134" customFormat="1" x14ac:dyDescent="0.25">
      <c r="B45" s="165" t="s">
        <v>210</v>
      </c>
      <c r="C45" s="177">
        <v>0.5677290836653387</v>
      </c>
      <c r="D45" s="116">
        <v>82.166666666666671</v>
      </c>
      <c r="E45" s="94">
        <v>94.699554863120412</v>
      </c>
      <c r="F45" s="91"/>
      <c r="G45" s="94">
        <f t="shared" si="0"/>
        <v>-12.53288819645374</v>
      </c>
      <c r="H45" s="94">
        <v>94.699554863120412</v>
      </c>
      <c r="I45" s="117">
        <f t="shared" si="59"/>
        <v>-12.53288819645374</v>
      </c>
      <c r="J45" s="95">
        <v>82.166666666666671</v>
      </c>
      <c r="K45" s="94">
        <v>110</v>
      </c>
      <c r="L45" s="91"/>
      <c r="M45" s="94">
        <f t="shared" si="2"/>
        <v>-27.833333333333329</v>
      </c>
      <c r="N45" s="94">
        <v>110</v>
      </c>
      <c r="O45" s="117">
        <f t="shared" si="61"/>
        <v>-27.833333333333329</v>
      </c>
      <c r="P45" s="116">
        <v>82.166666666666671</v>
      </c>
      <c r="Q45" s="94">
        <v>97.939303023309478</v>
      </c>
      <c r="R45" s="91"/>
      <c r="S45" s="94">
        <f t="shared" si="5"/>
        <v>-15.772636356642806</v>
      </c>
      <c r="T45" s="94">
        <v>98</v>
      </c>
      <c r="U45" s="117">
        <f t="shared" si="63"/>
        <v>-15.772636356642806</v>
      </c>
      <c r="V45" s="116">
        <v>82.166666666666671</v>
      </c>
      <c r="W45" s="94">
        <v>113.41463414634147</v>
      </c>
      <c r="X45" s="91"/>
      <c r="Y45" s="94">
        <f t="shared" si="8"/>
        <v>-31.247967479674799</v>
      </c>
      <c r="Z45" s="94">
        <v>113.33333333333333</v>
      </c>
      <c r="AA45" s="117">
        <f t="shared" si="65"/>
        <v>-31.247967479674799</v>
      </c>
      <c r="AB45" s="116">
        <v>120</v>
      </c>
      <c r="AC45" s="94">
        <v>84.171318985723431</v>
      </c>
      <c r="AD45" s="91"/>
      <c r="AE45" s="94">
        <v>35.333333333333329</v>
      </c>
      <c r="AF45" s="94">
        <v>84.666666666666671</v>
      </c>
      <c r="AG45" s="97">
        <f t="shared" si="66"/>
        <v>35.333333333333329</v>
      </c>
      <c r="AH45" s="116">
        <v>120</v>
      </c>
      <c r="AI45" s="94">
        <v>110</v>
      </c>
      <c r="AJ45" s="94"/>
      <c r="AK45" s="94">
        <f t="shared" si="12"/>
        <v>10</v>
      </c>
      <c r="AL45" s="94">
        <f t="shared" si="13"/>
        <v>110</v>
      </c>
      <c r="AM45" s="117">
        <f t="shared" si="14"/>
        <v>10</v>
      </c>
      <c r="AN45" s="95">
        <v>120</v>
      </c>
      <c r="AO45" s="184">
        <v>91</v>
      </c>
      <c r="AP45" s="184"/>
      <c r="AQ45" s="94">
        <f t="shared" si="67"/>
        <v>29</v>
      </c>
      <c r="AR45" s="94">
        <f t="shared" si="16"/>
        <v>91</v>
      </c>
      <c r="AS45" s="117">
        <f t="shared" si="17"/>
        <v>29</v>
      </c>
      <c r="AT45" s="116">
        <v>150</v>
      </c>
      <c r="AU45" s="94">
        <v>136.98971778604243</v>
      </c>
      <c r="AV45" s="91"/>
      <c r="AW45" s="94">
        <v>13.333333333333343</v>
      </c>
      <c r="AX45" s="94">
        <v>136.66666666666666</v>
      </c>
      <c r="AY45" s="117">
        <f t="shared" si="68"/>
        <v>13.333333333333343</v>
      </c>
      <c r="AZ45" s="116">
        <v>150</v>
      </c>
      <c r="BA45" s="94">
        <v>180</v>
      </c>
      <c r="BB45" s="91"/>
      <c r="BC45" s="94">
        <f t="shared" si="69"/>
        <v>-30</v>
      </c>
      <c r="BD45" s="94">
        <f t="shared" si="20"/>
        <v>180</v>
      </c>
      <c r="BE45" s="117">
        <f t="shared" si="21"/>
        <v>-30</v>
      </c>
      <c r="BF45" s="116">
        <v>110</v>
      </c>
      <c r="BG45" s="94">
        <v>170</v>
      </c>
      <c r="BH45" s="91"/>
      <c r="BI45" s="94">
        <f t="shared" si="70"/>
        <v>-60</v>
      </c>
      <c r="BJ45" s="94">
        <f t="shared" si="23"/>
        <v>170</v>
      </c>
      <c r="BK45" s="117">
        <f t="shared" si="24"/>
        <v>-60</v>
      </c>
      <c r="BL45" s="116">
        <v>110</v>
      </c>
      <c r="BM45" s="94">
        <v>190</v>
      </c>
      <c r="BN45" s="91"/>
      <c r="BO45" s="94">
        <f t="shared" si="71"/>
        <v>-80</v>
      </c>
      <c r="BP45" s="94">
        <f t="shared" si="26"/>
        <v>190</v>
      </c>
      <c r="BQ45" s="117">
        <f t="shared" si="27"/>
        <v>-80</v>
      </c>
      <c r="BR45" s="116">
        <v>14.6</v>
      </c>
      <c r="BS45" s="94">
        <v>53</v>
      </c>
      <c r="BT45" s="91"/>
      <c r="BU45" s="94">
        <f t="shared" si="72"/>
        <v>-38.4</v>
      </c>
      <c r="BV45" s="94">
        <f t="shared" si="29"/>
        <v>53</v>
      </c>
      <c r="BW45" s="117">
        <f t="shared" si="30"/>
        <v>-38.4</v>
      </c>
      <c r="BX45" s="116">
        <v>14.6</v>
      </c>
      <c r="BY45" s="94">
        <v>18</v>
      </c>
      <c r="BZ45" s="91"/>
      <c r="CA45" s="94">
        <f t="shared" si="73"/>
        <v>-3.4000000000000004</v>
      </c>
      <c r="CB45" s="94">
        <f t="shared" si="32"/>
        <v>18</v>
      </c>
      <c r="CC45" s="117">
        <f t="shared" si="33"/>
        <v>-3.4000000000000004</v>
      </c>
      <c r="CE45" s="50">
        <f t="shared" si="34"/>
        <v>10</v>
      </c>
    </row>
    <row r="46" spans="2:83" s="134" customFormat="1" x14ac:dyDescent="0.25">
      <c r="B46" s="165" t="s">
        <v>211</v>
      </c>
      <c r="C46" s="177">
        <v>0.57269503546099287</v>
      </c>
      <c r="D46" s="116">
        <v>115</v>
      </c>
      <c r="E46" s="94">
        <v>133.84620520810148</v>
      </c>
      <c r="F46" s="91"/>
      <c r="G46" s="94">
        <f t="shared" si="0"/>
        <v>-18.84620520810148</v>
      </c>
      <c r="H46" s="94">
        <v>133.84620520810148</v>
      </c>
      <c r="I46" s="117">
        <f t="shared" si="59"/>
        <v>-18.84620520810148</v>
      </c>
      <c r="J46" s="95">
        <v>115</v>
      </c>
      <c r="K46" s="94">
        <v>180</v>
      </c>
      <c r="L46" s="91"/>
      <c r="M46" s="94">
        <f t="shared" si="2"/>
        <v>-65</v>
      </c>
      <c r="N46" s="94">
        <v>180</v>
      </c>
      <c r="O46" s="117">
        <f t="shared" si="61"/>
        <v>-65</v>
      </c>
      <c r="P46" s="116">
        <v>115</v>
      </c>
      <c r="Q46" s="94">
        <v>156.64666512808677</v>
      </c>
      <c r="R46" s="91"/>
      <c r="S46" s="94">
        <f t="shared" si="5"/>
        <v>-41.646665128086767</v>
      </c>
      <c r="T46" s="94">
        <v>156.66666666666666</v>
      </c>
      <c r="U46" s="117">
        <f t="shared" si="63"/>
        <v>-41.646665128086767</v>
      </c>
      <c r="V46" s="116">
        <v>115</v>
      </c>
      <c r="W46" s="94">
        <v>193.40815886034966</v>
      </c>
      <c r="X46" s="91"/>
      <c r="Y46" s="94">
        <f t="shared" si="8"/>
        <v>-78.408158860349658</v>
      </c>
      <c r="Z46" s="94">
        <v>193.33333333333334</v>
      </c>
      <c r="AA46" s="117">
        <f t="shared" si="65"/>
        <v>-78.408158860349658</v>
      </c>
      <c r="AB46" s="116">
        <v>184</v>
      </c>
      <c r="AC46" s="94">
        <v>145.82995951417004</v>
      </c>
      <c r="AD46" s="91"/>
      <c r="AE46" s="94">
        <v>37.333333333333343</v>
      </c>
      <c r="AF46" s="94">
        <v>146.66666666666666</v>
      </c>
      <c r="AG46" s="97">
        <f t="shared" si="66"/>
        <v>37.333333333333343</v>
      </c>
      <c r="AH46" s="116">
        <v>184</v>
      </c>
      <c r="AI46" s="94">
        <v>140</v>
      </c>
      <c r="AJ46" s="94"/>
      <c r="AK46" s="94">
        <f t="shared" si="12"/>
        <v>44</v>
      </c>
      <c r="AL46" s="94">
        <f t="shared" si="13"/>
        <v>140</v>
      </c>
      <c r="AM46" s="117">
        <f t="shared" si="14"/>
        <v>44</v>
      </c>
      <c r="AN46" s="95">
        <v>184</v>
      </c>
      <c r="AO46" s="184">
        <v>120</v>
      </c>
      <c r="AP46" s="184"/>
      <c r="AQ46" s="94">
        <f t="shared" si="67"/>
        <v>64</v>
      </c>
      <c r="AR46" s="94">
        <f t="shared" si="16"/>
        <v>120</v>
      </c>
      <c r="AS46" s="117">
        <f t="shared" si="17"/>
        <v>64</v>
      </c>
      <c r="AT46" s="116">
        <v>350</v>
      </c>
      <c r="AU46" s="94">
        <v>169.85342375847736</v>
      </c>
      <c r="AV46" s="91"/>
      <c r="AW46" s="94">
        <v>180</v>
      </c>
      <c r="AX46" s="94">
        <v>170</v>
      </c>
      <c r="AY46" s="117">
        <f t="shared" si="68"/>
        <v>180</v>
      </c>
      <c r="AZ46" s="116">
        <v>350</v>
      </c>
      <c r="BA46" s="94">
        <v>33</v>
      </c>
      <c r="BB46" s="91"/>
      <c r="BC46" s="94">
        <f t="shared" si="69"/>
        <v>317</v>
      </c>
      <c r="BD46" s="94">
        <f t="shared" si="20"/>
        <v>33</v>
      </c>
      <c r="BE46" s="117">
        <f t="shared" si="21"/>
        <v>317</v>
      </c>
      <c r="BF46" s="116">
        <v>150</v>
      </c>
      <c r="BG46" s="94">
        <v>150</v>
      </c>
      <c r="BH46" s="91"/>
      <c r="BI46" s="94">
        <f t="shared" si="70"/>
        <v>0</v>
      </c>
      <c r="BJ46" s="94">
        <f t="shared" si="23"/>
        <v>150</v>
      </c>
      <c r="BK46" s="117">
        <f t="shared" si="24"/>
        <v>0</v>
      </c>
      <c r="BL46" s="116">
        <v>150</v>
      </c>
      <c r="BM46" s="94">
        <v>160</v>
      </c>
      <c r="BN46" s="91"/>
      <c r="BO46" s="94">
        <f t="shared" si="71"/>
        <v>-10</v>
      </c>
      <c r="BP46" s="94">
        <f t="shared" si="26"/>
        <v>160</v>
      </c>
      <c r="BQ46" s="117">
        <f t="shared" si="27"/>
        <v>-10</v>
      </c>
      <c r="BR46" s="116">
        <v>15.2</v>
      </c>
      <c r="BS46" s="94">
        <v>1.1000000000000001</v>
      </c>
      <c r="BT46" s="91"/>
      <c r="BU46" s="94">
        <f t="shared" si="72"/>
        <v>14.1</v>
      </c>
      <c r="BV46" s="94">
        <f t="shared" si="29"/>
        <v>1.1000000000000001</v>
      </c>
      <c r="BW46" s="117">
        <f t="shared" si="30"/>
        <v>14.1</v>
      </c>
      <c r="BX46" s="116">
        <v>15.2</v>
      </c>
      <c r="BY46" s="94">
        <v>1.1000000000000001</v>
      </c>
      <c r="BZ46" s="91"/>
      <c r="CA46" s="94">
        <f t="shared" si="73"/>
        <v>14.1</v>
      </c>
      <c r="CB46" s="94">
        <f t="shared" si="32"/>
        <v>1.1000000000000001</v>
      </c>
      <c r="CC46" s="117">
        <f t="shared" si="33"/>
        <v>14.1</v>
      </c>
      <c r="CE46" s="50">
        <f t="shared" si="34"/>
        <v>5</v>
      </c>
    </row>
    <row r="47" spans="2:83" s="134" customFormat="1" x14ac:dyDescent="0.25">
      <c r="B47" s="165" t="s">
        <v>212</v>
      </c>
      <c r="C47" s="177">
        <v>0.50077519379844959</v>
      </c>
      <c r="D47" s="116">
        <v>7.666666666666667</v>
      </c>
      <c r="E47" s="94">
        <v>3.2699310037836629</v>
      </c>
      <c r="F47" s="91"/>
      <c r="G47" s="94">
        <f t="shared" si="0"/>
        <v>4.3967356628830041</v>
      </c>
      <c r="H47" s="94">
        <v>3.2699310037836629</v>
      </c>
      <c r="I47" s="117">
        <f t="shared" si="59"/>
        <v>4.3967356628830041</v>
      </c>
      <c r="J47" s="95">
        <v>7.666666666666667</v>
      </c>
      <c r="K47" s="94">
        <v>5.0999999999999996</v>
      </c>
      <c r="L47" s="91"/>
      <c r="M47" s="94">
        <f t="shared" si="2"/>
        <v>2.5666666666666673</v>
      </c>
      <c r="N47" s="94">
        <v>5.0999999999999996</v>
      </c>
      <c r="O47" s="117">
        <f t="shared" si="61"/>
        <v>2.5666666666666673</v>
      </c>
      <c r="P47" s="116">
        <v>7.666666666666667</v>
      </c>
      <c r="Q47" s="94">
        <v>5.3795061158550652</v>
      </c>
      <c r="R47" s="91"/>
      <c r="S47" s="94">
        <f t="shared" si="5"/>
        <v>2.2871605508116017</v>
      </c>
      <c r="T47" s="94">
        <v>5.3999999999999995</v>
      </c>
      <c r="U47" s="117">
        <f t="shared" si="63"/>
        <v>2.2871605508116017</v>
      </c>
      <c r="V47" s="116">
        <v>7.666666666666667</v>
      </c>
      <c r="W47" s="94">
        <v>5.5137276063026119</v>
      </c>
      <c r="X47" s="91"/>
      <c r="Y47" s="94">
        <f t="shared" si="8"/>
        <v>2.152939060364055</v>
      </c>
      <c r="Z47" s="94">
        <v>5.5333333333333341</v>
      </c>
      <c r="AA47" s="117">
        <f t="shared" si="65"/>
        <v>2.152939060364055</v>
      </c>
      <c r="AB47" s="116">
        <v>216</v>
      </c>
      <c r="AC47" s="94">
        <v>4.60803324099723</v>
      </c>
      <c r="AD47" s="91"/>
      <c r="AE47" s="94">
        <v>211.4</v>
      </c>
      <c r="AF47" s="94">
        <v>4.6000000000000005</v>
      </c>
      <c r="AG47" s="97">
        <f t="shared" si="66"/>
        <v>211.4</v>
      </c>
      <c r="AH47" s="116">
        <v>216</v>
      </c>
      <c r="AI47" s="94">
        <v>7</v>
      </c>
      <c r="AJ47" s="94"/>
      <c r="AK47" s="94">
        <f t="shared" si="12"/>
        <v>209</v>
      </c>
      <c r="AL47" s="94">
        <f t="shared" si="13"/>
        <v>7</v>
      </c>
      <c r="AM47" s="117">
        <f t="shared" si="14"/>
        <v>209</v>
      </c>
      <c r="AN47" s="95">
        <v>216</v>
      </c>
      <c r="AO47" s="184">
        <v>4</v>
      </c>
      <c r="AP47" s="184"/>
      <c r="AQ47" s="94">
        <f t="shared" si="67"/>
        <v>212</v>
      </c>
      <c r="AR47" s="94">
        <f t="shared" si="16"/>
        <v>4</v>
      </c>
      <c r="AS47" s="117">
        <f t="shared" si="17"/>
        <v>212</v>
      </c>
      <c r="AT47" s="116">
        <v>7.3</v>
      </c>
      <c r="AU47" s="94">
        <v>8.3613213738788001</v>
      </c>
      <c r="AV47" s="91"/>
      <c r="AW47" s="94">
        <v>-1.0333333333333341</v>
      </c>
      <c r="AX47" s="94">
        <v>8.3333333333333339</v>
      </c>
      <c r="AY47" s="117">
        <f t="shared" si="68"/>
        <v>-1.0333333333333341</v>
      </c>
      <c r="AZ47" s="116">
        <v>7.3</v>
      </c>
      <c r="BA47" s="94">
        <v>2</v>
      </c>
      <c r="BB47" s="91"/>
      <c r="BC47" s="94">
        <f t="shared" si="69"/>
        <v>5.3</v>
      </c>
      <c r="BD47" s="94">
        <f t="shared" si="20"/>
        <v>2</v>
      </c>
      <c r="BE47" s="117">
        <f t="shared" si="21"/>
        <v>5.3</v>
      </c>
      <c r="BF47" s="116">
        <v>6.3</v>
      </c>
      <c r="BG47" s="94">
        <v>15</v>
      </c>
      <c r="BH47" s="91"/>
      <c r="BI47" s="94">
        <f t="shared" si="70"/>
        <v>-8.6999999999999993</v>
      </c>
      <c r="BJ47" s="94">
        <f t="shared" si="23"/>
        <v>15</v>
      </c>
      <c r="BK47" s="117">
        <f t="shared" si="24"/>
        <v>-8.6999999999999993</v>
      </c>
      <c r="BL47" s="116">
        <v>6.3</v>
      </c>
      <c r="BM47" s="94">
        <v>17</v>
      </c>
      <c r="BN47" s="91"/>
      <c r="BO47" s="94">
        <f t="shared" si="71"/>
        <v>-10.7</v>
      </c>
      <c r="BP47" s="94">
        <f t="shared" si="26"/>
        <v>17</v>
      </c>
      <c r="BQ47" s="117">
        <f t="shared" si="27"/>
        <v>-10.7</v>
      </c>
      <c r="BR47" s="116">
        <v>3.4</v>
      </c>
      <c r="BS47" s="94">
        <v>6.7</v>
      </c>
      <c r="BT47" s="91"/>
      <c r="BU47" s="94">
        <f t="shared" si="72"/>
        <v>-3.3000000000000003</v>
      </c>
      <c r="BV47" s="94">
        <f t="shared" si="29"/>
        <v>6.7</v>
      </c>
      <c r="BW47" s="117">
        <f t="shared" si="30"/>
        <v>-3.3000000000000003</v>
      </c>
      <c r="BX47" s="116">
        <v>3.4</v>
      </c>
      <c r="BY47" s="94">
        <v>6.3</v>
      </c>
      <c r="BZ47" s="91"/>
      <c r="CA47" s="94">
        <f t="shared" si="73"/>
        <v>-2.9</v>
      </c>
      <c r="CB47" s="94">
        <f t="shared" si="32"/>
        <v>6.3</v>
      </c>
      <c r="CC47" s="117">
        <f t="shared" si="33"/>
        <v>-2.9</v>
      </c>
      <c r="CE47" s="50">
        <f t="shared" si="34"/>
        <v>1</v>
      </c>
    </row>
    <row r="48" spans="2:83" s="134" customFormat="1" x14ac:dyDescent="0.25">
      <c r="B48" s="160" t="s">
        <v>213</v>
      </c>
      <c r="C48" s="177">
        <v>0.62531645569620253</v>
      </c>
      <c r="D48" s="116">
        <v>32.166666666666664</v>
      </c>
      <c r="E48" s="94">
        <v>31.462141108390831</v>
      </c>
      <c r="F48" s="91"/>
      <c r="G48" s="94">
        <f t="shared" si="0"/>
        <v>0.70452555827583296</v>
      </c>
      <c r="H48" s="94">
        <v>31.462141108390831</v>
      </c>
      <c r="I48" s="117">
        <f t="shared" si="59"/>
        <v>0.70452555827583296</v>
      </c>
      <c r="J48" s="95">
        <v>32.166666666666664</v>
      </c>
      <c r="K48" s="94">
        <v>32</v>
      </c>
      <c r="L48" s="91"/>
      <c r="M48" s="94">
        <f t="shared" si="2"/>
        <v>0.1666666666666643</v>
      </c>
      <c r="N48" s="94">
        <v>32</v>
      </c>
      <c r="O48" s="117">
        <f t="shared" si="61"/>
        <v>0.1666666666666643</v>
      </c>
      <c r="P48" s="116">
        <v>32.166666666666664</v>
      </c>
      <c r="Q48" s="94">
        <v>31.361181629356103</v>
      </c>
      <c r="R48" s="91"/>
      <c r="S48" s="94">
        <f t="shared" si="5"/>
        <v>0.80548503731056087</v>
      </c>
      <c r="T48" s="94">
        <v>31.333333333333332</v>
      </c>
      <c r="U48" s="117">
        <f t="shared" si="63"/>
        <v>0.80548503731056087</v>
      </c>
      <c r="V48" s="116">
        <v>32.166666666666664</v>
      </c>
      <c r="W48" s="94">
        <v>36.264407511331754</v>
      </c>
      <c r="X48" s="91"/>
      <c r="Y48" s="94">
        <f t="shared" si="8"/>
        <v>-4.0977408446650898</v>
      </c>
      <c r="Z48" s="94">
        <v>36.333333333333336</v>
      </c>
      <c r="AA48" s="117">
        <f t="shared" si="65"/>
        <v>-4.0977408446650898</v>
      </c>
      <c r="AB48" s="116">
        <v>320</v>
      </c>
      <c r="AC48" s="94">
        <v>25.246324312806305</v>
      </c>
      <c r="AD48" s="91"/>
      <c r="AE48" s="94">
        <v>294.66666666666669</v>
      </c>
      <c r="AF48" s="94">
        <v>25.333333333333332</v>
      </c>
      <c r="AG48" s="97">
        <f t="shared" si="66"/>
        <v>294.66666666666669</v>
      </c>
      <c r="AH48" s="116">
        <v>320</v>
      </c>
      <c r="AI48" s="94">
        <v>39</v>
      </c>
      <c r="AJ48" s="94"/>
      <c r="AK48" s="94">
        <f>AH48-AI48</f>
        <v>281</v>
      </c>
      <c r="AL48" s="94">
        <f t="shared" si="13"/>
        <v>39</v>
      </c>
      <c r="AM48" s="117">
        <f t="shared" si="14"/>
        <v>281</v>
      </c>
      <c r="AN48" s="95">
        <v>320</v>
      </c>
      <c r="AO48" s="184">
        <v>32</v>
      </c>
      <c r="AP48" s="184"/>
      <c r="AQ48" s="94">
        <f>AN48-AO48</f>
        <v>288</v>
      </c>
      <c r="AR48" s="94">
        <f t="shared" si="16"/>
        <v>32</v>
      </c>
      <c r="AS48" s="117">
        <f t="shared" si="17"/>
        <v>288</v>
      </c>
      <c r="AT48" s="116">
        <v>48</v>
      </c>
      <c r="AU48" s="94">
        <v>40.710785386129949</v>
      </c>
      <c r="AV48" s="91"/>
      <c r="AW48" s="94">
        <v>7.3333333333333357</v>
      </c>
      <c r="AX48" s="94">
        <v>40.666666666666664</v>
      </c>
      <c r="AY48" s="117">
        <f t="shared" si="68"/>
        <v>7.3333333333333357</v>
      </c>
      <c r="AZ48" s="116">
        <v>48</v>
      </c>
      <c r="BA48" s="94">
        <v>52</v>
      </c>
      <c r="BB48" s="91"/>
      <c r="BC48" s="94">
        <f>AZ48-BA48</f>
        <v>-4</v>
      </c>
      <c r="BD48" s="94">
        <f t="shared" si="20"/>
        <v>52</v>
      </c>
      <c r="BE48" s="117">
        <f t="shared" si="21"/>
        <v>-4</v>
      </c>
      <c r="BF48" s="116">
        <v>45</v>
      </c>
      <c r="BG48" s="94">
        <v>59</v>
      </c>
      <c r="BH48" s="91"/>
      <c r="BI48" s="94">
        <f>BF48-BG48</f>
        <v>-14</v>
      </c>
      <c r="BJ48" s="94">
        <f t="shared" si="23"/>
        <v>59</v>
      </c>
      <c r="BK48" s="117">
        <f t="shared" si="24"/>
        <v>-14</v>
      </c>
      <c r="BL48" s="116">
        <v>45</v>
      </c>
      <c r="BM48" s="94">
        <v>64</v>
      </c>
      <c r="BN48" s="91"/>
      <c r="BO48" s="94">
        <f>BL48-BM48</f>
        <v>-19</v>
      </c>
      <c r="BP48" s="94">
        <f t="shared" si="26"/>
        <v>64</v>
      </c>
      <c r="BQ48" s="117">
        <f t="shared" si="27"/>
        <v>-19</v>
      </c>
      <c r="BR48" s="116">
        <v>3.6</v>
      </c>
      <c r="BS48" s="94">
        <v>4.5</v>
      </c>
      <c r="BT48" s="91"/>
      <c r="BU48" s="94">
        <f>BR48-BS48</f>
        <v>-0.89999999999999991</v>
      </c>
      <c r="BV48" s="94">
        <f t="shared" si="29"/>
        <v>4.5</v>
      </c>
      <c r="BW48" s="117">
        <f t="shared" si="30"/>
        <v>-0.89999999999999991</v>
      </c>
      <c r="BX48" s="116">
        <v>3.6</v>
      </c>
      <c r="BY48" s="94">
        <v>4</v>
      </c>
      <c r="BZ48" s="91"/>
      <c r="CA48" s="94">
        <f>BX48-BY48</f>
        <v>-0.39999999999999991</v>
      </c>
      <c r="CB48" s="94">
        <f t="shared" si="32"/>
        <v>4</v>
      </c>
      <c r="CC48" s="117">
        <f t="shared" si="33"/>
        <v>-0.39999999999999991</v>
      </c>
      <c r="CE48" s="50">
        <f t="shared" si="34"/>
        <v>2.5</v>
      </c>
    </row>
    <row r="49" spans="2:83" s="134" customFormat="1" x14ac:dyDescent="0.25">
      <c r="B49" s="165" t="s">
        <v>214</v>
      </c>
      <c r="C49" s="177">
        <v>0.6404494382022472</v>
      </c>
      <c r="D49" s="116">
        <v>117.33333333333333</v>
      </c>
      <c r="E49" s="94">
        <v>73.481749387936787</v>
      </c>
      <c r="F49" s="91"/>
      <c r="G49" s="94">
        <f t="shared" si="0"/>
        <v>43.851583945396541</v>
      </c>
      <c r="H49" s="94">
        <v>73.481749387936787</v>
      </c>
      <c r="I49" s="117">
        <f t="shared" si="59"/>
        <v>43.851583945396541</v>
      </c>
      <c r="J49" s="95">
        <v>117.33333333333333</v>
      </c>
      <c r="K49" s="94">
        <v>72</v>
      </c>
      <c r="L49" s="91"/>
      <c r="M49" s="94">
        <f t="shared" si="2"/>
        <v>45.333333333333329</v>
      </c>
      <c r="N49" s="94">
        <v>72</v>
      </c>
      <c r="O49" s="117">
        <f t="shared" si="61"/>
        <v>45.333333333333329</v>
      </c>
      <c r="P49" s="116">
        <v>117.33333333333333</v>
      </c>
      <c r="Q49" s="94">
        <v>68.690514654973455</v>
      </c>
      <c r="R49" s="91"/>
      <c r="S49" s="94">
        <f t="shared" si="5"/>
        <v>48.642818678359873</v>
      </c>
      <c r="T49" s="94">
        <v>68.666666666666671</v>
      </c>
      <c r="U49" s="117">
        <f t="shared" si="63"/>
        <v>48.642818678359873</v>
      </c>
      <c r="V49" s="116">
        <v>117.33333333333333</v>
      </c>
      <c r="W49" s="94">
        <v>77.377940859054618</v>
      </c>
      <c r="X49" s="91"/>
      <c r="Y49" s="94">
        <f t="shared" si="8"/>
        <v>39.95539247427871</v>
      </c>
      <c r="Z49" s="94">
        <v>77.666666666666671</v>
      </c>
      <c r="AA49" s="117">
        <f t="shared" si="65"/>
        <v>39.95539247427871</v>
      </c>
      <c r="AB49" s="116">
        <v>79</v>
      </c>
      <c r="AC49" s="94">
        <v>58.643298529725122</v>
      </c>
      <c r="AD49" s="91"/>
      <c r="AE49" s="94">
        <v>20.333333333333336</v>
      </c>
      <c r="AF49" s="94">
        <v>58.666666666666664</v>
      </c>
      <c r="AG49" s="97">
        <f t="shared" si="66"/>
        <v>20.333333333333336</v>
      </c>
      <c r="AH49" s="116">
        <v>79</v>
      </c>
      <c r="AI49" s="94">
        <v>150</v>
      </c>
      <c r="AJ49" s="94"/>
      <c r="AK49" s="94">
        <f t="shared" si="12"/>
        <v>-71</v>
      </c>
      <c r="AL49" s="94">
        <f t="shared" si="13"/>
        <v>150</v>
      </c>
      <c r="AM49" s="117">
        <f t="shared" si="14"/>
        <v>-71</v>
      </c>
      <c r="AN49" s="95">
        <v>79</v>
      </c>
      <c r="AO49" s="184">
        <v>126</v>
      </c>
      <c r="AP49" s="184"/>
      <c r="AQ49" s="94">
        <f t="shared" ref="AQ49:AQ52" si="74">AN49-AO49</f>
        <v>-47</v>
      </c>
      <c r="AR49" s="94">
        <f t="shared" si="16"/>
        <v>126</v>
      </c>
      <c r="AS49" s="117">
        <f t="shared" si="17"/>
        <v>-47</v>
      </c>
      <c r="AT49" s="116">
        <v>170</v>
      </c>
      <c r="AU49" s="94">
        <v>83.248304528549554</v>
      </c>
      <c r="AV49" s="91"/>
      <c r="AW49" s="94">
        <v>87</v>
      </c>
      <c r="AX49" s="94">
        <v>83</v>
      </c>
      <c r="AY49" s="117">
        <f t="shared" si="68"/>
        <v>87</v>
      </c>
      <c r="AZ49" s="116">
        <v>170</v>
      </c>
      <c r="BA49" s="94">
        <v>180</v>
      </c>
      <c r="BB49" s="91"/>
      <c r="BC49" s="94">
        <f t="shared" ref="BC49:BC52" si="75">AZ49-BA49</f>
        <v>-10</v>
      </c>
      <c r="BD49" s="94">
        <f t="shared" si="20"/>
        <v>180</v>
      </c>
      <c r="BE49" s="117">
        <f t="shared" si="21"/>
        <v>-10</v>
      </c>
      <c r="BF49" s="116">
        <v>84</v>
      </c>
      <c r="BG49" s="94">
        <v>310</v>
      </c>
      <c r="BH49" s="91"/>
      <c r="BI49" s="94">
        <f t="shared" ref="BI49:BI52" si="76">BF49-BG49</f>
        <v>-226</v>
      </c>
      <c r="BJ49" s="94">
        <f t="shared" si="23"/>
        <v>310</v>
      </c>
      <c r="BK49" s="117">
        <f t="shared" si="24"/>
        <v>-226</v>
      </c>
      <c r="BL49" s="116">
        <v>84</v>
      </c>
      <c r="BM49" s="94">
        <v>360</v>
      </c>
      <c r="BN49" s="91"/>
      <c r="BO49" s="94">
        <f t="shared" ref="BO49:BO52" si="77">BL49-BM49</f>
        <v>-276</v>
      </c>
      <c r="BP49" s="94">
        <f t="shared" si="26"/>
        <v>360</v>
      </c>
      <c r="BQ49" s="117">
        <f t="shared" si="27"/>
        <v>-276</v>
      </c>
      <c r="BR49" s="116">
        <v>6.1</v>
      </c>
      <c r="BS49" s="94">
        <v>19</v>
      </c>
      <c r="BT49" s="91"/>
      <c r="BU49" s="94">
        <f t="shared" ref="BU49:BU52" si="78">BR49-BS49</f>
        <v>-12.9</v>
      </c>
      <c r="BV49" s="94">
        <f t="shared" si="29"/>
        <v>19</v>
      </c>
      <c r="BW49" s="117">
        <f t="shared" si="30"/>
        <v>-12.9</v>
      </c>
      <c r="BX49" s="116">
        <v>6.1</v>
      </c>
      <c r="BY49" s="94">
        <v>14</v>
      </c>
      <c r="BZ49" s="91"/>
      <c r="CA49" s="94">
        <f t="shared" ref="CA49:CA52" si="79">BX49-BY49</f>
        <v>-7.9</v>
      </c>
      <c r="CB49" s="94">
        <f t="shared" si="32"/>
        <v>14</v>
      </c>
      <c r="CC49" s="117">
        <f t="shared" si="33"/>
        <v>-7.9</v>
      </c>
      <c r="CE49" s="50">
        <f t="shared" si="34"/>
        <v>25</v>
      </c>
    </row>
    <row r="50" spans="2:83" s="134" customFormat="1" x14ac:dyDescent="0.25">
      <c r="B50" s="160" t="s">
        <v>215</v>
      </c>
      <c r="C50" s="177">
        <v>0.65252525252525251</v>
      </c>
      <c r="D50" s="116">
        <v>156</v>
      </c>
      <c r="E50" s="94">
        <v>147.26285332739818</v>
      </c>
      <c r="F50" s="91"/>
      <c r="G50" s="94">
        <f t="shared" si="0"/>
        <v>8.7371466726018241</v>
      </c>
      <c r="H50" s="94">
        <v>147.26285332739818</v>
      </c>
      <c r="I50" s="117">
        <f t="shared" si="59"/>
        <v>8.7371466726018241</v>
      </c>
      <c r="J50" s="95">
        <v>156</v>
      </c>
      <c r="K50" s="94">
        <v>160</v>
      </c>
      <c r="L50" s="91"/>
      <c r="M50" s="94">
        <f t="shared" si="2"/>
        <v>-4</v>
      </c>
      <c r="N50" s="94">
        <v>160</v>
      </c>
      <c r="O50" s="117">
        <f t="shared" si="61"/>
        <v>-4</v>
      </c>
      <c r="P50" s="116">
        <v>156</v>
      </c>
      <c r="Q50" s="94">
        <v>146.51742441726284</v>
      </c>
      <c r="R50" s="91"/>
      <c r="S50" s="94">
        <f t="shared" si="5"/>
        <v>9.4825755827371552</v>
      </c>
      <c r="T50" s="94">
        <v>146.66666666666666</v>
      </c>
      <c r="U50" s="117">
        <f t="shared" si="63"/>
        <v>9.4825755827371552</v>
      </c>
      <c r="V50" s="116">
        <v>156</v>
      </c>
      <c r="W50" s="94">
        <v>172.64407511331748</v>
      </c>
      <c r="X50" s="91"/>
      <c r="Y50" s="94">
        <f t="shared" si="8"/>
        <v>-16.644075113317484</v>
      </c>
      <c r="Z50" s="94">
        <v>173.33333333333334</v>
      </c>
      <c r="AA50" s="117">
        <f t="shared" si="65"/>
        <v>-16.644075113317484</v>
      </c>
      <c r="AB50" s="116">
        <v>90</v>
      </c>
      <c r="AC50" s="94">
        <v>123.71830385680802</v>
      </c>
      <c r="AD50" s="91"/>
      <c r="AE50" s="94">
        <v>-33.333333333333329</v>
      </c>
      <c r="AF50" s="94">
        <v>123.33333333333333</v>
      </c>
      <c r="AG50" s="97">
        <f t="shared" si="66"/>
        <v>-33.333333333333329</v>
      </c>
      <c r="AH50" s="116">
        <v>90</v>
      </c>
      <c r="AI50" s="94">
        <v>200</v>
      </c>
      <c r="AJ50" s="94"/>
      <c r="AK50" s="94">
        <f t="shared" si="12"/>
        <v>-110</v>
      </c>
      <c r="AL50" s="94">
        <f t="shared" si="13"/>
        <v>200</v>
      </c>
      <c r="AM50" s="117">
        <f t="shared" si="14"/>
        <v>-110</v>
      </c>
      <c r="AN50" s="95">
        <v>90</v>
      </c>
      <c r="AO50" s="184">
        <v>200</v>
      </c>
      <c r="AP50" s="184"/>
      <c r="AQ50" s="94">
        <f t="shared" si="74"/>
        <v>-110</v>
      </c>
      <c r="AR50" s="94">
        <f t="shared" si="16"/>
        <v>200</v>
      </c>
      <c r="AS50" s="117">
        <f t="shared" si="17"/>
        <v>-110</v>
      </c>
      <c r="AT50" s="116">
        <v>250</v>
      </c>
      <c r="AU50" s="94">
        <v>223.60971341063225</v>
      </c>
      <c r="AV50" s="91"/>
      <c r="AW50" s="94">
        <v>26.666666666666657</v>
      </c>
      <c r="AX50" s="94">
        <v>223.33333333333334</v>
      </c>
      <c r="AY50" s="117">
        <f t="shared" si="68"/>
        <v>26.666666666666657</v>
      </c>
      <c r="AZ50" s="116">
        <v>250</v>
      </c>
      <c r="BA50" s="94">
        <v>300</v>
      </c>
      <c r="BB50" s="91"/>
      <c r="BC50" s="94">
        <f t="shared" si="75"/>
        <v>-50</v>
      </c>
      <c r="BD50" s="94">
        <f t="shared" si="20"/>
        <v>300</v>
      </c>
      <c r="BE50" s="117">
        <f t="shared" si="21"/>
        <v>-50</v>
      </c>
      <c r="BF50" s="116">
        <v>131</v>
      </c>
      <c r="BG50" s="94">
        <v>280</v>
      </c>
      <c r="BH50" s="91"/>
      <c r="BI50" s="94">
        <f t="shared" si="76"/>
        <v>-149</v>
      </c>
      <c r="BJ50" s="94">
        <f t="shared" si="23"/>
        <v>280</v>
      </c>
      <c r="BK50" s="117">
        <f t="shared" si="24"/>
        <v>-149</v>
      </c>
      <c r="BL50" s="116">
        <v>131</v>
      </c>
      <c r="BM50" s="94">
        <v>290</v>
      </c>
      <c r="BN50" s="91"/>
      <c r="BO50" s="94">
        <f t="shared" si="77"/>
        <v>-159</v>
      </c>
      <c r="BP50" s="94">
        <f t="shared" si="26"/>
        <v>290</v>
      </c>
      <c r="BQ50" s="117">
        <f t="shared" si="27"/>
        <v>-159</v>
      </c>
      <c r="BR50" s="116">
        <v>14.6</v>
      </c>
      <c r="BS50" s="94">
        <v>25</v>
      </c>
      <c r="BT50" s="91"/>
      <c r="BU50" s="94">
        <f t="shared" si="78"/>
        <v>-10.4</v>
      </c>
      <c r="BV50" s="94">
        <f t="shared" si="29"/>
        <v>25</v>
      </c>
      <c r="BW50" s="117">
        <f t="shared" si="30"/>
        <v>-10.4</v>
      </c>
      <c r="BX50" s="116">
        <v>14.6</v>
      </c>
      <c r="BY50" s="94">
        <v>18</v>
      </c>
      <c r="BZ50" s="91"/>
      <c r="CA50" s="94">
        <f t="shared" si="79"/>
        <v>-3.4000000000000004</v>
      </c>
      <c r="CB50" s="94">
        <f>BY50+BZ50</f>
        <v>18</v>
      </c>
      <c r="CC50" s="117">
        <f t="shared" si="33"/>
        <v>-3.4000000000000004</v>
      </c>
      <c r="CE50" s="50">
        <f t="shared" si="34"/>
        <v>5</v>
      </c>
    </row>
    <row r="51" spans="2:83" s="134" customFormat="1" x14ac:dyDescent="0.25">
      <c r="B51" s="160" t="s">
        <v>216</v>
      </c>
      <c r="C51" s="177">
        <v>0.6705882352941176</v>
      </c>
      <c r="D51" s="116">
        <v>218.66666666666666</v>
      </c>
      <c r="E51" s="94">
        <v>206.47429334520362</v>
      </c>
      <c r="F51" s="91"/>
      <c r="G51" s="94">
        <f t="shared" si="0"/>
        <v>12.192373321463037</v>
      </c>
      <c r="H51" s="94">
        <v>206.47429334520362</v>
      </c>
      <c r="I51" s="117">
        <f t="shared" si="59"/>
        <v>12.192373321463037</v>
      </c>
      <c r="J51" s="95">
        <v>218.66666666666666</v>
      </c>
      <c r="K51" s="94">
        <v>260</v>
      </c>
      <c r="L51" s="91"/>
      <c r="M51" s="94">
        <f t="shared" si="2"/>
        <v>-41.333333333333343</v>
      </c>
      <c r="N51" s="94">
        <v>260</v>
      </c>
      <c r="O51" s="117">
        <f t="shared" si="61"/>
        <v>-41.333333333333343</v>
      </c>
      <c r="P51" s="116">
        <v>218.66666666666666</v>
      </c>
      <c r="Q51" s="94">
        <v>226.67666743595657</v>
      </c>
      <c r="R51" s="91"/>
      <c r="S51" s="94">
        <f t="shared" si="5"/>
        <v>-8.0100007692899169</v>
      </c>
      <c r="T51" s="94">
        <v>226.66666666666666</v>
      </c>
      <c r="U51" s="117">
        <f t="shared" si="63"/>
        <v>-8.0100007692899169</v>
      </c>
      <c r="V51" s="116">
        <v>218.66666666666666</v>
      </c>
      <c r="W51" s="94">
        <v>279.22944096697603</v>
      </c>
      <c r="X51" s="91"/>
      <c r="Y51" s="94">
        <f t="shared" si="8"/>
        <v>-60.562774300309371</v>
      </c>
      <c r="Z51" s="94">
        <v>280</v>
      </c>
      <c r="AA51" s="117">
        <f t="shared" si="65"/>
        <v>-60.562774300309371</v>
      </c>
      <c r="AB51" s="116">
        <v>92</v>
      </c>
      <c r="AC51" s="94">
        <v>212.56339228638399</v>
      </c>
      <c r="AD51" s="91"/>
      <c r="AE51" s="94">
        <v>-121.33333333333334</v>
      </c>
      <c r="AF51" s="94">
        <v>213.33333333333334</v>
      </c>
      <c r="AG51" s="97">
        <f t="shared" si="66"/>
        <v>-121.33333333333334</v>
      </c>
      <c r="AH51" s="116">
        <v>92</v>
      </c>
      <c r="AI51" s="94">
        <v>300</v>
      </c>
      <c r="AJ51" s="94"/>
      <c r="AK51" s="94">
        <f t="shared" si="12"/>
        <v>-208</v>
      </c>
      <c r="AL51" s="94">
        <f t="shared" si="13"/>
        <v>300</v>
      </c>
      <c r="AM51" s="117">
        <f t="shared" si="14"/>
        <v>-208</v>
      </c>
      <c r="AN51" s="95">
        <v>92</v>
      </c>
      <c r="AO51" s="184">
        <v>260</v>
      </c>
      <c r="AP51" s="184"/>
      <c r="AQ51" s="94">
        <f t="shared" si="74"/>
        <v>-168</v>
      </c>
      <c r="AR51" s="94">
        <f t="shared" si="16"/>
        <v>260</v>
      </c>
      <c r="AS51" s="117">
        <f t="shared" si="17"/>
        <v>-168</v>
      </c>
      <c r="AT51" s="116">
        <v>290</v>
      </c>
      <c r="AU51" s="94">
        <v>370.85758039816233</v>
      </c>
      <c r="AV51" s="91"/>
      <c r="AW51" s="94">
        <v>-80</v>
      </c>
      <c r="AX51" s="94">
        <v>370</v>
      </c>
      <c r="AY51" s="117">
        <f t="shared" si="68"/>
        <v>-80</v>
      </c>
      <c r="AZ51" s="116">
        <v>290</v>
      </c>
      <c r="BA51" s="94">
        <v>450</v>
      </c>
      <c r="BB51" s="91"/>
      <c r="BC51" s="94">
        <f t="shared" si="75"/>
        <v>-160</v>
      </c>
      <c r="BD51" s="94">
        <f t="shared" si="20"/>
        <v>450</v>
      </c>
      <c r="BE51" s="117">
        <f t="shared" si="21"/>
        <v>-160</v>
      </c>
      <c r="BF51" s="116">
        <v>126</v>
      </c>
      <c r="BG51" s="94">
        <v>400</v>
      </c>
      <c r="BH51" s="91"/>
      <c r="BI51" s="94">
        <f t="shared" si="76"/>
        <v>-274</v>
      </c>
      <c r="BJ51" s="94">
        <f t="shared" si="23"/>
        <v>400</v>
      </c>
      <c r="BK51" s="117">
        <f t="shared" si="24"/>
        <v>-274</v>
      </c>
      <c r="BL51" s="116">
        <v>126</v>
      </c>
      <c r="BM51" s="94">
        <v>420</v>
      </c>
      <c r="BN51" s="91"/>
      <c r="BO51" s="94">
        <f t="shared" si="77"/>
        <v>-294</v>
      </c>
      <c r="BP51" s="94">
        <f t="shared" si="26"/>
        <v>420</v>
      </c>
      <c r="BQ51" s="117">
        <f t="shared" si="27"/>
        <v>-294</v>
      </c>
      <c r="BR51" s="116">
        <v>20.2</v>
      </c>
      <c r="BS51" s="94">
        <v>40</v>
      </c>
      <c r="BT51" s="91"/>
      <c r="BU51" s="94">
        <f t="shared" si="78"/>
        <v>-19.8</v>
      </c>
      <c r="BV51" s="94">
        <f t="shared" si="29"/>
        <v>40</v>
      </c>
      <c r="BW51" s="117">
        <f t="shared" si="30"/>
        <v>-19.8</v>
      </c>
      <c r="BX51" s="116">
        <v>20.2</v>
      </c>
      <c r="BY51" s="94">
        <v>28</v>
      </c>
      <c r="BZ51" s="91"/>
      <c r="CA51" s="94">
        <f t="shared" si="79"/>
        <v>-7.8000000000000007</v>
      </c>
      <c r="CB51" s="94">
        <f t="shared" si="32"/>
        <v>28</v>
      </c>
      <c r="CC51" s="117">
        <f t="shared" si="33"/>
        <v>-7.8000000000000007</v>
      </c>
      <c r="CE51" s="50">
        <f t="shared" si="34"/>
        <v>10</v>
      </c>
    </row>
    <row r="52" spans="2:83" s="134" customFormat="1" x14ac:dyDescent="0.25">
      <c r="B52" s="165" t="s">
        <v>217</v>
      </c>
      <c r="C52" s="177">
        <v>0.53654485049833889</v>
      </c>
      <c r="D52" s="116">
        <v>364.16666666666669</v>
      </c>
      <c r="E52" s="94">
        <v>232.96884041842861</v>
      </c>
      <c r="F52" s="92"/>
      <c r="G52" s="94">
        <f t="shared" si="0"/>
        <v>131.19782624823807</v>
      </c>
      <c r="H52" s="94">
        <v>232.96884041842861</v>
      </c>
      <c r="I52" s="117">
        <f t="shared" si="59"/>
        <v>131.19782624823807</v>
      </c>
      <c r="J52" s="95">
        <v>364.16666666666669</v>
      </c>
      <c r="K52" s="94">
        <v>240</v>
      </c>
      <c r="L52" s="92"/>
      <c r="M52" s="94">
        <f t="shared" si="2"/>
        <v>124.16666666666669</v>
      </c>
      <c r="N52" s="94">
        <v>240</v>
      </c>
      <c r="O52" s="117">
        <f t="shared" si="61"/>
        <v>124.16666666666669</v>
      </c>
      <c r="P52" s="116">
        <v>364.16666666666669</v>
      </c>
      <c r="Q52" s="94">
        <v>245.75121163166398</v>
      </c>
      <c r="R52" s="92"/>
      <c r="S52" s="94">
        <f t="shared" si="5"/>
        <v>118.41545503500271</v>
      </c>
      <c r="T52" s="94">
        <v>246.66666666666666</v>
      </c>
      <c r="U52" s="117">
        <f t="shared" si="63"/>
        <v>118.41545503500271</v>
      </c>
      <c r="V52" s="116">
        <v>364.16666666666669</v>
      </c>
      <c r="W52" s="94">
        <v>268.20202892294407</v>
      </c>
      <c r="X52" s="92"/>
      <c r="Y52" s="94">
        <f t="shared" si="8"/>
        <v>95.964637743722619</v>
      </c>
      <c r="Z52" s="94">
        <v>270</v>
      </c>
      <c r="AA52" s="117">
        <f t="shared" si="65"/>
        <v>95.964637743722619</v>
      </c>
      <c r="AB52" s="116">
        <v>15</v>
      </c>
      <c r="AC52" s="94">
        <v>151.606648199446</v>
      </c>
      <c r="AD52" s="92"/>
      <c r="AE52" s="153">
        <v>-135</v>
      </c>
      <c r="AF52" s="94">
        <v>150</v>
      </c>
      <c r="AG52" s="97">
        <f t="shared" si="66"/>
        <v>-135</v>
      </c>
      <c r="AH52" s="116">
        <v>15</v>
      </c>
      <c r="AI52" s="94">
        <v>350</v>
      </c>
      <c r="AJ52" s="94"/>
      <c r="AK52" s="94">
        <f t="shared" si="12"/>
        <v>-335</v>
      </c>
      <c r="AL52" s="94">
        <f t="shared" si="13"/>
        <v>350</v>
      </c>
      <c r="AM52" s="117">
        <f t="shared" si="14"/>
        <v>-335</v>
      </c>
      <c r="AN52" s="95">
        <v>15</v>
      </c>
      <c r="AO52" s="184">
        <v>360</v>
      </c>
      <c r="AP52" s="184"/>
      <c r="AQ52" s="94">
        <f t="shared" si="74"/>
        <v>-345</v>
      </c>
      <c r="AR52" s="94">
        <f t="shared" si="16"/>
        <v>360</v>
      </c>
      <c r="AS52" s="117">
        <f t="shared" si="17"/>
        <v>-345</v>
      </c>
      <c r="AT52" s="116">
        <v>320</v>
      </c>
      <c r="AU52" s="94">
        <v>108.65324874206956</v>
      </c>
      <c r="AV52" s="92"/>
      <c r="AW52" s="153">
        <v>211.33333333333331</v>
      </c>
      <c r="AX52" s="94">
        <v>108.66666666666667</v>
      </c>
      <c r="AY52" s="117">
        <f t="shared" si="68"/>
        <v>211.33333333333331</v>
      </c>
      <c r="AZ52" s="116">
        <v>320</v>
      </c>
      <c r="BA52" s="94">
        <v>320</v>
      </c>
      <c r="BB52" s="92"/>
      <c r="BC52" s="94">
        <f t="shared" si="75"/>
        <v>0</v>
      </c>
      <c r="BD52" s="94">
        <f t="shared" si="20"/>
        <v>320</v>
      </c>
      <c r="BE52" s="117">
        <f t="shared" si="21"/>
        <v>0</v>
      </c>
      <c r="BF52" s="116">
        <v>240</v>
      </c>
      <c r="BG52" s="94">
        <v>180</v>
      </c>
      <c r="BH52" s="92"/>
      <c r="BI52" s="94">
        <f t="shared" si="76"/>
        <v>60</v>
      </c>
      <c r="BJ52" s="94">
        <f t="shared" si="23"/>
        <v>180</v>
      </c>
      <c r="BK52" s="117">
        <f t="shared" si="24"/>
        <v>60</v>
      </c>
      <c r="BL52" s="116">
        <v>240</v>
      </c>
      <c r="BM52" s="94">
        <v>170</v>
      </c>
      <c r="BN52" s="92"/>
      <c r="BO52" s="94">
        <f t="shared" si="77"/>
        <v>70</v>
      </c>
      <c r="BP52" s="94">
        <f t="shared" si="26"/>
        <v>170</v>
      </c>
      <c r="BQ52" s="117">
        <f t="shared" si="27"/>
        <v>70</v>
      </c>
      <c r="BR52" s="116">
        <v>16</v>
      </c>
      <c r="BS52" s="94">
        <v>22</v>
      </c>
      <c r="BT52" s="92"/>
      <c r="BU52" s="94">
        <f t="shared" si="78"/>
        <v>-6</v>
      </c>
      <c r="BV52" s="94">
        <f t="shared" si="29"/>
        <v>22</v>
      </c>
      <c r="BW52" s="117">
        <f t="shared" si="30"/>
        <v>-6</v>
      </c>
      <c r="BX52" s="116">
        <v>16</v>
      </c>
      <c r="BY52" s="94">
        <v>9.6999999999999993</v>
      </c>
      <c r="BZ52" s="92"/>
      <c r="CA52" s="94">
        <f t="shared" si="79"/>
        <v>6.3000000000000007</v>
      </c>
      <c r="CB52" s="94">
        <f t="shared" si="32"/>
        <v>9.6999999999999993</v>
      </c>
      <c r="CC52" s="117">
        <f t="shared" si="33"/>
        <v>6.3000000000000007</v>
      </c>
      <c r="CE52" s="50">
        <f t="shared" si="34"/>
        <v>5</v>
      </c>
    </row>
    <row r="53" spans="2:83" s="134" customFormat="1" x14ac:dyDescent="0.25">
      <c r="B53" s="162" t="s">
        <v>33</v>
      </c>
      <c r="C53" s="168"/>
      <c r="D53" s="99">
        <f>SUM(D15:D43)</f>
        <v>863.92380952380961</v>
      </c>
      <c r="E53" s="99">
        <f>SUM(E15:E43)</f>
        <v>72.128310705541949</v>
      </c>
      <c r="F53" s="75">
        <f>SUM(F15:F43)</f>
        <v>556.18763025486294</v>
      </c>
      <c r="G53" s="75">
        <f>SUM(G15:G43)</f>
        <v>791.79549881826756</v>
      </c>
      <c r="H53" s="195">
        <f>SUM(H17:H43)</f>
        <v>627.17405630427163</v>
      </c>
      <c r="I53" s="113"/>
      <c r="J53" s="141">
        <f>SUM(J15:J43)</f>
        <v>863.92380952380961</v>
      </c>
      <c r="K53" s="99">
        <f>SUM(K15:K43)</f>
        <v>86.4</v>
      </c>
      <c r="L53" s="75">
        <f>SUM(L15:L43)</f>
        <v>401.68831584461077</v>
      </c>
      <c r="M53" s="75">
        <f>SUM(M15:M43)</f>
        <v>777.52380952380952</v>
      </c>
      <c r="N53" s="195">
        <f>SUM(N17:N43)</f>
        <v>487.59754513714051</v>
      </c>
      <c r="O53" s="113"/>
      <c r="P53" s="119">
        <f>SUM(P15:P43)</f>
        <v>863.92380952380961</v>
      </c>
      <c r="Q53" s="99">
        <f>SUM(Q15:Q43)</f>
        <v>104.84911147011309</v>
      </c>
      <c r="R53" s="75">
        <f>SUM(R15:R43)</f>
        <v>505.03230745304137</v>
      </c>
      <c r="S53" s="75">
        <f>SUM(S15:S43)</f>
        <v>759.07469805369647</v>
      </c>
      <c r="T53" s="195">
        <f>SUM(T17:T43)</f>
        <v>609.00499643567071</v>
      </c>
      <c r="U53" s="113"/>
      <c r="V53" s="119">
        <f>SUM(V15:V43)</f>
        <v>863.92380952380961</v>
      </c>
      <c r="W53" s="99">
        <f>SUM(W15:W43)</f>
        <v>181.49766889704298</v>
      </c>
      <c r="X53" s="75">
        <f>SUM(X15:X43)</f>
        <v>620.60112656845308</v>
      </c>
      <c r="Y53" s="75">
        <f>SUM(Y15:Y43)</f>
        <v>682.4261406267666</v>
      </c>
      <c r="Z53" s="195">
        <f>SUM(Z17:Z43)</f>
        <v>800.23681789374086</v>
      </c>
      <c r="AA53" s="113"/>
      <c r="AB53" s="119">
        <f t="shared" ref="AB53:AU53" si="80">SUM(AB15:AB43)</f>
        <v>230.2</v>
      </c>
      <c r="AC53" s="99">
        <f t="shared" si="80"/>
        <v>296.20666950777752</v>
      </c>
      <c r="AD53" s="75">
        <f>SUM(AD15:AD43)</f>
        <v>3.2590028362721748</v>
      </c>
      <c r="AE53" s="75">
        <f>SUM(AE15:AE43)</f>
        <v>-67.205227644008801</v>
      </c>
      <c r="AF53" s="76"/>
      <c r="AG53" s="189"/>
      <c r="AH53" s="119">
        <f t="shared" ref="AH53:AI53" si="81">SUM(AH15:AH43)</f>
        <v>230.2</v>
      </c>
      <c r="AI53" s="75">
        <f t="shared" si="81"/>
        <v>511.99999999999994</v>
      </c>
      <c r="AJ53" s="75">
        <f>SUM(AJ15:AJ43)</f>
        <v>5.501792116690793</v>
      </c>
      <c r="AK53" s="75">
        <f>SUM(AK15:AK43)</f>
        <v>-281.8</v>
      </c>
      <c r="AL53" s="76"/>
      <c r="AM53" s="189"/>
      <c r="AN53" s="141">
        <f t="shared" ref="AN53:AO53" si="82">SUM(AN15:AN43)</f>
        <v>230.2</v>
      </c>
      <c r="AO53" s="119">
        <f t="shared" si="82"/>
        <v>467.69999999999993</v>
      </c>
      <c r="AP53" s="75">
        <f>SUM(AP15:AP43)</f>
        <v>5.5030734303422246</v>
      </c>
      <c r="AQ53" s="75">
        <f>SUM(AQ15:AQ43)</f>
        <v>-237.5</v>
      </c>
      <c r="AR53" s="76"/>
      <c r="AS53" s="189"/>
      <c r="AT53" s="119">
        <f t="shared" si="80"/>
        <v>483</v>
      </c>
      <c r="AU53" s="99">
        <f t="shared" si="80"/>
        <v>375.60522861518263</v>
      </c>
      <c r="AV53" s="75">
        <f>SUM(AV15:AV43)</f>
        <v>15.211924520559762</v>
      </c>
      <c r="AW53" s="75">
        <f>SUM(AW15:AW43)</f>
        <v>107.20010209290454</v>
      </c>
      <c r="AX53" s="76"/>
      <c r="AY53" s="113"/>
      <c r="AZ53" s="119">
        <f t="shared" ref="AZ53:BA53" si="83">SUM(AZ15:AZ43)</f>
        <v>483</v>
      </c>
      <c r="BA53" s="119">
        <f t="shared" si="83"/>
        <v>212</v>
      </c>
      <c r="BB53" s="75">
        <f>SUM(BB15:BB43)</f>
        <v>23.315792539836487</v>
      </c>
      <c r="BC53" s="75">
        <f>SUM(BC15:BC43)</f>
        <v>271</v>
      </c>
      <c r="BD53" s="76"/>
      <c r="BE53" s="189"/>
      <c r="BF53" s="119">
        <f t="shared" ref="BF53:BG53" si="84">SUM(BF15:BF43)</f>
        <v>158.69999999999999</v>
      </c>
      <c r="BG53" s="119">
        <f t="shared" si="84"/>
        <v>273.8</v>
      </c>
      <c r="BH53" s="75">
        <v>115.49610770767913</v>
      </c>
      <c r="BI53" s="75">
        <f>SUM(BI15:BI43)</f>
        <v>-115.1</v>
      </c>
      <c r="BJ53" s="76"/>
      <c r="BK53" s="189"/>
      <c r="BL53" s="119">
        <f t="shared" ref="BL53:BM53" si="85">SUM(BL15:BL43)</f>
        <v>158.69999999999999</v>
      </c>
      <c r="BM53" s="119">
        <f t="shared" si="85"/>
        <v>328.49999999999994</v>
      </c>
      <c r="BN53" s="75">
        <v>137.48735433949309</v>
      </c>
      <c r="BO53" s="75">
        <f>SUM(BO15:BO43)</f>
        <v>-169.8</v>
      </c>
      <c r="BP53" s="76"/>
      <c r="BQ53" s="189"/>
      <c r="BR53" s="119">
        <f t="shared" ref="BR53:BS53" si="86">SUM(BR15:BR43)</f>
        <v>39.4</v>
      </c>
      <c r="BS53" s="119">
        <f t="shared" si="86"/>
        <v>16.2</v>
      </c>
      <c r="BT53" s="75">
        <v>26.776</v>
      </c>
      <c r="BU53" s="75">
        <f>SUM(BU15:BU43)</f>
        <v>23.2</v>
      </c>
      <c r="BV53" s="76"/>
      <c r="BW53" s="189"/>
      <c r="BX53" s="119">
        <f t="shared" ref="BX53:BY53" si="87">SUM(BX15:BX43)</f>
        <v>39.4</v>
      </c>
      <c r="BY53" s="119">
        <f t="shared" si="87"/>
        <v>15.100000000000001</v>
      </c>
      <c r="BZ53" s="75">
        <v>27.45</v>
      </c>
      <c r="CA53" s="75">
        <f>SUM(CA15:CA43)</f>
        <v>24.3</v>
      </c>
      <c r="CB53" s="76"/>
      <c r="CC53" s="189"/>
    </row>
    <row r="54" spans="2:83" s="134" customFormat="1" x14ac:dyDescent="0.25">
      <c r="B54" s="162" t="s">
        <v>259</v>
      </c>
      <c r="C54" s="168"/>
      <c r="D54" s="119">
        <f>SUM(D15:D52)</f>
        <v>2033.5904761904765</v>
      </c>
      <c r="E54" s="99">
        <f>SUM(E15:E52)</f>
        <v>1085.4308924994434</v>
      </c>
      <c r="F54" s="68"/>
      <c r="G54" s="75">
        <f>SUM(G15:G52)</f>
        <v>948.15958369103282</v>
      </c>
      <c r="H54" s="76"/>
      <c r="I54" s="113"/>
      <c r="J54" s="141">
        <f>SUM(J15:J52)</f>
        <v>2033.5904761904765</v>
      </c>
      <c r="K54" s="99">
        <f>SUM(K15:K52)</f>
        <v>1255.5</v>
      </c>
      <c r="L54" s="68"/>
      <c r="M54" s="75">
        <f>SUM(M15:M52)</f>
        <v>778.09047619047624</v>
      </c>
      <c r="N54" s="76"/>
      <c r="O54" s="113"/>
      <c r="P54" s="119">
        <f>SUM(P15:P52)</f>
        <v>2033.5904761904765</v>
      </c>
      <c r="Q54" s="99">
        <v>1180.70611585507</v>
      </c>
      <c r="R54" s="68"/>
      <c r="S54" s="75">
        <f>SUM(S15:S52)</f>
        <v>852.88436033541029</v>
      </c>
      <c r="T54" s="76"/>
      <c r="U54" s="113"/>
      <c r="V54" s="119">
        <f>SUM(V15:V52)</f>
        <v>2033.5904761904765</v>
      </c>
      <c r="W54" s="99">
        <v>1440.966717030002</v>
      </c>
      <c r="X54" s="68"/>
      <c r="Y54" s="75">
        <f>SUM(Y15:Y52)</f>
        <v>592.62375916047415</v>
      </c>
      <c r="Z54" s="76"/>
      <c r="AA54" s="113"/>
      <c r="AB54" s="119">
        <f>SUM(AB15:AB52)</f>
        <v>1410.2</v>
      </c>
      <c r="AC54" s="99">
        <v>1180.8355849137013</v>
      </c>
      <c r="AD54" s="68"/>
      <c r="AE54" s="75">
        <f>SUM(AE15:AE52)</f>
        <v>227.52810568932466</v>
      </c>
      <c r="AF54" s="76"/>
      <c r="AG54" s="189"/>
      <c r="AH54" s="119">
        <f>SUM(AH15:AH52)</f>
        <v>1410.2</v>
      </c>
      <c r="AI54" s="75">
        <f>SUM(AI15:AI52)</f>
        <v>1913</v>
      </c>
      <c r="AJ54" s="62"/>
      <c r="AK54" s="75">
        <f>SUM(AK15:AK52)</f>
        <v>-502.8</v>
      </c>
      <c r="AL54" s="76"/>
      <c r="AM54" s="189"/>
      <c r="AN54" s="141">
        <f>SUM(AN15:AN52)</f>
        <v>1410.2</v>
      </c>
      <c r="AO54" s="119">
        <f>SUM(AO15:AO52)</f>
        <v>1745.6999999999998</v>
      </c>
      <c r="AP54" s="183"/>
      <c r="AQ54" s="75">
        <f>SUM(AQ15:AQ52)</f>
        <v>-335.5</v>
      </c>
      <c r="AR54" s="76"/>
      <c r="AS54" s="189"/>
      <c r="AT54" s="119">
        <f>SUM(AT15:AT52)</f>
        <v>2188.3000000000002</v>
      </c>
      <c r="AU54" s="99">
        <v>1654.8790417851674</v>
      </c>
      <c r="AV54" s="68"/>
      <c r="AW54" s="75">
        <f>SUM(AW15:AW52)</f>
        <v>535.16676875957114</v>
      </c>
      <c r="AX54" s="76"/>
      <c r="AY54" s="113"/>
      <c r="AZ54" s="119">
        <f>SUM(AZ15:AZ52)</f>
        <v>2188.3000000000002</v>
      </c>
      <c r="BA54" s="119">
        <f>SUM(BA15:BA52)</f>
        <v>1889</v>
      </c>
      <c r="BB54" s="68"/>
      <c r="BC54" s="75">
        <f>SUM(BC15:BC52)</f>
        <v>299.29999999999995</v>
      </c>
      <c r="BD54" s="76"/>
      <c r="BE54" s="189"/>
      <c r="BF54" s="119">
        <f>SUM(BF15:BF52)</f>
        <v>1191</v>
      </c>
      <c r="BG54" s="119">
        <f>SUM(BG15:BG52)</f>
        <v>1977.8</v>
      </c>
      <c r="BH54" s="68"/>
      <c r="BI54" s="75">
        <f>SUM(BI15:BI52)</f>
        <v>-786.8</v>
      </c>
      <c r="BJ54" s="76"/>
      <c r="BK54" s="189"/>
      <c r="BL54" s="119">
        <f>SUM(BL15:BL52)</f>
        <v>1191</v>
      </c>
      <c r="BM54" s="119">
        <f>SUM(BM15:BM52)</f>
        <v>2139.5</v>
      </c>
      <c r="BN54" s="68"/>
      <c r="BO54" s="75">
        <f>SUM(BO15:BO52)</f>
        <v>-948.5</v>
      </c>
      <c r="BP54" s="76"/>
      <c r="BQ54" s="189"/>
      <c r="BR54" s="119">
        <f>SUM(BR15:BR52)</f>
        <v>143.6</v>
      </c>
      <c r="BS54" s="119">
        <f>SUM(BS15:BS52)</f>
        <v>193.39999999999998</v>
      </c>
      <c r="BT54" s="68"/>
      <c r="BU54" s="75">
        <f>SUM(BU15:BU52)</f>
        <v>-49.8</v>
      </c>
      <c r="BV54" s="76"/>
      <c r="BW54" s="189"/>
      <c r="BX54" s="119">
        <f>SUM(BX15:BX52)</f>
        <v>143.6</v>
      </c>
      <c r="BY54" s="119">
        <f>SUM(BY15:BY52)</f>
        <v>119.8</v>
      </c>
      <c r="BZ54" s="68"/>
      <c r="CA54" s="75">
        <f>SUM(CA15:CA52)</f>
        <v>23.800000000000011</v>
      </c>
      <c r="CB54" s="76"/>
      <c r="CC54" s="189"/>
    </row>
    <row r="55" spans="2:83" s="134" customFormat="1" x14ac:dyDescent="0.25">
      <c r="B55" s="162" t="s">
        <v>218</v>
      </c>
      <c r="C55" s="168"/>
      <c r="D55" s="119">
        <v>1220</v>
      </c>
      <c r="E55" s="75">
        <v>1071.726240819052</v>
      </c>
      <c r="F55" s="68"/>
      <c r="G55" s="62"/>
      <c r="H55" s="62"/>
      <c r="I55" s="113"/>
      <c r="J55" s="141">
        <v>1220</v>
      </c>
      <c r="K55" s="75">
        <v>510</v>
      </c>
      <c r="L55" s="68"/>
      <c r="M55" s="62"/>
      <c r="N55" s="62"/>
      <c r="O55" s="113"/>
      <c r="P55" s="119">
        <v>1220</v>
      </c>
      <c r="Q55" s="75">
        <v>1003.0856219709209</v>
      </c>
      <c r="R55" s="68"/>
      <c r="S55" s="62"/>
      <c r="T55" s="62"/>
      <c r="U55" s="113"/>
      <c r="V55" s="119">
        <v>1220</v>
      </c>
      <c r="W55" s="75">
        <v>1284.6535721994387</v>
      </c>
      <c r="X55" s="68"/>
      <c r="Y55" s="62"/>
      <c r="Z55" s="62"/>
      <c r="AA55" s="113"/>
      <c r="AB55" s="119">
        <v>300</v>
      </c>
      <c r="AC55" s="75">
        <v>979.79330918389087</v>
      </c>
      <c r="AD55" s="68"/>
      <c r="AE55" s="62"/>
      <c r="AF55" s="62"/>
      <c r="AG55" s="189"/>
      <c r="AH55" s="119">
        <v>300</v>
      </c>
      <c r="AI55" s="62">
        <v>830</v>
      </c>
      <c r="AJ55" s="62"/>
      <c r="AK55" s="62"/>
      <c r="AL55" s="62"/>
      <c r="AM55" s="189"/>
      <c r="AN55" s="141">
        <v>300</v>
      </c>
      <c r="AO55" s="119">
        <v>1300</v>
      </c>
      <c r="AP55" s="183"/>
      <c r="AQ55" s="62"/>
      <c r="AR55" s="62"/>
      <c r="AS55" s="189"/>
      <c r="AT55" s="119">
        <v>1042</v>
      </c>
      <c r="AU55" s="75">
        <v>1466.5499890614742</v>
      </c>
      <c r="AV55" s="68"/>
      <c r="AW55" s="62"/>
      <c r="AX55" s="62"/>
      <c r="AY55" s="113"/>
      <c r="AZ55" s="119">
        <v>1042</v>
      </c>
      <c r="BA55" s="99">
        <v>1300</v>
      </c>
      <c r="BB55" s="68"/>
      <c r="BC55" s="62"/>
      <c r="BD55" s="62"/>
      <c r="BE55" s="189"/>
      <c r="BF55" s="119">
        <v>1100</v>
      </c>
      <c r="BG55" s="99">
        <v>1700</v>
      </c>
      <c r="BH55" s="68"/>
      <c r="BI55" s="62"/>
      <c r="BJ55" s="62"/>
      <c r="BK55" s="189"/>
      <c r="BL55" s="119">
        <v>1100</v>
      </c>
      <c r="BM55" s="119">
        <v>1800</v>
      </c>
      <c r="BN55" s="68"/>
      <c r="BO55" s="62"/>
      <c r="BP55" s="62"/>
      <c r="BQ55" s="189"/>
      <c r="BR55" s="119">
        <v>21</v>
      </c>
      <c r="BS55" s="119">
        <v>45</v>
      </c>
      <c r="BT55" s="68"/>
      <c r="BU55" s="62"/>
      <c r="BV55" s="62"/>
      <c r="BW55" s="189"/>
      <c r="BX55" s="119">
        <v>21</v>
      </c>
      <c r="BY55" s="119">
        <v>51</v>
      </c>
      <c r="BZ55" s="68"/>
      <c r="CA55" s="62"/>
      <c r="CB55" s="62"/>
      <c r="CC55" s="189"/>
    </row>
    <row r="56" spans="2:83" s="134" customFormat="1" x14ac:dyDescent="0.25">
      <c r="B56" s="162" t="s">
        <v>283</v>
      </c>
      <c r="C56" s="168"/>
      <c r="D56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,D44*$B$39,D45*$B$40,D46*$B$41,D47*$B$42,D48*$B$43,D49*$B$44,D50*$B$45,D51*$B$46,D52*$B$47)</f>
        <v>#VALUE!</v>
      </c>
      <c r="E56" s="75" t="e">
        <f t="shared" ref="E56:AZ56" si="88">SUM(E17*$B$12,E18*$B$13,E19*$B$14,E20*$B$15,E21*$B$16,E22*$B$17,E23*$B$18,E24*$B$19,E25*$B$20,E26*$B$21,E27*$B$22,E28*$B$23,E29*$B$24,E30*$B$25,E31*$B$26,E32*$B$27,E33*$B$28,E34*$B$29,E35*$B$30,E36*$B$31,E37*$B$32,E38*$B$33,E39*$B$34,E40*$B$35,E41*$B$36,E42*$B$37,E43*$B$38,E44*$B$39,E45*$B$40,E46*$B$41,E47*$B$42,E48*$B$43,E49*$B$44,E50*$B$45,E51*$B$46,E52*$B$47)</f>
        <v>#VALUE!</v>
      </c>
      <c r="F56" s="75" t="e">
        <f>SUM(F17*$B$12,F18*$B$13,F19*$B$14,F20*$B$15,F21*$B$16,F22*$B$17,F23*$B$18,F24*$B$19,F25*$B$20,F26*$B$21,F27*$B$22,F28*$B$23,F29*$B$24,F30*$B$25,F31*$B$26,F32*$B$27,F33*$B$28,F34*$B$29,F35*$B$30,F36*$B$31,F37*$B$32,F38*$B$33,F39*$B$34,F40*$B$35,F41*$B$36,F42*$B$37,F43*$B$38,F44*$B$39,F45*$B$40,F46*$B$41,F47*$B$42,F48*$B$43,F49*$B$44,F50*$B$45,F51*$B$46,F52*$B$47)</f>
        <v>#VALUE!</v>
      </c>
      <c r="G56" s="75" t="e">
        <f>SUM(G17*$B$12,G18*$B$13,G19*$B$14,G20*$B$15,G21*$B$16,G22*$B$17,G23*$B$18,G24*$B$19,G25*$B$20,G26*$B$21,G27*$B$22,G28*$B$23,G29*$B$24,G30*$B$25,G31*$B$26,G32*$B$27,G33*$B$28,G34*$B$29,G35*$B$30,G36*$B$31,G37*$B$32,G38*$B$33,G39*$B$34,G40*$B$35,G41*$B$36,G42*$B$37,G43*$B$38,G44*$B$39,G45*$B$40,G46*$B$41,G47*$B$42,G48*$B$43,G49*$B$44,G50*$B$45,G51*$B$46,G52*$B$47)</f>
        <v>#VALUE!</v>
      </c>
      <c r="H56" s="75" t="e">
        <f t="shared" si="88"/>
        <v>#VALUE!</v>
      </c>
      <c r="I56" s="118" t="e">
        <f t="shared" si="88"/>
        <v>#VALUE!</v>
      </c>
      <c r="J56" s="141" t="e">
        <f t="shared" si="88"/>
        <v>#VALUE!</v>
      </c>
      <c r="K56" s="75" t="e">
        <f t="shared" si="88"/>
        <v>#VALUE!</v>
      </c>
      <c r="L56" s="75" t="e">
        <f t="shared" si="88"/>
        <v>#VALUE!</v>
      </c>
      <c r="M56" s="75" t="e">
        <f t="shared" si="88"/>
        <v>#VALUE!</v>
      </c>
      <c r="N56" s="75" t="e">
        <f t="shared" si="88"/>
        <v>#VALUE!</v>
      </c>
      <c r="O56" s="118" t="e">
        <f t="shared" si="88"/>
        <v>#VALUE!</v>
      </c>
      <c r="P56" s="119" t="e">
        <f t="shared" si="88"/>
        <v>#VALUE!</v>
      </c>
      <c r="Q56" s="75" t="e">
        <f t="shared" si="88"/>
        <v>#VALUE!</v>
      </c>
      <c r="R56" s="75" t="e">
        <f t="shared" si="88"/>
        <v>#VALUE!</v>
      </c>
      <c r="S56" s="75" t="e">
        <f t="shared" si="88"/>
        <v>#VALUE!</v>
      </c>
      <c r="T56" s="75" t="e">
        <f t="shared" si="88"/>
        <v>#VALUE!</v>
      </c>
      <c r="U56" s="118" t="e">
        <f t="shared" si="88"/>
        <v>#VALUE!</v>
      </c>
      <c r="V56" s="119" t="e">
        <f t="shared" si="88"/>
        <v>#VALUE!</v>
      </c>
      <c r="W56" s="75" t="e">
        <f t="shared" si="88"/>
        <v>#VALUE!</v>
      </c>
      <c r="X56" s="75" t="e">
        <f t="shared" si="88"/>
        <v>#VALUE!</v>
      </c>
      <c r="Y56" s="75" t="e">
        <f t="shared" si="88"/>
        <v>#VALUE!</v>
      </c>
      <c r="Z56" s="75" t="e">
        <f t="shared" si="88"/>
        <v>#VALUE!</v>
      </c>
      <c r="AA56" s="118" t="e">
        <f t="shared" si="88"/>
        <v>#VALUE!</v>
      </c>
      <c r="AB56" s="119" t="e">
        <f t="shared" si="88"/>
        <v>#VALUE!</v>
      </c>
      <c r="AC56" s="75" t="e">
        <f t="shared" si="88"/>
        <v>#VALUE!</v>
      </c>
      <c r="AD56" s="75" t="e">
        <f>SUM(AD17*$B$12,AD18*$B$13,AD19*$B$14,AD20*$B$15,AD21*$B$16,AD22*$B$17,AD23*$B$18,AD24*$B$19,AD25*$B$20,AD26*$B$21,AD27*$B$22,AD28*$B$23,AD29*$B$24,AD30*$B$25,AD31*$B$26,AD32*$B$27,AD33*$B$28,AD34*$B$29,AD35*$B$30,AD36*$B$31,AD37*$B$32,AD38*$B$33,AD39*$B$34,AD40*$B$35,AD41*$B$36,AD42*$B$37,AD43*$B$38,AD44*$B$39,AD45*$B$40,AD46*$B$41,AD47*$B$42,AD48*$B$43,AD49*$B$44,AD50*$B$45,AD51*$B$46,AD52*$B$47)</f>
        <v>#VALUE!</v>
      </c>
      <c r="AE56" s="75" t="e">
        <f>SUM(AE17*$B$12,AE18*$B$13,AE19*$B$14,AE20*$B$15,AE21*$B$16,AE22*$B$17,AE23*$B$18,AE24*$B$19,AE25*$B$20,AE26*$B$21,AE27*$B$22,AE28*$B$23,AE29*$B$24,AE30*$B$25,AE31*$B$26,AE32*$B$27,AE33*$B$28,AE34*$B$29,AE35*$B$30,AE36*$B$31,AE37*$B$32,AE38*$B$33,AE39*$B$34,AE40*$B$35,AE41*$B$36,AE42*$B$37,AE43*$B$38,AE44*$B$39,AE45*$B$40,AE46*$B$41,AE47*$B$42,AE48*$B$43,AE49*$B$44,AE50*$B$45,AE51*$B$46,AE52*$B$47)</f>
        <v>#VALUE!</v>
      </c>
      <c r="AF56" s="75" t="e">
        <f t="shared" si="88"/>
        <v>#VALUE!</v>
      </c>
      <c r="AG56" s="99" t="e">
        <f t="shared" si="88"/>
        <v>#VALUE!</v>
      </c>
      <c r="AH56" s="119" t="e">
        <f t="shared" si="88"/>
        <v>#VALUE!</v>
      </c>
      <c r="AI56" s="75" t="e">
        <f>SUM(AI17*$B$12,AI18*$B$13,AI19*$B$14,AI20*$B$15,AI21*$B$16,AI22*$B$17,AI23*$B$18,AI24*$B$19,AI25*$B$20,AI26*$B$21,AI27*$B$22,AI28*$B$23,AI29*$B$24,AI30*$B$25,AI31*$B$26,AI32*$B$27,AI33*$B$28,AI34*$B$29,AI35*$B$30,AI36*$B$31,AI37*$B$32,AI38*$B$33,AI39*$B$34,AI40*$B$35,AI41*$B$36,AI42*$B$37,AI43*$B$38,AI44*$B$39,AI45*$B$40,AI46*$B$41,AI47*$B$42,AI48*$B$43,AI49*$B$44,AI50*$B$45,AI51*$B$46,AI52*$B$47)</f>
        <v>#VALUE!</v>
      </c>
      <c r="AJ56" s="75" t="e">
        <f>SUM(AJ17*$B$12,AJ18*$B$13,AJ19*$B$14,AJ20*$B$15,AJ21*$B$16,AJ22*$B$17,AJ23*$B$18,AJ24*$B$19,AJ25*$B$20,AJ26*$B$21,AJ27*$B$22,AJ28*$B$23,AJ29*$B$24,AJ30*$B$25,AJ31*$B$26,AJ32*$B$27,AJ33*$B$28,AJ34*$B$29,AJ35*$B$30,AJ36*$B$31,AJ37*$B$32,AJ38*$B$33,AJ39*$B$34,AJ40*$B$35,AJ41*$B$36,AJ42*$B$37,AJ43*$B$38,AJ44*$B$39,AJ45*$B$40,AJ46*$B$41,AJ47*$B$42,AJ48*$B$43,AJ49*$B$44,AJ50*$B$45,AJ51*$B$46,AJ52*$B$47)</f>
        <v>#VALUE!</v>
      </c>
      <c r="AK56" s="75" t="e">
        <f>SUM(AK17*$B$12,AK18*$B$13,AK19*$B$14,AK20*$B$15,AK21*$B$16,AK22*$B$17,AK23*$B$18,AK24*$B$19,AK25*$B$20,AK26*$B$21,AK27*$B$22,AK28*$B$23,AK29*$B$24,AK30*$B$25,AK31*$B$26,AK32*$B$27,AK33*$B$28,AK34*$B$29,AK35*$B$30,AK36*$B$31,AK37*$B$32,AK38*$B$33,AK39*$B$34,AK40*$B$35,AK41*$B$36,AK42*$B$37,AK43*$B$38,AK44*$B$39,AK45*$B$40,AK46*$B$41,AK47*$B$42,AK48*$B$43,AK49*$B$44,AK50*$B$45,AK51*$B$46,AK52*$B$47)</f>
        <v>#VALUE!</v>
      </c>
      <c r="AL56" s="75" t="e">
        <f t="shared" ref="AL56:AO56" si="89">SUM(AL17*$B$12,AL18*$B$13,AL19*$B$14,AL20*$B$15,AL21*$B$16,AL22*$B$17,AL23*$B$18,AL24*$B$19,AL25*$B$20,AL26*$B$21,AL27*$B$22,AL28*$B$23,AL29*$B$24,AL30*$B$25,AL31*$B$26,AL32*$B$27,AL33*$B$28,AL34*$B$29,AL35*$B$30,AL36*$B$31,AL37*$B$32,AL38*$B$33,AL39*$B$34,AL40*$B$35,AL41*$B$36,AL42*$B$37,AL43*$B$38,AL44*$B$39,AL45*$B$40,AL46*$B$41,AL47*$B$42,AL48*$B$43,AL49*$B$44,AL50*$B$45,AL51*$B$46,AL52*$B$47)</f>
        <v>#VALUE!</v>
      </c>
      <c r="AM56" s="99" t="e">
        <f t="shared" si="89"/>
        <v>#VALUE!</v>
      </c>
      <c r="AN56" s="141" t="e">
        <f t="shared" si="89"/>
        <v>#VALUE!</v>
      </c>
      <c r="AO56" s="119" t="e">
        <f t="shared" si="89"/>
        <v>#VALUE!</v>
      </c>
      <c r="AP56" s="75" t="e">
        <f>SUM(AP17*$B$12,AP18*$B$13,AP19*$B$14,AP20*$B$15,AP21*$B$16,AP22*$B$17,AP23*$B$18,AP24*$B$19,AP25*$B$20,AP26*$B$21,AP27*$B$22,AP28*$B$23,AP29*$B$24,AP30*$B$25,AP31*$B$26,AP32*$B$27,AP33*$B$28,AP34*$B$29,AP35*$B$30,AP36*$B$31,AP37*$B$32,AP38*$B$33,AP39*$B$34,AP40*$B$35,AP41*$B$36,AP42*$B$37,AP43*$B$38,AP44*$B$39,AP45*$B$40,AP46*$B$41,AP47*$B$42,AP48*$B$43,AP49*$B$44,AP50*$B$45,AP51*$B$46,AP52*$B$47)</f>
        <v>#VALUE!</v>
      </c>
      <c r="AQ56" s="75" t="e">
        <f>SUM(AQ17*$B$12,AQ18*$B$13,AQ19*$B$14,AQ20*$B$15,AQ21*$B$16,AQ22*$B$17,AQ23*$B$18,AQ24*$B$19,AQ25*$B$20,AQ26*$B$21,AQ27*$B$22,AQ28*$B$23,AQ29*$B$24,AQ30*$B$25,AQ31*$B$26,AQ32*$B$27,AQ33*$B$28,AQ34*$B$29,AQ35*$B$30,AQ36*$B$31,AQ37*$B$32,AQ38*$B$33,AQ39*$B$34,AQ40*$B$35,AQ41*$B$36,AQ42*$B$37,AQ43*$B$38,AQ44*$B$39,AQ45*$B$40,AQ46*$B$41,AQ47*$B$42,AQ48*$B$43,AQ49*$B$44,AQ50*$B$45,AQ51*$B$46,AQ52*$B$47)</f>
        <v>#VALUE!</v>
      </c>
      <c r="AR56" s="75" t="e">
        <f t="shared" ref="AR56:AS56" si="90">SUM(AR17*$B$12,AR18*$B$13,AR19*$B$14,AR20*$B$15,AR21*$B$16,AR22*$B$17,AR23*$B$18,AR24*$B$19,AR25*$B$20,AR26*$B$21,AR27*$B$22,AR28*$B$23,AR29*$B$24,AR30*$B$25,AR31*$B$26,AR32*$B$27,AR33*$B$28,AR34*$B$29,AR35*$B$30,AR36*$B$31,AR37*$B$32,AR38*$B$33,AR39*$B$34,AR40*$B$35,AR41*$B$36,AR42*$B$37,AR43*$B$38,AR44*$B$39,AR45*$B$40,AR46*$B$41,AR47*$B$42,AR48*$B$43,AR49*$B$44,AR50*$B$45,AR51*$B$46,AR52*$B$47)</f>
        <v>#VALUE!</v>
      </c>
      <c r="AS56" s="99" t="e">
        <f t="shared" si="90"/>
        <v>#VALUE!</v>
      </c>
      <c r="AT56" s="119" t="e">
        <f t="shared" si="88"/>
        <v>#VALUE!</v>
      </c>
      <c r="AU56" s="75" t="e">
        <f t="shared" si="88"/>
        <v>#VALUE!</v>
      </c>
      <c r="AV56" s="75" t="e">
        <f t="shared" si="88"/>
        <v>#VALUE!</v>
      </c>
      <c r="AW56" s="75" t="e">
        <f t="shared" si="88"/>
        <v>#VALUE!</v>
      </c>
      <c r="AX56" s="75" t="e">
        <f t="shared" si="88"/>
        <v>#VALUE!</v>
      </c>
      <c r="AY56" s="118" t="e">
        <f t="shared" si="88"/>
        <v>#VALUE!</v>
      </c>
      <c r="AZ56" s="119" t="e">
        <f t="shared" si="88"/>
        <v>#VALUE!</v>
      </c>
      <c r="BA56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,BA44*$B$39,BA45*$B$40,BA46*$B$41,BA47*$B$42,BA48*$B$43,BA49*$B$44,BA50*$B$45,BA51*$B$46,BA52*$B$47)</f>
        <v>#VALUE!</v>
      </c>
      <c r="BB56" s="75" t="e">
        <f t="shared" ref="BB56" si="91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,BB44*$B$39,BB45*$B$40,BB46*$B$41,BB47*$B$42,BB48*$B$43,BB49*$B$44,BB50*$B$45,BB51*$B$46,BB52*$B$47)</f>
        <v>#VALUE!</v>
      </c>
      <c r="BC56" s="75" t="e">
        <f>SUM(BC17*$B$12,BC18*$B$13,BC19*$B$14,BC20*$B$15,BC21*$B$16,BC22*$B$17,BC23*$B$18,BC24*$B$19,BC25*$B$20,BC26*$B$21,BC27*$B$22,BC28*$B$23,BC29*$B$24,BC30*$B$25,BC31*$B$26,BC32*$B$27,BC33*$B$28,BC34*$B$29,BC35*$B$30,BC36*$B$31,BC37*$B$32,BC38*$B$33,BC39*$B$34,BC40*$B$35,BC41*$B$36,BC42*$B$37,BC43*$B$38,BC44*$B$39,BC45*$B$40,BC46*$B$41,BC47*$B$42,BC48*$B$43,BC49*$B$44,BC50*$B$45,BC51*$B$46,BC52*$B$47)</f>
        <v>#VALUE!</v>
      </c>
      <c r="BD56" s="75" t="e">
        <f t="shared" ref="BD56:BE56" si="92">SUM(BD17*$B$12,BD18*$B$13,BD19*$B$14,BD20*$B$15,BD21*$B$16,BD22*$B$17,BD23*$B$18,BD24*$B$19,BD25*$B$20,BD26*$B$21,BD27*$B$22,BD28*$B$23,BD29*$B$24,BD30*$B$25,BD31*$B$26,BD32*$B$27,BD33*$B$28,BD34*$B$29,BD35*$B$30,BD36*$B$31,BD37*$B$32,BD38*$B$33,BD39*$B$34,BD40*$B$35,BD41*$B$36,BD42*$B$37,BD43*$B$38,BD44*$B$39,BD45*$B$40,BD46*$B$41,BD47*$B$42,BD48*$B$43,BD49*$B$44,BD50*$B$45,BD51*$B$46,BD52*$B$47)</f>
        <v>#VALUE!</v>
      </c>
      <c r="BE56" s="99" t="e">
        <f t="shared" si="92"/>
        <v>#VALUE!</v>
      </c>
      <c r="BF56" s="119" t="e">
        <f>SUM(BF17*$B$12,BF18*$B$13,BF19*$B$14,BF20*$B$15,BF21*$B$16,BF22*$B$17,BF23*$B$18,BF24*$B$19,BF25*$B$20,BF26*$B$21,BF27*$B$22,BF28*$B$23,BF29*$B$24,BF30*$B$25,BF31*$B$26,BF32*$B$27,BF33*$B$28,BF34*$B$29,BF35*$B$30,BF36*$B$31,BF37*$B$32,BF38*$B$33,BF39*$B$34,BF40*$B$35,BF41*$B$36,BF42*$B$37,BF43*$B$38,BF44*$B$39,BF45*$B$40,BF46*$B$41,BF47*$B$42,BF48*$B$43,BF49*$B$44,BF50*$B$45,BF51*$B$46,BF52*$B$47)</f>
        <v>#VALUE!</v>
      </c>
      <c r="BG56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,BG44*$B$39,BG45*$B$40,BG46*$B$41,BG47*$B$42,BG48*$B$43,BG49*$B$44,BG50*$B$45,BG51*$B$46,BG52*$B$47)</f>
        <v>#VALUE!</v>
      </c>
      <c r="BH56" s="75"/>
      <c r="BI56" s="75" t="e">
        <f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,BI44*$B$39,BI45*$B$40,BI46*$B$41,BI47*$B$42,BI48*$B$43,BI49*$B$44,BI50*$B$45,BI51*$B$46,BI52*$B$47)</f>
        <v>#VALUE!</v>
      </c>
      <c r="BJ56" s="75" t="e">
        <f t="shared" ref="BJ56:BK56" si="93">SUM(BJ17*$B$12,BJ18*$B$13,BJ19*$B$14,BJ20*$B$15,BJ21*$B$16,BJ22*$B$17,BJ23*$B$18,BJ24*$B$19,BJ25*$B$20,BJ26*$B$21,BJ27*$B$22,BJ28*$B$23,BJ29*$B$24,BJ30*$B$25,BJ31*$B$26,BJ32*$B$27,BJ33*$B$28,BJ34*$B$29,BJ35*$B$30,BJ36*$B$31,BJ37*$B$32,BJ38*$B$33,BJ39*$B$34,BJ40*$B$35,BJ41*$B$36,BJ42*$B$37,BJ43*$B$38,BJ44*$B$39,BJ45*$B$40,BJ46*$B$41,BJ47*$B$42,BJ48*$B$43,BJ49*$B$44,BJ50*$B$45,BJ51*$B$46,BJ52*$B$47)</f>
        <v>#VALUE!</v>
      </c>
      <c r="BK56" s="99" t="e">
        <f t="shared" si="93"/>
        <v>#VALUE!</v>
      </c>
      <c r="BL56" s="119" t="e">
        <f>SUM(BL17*$B$12,BL18*$B$13,BL19*$B$14,BL20*$B$15,BL21*$B$16,BL22*$B$17,BL23*$B$18,BL24*$B$19,BL25*$B$20,BL26*$B$21,BL27*$B$22,BL28*$B$23,BL29*$B$24,BL30*$B$25,BL31*$B$26,BL32*$B$27,BL33*$B$28,BL34*$B$29,BL35*$B$30,BL36*$B$31,BL37*$B$32,BL38*$B$33,BL39*$B$34,BL40*$B$35,BL41*$B$36,BL42*$B$37,BL43*$B$38,BL44*$B$39,BL45*$B$40,BL46*$B$41,BL47*$B$42,BL48*$B$43,BL49*$B$44,BL50*$B$45,BL51*$B$46,BL52*$B$47)</f>
        <v>#VALUE!</v>
      </c>
      <c r="BM56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,BM44*$B$39,BM45*$B$40,BM46*$B$41,BM47*$B$42,BM48*$B$43,BM49*$B$44,BM50*$B$45,BM51*$B$46,BM52*$B$47)</f>
        <v>#VALUE!</v>
      </c>
      <c r="BN56" s="75"/>
      <c r="BO56" s="75" t="e">
        <f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,BO44*$B$39,BO45*$B$40,BO46*$B$41,BO47*$B$42,BO48*$B$43,BO49*$B$44,BO50*$B$45,BO51*$B$46,BO52*$B$47)</f>
        <v>#VALUE!</v>
      </c>
      <c r="BP56" s="75" t="e">
        <f t="shared" ref="BP56:BQ56" si="94">SUM(BP17*$B$12,BP18*$B$13,BP19*$B$14,BP20*$B$15,BP21*$B$16,BP22*$B$17,BP23*$B$18,BP24*$B$19,BP25*$B$20,BP26*$B$21,BP27*$B$22,BP28*$B$23,BP29*$B$24,BP30*$B$25,BP31*$B$26,BP32*$B$27,BP33*$B$28,BP34*$B$29,BP35*$B$30,BP36*$B$31,BP37*$B$32,BP38*$B$33,BP39*$B$34,BP40*$B$35,BP41*$B$36,BP42*$B$37,BP43*$B$38,BP44*$B$39,BP45*$B$40,BP46*$B$41,BP47*$B$42,BP48*$B$43,BP49*$B$44,BP50*$B$45,BP51*$B$46,BP52*$B$47)</f>
        <v>#VALUE!</v>
      </c>
      <c r="BQ56" s="99" t="e">
        <f t="shared" si="94"/>
        <v>#VALUE!</v>
      </c>
      <c r="BR56" s="119" t="e">
        <f>SUM(BR17*$B$12,BR18*$B$13,BR19*$B$14,BR20*$B$15,BR21*$B$16,BR22*$B$17,BR23*$B$18,BR24*$B$19,BR25*$B$20,BR26*$B$21,BR27*$B$22,BR28*$B$23,BR29*$B$24,BR30*$B$25,BR31*$B$26,BR32*$B$27,BR33*$B$28,BR34*$B$29,BR35*$B$30,BR36*$B$31,BR37*$B$32,BR38*$B$33,BR39*$B$34,BR40*$B$35,BR41*$B$36,BR42*$B$37,BR43*$B$38,BR44*$B$39,BR45*$B$40,BR46*$B$41,BR47*$B$42,BR48*$B$43,BR49*$B$44,BR50*$B$45,BR51*$B$46,BR52*$B$47)</f>
        <v>#VALUE!</v>
      </c>
      <c r="BS56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,BS44*$B$39,BS45*$B$40,BS46*$B$41,BS47*$B$42,BS48*$B$43,BS49*$B$44,BS50*$B$45,BS51*$B$46,BS52*$B$47)</f>
        <v>#VALUE!</v>
      </c>
      <c r="BT56" s="75"/>
      <c r="BU56" s="75" t="e">
        <f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,BU44*$B$39,BU45*$B$40,BU46*$B$41,BU47*$B$42,BU48*$B$43,BU49*$B$44,BU50*$B$45,BU51*$B$46,BU52*$B$47)</f>
        <v>#VALUE!</v>
      </c>
      <c r="BV56" s="75" t="e">
        <f t="shared" ref="BV56:BW56" si="95">SUM(BV17*$B$12,BV18*$B$13,BV19*$B$14,BV20*$B$15,BV21*$B$16,BV22*$B$17,BV23*$B$18,BV24*$B$19,BV25*$B$20,BV26*$B$21,BV27*$B$22,BV28*$B$23,BV29*$B$24,BV30*$B$25,BV31*$B$26,BV32*$B$27,BV33*$B$28,BV34*$B$29,BV35*$B$30,BV36*$B$31,BV37*$B$32,BV38*$B$33,BV39*$B$34,BV40*$B$35,BV41*$B$36,BV42*$B$37,BV43*$B$38,BV44*$B$39,BV45*$B$40,BV46*$B$41,BV47*$B$42,BV48*$B$43,BV49*$B$44,BV50*$B$45,BV51*$B$46,BV52*$B$47)</f>
        <v>#VALUE!</v>
      </c>
      <c r="BW56" s="99" t="e">
        <f t="shared" si="95"/>
        <v>#VALUE!</v>
      </c>
      <c r="BX56" s="119" t="e">
        <f>SUM(BX17*$B$12,BX18*$B$13,BX19*$B$14,BX20*$B$15,BX21*$B$16,BX22*$B$17,BX23*$B$18,BX24*$B$19,BX25*$B$20,BX26*$B$21,BX27*$B$22,BX28*$B$23,BX29*$B$24,BX30*$B$25,BX31*$B$26,BX32*$B$27,BX33*$B$28,BX34*$B$29,BX35*$B$30,BX36*$B$31,BX37*$B$32,BX38*$B$33,BX39*$B$34,BX40*$B$35,BX41*$B$36,BX42*$B$37,BX43*$B$38,BX44*$B$39,BX45*$B$40,BX46*$B$41,BX47*$B$42,BX48*$B$43,BX49*$B$44,BX50*$B$45,BX51*$B$46,BX52*$B$47)</f>
        <v>#VALUE!</v>
      </c>
      <c r="BY56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,BY44*$B$39,BY45*$B$40,BY46*$B$41,BY47*$B$42,BY48*$B$43,BY49*$B$44,BY50*$B$45,BY51*$B$46,BY52*$B$47)</f>
        <v>#VALUE!</v>
      </c>
      <c r="BZ56" s="75"/>
      <c r="CA56" s="75" t="e">
        <f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,CA44*$B$39,CA45*$B$40,CA46*$B$41,CA47*$B$42,CA48*$B$43,CA49*$B$44,CA50*$B$45,CA51*$B$46,CA52*$B$47)</f>
        <v>#VALUE!</v>
      </c>
      <c r="CB56" s="75" t="e">
        <f t="shared" ref="CB56:CC56" si="96">SUM(CB17*$B$12,CB18*$B$13,CB19*$B$14,CB20*$B$15,CB21*$B$16,CB22*$B$17,CB23*$B$18,CB24*$B$19,CB25*$B$20,CB26*$B$21,CB27*$B$22,CB28*$B$23,CB29*$B$24,CB30*$B$25,CB31*$B$26,CB32*$B$27,CB33*$B$28,CB34*$B$29,CB35*$B$30,CB36*$B$31,CB37*$B$32,CB38*$B$33,CB39*$B$34,CB40*$B$35,CB41*$B$36,CB42*$B$37,CB43*$B$38,CB44*$B$39,CB45*$B$40,CB46*$B$41,CB47*$B$42,CB48*$B$43,CB49*$B$44,CB50*$B$45,CB51*$B$46,CB52*$B$47)</f>
        <v>#VALUE!</v>
      </c>
      <c r="CC56" s="99" t="e">
        <f t="shared" si="96"/>
        <v>#VALUE!</v>
      </c>
    </row>
    <row r="57" spans="2:83" s="134" customFormat="1" x14ac:dyDescent="0.25">
      <c r="B57" s="162" t="s">
        <v>284</v>
      </c>
      <c r="C57" s="168"/>
      <c r="D57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SUM(D17*$B$12,D18*$B$13,D19*$B$14,D20*$B$15,D21*$B$16,D22*$B$17,D23*$B$18,D24*$B$19,D25*$B$20,D26*$B$21,D27*$B$22,D28*$B$23,D29*$B$24,D30*$B$25,D31*$B$26,D32*$B$27,D33*$B$28,D34*$B$29,D35*$B$30,D36*$B$31,D37*$B$32,D38*$B$33,D39*$B$34,D40*$B$35,D41*$B$36,D42*$B$37,D43*$B$38)</f>
        <v>#VALUE!</v>
      </c>
      <c r="E57" s="75" t="e">
        <f t="shared" ref="E57:AZ57" si="97">SUM(E17*$B$12,E18*$B$13,E19*$B$14,E20*$B$15,E21*$B$16,E22*$B$17,E23*$B$18,E24*$B$19,E25*$B$20,E26*$B$21,E27*$B$22,E28*$B$23,E29*$B$24,E30*$B$25,E31*$B$26,E32*$B$27,E33*$B$28,E34*$B$29,E35*$B$30,E36*$B$31,E37*$B$32,E38*$B$33,E39*$B$34,E40*$B$35,E41*$B$36,E42*$B$37,E43*$B$38)</f>
        <v>#VALUE!</v>
      </c>
      <c r="F57" s="75" t="e">
        <f t="shared" si="97"/>
        <v>#VALUE!</v>
      </c>
      <c r="G57" s="75" t="e">
        <f t="shared" si="97"/>
        <v>#VALUE!</v>
      </c>
      <c r="H57" s="75" t="e">
        <f t="shared" si="97"/>
        <v>#VALUE!</v>
      </c>
      <c r="I57" s="118" t="e">
        <f t="shared" si="97"/>
        <v>#VALUE!</v>
      </c>
      <c r="J57" s="119" t="e">
        <f t="shared" si="97"/>
        <v>#VALUE!</v>
      </c>
      <c r="K57" s="75" t="e">
        <f t="shared" si="97"/>
        <v>#VALUE!</v>
      </c>
      <c r="L57" s="75" t="e">
        <f t="shared" si="97"/>
        <v>#VALUE!</v>
      </c>
      <c r="M57" s="75" t="e">
        <f t="shared" si="97"/>
        <v>#VALUE!</v>
      </c>
      <c r="N57" s="75" t="e">
        <f t="shared" si="97"/>
        <v>#VALUE!</v>
      </c>
      <c r="O57" s="118" t="e">
        <f t="shared" si="97"/>
        <v>#VALUE!</v>
      </c>
      <c r="P57" s="119" t="e">
        <f t="shared" si="97"/>
        <v>#VALUE!</v>
      </c>
      <c r="Q57" s="75" t="e">
        <f t="shared" si="97"/>
        <v>#VALUE!</v>
      </c>
      <c r="R57" s="75" t="e">
        <f t="shared" si="97"/>
        <v>#VALUE!</v>
      </c>
      <c r="S57" s="75" t="e">
        <f t="shared" si="97"/>
        <v>#VALUE!</v>
      </c>
      <c r="T57" s="75" t="e">
        <f t="shared" si="97"/>
        <v>#VALUE!</v>
      </c>
      <c r="U57" s="118" t="e">
        <f t="shared" si="97"/>
        <v>#VALUE!</v>
      </c>
      <c r="V57" s="119" t="e">
        <f t="shared" si="97"/>
        <v>#VALUE!</v>
      </c>
      <c r="W57" s="75" t="e">
        <f t="shared" si="97"/>
        <v>#VALUE!</v>
      </c>
      <c r="X57" s="75" t="e">
        <f t="shared" si="97"/>
        <v>#VALUE!</v>
      </c>
      <c r="Y57" s="75" t="e">
        <f t="shared" si="97"/>
        <v>#VALUE!</v>
      </c>
      <c r="Z57" s="75" t="e">
        <f t="shared" si="97"/>
        <v>#VALUE!</v>
      </c>
      <c r="AA57" s="118" t="e">
        <f t="shared" si="97"/>
        <v>#VALUE!</v>
      </c>
      <c r="AB57" s="119" t="e">
        <f t="shared" si="97"/>
        <v>#VALUE!</v>
      </c>
      <c r="AC57" s="75" t="e">
        <f t="shared" si="97"/>
        <v>#VALUE!</v>
      </c>
      <c r="AD57" s="75" t="e">
        <f t="shared" si="97"/>
        <v>#VALUE!</v>
      </c>
      <c r="AE57" s="75" t="e">
        <f t="shared" si="97"/>
        <v>#VALUE!</v>
      </c>
      <c r="AF57" s="75" t="e">
        <f t="shared" si="97"/>
        <v>#VALUE!</v>
      </c>
      <c r="AG57" s="99" t="e">
        <f t="shared" si="97"/>
        <v>#VALUE!</v>
      </c>
      <c r="AH57" s="119" t="e">
        <f t="shared" si="97"/>
        <v>#VALUE!</v>
      </c>
      <c r="AI57" s="75" t="e">
        <f t="shared" si="97"/>
        <v>#VALUE!</v>
      </c>
      <c r="AJ57" s="75" t="e">
        <f t="shared" si="97"/>
        <v>#VALUE!</v>
      </c>
      <c r="AK57" s="75" t="e">
        <f t="shared" si="97"/>
        <v>#VALUE!</v>
      </c>
      <c r="AL57" s="75" t="e">
        <f t="shared" si="97"/>
        <v>#VALUE!</v>
      </c>
      <c r="AM57" s="99" t="e">
        <f t="shared" si="97"/>
        <v>#VALUE!</v>
      </c>
      <c r="AN57" s="141" t="e">
        <f t="shared" si="97"/>
        <v>#VALUE!</v>
      </c>
      <c r="AO57" s="119" t="e">
        <f t="shared" si="97"/>
        <v>#VALUE!</v>
      </c>
      <c r="AP57" s="75" t="e">
        <f t="shared" si="97"/>
        <v>#VALUE!</v>
      </c>
      <c r="AQ57" s="75" t="e">
        <f t="shared" si="97"/>
        <v>#VALUE!</v>
      </c>
      <c r="AR57" s="75" t="e">
        <f t="shared" si="97"/>
        <v>#VALUE!</v>
      </c>
      <c r="AS57" s="99" t="e">
        <f t="shared" si="97"/>
        <v>#VALUE!</v>
      </c>
      <c r="AT57" s="119" t="e">
        <f t="shared" si="97"/>
        <v>#VALUE!</v>
      </c>
      <c r="AU57" s="75" t="e">
        <f t="shared" si="97"/>
        <v>#VALUE!</v>
      </c>
      <c r="AV57" s="75" t="e">
        <f t="shared" si="97"/>
        <v>#VALUE!</v>
      </c>
      <c r="AW57" s="75" t="e">
        <f t="shared" si="97"/>
        <v>#VALUE!</v>
      </c>
      <c r="AX57" s="75" t="e">
        <f t="shared" si="97"/>
        <v>#VALUE!</v>
      </c>
      <c r="AY57" s="118" t="e">
        <f t="shared" si="97"/>
        <v>#VALUE!</v>
      </c>
      <c r="AZ57" s="119" t="e">
        <f t="shared" si="97"/>
        <v>#VALUE!</v>
      </c>
      <c r="BA57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$38)</f>
        <v>#VALUE!</v>
      </c>
      <c r="BB57" s="75" t="e">
        <f t="shared" ref="BB57:BF57" si="98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$38)</f>
        <v>#VALUE!</v>
      </c>
      <c r="BC57" s="75" t="e">
        <f t="shared" si="98"/>
        <v>#VALUE!</v>
      </c>
      <c r="BD57" s="75" t="e">
        <f t="shared" si="98"/>
        <v>#VALUE!</v>
      </c>
      <c r="BE57" s="99" t="e">
        <f t="shared" si="98"/>
        <v>#VALUE!</v>
      </c>
      <c r="BF57" s="119" t="e">
        <f t="shared" si="98"/>
        <v>#VALUE!</v>
      </c>
      <c r="BG57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$38)</f>
        <v>#VALUE!</v>
      </c>
      <c r="BH57" s="75"/>
      <c r="BI57" s="75" t="e">
        <f t="shared" ref="BI57:BL57" si="99"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$38)</f>
        <v>#VALUE!</v>
      </c>
      <c r="BJ57" s="75" t="e">
        <f t="shared" si="99"/>
        <v>#VALUE!</v>
      </c>
      <c r="BK57" s="99" t="e">
        <f t="shared" si="99"/>
        <v>#VALUE!</v>
      </c>
      <c r="BL57" s="119" t="e">
        <f t="shared" si="99"/>
        <v>#VALUE!</v>
      </c>
      <c r="BM57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$38)</f>
        <v>#VALUE!</v>
      </c>
      <c r="BN57" s="75"/>
      <c r="BO57" s="75" t="e">
        <f t="shared" ref="BO57:BR57" si="100"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$38)</f>
        <v>#VALUE!</v>
      </c>
      <c r="BP57" s="75" t="e">
        <f t="shared" si="100"/>
        <v>#VALUE!</v>
      </c>
      <c r="BQ57" s="99" t="e">
        <f t="shared" si="100"/>
        <v>#VALUE!</v>
      </c>
      <c r="BR57" s="119" t="e">
        <f t="shared" si="100"/>
        <v>#VALUE!</v>
      </c>
      <c r="BS57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$38)</f>
        <v>#VALUE!</v>
      </c>
      <c r="BT57" s="75"/>
      <c r="BU57" s="75" t="e">
        <f t="shared" ref="BU57:BX57" si="101"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$38)</f>
        <v>#VALUE!</v>
      </c>
      <c r="BV57" s="75" t="e">
        <f t="shared" si="101"/>
        <v>#VALUE!</v>
      </c>
      <c r="BW57" s="99" t="e">
        <f t="shared" si="101"/>
        <v>#VALUE!</v>
      </c>
      <c r="BX57" s="119" t="e">
        <f t="shared" si="101"/>
        <v>#VALUE!</v>
      </c>
      <c r="BY57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$38)</f>
        <v>#VALUE!</v>
      </c>
      <c r="BZ57" s="75"/>
      <c r="CA57" s="75" t="e">
        <f t="shared" ref="CA57:CC57" si="102"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$38)</f>
        <v>#VALUE!</v>
      </c>
      <c r="CB57" s="75" t="e">
        <f t="shared" si="102"/>
        <v>#VALUE!</v>
      </c>
      <c r="CC57" s="99" t="e">
        <f t="shared" si="102"/>
        <v>#VALUE!</v>
      </c>
    </row>
    <row r="58" spans="2:83" s="134" customFormat="1" x14ac:dyDescent="0.25">
      <c r="B58" s="162" t="s">
        <v>292</v>
      </c>
      <c r="C58" s="168"/>
      <c r="D58" s="119" t="e">
        <f>D56-D57</f>
        <v>#VALUE!</v>
      </c>
      <c r="E58" s="75" t="e">
        <f t="shared" ref="E58:K58" si="103">E56-E57</f>
        <v>#VALUE!</v>
      </c>
      <c r="F58" s="75"/>
      <c r="G58" s="75" t="e">
        <f t="shared" si="103"/>
        <v>#VALUE!</v>
      </c>
      <c r="H58" s="75" t="e">
        <f t="shared" si="103"/>
        <v>#VALUE!</v>
      </c>
      <c r="I58" s="118" t="e">
        <f t="shared" si="103"/>
        <v>#VALUE!</v>
      </c>
      <c r="J58" s="119" t="e">
        <f t="shared" si="103"/>
        <v>#VALUE!</v>
      </c>
      <c r="K58" s="75" t="e">
        <f t="shared" si="103"/>
        <v>#VALUE!</v>
      </c>
      <c r="L58" s="75"/>
      <c r="M58" s="75" t="e">
        <f t="shared" ref="M58:Q58" si="104">M56-M57</f>
        <v>#VALUE!</v>
      </c>
      <c r="N58" s="75" t="e">
        <f t="shared" si="104"/>
        <v>#VALUE!</v>
      </c>
      <c r="O58" s="118" t="e">
        <f t="shared" si="104"/>
        <v>#VALUE!</v>
      </c>
      <c r="P58" s="119" t="e">
        <f t="shared" si="104"/>
        <v>#VALUE!</v>
      </c>
      <c r="Q58" s="75" t="e">
        <f t="shared" si="104"/>
        <v>#VALUE!</v>
      </c>
      <c r="R58" s="75"/>
      <c r="S58" s="75" t="e">
        <f t="shared" ref="S58:W58" si="105">S56-S57</f>
        <v>#VALUE!</v>
      </c>
      <c r="T58" s="75" t="e">
        <f t="shared" si="105"/>
        <v>#VALUE!</v>
      </c>
      <c r="U58" s="118" t="e">
        <f t="shared" si="105"/>
        <v>#VALUE!</v>
      </c>
      <c r="V58" s="119" t="e">
        <f t="shared" si="105"/>
        <v>#VALUE!</v>
      </c>
      <c r="W58" s="75" t="e">
        <f t="shared" si="105"/>
        <v>#VALUE!</v>
      </c>
      <c r="X58" s="75"/>
      <c r="Y58" s="75" t="e">
        <f t="shared" ref="Y58:AC58" si="106">Y56-Y57</f>
        <v>#VALUE!</v>
      </c>
      <c r="Z58" s="75" t="e">
        <f t="shared" si="106"/>
        <v>#VALUE!</v>
      </c>
      <c r="AA58" s="118" t="e">
        <f t="shared" si="106"/>
        <v>#VALUE!</v>
      </c>
      <c r="AB58" s="119" t="e">
        <f t="shared" si="106"/>
        <v>#VALUE!</v>
      </c>
      <c r="AC58" s="75" t="e">
        <f t="shared" si="106"/>
        <v>#VALUE!</v>
      </c>
      <c r="AD58" s="75"/>
      <c r="AE58" s="75" t="e">
        <f t="shared" ref="AE58:AH58" si="107">AE56-AE57</f>
        <v>#VALUE!</v>
      </c>
      <c r="AF58" s="75" t="e">
        <f t="shared" si="107"/>
        <v>#VALUE!</v>
      </c>
      <c r="AG58" s="99" t="e">
        <f t="shared" si="107"/>
        <v>#VALUE!</v>
      </c>
      <c r="AH58" s="119" t="e">
        <f t="shared" si="107"/>
        <v>#VALUE!</v>
      </c>
      <c r="AI58" s="75" t="e">
        <f>AI56-AI57</f>
        <v>#VALUE!</v>
      </c>
      <c r="AJ58" s="75"/>
      <c r="AK58" s="75" t="e">
        <f t="shared" ref="AK58:AN58" si="108">AK56-AK57</f>
        <v>#VALUE!</v>
      </c>
      <c r="AL58" s="75" t="e">
        <f t="shared" si="108"/>
        <v>#VALUE!</v>
      </c>
      <c r="AM58" s="99" t="e">
        <f t="shared" si="108"/>
        <v>#VALUE!</v>
      </c>
      <c r="AN58" s="141" t="e">
        <f t="shared" si="108"/>
        <v>#VALUE!</v>
      </c>
      <c r="AO58" s="75" t="e">
        <f>AO56-AO57</f>
        <v>#VALUE!</v>
      </c>
      <c r="AP58" s="75"/>
      <c r="AQ58" s="75" t="e">
        <f t="shared" ref="AQ58:AU58" si="109">AQ56-AQ57</f>
        <v>#VALUE!</v>
      </c>
      <c r="AR58" s="75" t="e">
        <f t="shared" si="109"/>
        <v>#VALUE!</v>
      </c>
      <c r="AS58" s="99" t="e">
        <f t="shared" si="109"/>
        <v>#VALUE!</v>
      </c>
      <c r="AT58" s="119" t="e">
        <f t="shared" si="109"/>
        <v>#VALUE!</v>
      </c>
      <c r="AU58" s="75" t="e">
        <f t="shared" si="109"/>
        <v>#VALUE!</v>
      </c>
      <c r="AV58" s="75"/>
      <c r="AW58" s="75" t="e">
        <f t="shared" ref="AW58:AY58" si="110">AW56-AW57</f>
        <v>#VALUE!</v>
      </c>
      <c r="AX58" s="75" t="e">
        <f t="shared" si="110"/>
        <v>#VALUE!</v>
      </c>
      <c r="AY58" s="118" t="e">
        <f t="shared" si="110"/>
        <v>#VALUE!</v>
      </c>
      <c r="AZ58" s="119" t="e">
        <f>AZ56-AZ57</f>
        <v>#VALUE!</v>
      </c>
      <c r="BA58" s="75" t="e">
        <f t="shared" ref="BA58" si="111">BA56-BA57</f>
        <v>#VALUE!</v>
      </c>
      <c r="BB58" s="75"/>
      <c r="BC58" s="75" t="e">
        <f t="shared" ref="BC58:BE58" si="112">BC56-BC57</f>
        <v>#VALUE!</v>
      </c>
      <c r="BD58" s="75" t="e">
        <f t="shared" si="112"/>
        <v>#VALUE!</v>
      </c>
      <c r="BE58" s="99" t="e">
        <f t="shared" si="112"/>
        <v>#VALUE!</v>
      </c>
      <c r="BF58" s="119" t="e">
        <f>BF56-BF57</f>
        <v>#VALUE!</v>
      </c>
      <c r="BG58" s="75" t="e">
        <f>BG56-BG57</f>
        <v>#VALUE!</v>
      </c>
      <c r="BH58" s="75"/>
      <c r="BI58" s="75" t="e">
        <f t="shared" ref="BI58:BK58" si="113">BI56-BI57</f>
        <v>#VALUE!</v>
      </c>
      <c r="BJ58" s="75" t="e">
        <f t="shared" si="113"/>
        <v>#VALUE!</v>
      </c>
      <c r="BK58" s="99" t="e">
        <f t="shared" si="113"/>
        <v>#VALUE!</v>
      </c>
      <c r="BL58" s="119" t="e">
        <f>BL56-BL57</f>
        <v>#VALUE!</v>
      </c>
      <c r="BM58" s="75" t="e">
        <f>BM56-BM57</f>
        <v>#VALUE!</v>
      </c>
      <c r="BN58" s="75"/>
      <c r="BO58" s="75" t="e">
        <f t="shared" ref="BO58:BQ58" si="114">BO56-BO57</f>
        <v>#VALUE!</v>
      </c>
      <c r="BP58" s="75" t="e">
        <f t="shared" si="114"/>
        <v>#VALUE!</v>
      </c>
      <c r="BQ58" s="99" t="e">
        <f t="shared" si="114"/>
        <v>#VALUE!</v>
      </c>
      <c r="BR58" s="119" t="e">
        <f>BR56-BR57</f>
        <v>#VALUE!</v>
      </c>
      <c r="BS58" s="75" t="e">
        <f>BS56-BS57</f>
        <v>#VALUE!</v>
      </c>
      <c r="BT58" s="75"/>
      <c r="BU58" s="75" t="e">
        <f t="shared" ref="BU58:BW58" si="115">BU56-BU57</f>
        <v>#VALUE!</v>
      </c>
      <c r="BV58" s="75" t="e">
        <f t="shared" si="115"/>
        <v>#VALUE!</v>
      </c>
      <c r="BW58" s="99" t="e">
        <f t="shared" si="115"/>
        <v>#VALUE!</v>
      </c>
      <c r="BX58" s="119" t="e">
        <f>BX56-BX57</f>
        <v>#VALUE!</v>
      </c>
      <c r="BY58" s="75" t="e">
        <f>BY56-BY57</f>
        <v>#VALUE!</v>
      </c>
      <c r="BZ58" s="75"/>
      <c r="CA58" s="75" t="e">
        <f t="shared" ref="CA58:CC58" si="116">CA56-CA57</f>
        <v>#VALUE!</v>
      </c>
      <c r="CB58" s="75" t="e">
        <f t="shared" si="116"/>
        <v>#VALUE!</v>
      </c>
      <c r="CC58" s="99" t="e">
        <f t="shared" si="116"/>
        <v>#VALUE!</v>
      </c>
    </row>
    <row r="59" spans="2:83" s="134" customFormat="1" x14ac:dyDescent="0.25">
      <c r="B59" s="162" t="s">
        <v>275</v>
      </c>
      <c r="C59" s="168"/>
      <c r="D59" s="155">
        <f>D54/$C$49</f>
        <v>3175.2553049289895</v>
      </c>
      <c r="E59" s="154">
        <f>E54/$C$49</f>
        <v>1694.7956040780782</v>
      </c>
      <c r="F59" s="62"/>
      <c r="G59" s="62"/>
      <c r="H59" s="62"/>
      <c r="I59" s="113"/>
      <c r="J59" s="170">
        <f>J54/$C$49</f>
        <v>3175.2553049289895</v>
      </c>
      <c r="K59" s="154">
        <f>K54/$C$49</f>
        <v>1960.3421052631579</v>
      </c>
      <c r="L59" s="62"/>
      <c r="M59" s="62"/>
      <c r="N59" s="62"/>
      <c r="O59" s="113"/>
      <c r="P59" s="155">
        <f>P54/$C$49</f>
        <v>3175.2553049289895</v>
      </c>
      <c r="Q59" s="154">
        <f>Q54/$C$49</f>
        <v>1843.5586721245829</v>
      </c>
      <c r="R59" s="62"/>
      <c r="S59" s="62"/>
      <c r="T59" s="62"/>
      <c r="U59" s="113"/>
      <c r="V59" s="155">
        <f>V54/$C$49</f>
        <v>3175.2553049289895</v>
      </c>
      <c r="W59" s="154">
        <f>W54/$C$49</f>
        <v>2249.9304879942138</v>
      </c>
      <c r="X59" s="62"/>
      <c r="Y59" s="62"/>
      <c r="Z59" s="62"/>
      <c r="AA59" s="113"/>
      <c r="AB59" s="155">
        <f>AB54/AB54</f>
        <v>1</v>
      </c>
      <c r="AC59" s="154">
        <f>AC54/AB54</f>
        <v>0.83735327252425273</v>
      </c>
      <c r="AD59" s="62"/>
      <c r="AE59" s="62"/>
      <c r="AF59" s="62"/>
      <c r="AG59" s="189"/>
      <c r="AH59" s="155">
        <f>AH54/AH54</f>
        <v>1</v>
      </c>
      <c r="AI59" s="154">
        <f>AI54/AH54</f>
        <v>1.356545170897745</v>
      </c>
      <c r="AJ59" s="62"/>
      <c r="AK59" s="62"/>
      <c r="AL59" s="62"/>
      <c r="AM59" s="113"/>
      <c r="AN59" s="170">
        <f>AN54/AN54</f>
        <v>1</v>
      </c>
      <c r="AO59" s="154">
        <f>AO54/AN54</f>
        <v>1.2379095163806551</v>
      </c>
      <c r="AP59" s="62"/>
      <c r="AQ59" s="183"/>
      <c r="AR59" s="183"/>
      <c r="AS59" s="183"/>
      <c r="AT59" s="155">
        <f>AT54/AT54</f>
        <v>1</v>
      </c>
      <c r="AU59" s="154">
        <f>AU54/AT54</f>
        <v>0.75623956577487883</v>
      </c>
      <c r="AV59" s="62"/>
      <c r="AW59" s="62"/>
      <c r="AX59" s="62"/>
      <c r="AY59" s="113"/>
      <c r="AZ59" s="155">
        <f>AZ54/AZ54</f>
        <v>1</v>
      </c>
      <c r="BA59" s="154">
        <f>BA54/AZ54</f>
        <v>0.86322716263766386</v>
      </c>
      <c r="BB59" s="62"/>
      <c r="BC59" s="62"/>
      <c r="BD59" s="62"/>
      <c r="BE59" s="113"/>
      <c r="BF59" s="155">
        <f>BF54/BF54</f>
        <v>1</v>
      </c>
      <c r="BG59" s="154">
        <f>BG54/BF54</f>
        <v>1.6606213266162888</v>
      </c>
      <c r="BH59" s="62"/>
      <c r="BI59" s="62"/>
      <c r="BJ59" s="62"/>
      <c r="BK59" s="113"/>
      <c r="BL59" s="155">
        <f>BL54/BL54</f>
        <v>1</v>
      </c>
      <c r="BM59" s="154">
        <f>BM55/BL54</f>
        <v>1.5113350125944585</v>
      </c>
      <c r="BN59" s="62"/>
      <c r="BO59" s="62"/>
      <c r="BP59" s="62"/>
      <c r="BQ59" s="113"/>
      <c r="BR59" s="155">
        <f>BR54/BR54</f>
        <v>1</v>
      </c>
      <c r="BS59" s="154">
        <f>BS55/BR54</f>
        <v>0.31337047353760444</v>
      </c>
      <c r="BT59" s="62"/>
      <c r="BU59" s="62"/>
      <c r="BV59" s="62"/>
      <c r="BW59" s="113"/>
      <c r="BX59" s="155">
        <f>BX54/BX54</f>
        <v>1</v>
      </c>
      <c r="BY59" s="154">
        <f>BY55/BX54</f>
        <v>0.35515320334261841</v>
      </c>
      <c r="BZ59" s="62"/>
      <c r="CA59" s="62"/>
      <c r="CB59" s="62"/>
      <c r="CC59" s="113"/>
    </row>
    <row r="60" spans="2:83" s="134" customFormat="1" x14ac:dyDescent="0.25">
      <c r="B60" s="162" t="s">
        <v>276</v>
      </c>
      <c r="C60" s="168"/>
      <c r="D60" s="155"/>
      <c r="E60" s="154"/>
      <c r="F60" s="73">
        <f>G53-F53</f>
        <v>235.60786856340462</v>
      </c>
      <c r="G60" s="62"/>
      <c r="H60" s="62"/>
      <c r="I60" s="113"/>
      <c r="J60" s="170"/>
      <c r="K60" s="154"/>
      <c r="L60" s="73">
        <f>M53-L53</f>
        <v>375.83549367919875</v>
      </c>
      <c r="M60" s="62"/>
      <c r="N60" s="62"/>
      <c r="O60" s="113"/>
      <c r="P60" s="155"/>
      <c r="Q60" s="154"/>
      <c r="R60" s="73">
        <f>S53-R53</f>
        <v>254.0423906006551</v>
      </c>
      <c r="S60" s="62"/>
      <c r="T60" s="62"/>
      <c r="U60" s="113"/>
      <c r="V60" s="155"/>
      <c r="W60" s="154"/>
      <c r="X60" s="73">
        <f>Y53-X53</f>
        <v>61.825014058313513</v>
      </c>
      <c r="Y60" s="62"/>
      <c r="Z60" s="62"/>
      <c r="AA60" s="113"/>
      <c r="AB60" s="155"/>
      <c r="AC60" s="154"/>
      <c r="AD60" s="73">
        <f>AE53-AD53</f>
        <v>-70.464230480280975</v>
      </c>
      <c r="AE60" s="62"/>
      <c r="AF60" s="62"/>
      <c r="AG60" s="189"/>
      <c r="AH60" s="155"/>
      <c r="AI60" s="62"/>
      <c r="AJ60" s="73">
        <f>AK53-AJ53</f>
        <v>-287.30179211669082</v>
      </c>
      <c r="AK60" s="62"/>
      <c r="AL60" s="62"/>
      <c r="AM60" s="113"/>
      <c r="AN60" s="170"/>
      <c r="AO60" s="183"/>
      <c r="AP60" s="73">
        <f>AQ53-AP53</f>
        <v>-243.00307343034223</v>
      </c>
      <c r="AQ60" s="183"/>
      <c r="AR60" s="183"/>
      <c r="AS60" s="183"/>
      <c r="AT60" s="155"/>
      <c r="AU60" s="154"/>
      <c r="AV60" s="73">
        <f>AW53-AV53</f>
        <v>91.988177572344782</v>
      </c>
      <c r="AW60" s="62"/>
      <c r="AX60" s="62"/>
      <c r="AY60" s="113"/>
      <c r="AZ60" s="155"/>
      <c r="BA60" s="154"/>
      <c r="BB60" s="73">
        <f>BC53-BB53</f>
        <v>247.68420746016352</v>
      </c>
      <c r="BC60" s="62"/>
      <c r="BD60" s="62"/>
      <c r="BE60" s="113"/>
      <c r="BF60" s="155"/>
      <c r="BG60" s="154"/>
      <c r="BH60" s="73">
        <f>BI53-BH53</f>
        <v>-230.59610770767912</v>
      </c>
      <c r="BI60" s="62"/>
      <c r="BJ60" s="62"/>
      <c r="BK60" s="113"/>
      <c r="BL60" s="155"/>
      <c r="BM60" s="154"/>
      <c r="BN60" s="73">
        <f>BO53-BN53</f>
        <v>-307.28735433949311</v>
      </c>
      <c r="BO60" s="62"/>
      <c r="BP60" s="62"/>
      <c r="BQ60" s="113"/>
      <c r="BR60" s="155"/>
      <c r="BS60" s="154"/>
      <c r="BT60" s="73">
        <f>BU53-BT53</f>
        <v>-3.5760000000000005</v>
      </c>
      <c r="BU60" s="62"/>
      <c r="BV60" s="62"/>
      <c r="BW60" s="113"/>
      <c r="BX60" s="155"/>
      <c r="BY60" s="154"/>
      <c r="BZ60" s="73">
        <f>CA53-BZ53</f>
        <v>-3.1499999999999986</v>
      </c>
      <c r="CA60" s="62"/>
      <c r="CB60" s="62"/>
      <c r="CC60" s="113"/>
    </row>
    <row r="61" spans="2:83" s="134" customFormat="1" x14ac:dyDescent="0.25">
      <c r="B61" s="162" t="s">
        <v>277</v>
      </c>
      <c r="C61" s="168"/>
      <c r="D61" s="155"/>
      <c r="E61" s="154"/>
      <c r="F61" s="73">
        <f>F60*4.022</f>
        <v>947.61484736201339</v>
      </c>
      <c r="G61" s="62"/>
      <c r="H61" s="62"/>
      <c r="I61" s="113"/>
      <c r="J61" s="170"/>
      <c r="K61" s="154"/>
      <c r="L61" s="73">
        <f>L60*K10</f>
        <v>1485.715608868089</v>
      </c>
      <c r="M61" s="62"/>
      <c r="N61" s="62"/>
      <c r="O61" s="113"/>
      <c r="P61" s="155"/>
      <c r="Q61" s="154"/>
      <c r="R61" s="73">
        <f>R60*Q10</f>
        <v>933.68215230951864</v>
      </c>
      <c r="S61" s="62"/>
      <c r="T61" s="62"/>
      <c r="U61" s="113"/>
      <c r="V61" s="155"/>
      <c r="W61" s="154"/>
      <c r="X61" s="73">
        <f>X60*W10</f>
        <v>243.40508034758031</v>
      </c>
      <c r="Y61" s="62"/>
      <c r="Z61" s="62"/>
      <c r="AA61" s="113"/>
      <c r="AB61" s="155"/>
      <c r="AC61" s="154"/>
      <c r="AD61" s="73">
        <f>AD60*AC10</f>
        <v>-263.34596857395405</v>
      </c>
      <c r="AE61" s="62"/>
      <c r="AF61" s="62"/>
      <c r="AG61" s="189"/>
      <c r="AH61" s="155"/>
      <c r="AI61" s="62"/>
      <c r="AJ61" s="73">
        <f>AJ60*AI10</f>
        <v>-1032.1029580000002</v>
      </c>
      <c r="AK61" s="62"/>
      <c r="AL61" s="62"/>
      <c r="AM61" s="113"/>
      <c r="AN61" s="170"/>
      <c r="AO61" s="183"/>
      <c r="AP61" s="73">
        <f>AP60*AO10</f>
        <v>-901.78440549999993</v>
      </c>
      <c r="AQ61" s="183"/>
      <c r="AR61" s="183"/>
      <c r="AS61" s="183"/>
      <c r="AT61" s="155"/>
      <c r="AU61" s="154"/>
      <c r="AV61" s="73">
        <f>AV60*AU10</f>
        <v>343.72448430970167</v>
      </c>
      <c r="AW61" s="62"/>
      <c r="AX61" s="62"/>
      <c r="AY61" s="113"/>
      <c r="AZ61" s="155"/>
      <c r="BA61" s="154"/>
      <c r="BB61" s="73">
        <f>BB60*BA10</f>
        <v>912.56564655085879</v>
      </c>
      <c r="BC61" s="62"/>
      <c r="BD61" s="62"/>
      <c r="BE61" s="113"/>
      <c r="BF61" s="155"/>
      <c r="BG61" s="154"/>
      <c r="BH61" s="73">
        <f>BH60*BG10</f>
        <v>-807.77816529999996</v>
      </c>
      <c r="BI61" s="62"/>
      <c r="BJ61" s="62"/>
      <c r="BK61" s="113"/>
      <c r="BL61" s="155"/>
      <c r="BM61" s="154"/>
      <c r="BN61" s="73">
        <f>BN60*BM10</f>
        <v>-1074.2151332999999</v>
      </c>
      <c r="BO61" s="62"/>
      <c r="BP61" s="62"/>
      <c r="BQ61" s="113"/>
      <c r="BR61" s="155"/>
      <c r="BS61" s="154"/>
      <c r="BT61" s="73">
        <f>BT60*BS10</f>
        <v>-12.516000000000002</v>
      </c>
      <c r="BU61" s="62"/>
      <c r="BV61" s="62"/>
      <c r="BW61" s="113"/>
      <c r="BX61" s="155"/>
      <c r="BY61" s="154"/>
      <c r="BZ61" s="73">
        <f>BZ60*BY10</f>
        <v>-12.599999999999994</v>
      </c>
      <c r="CA61" s="62"/>
      <c r="CB61" s="62"/>
      <c r="CC61" s="113"/>
    </row>
    <row r="62" spans="2:83" s="134" customFormat="1" x14ac:dyDescent="0.25">
      <c r="B62" s="162" t="s">
        <v>281</v>
      </c>
      <c r="C62" s="168"/>
      <c r="D62" s="143"/>
      <c r="E62" s="62"/>
      <c r="F62" s="73" t="e">
        <f>G56-F56</f>
        <v>#VALUE!</v>
      </c>
      <c r="G62" s="73"/>
      <c r="H62" s="62"/>
      <c r="I62" s="113"/>
      <c r="J62" s="76"/>
      <c r="K62" s="62"/>
      <c r="L62" s="73" t="e">
        <f>M56-L56</f>
        <v>#VALUE!</v>
      </c>
      <c r="M62" s="62"/>
      <c r="N62" s="62"/>
      <c r="O62" s="113"/>
      <c r="P62" s="143"/>
      <c r="Q62" s="62"/>
      <c r="R62" s="73" t="e">
        <f>S56-R56</f>
        <v>#VALUE!</v>
      </c>
      <c r="S62" s="62"/>
      <c r="T62" s="62"/>
      <c r="U62" s="113"/>
      <c r="V62" s="143"/>
      <c r="W62" s="62"/>
      <c r="X62" s="73" t="e">
        <f>Y56-X56</f>
        <v>#VALUE!</v>
      </c>
      <c r="Y62" s="62"/>
      <c r="Z62" s="62"/>
      <c r="AA62" s="113"/>
      <c r="AB62" s="143"/>
      <c r="AC62" s="62"/>
      <c r="AD62" s="73" t="e">
        <f>AE56-AD56</f>
        <v>#VALUE!</v>
      </c>
      <c r="AE62" s="62"/>
      <c r="AF62" s="62"/>
      <c r="AG62" s="189"/>
      <c r="AH62" s="143"/>
      <c r="AI62" s="62"/>
      <c r="AJ62" s="73" t="e">
        <f>AK56-AJ56</f>
        <v>#VALUE!</v>
      </c>
      <c r="AK62" s="62"/>
      <c r="AL62" s="62"/>
      <c r="AM62" s="113"/>
      <c r="AN62" s="76"/>
      <c r="AO62" s="183"/>
      <c r="AP62" s="73" t="e">
        <f>AQ56-AP56</f>
        <v>#VALUE!</v>
      </c>
      <c r="AQ62" s="183"/>
      <c r="AR62" s="183"/>
      <c r="AS62" s="183"/>
      <c r="AT62" s="143"/>
      <c r="AU62" s="62"/>
      <c r="AV62" s="73" t="e">
        <f>AW56-AV56</f>
        <v>#VALUE!</v>
      </c>
      <c r="AW62" s="62"/>
      <c r="AX62" s="62"/>
      <c r="AY62" s="113"/>
      <c r="AZ62" s="143"/>
      <c r="BA62" s="62"/>
      <c r="BB62" s="73" t="e">
        <f>BC56-BB56</f>
        <v>#VALUE!</v>
      </c>
      <c r="BC62" s="62"/>
      <c r="BD62" s="62"/>
      <c r="BE62" s="113"/>
      <c r="BF62" s="143"/>
      <c r="BG62" s="62"/>
      <c r="BH62" s="73" t="e">
        <f>BI56-BH56</f>
        <v>#VALUE!</v>
      </c>
      <c r="BI62" s="62"/>
      <c r="BJ62" s="62"/>
      <c r="BK62" s="113"/>
      <c r="BL62" s="143"/>
      <c r="BM62" s="62"/>
      <c r="BN62" s="73" t="e">
        <f>BO56-BN56</f>
        <v>#VALUE!</v>
      </c>
      <c r="BO62" s="62"/>
      <c r="BP62" s="62"/>
      <c r="BQ62" s="113"/>
      <c r="BR62" s="143"/>
      <c r="BS62" s="62"/>
      <c r="BT62" s="73" t="e">
        <f>BU56-BT56</f>
        <v>#VALUE!</v>
      </c>
      <c r="BU62" s="62"/>
      <c r="BV62" s="62"/>
      <c r="BW62" s="113"/>
      <c r="BX62" s="143"/>
      <c r="BY62" s="62"/>
      <c r="BZ62" s="73" t="e">
        <f>CA56-BZ56</f>
        <v>#VALUE!</v>
      </c>
      <c r="CA62" s="62"/>
      <c r="CB62" s="62"/>
      <c r="CC62" s="113"/>
    </row>
    <row r="63" spans="2:83" s="134" customFormat="1" x14ac:dyDescent="0.25">
      <c r="B63" s="162" t="s">
        <v>282</v>
      </c>
      <c r="C63" s="179"/>
      <c r="D63" s="180"/>
      <c r="E63" s="78"/>
      <c r="F63" s="73" t="e">
        <f>G57-F57</f>
        <v>#VALUE!</v>
      </c>
      <c r="G63" s="85"/>
      <c r="H63" s="78"/>
      <c r="I63" s="181"/>
      <c r="J63" s="17"/>
      <c r="K63" s="78"/>
      <c r="L63" s="73" t="e">
        <f>M57-L57</f>
        <v>#VALUE!</v>
      </c>
      <c r="M63" s="78"/>
      <c r="N63" s="78"/>
      <c r="O63" s="181"/>
      <c r="P63" s="180"/>
      <c r="Q63" s="78"/>
      <c r="R63" s="73" t="e">
        <f>S57-R57</f>
        <v>#VALUE!</v>
      </c>
      <c r="S63" s="78"/>
      <c r="T63" s="78"/>
      <c r="U63" s="181"/>
      <c r="V63" s="180"/>
      <c r="W63" s="78"/>
      <c r="X63" s="73" t="e">
        <f>Y57-X57</f>
        <v>#VALUE!</v>
      </c>
      <c r="Y63" s="78"/>
      <c r="Z63" s="78"/>
      <c r="AA63" s="181"/>
      <c r="AB63" s="180"/>
      <c r="AC63" s="78"/>
      <c r="AD63" s="73" t="e">
        <f>AE57-AD57</f>
        <v>#VALUE!</v>
      </c>
      <c r="AE63" s="78"/>
      <c r="AF63" s="78"/>
      <c r="AG63" s="182"/>
      <c r="AH63" s="143"/>
      <c r="AI63" s="62"/>
      <c r="AJ63" s="73" t="e">
        <f>AK57-AJ57</f>
        <v>#VALUE!</v>
      </c>
      <c r="AK63" s="62"/>
      <c r="AL63" s="62"/>
      <c r="AM63" s="113"/>
      <c r="AN63" s="17"/>
      <c r="AO63" s="15"/>
      <c r="AP63" s="73" t="e">
        <f>AQ57-AP57</f>
        <v>#VALUE!</v>
      </c>
      <c r="AQ63" s="15"/>
      <c r="AR63" s="15"/>
      <c r="AS63" s="15"/>
      <c r="AT63" s="180"/>
      <c r="AU63" s="78"/>
      <c r="AV63" s="73" t="e">
        <f>AW57-AV57</f>
        <v>#VALUE!</v>
      </c>
      <c r="AW63" s="78"/>
      <c r="AX63" s="78"/>
      <c r="AY63" s="181"/>
      <c r="AZ63" s="180"/>
      <c r="BA63" s="78"/>
      <c r="BB63" s="73" t="e">
        <f>BC57-BB57</f>
        <v>#VALUE!</v>
      </c>
      <c r="BC63" s="78"/>
      <c r="BD63" s="78"/>
      <c r="BE63" s="181"/>
      <c r="BF63" s="180"/>
      <c r="BG63" s="78"/>
      <c r="BH63" s="73" t="e">
        <f>BI57-BH57</f>
        <v>#VALUE!</v>
      </c>
      <c r="BI63" s="78"/>
      <c r="BJ63" s="78"/>
      <c r="BK63" s="181"/>
      <c r="BL63" s="180"/>
      <c r="BM63" s="78"/>
      <c r="BN63" s="73" t="e">
        <f>BO57-BN57</f>
        <v>#VALUE!</v>
      </c>
      <c r="BO63" s="78"/>
      <c r="BP63" s="78"/>
      <c r="BQ63" s="181"/>
      <c r="BR63" s="180"/>
      <c r="BS63" s="78"/>
      <c r="BT63" s="73" t="e">
        <f>BU57-BT57</f>
        <v>#VALUE!</v>
      </c>
      <c r="BU63" s="78"/>
      <c r="BV63" s="78"/>
      <c r="BW63" s="181"/>
      <c r="BX63" s="180"/>
      <c r="BY63" s="78"/>
      <c r="BZ63" s="73" t="e">
        <f>CA57-BZ57</f>
        <v>#VALUE!</v>
      </c>
      <c r="CA63" s="78"/>
      <c r="CB63" s="78"/>
      <c r="CC63" s="181"/>
    </row>
    <row r="64" spans="2:83" s="134" customFormat="1" ht="15.75" thickBot="1" x14ac:dyDescent="0.3">
      <c r="B64" s="166" t="s">
        <v>280</v>
      </c>
      <c r="C64" s="169"/>
      <c r="D64" s="156"/>
      <c r="E64" s="121"/>
      <c r="F64" s="157">
        <v>120.13182108043105</v>
      </c>
      <c r="G64" s="157"/>
      <c r="H64" s="121"/>
      <c r="I64" s="122"/>
      <c r="J64" s="173"/>
      <c r="K64" s="121"/>
      <c r="L64" s="157"/>
      <c r="M64" s="157"/>
      <c r="N64" s="121"/>
      <c r="O64" s="122"/>
      <c r="P64" s="156"/>
      <c r="Q64" s="121"/>
      <c r="R64" s="157"/>
      <c r="S64" s="157"/>
      <c r="T64" s="121"/>
      <c r="U64" s="122"/>
      <c r="V64" s="156"/>
      <c r="W64" s="121"/>
      <c r="X64" s="157"/>
      <c r="Y64" s="157"/>
      <c r="Z64" s="121"/>
      <c r="AA64" s="122"/>
      <c r="AB64" s="156"/>
      <c r="AC64" s="121"/>
      <c r="AD64" s="157"/>
      <c r="AE64" s="157"/>
      <c r="AF64" s="121"/>
      <c r="AG64" s="193"/>
      <c r="AH64" s="156"/>
      <c r="AI64" s="121"/>
      <c r="AJ64" s="121"/>
      <c r="AK64" s="157"/>
      <c r="AL64" s="121"/>
      <c r="AM64" s="122"/>
      <c r="AN64" s="173"/>
      <c r="AO64" s="186"/>
      <c r="AP64" s="186"/>
      <c r="AQ64" s="186"/>
      <c r="AR64" s="186"/>
      <c r="AS64" s="186"/>
      <c r="AT64" s="156"/>
      <c r="AU64" s="121"/>
      <c r="AV64" s="157"/>
      <c r="AW64" s="157"/>
      <c r="AX64" s="121"/>
      <c r="AY64" s="122"/>
      <c r="AZ64" s="156"/>
      <c r="BA64" s="121"/>
      <c r="BB64" s="157"/>
      <c r="BC64" s="157"/>
      <c r="BD64" s="121"/>
      <c r="BE64" s="122"/>
      <c r="BF64" s="156"/>
      <c r="BG64" s="121"/>
      <c r="BH64" s="157"/>
      <c r="BI64" s="157"/>
      <c r="BJ64" s="121"/>
      <c r="BK64" s="122"/>
      <c r="BL64" s="156"/>
      <c r="BM64" s="121"/>
      <c r="BN64" s="157"/>
      <c r="BO64" s="157"/>
      <c r="BP64" s="121"/>
      <c r="BQ64" s="122"/>
      <c r="BR64" s="156"/>
      <c r="BS64" s="121"/>
      <c r="BT64" s="157"/>
      <c r="BU64" s="157"/>
      <c r="BV64" s="121"/>
      <c r="BW64" s="122"/>
      <c r="BX64" s="156"/>
      <c r="BY64" s="121"/>
      <c r="BZ64" s="157"/>
      <c r="CA64" s="157"/>
      <c r="CB64" s="121"/>
      <c r="CC64" s="122"/>
    </row>
    <row r="65" s="134" customFormat="1" x14ac:dyDescent="0.25"/>
    <row r="66" s="134" customFormat="1" x14ac:dyDescent="0.25"/>
    <row r="67" s="134" customFormat="1" x14ac:dyDescent="0.25"/>
    <row r="68" s="134" customFormat="1" x14ac:dyDescent="0.25"/>
    <row r="69" s="134" customFormat="1" x14ac:dyDescent="0.25"/>
    <row r="70" s="134" customFormat="1" x14ac:dyDescent="0.25"/>
    <row r="71" s="134" customFormat="1" x14ac:dyDescent="0.25"/>
    <row r="72" s="134" customFormat="1" x14ac:dyDescent="0.25"/>
    <row r="73" s="134" customFormat="1" x14ac:dyDescent="0.25"/>
    <row r="74" s="134" customFormat="1" x14ac:dyDescent="0.25"/>
    <row r="75" s="134" customFormat="1" x14ac:dyDescent="0.25"/>
    <row r="76" s="134" customFormat="1" x14ac:dyDescent="0.25"/>
    <row r="80" ht="15.75" thickBot="1" x14ac:dyDescent="0.3"/>
    <row r="81" spans="2:59" x14ac:dyDescent="0.25">
      <c r="C81" s="134"/>
      <c r="D81" s="229" t="s">
        <v>91</v>
      </c>
      <c r="E81" s="230"/>
      <c r="F81" s="231"/>
      <c r="G81" s="229" t="s">
        <v>260</v>
      </c>
      <c r="H81" s="230"/>
      <c r="I81" s="231"/>
      <c r="J81" s="229" t="s">
        <v>261</v>
      </c>
      <c r="K81" s="230"/>
      <c r="L81" s="231"/>
      <c r="M81" s="229" t="s">
        <v>262</v>
      </c>
      <c r="N81" s="230"/>
      <c r="O81" s="231"/>
      <c r="P81" s="229" t="s">
        <v>257</v>
      </c>
      <c r="Q81" s="230"/>
      <c r="R81" s="231"/>
      <c r="S81" s="229" t="s">
        <v>264</v>
      </c>
      <c r="T81" s="230"/>
      <c r="U81" s="231"/>
      <c r="V81" s="229" t="s">
        <v>258</v>
      </c>
      <c r="W81" s="230"/>
      <c r="X81" s="231" t="s">
        <v>264</v>
      </c>
      <c r="Y81" s="229" t="s">
        <v>303</v>
      </c>
      <c r="Z81" s="230"/>
      <c r="AA81" s="231" t="s">
        <v>258</v>
      </c>
      <c r="AB81" s="229" t="s">
        <v>266</v>
      </c>
      <c r="AC81" s="230"/>
      <c r="AD81" s="231" t="s">
        <v>265</v>
      </c>
      <c r="AE81" s="229" t="s">
        <v>267</v>
      </c>
      <c r="AF81" s="230"/>
      <c r="AG81" s="231" t="s">
        <v>266</v>
      </c>
      <c r="AH81" s="229" t="s">
        <v>268</v>
      </c>
      <c r="AI81" s="230"/>
      <c r="AJ81" s="231" t="s">
        <v>267</v>
      </c>
      <c r="AK81" s="229" t="s">
        <v>269</v>
      </c>
      <c r="AL81" s="230"/>
      <c r="AM81" s="231" t="s">
        <v>268</v>
      </c>
      <c r="AN81" s="235"/>
      <c r="AO81" s="236"/>
      <c r="AP81" s="237" t="s">
        <v>269</v>
      </c>
      <c r="AQ81" s="196"/>
      <c r="AS81" s="147" t="s">
        <v>270</v>
      </c>
      <c r="AT81" s="147"/>
      <c r="AU81" s="190"/>
      <c r="AV81" s="109" t="s">
        <v>271</v>
      </c>
      <c r="AW81" s="110"/>
      <c r="AX81" s="120"/>
      <c r="AY81" s="109" t="s">
        <v>272</v>
      </c>
      <c r="AZ81" s="110"/>
      <c r="BA81" s="120"/>
      <c r="BB81" s="109" t="s">
        <v>273</v>
      </c>
      <c r="BC81" s="110"/>
      <c r="BD81" s="120"/>
      <c r="BE81" s="139" t="s">
        <v>274</v>
      </c>
      <c r="BF81" s="110"/>
      <c r="BG81" s="120"/>
    </row>
    <row r="82" spans="2:59" x14ac:dyDescent="0.25">
      <c r="C82" s="102" t="s">
        <v>2</v>
      </c>
      <c r="D82" s="142" t="s">
        <v>204</v>
      </c>
      <c r="E82" s="187" t="s">
        <v>204</v>
      </c>
      <c r="F82" s="112" t="s">
        <v>204</v>
      </c>
      <c r="G82" s="142" t="s">
        <v>204</v>
      </c>
      <c r="H82" s="187" t="s">
        <v>204</v>
      </c>
      <c r="I82" s="112" t="s">
        <v>204</v>
      </c>
      <c r="J82" s="142"/>
      <c r="K82" s="187"/>
      <c r="L82" s="112" t="s">
        <v>204</v>
      </c>
      <c r="M82" s="142"/>
      <c r="N82" s="187"/>
      <c r="O82" s="112" t="s">
        <v>204</v>
      </c>
      <c r="P82" s="142"/>
      <c r="Q82" s="187"/>
      <c r="R82" s="112" t="s">
        <v>204</v>
      </c>
      <c r="S82" s="142"/>
      <c r="T82" s="187"/>
      <c r="U82" s="112" t="s">
        <v>204</v>
      </c>
      <c r="V82" s="142"/>
      <c r="W82" s="187"/>
      <c r="X82" s="112" t="s">
        <v>204</v>
      </c>
      <c r="Y82" s="142"/>
      <c r="Z82" s="187"/>
      <c r="AA82" s="112" t="s">
        <v>204</v>
      </c>
      <c r="AB82" s="142"/>
      <c r="AC82" s="187"/>
      <c r="AD82" s="112" t="s">
        <v>204</v>
      </c>
      <c r="AE82" s="142"/>
      <c r="AF82" s="187"/>
      <c r="AG82" s="112" t="s">
        <v>204</v>
      </c>
      <c r="AH82" s="142"/>
      <c r="AI82" s="187"/>
      <c r="AJ82" s="112" t="s">
        <v>204</v>
      </c>
      <c r="AK82" s="142"/>
      <c r="AL82" s="187"/>
      <c r="AM82" s="112" t="s">
        <v>204</v>
      </c>
      <c r="AN82" s="187"/>
      <c r="AO82" s="187"/>
      <c r="AP82" s="187" t="s">
        <v>204</v>
      </c>
      <c r="AQ82" s="74"/>
      <c r="AS82" s="148" t="s">
        <v>204</v>
      </c>
      <c r="AT82" s="148"/>
      <c r="AU82" s="191"/>
      <c r="AV82" s="142" t="s">
        <v>204</v>
      </c>
      <c r="AW82" s="187"/>
      <c r="AX82" s="112"/>
      <c r="AY82" s="142" t="s">
        <v>204</v>
      </c>
      <c r="AZ82" s="187"/>
      <c r="BA82" s="112"/>
      <c r="BB82" s="142" t="s">
        <v>204</v>
      </c>
      <c r="BC82" s="187"/>
      <c r="BD82" s="112"/>
      <c r="BE82" s="140" t="s">
        <v>204</v>
      </c>
      <c r="BF82" s="187"/>
      <c r="BG82" s="112"/>
    </row>
    <row r="83" spans="2:59" ht="72" customHeight="1" x14ac:dyDescent="0.25">
      <c r="C83" s="103"/>
      <c r="D83" s="205" t="s">
        <v>306</v>
      </c>
      <c r="E83" s="137" t="s">
        <v>305</v>
      </c>
      <c r="F83" s="206" t="s">
        <v>307</v>
      </c>
      <c r="G83" s="205" t="s">
        <v>306</v>
      </c>
      <c r="H83" s="137" t="s">
        <v>305</v>
      </c>
      <c r="I83" s="206" t="s">
        <v>307</v>
      </c>
      <c r="J83" s="205" t="s">
        <v>306</v>
      </c>
      <c r="K83" s="137" t="s">
        <v>305</v>
      </c>
      <c r="L83" s="206" t="s">
        <v>307</v>
      </c>
      <c r="M83" s="205" t="s">
        <v>306</v>
      </c>
      <c r="N83" s="137" t="s">
        <v>305</v>
      </c>
      <c r="O83" s="206" t="s">
        <v>307</v>
      </c>
      <c r="P83" s="205" t="s">
        <v>306</v>
      </c>
      <c r="Q83" s="137" t="s">
        <v>305</v>
      </c>
      <c r="R83" s="206" t="s">
        <v>307</v>
      </c>
      <c r="S83" s="205" t="s">
        <v>306</v>
      </c>
      <c r="T83" s="137" t="s">
        <v>305</v>
      </c>
      <c r="U83" s="206" t="s">
        <v>307</v>
      </c>
      <c r="V83" s="205" t="s">
        <v>306</v>
      </c>
      <c r="W83" s="137" t="s">
        <v>305</v>
      </c>
      <c r="X83" s="206" t="s">
        <v>307</v>
      </c>
      <c r="Y83" s="205" t="s">
        <v>306</v>
      </c>
      <c r="Z83" s="137" t="s">
        <v>305</v>
      </c>
      <c r="AA83" s="206" t="s">
        <v>307</v>
      </c>
      <c r="AB83" s="205" t="s">
        <v>306</v>
      </c>
      <c r="AC83" s="137" t="s">
        <v>305</v>
      </c>
      <c r="AD83" s="206" t="s">
        <v>307</v>
      </c>
      <c r="AE83" s="205" t="s">
        <v>306</v>
      </c>
      <c r="AF83" s="137" t="s">
        <v>305</v>
      </c>
      <c r="AG83" s="206" t="s">
        <v>307</v>
      </c>
      <c r="AH83" s="205" t="s">
        <v>306</v>
      </c>
      <c r="AI83" s="137" t="s">
        <v>305</v>
      </c>
      <c r="AJ83" s="206" t="s">
        <v>307</v>
      </c>
      <c r="AK83" s="205" t="s">
        <v>306</v>
      </c>
      <c r="AL83" s="137" t="s">
        <v>305</v>
      </c>
      <c r="AM83" s="206" t="s">
        <v>307</v>
      </c>
      <c r="AN83" s="62"/>
      <c r="AO83" s="62"/>
      <c r="AP83" s="62"/>
      <c r="AQ83" s="13"/>
      <c r="AS83" s="149"/>
      <c r="AT83" s="149"/>
      <c r="AU83" s="192"/>
      <c r="AV83" s="143"/>
      <c r="AW83" s="62"/>
      <c r="AX83" s="113"/>
      <c r="AY83" s="143"/>
      <c r="AZ83" s="62"/>
      <c r="BA83" s="113"/>
      <c r="BB83" s="143"/>
      <c r="BC83" s="62"/>
      <c r="BD83" s="113"/>
      <c r="BE83" s="76"/>
      <c r="BF83" s="62"/>
      <c r="BG83" s="113"/>
    </row>
    <row r="84" spans="2:59" x14ac:dyDescent="0.25">
      <c r="C84" s="103"/>
      <c r="D84" s="205"/>
      <c r="E84" s="137"/>
      <c r="F84" s="113"/>
      <c r="G84" s="205"/>
      <c r="H84" s="137"/>
      <c r="I84" s="113"/>
      <c r="J84" s="205"/>
      <c r="K84" s="137"/>
      <c r="L84" s="113"/>
      <c r="M84" s="205"/>
      <c r="N84" s="137"/>
      <c r="O84" s="113"/>
      <c r="P84" s="205"/>
      <c r="Q84" s="137"/>
      <c r="R84" s="113"/>
      <c r="S84" s="205"/>
      <c r="T84" s="137"/>
      <c r="U84" s="113"/>
      <c r="V84" s="205"/>
      <c r="W84" s="137"/>
      <c r="X84" s="113"/>
      <c r="Y84" s="205"/>
      <c r="Z84" s="137"/>
      <c r="AA84" s="113"/>
      <c r="AB84" s="205"/>
      <c r="AC84" s="137"/>
      <c r="AD84" s="113"/>
      <c r="AE84" s="205"/>
      <c r="AF84" s="137"/>
      <c r="AG84" s="113"/>
      <c r="AH84" s="205"/>
      <c r="AI84" s="137"/>
      <c r="AJ84" s="113"/>
      <c r="AK84" s="205"/>
      <c r="AL84" s="137"/>
      <c r="AM84" s="113"/>
      <c r="AN84" s="62"/>
      <c r="AO84" s="62"/>
      <c r="AP84" s="62"/>
      <c r="AQ84" s="13"/>
      <c r="AS84" s="149"/>
      <c r="AT84" s="149"/>
      <c r="AU84" s="192"/>
      <c r="AV84" s="143"/>
      <c r="AW84" s="62"/>
      <c r="AX84" s="113"/>
      <c r="AY84" s="143"/>
      <c r="AZ84" s="62"/>
      <c r="BA84" s="113"/>
      <c r="BB84" s="143"/>
      <c r="BC84" s="62"/>
      <c r="BD84" s="113"/>
      <c r="BE84" s="76"/>
      <c r="BF84" s="62"/>
      <c r="BG84" s="113"/>
    </row>
    <row r="85" spans="2:59" x14ac:dyDescent="0.25">
      <c r="C85" s="102" t="s">
        <v>4</v>
      </c>
      <c r="D85" s="207"/>
      <c r="E85" s="135"/>
      <c r="F85" s="113"/>
      <c r="G85" s="207"/>
      <c r="H85" s="135"/>
      <c r="I85" s="113"/>
      <c r="J85" s="207"/>
      <c r="K85" s="135"/>
      <c r="L85" s="113"/>
      <c r="M85" s="207"/>
      <c r="N85" s="135"/>
      <c r="O85" s="113"/>
      <c r="P85" s="207"/>
      <c r="Q85" s="135"/>
      <c r="R85" s="113"/>
      <c r="S85" s="207"/>
      <c r="T85" s="135"/>
      <c r="U85" s="113"/>
      <c r="V85" s="207"/>
      <c r="W85" s="135"/>
      <c r="X85" s="113"/>
      <c r="Y85" s="207"/>
      <c r="Z85" s="135"/>
      <c r="AA85" s="113"/>
      <c r="AB85" s="207"/>
      <c r="AC85" s="135"/>
      <c r="AD85" s="113"/>
      <c r="AE85" s="207"/>
      <c r="AF85" s="135"/>
      <c r="AG85" s="113"/>
      <c r="AH85" s="207"/>
      <c r="AI85" s="135"/>
      <c r="AJ85" s="113"/>
      <c r="AK85" s="207"/>
      <c r="AL85" s="135"/>
      <c r="AM85" s="113"/>
      <c r="AN85" s="62"/>
      <c r="AO85" s="62"/>
      <c r="AP85" s="62"/>
      <c r="AQ85" s="13"/>
      <c r="AS85" s="149"/>
      <c r="AT85" s="149"/>
      <c r="AU85" s="192"/>
      <c r="AV85" s="143"/>
      <c r="AW85" s="62"/>
      <c r="AX85" s="113"/>
      <c r="AY85" s="143"/>
      <c r="AZ85" s="62"/>
      <c r="BA85" s="113"/>
      <c r="BB85" s="143"/>
      <c r="BC85" s="62"/>
      <c r="BD85" s="113"/>
      <c r="BE85" s="76"/>
      <c r="BF85" s="62"/>
      <c r="BG85" s="113"/>
    </row>
    <row r="86" spans="2:59" x14ac:dyDescent="0.25">
      <c r="C86" s="102" t="s">
        <v>5</v>
      </c>
      <c r="D86" s="207"/>
      <c r="E86" s="135"/>
      <c r="F86" s="113"/>
      <c r="G86" s="207"/>
      <c r="H86" s="135"/>
      <c r="I86" s="113"/>
      <c r="J86" s="207"/>
      <c r="K86" s="135"/>
      <c r="L86" s="113"/>
      <c r="M86" s="207"/>
      <c r="N86" s="135"/>
      <c r="O86" s="113"/>
      <c r="P86" s="207"/>
      <c r="Q86" s="135"/>
      <c r="R86" s="113"/>
      <c r="S86" s="207"/>
      <c r="T86" s="135"/>
      <c r="U86" s="113"/>
      <c r="V86" s="207"/>
      <c r="W86" s="135"/>
      <c r="X86" s="113"/>
      <c r="Y86" s="207"/>
      <c r="Z86" s="135"/>
      <c r="AA86" s="113"/>
      <c r="AB86" s="207"/>
      <c r="AC86" s="135"/>
      <c r="AD86" s="113"/>
      <c r="AE86" s="207"/>
      <c r="AF86" s="135"/>
      <c r="AG86" s="113"/>
      <c r="AH86" s="207"/>
      <c r="AI86" s="135"/>
      <c r="AJ86" s="113"/>
      <c r="AK86" s="207"/>
      <c r="AL86" s="135"/>
      <c r="AM86" s="113"/>
      <c r="AN86" s="62"/>
      <c r="AO86" s="62"/>
      <c r="AP86" s="62"/>
      <c r="AQ86" s="13"/>
      <c r="AR86" s="36" t="s">
        <v>308</v>
      </c>
      <c r="AS86" s="149"/>
      <c r="AT86" s="149"/>
      <c r="AU86" s="192"/>
      <c r="AV86" s="143"/>
      <c r="AW86" s="62"/>
      <c r="AX86" s="113"/>
      <c r="AY86" s="143"/>
      <c r="AZ86" s="62"/>
      <c r="BA86" s="113"/>
      <c r="BB86" s="143"/>
      <c r="BC86" s="62"/>
      <c r="BD86" s="113"/>
      <c r="BE86" s="76"/>
      <c r="BF86" s="62"/>
      <c r="BG86" s="113"/>
    </row>
    <row r="87" spans="2:59" x14ac:dyDescent="0.25">
      <c r="B87" s="50">
        <f>MAX(I87,L87,O87)</f>
        <v>-0.13900421640843375</v>
      </c>
      <c r="C87" s="104" t="s">
        <v>6</v>
      </c>
      <c r="D87" s="217">
        <v>-4.8133541063877132</v>
      </c>
      <c r="E87" s="200">
        <v>2.6481540461102684</v>
      </c>
      <c r="F87" s="117">
        <f>E87-D87</f>
        <v>7.4615081524979816</v>
      </c>
      <c r="G87" s="208">
        <v>2.8000000000000003</v>
      </c>
      <c r="H87" s="200">
        <v>1.8361614536602577</v>
      </c>
      <c r="I87" s="117">
        <f>H87-G87</f>
        <v>-0.96383854633974253</v>
      </c>
      <c r="J87" s="208">
        <v>2.8000000000000003</v>
      </c>
      <c r="K87" s="200">
        <v>1.8238543774424762</v>
      </c>
      <c r="L87" s="117">
        <f>K87-J87</f>
        <v>-0.97614562255752402</v>
      </c>
      <c r="M87" s="208">
        <v>2.8000000000000003</v>
      </c>
      <c r="N87" s="200">
        <v>2.6609957835915665</v>
      </c>
      <c r="O87" s="117">
        <f>N87-M87</f>
        <v>-0.13900421640843375</v>
      </c>
      <c r="P87" s="208">
        <v>4.4000000000000004</v>
      </c>
      <c r="Q87" s="200">
        <v>1.5579075826745348</v>
      </c>
      <c r="R87" s="117">
        <f>Q87-P87</f>
        <v>-2.8420924173254658</v>
      </c>
      <c r="S87" s="208">
        <v>4.4000000000000004</v>
      </c>
      <c r="T87" s="200">
        <v>1.9613853678253841</v>
      </c>
      <c r="U87" s="117">
        <f>T87-S87</f>
        <v>-2.438614632174616</v>
      </c>
      <c r="V87" s="208">
        <v>3</v>
      </c>
      <c r="W87" s="200">
        <v>1.9613883931302341</v>
      </c>
      <c r="X87" s="117">
        <f>W87-V87</f>
        <v>-1.0386116068697659</v>
      </c>
      <c r="Y87" s="208">
        <v>2</v>
      </c>
      <c r="Z87" s="200">
        <v>2.3792241524321978</v>
      </c>
      <c r="AA87" s="117">
        <f>Z87-Y87</f>
        <v>0.37922415243219776</v>
      </c>
      <c r="AB87" s="208">
        <v>3.3</v>
      </c>
      <c r="AC87" s="200">
        <v>3.1579765914930058</v>
      </c>
      <c r="AD87" s="117">
        <f>AC87-AB87</f>
        <v>-0.14202340850699402</v>
      </c>
      <c r="AE87" s="208">
        <v>3.3</v>
      </c>
      <c r="AF87" s="200">
        <v>3.2328033640368439</v>
      </c>
      <c r="AG87" s="117">
        <f>AF87-AE87</f>
        <v>-6.7196635963155948E-2</v>
      </c>
      <c r="AH87" s="208">
        <v>10</v>
      </c>
      <c r="AI87" s="200">
        <v>0.35213297142857147</v>
      </c>
      <c r="AJ87" s="117">
        <f>AI87-AH87</f>
        <v>-9.6478670285714294</v>
      </c>
      <c r="AK87" s="208">
        <v>10</v>
      </c>
      <c r="AL87" s="200">
        <v>0.36660584999999996</v>
      </c>
      <c r="AM87" s="117">
        <f>AL87-AK87</f>
        <v>-9.6333941500000009</v>
      </c>
      <c r="AN87" s="94"/>
      <c r="AO87" s="94"/>
      <c r="AP87" s="94"/>
      <c r="AQ87" s="197"/>
      <c r="AR87">
        <v>2.8000000000000003</v>
      </c>
      <c r="AS87" s="218">
        <f>AVERAGE(I87,L87,O87)</f>
        <v>-0.69299612843523339</v>
      </c>
      <c r="AT87" s="219">
        <f>AS87/AR87</f>
        <v>-0.24749861729829761</v>
      </c>
      <c r="AU87" s="150">
        <f>_xlfn.STDEV.P(I87,L87,O87)</f>
        <v>0.39176365747270775</v>
      </c>
      <c r="AV87" s="144">
        <f>AVERAGE(R87,U87)</f>
        <v>-2.6403535247500409</v>
      </c>
      <c r="AW87" s="132"/>
      <c r="AX87" s="145"/>
      <c r="AY87" s="144">
        <f>AVERAGE(X87,AA87)</f>
        <v>-0.32969372721878409</v>
      </c>
      <c r="AZ87" s="132"/>
      <c r="BA87" s="145"/>
      <c r="BB87" s="144">
        <f>AVERAGE(AD87,AG87)</f>
        <v>-0.10461002223507498</v>
      </c>
      <c r="BC87" s="132"/>
      <c r="BD87" s="145"/>
      <c r="BE87" s="144">
        <f>AVERAGE(AJ87,AM87)</f>
        <v>-9.6406305892857151</v>
      </c>
      <c r="BF87" s="132"/>
      <c r="BG87" s="145"/>
    </row>
    <row r="88" spans="2:59" x14ac:dyDescent="0.25">
      <c r="B88" s="50">
        <f t="shared" ref="B88:B113" si="117">MAX(F88,I88,L88,O88)</f>
        <v>0.46900322943502815</v>
      </c>
      <c r="C88" s="104" t="s">
        <v>7</v>
      </c>
      <c r="D88" s="208">
        <v>7.7714285714285722</v>
      </c>
      <c r="E88" s="200">
        <v>5.8314090451886846</v>
      </c>
      <c r="F88" s="117">
        <f>E88-D88</f>
        <v>-1.9400195262398876</v>
      </c>
      <c r="G88" s="208">
        <v>7.7714285714285722</v>
      </c>
      <c r="H88" s="200">
        <v>3.7903487857156479</v>
      </c>
      <c r="I88" s="117">
        <f>H88-G88</f>
        <v>-3.9810797857129243</v>
      </c>
      <c r="J88" s="208">
        <v>7.7714285714285722</v>
      </c>
      <c r="K88" s="200">
        <v>5.4254362115281856</v>
      </c>
      <c r="L88" s="117">
        <f>K88-J88</f>
        <v>-2.3459923599003867</v>
      </c>
      <c r="M88" s="208">
        <v>7.7714285714285722</v>
      </c>
      <c r="N88" s="200">
        <v>8.2404318008636004</v>
      </c>
      <c r="O88" s="117">
        <f>N88-M88</f>
        <v>0.46900322943502815</v>
      </c>
      <c r="P88" s="208">
        <v>-1.0000000000000004</v>
      </c>
      <c r="Q88" s="200">
        <v>1.2553108506847788</v>
      </c>
      <c r="R88" s="117">
        <f>Q88-P88</f>
        <v>2.2553108506847792</v>
      </c>
      <c r="S88" s="208">
        <v>-0.50000000000000044</v>
      </c>
      <c r="T88" s="200">
        <v>1.3941164645648074</v>
      </c>
      <c r="U88" s="117">
        <f>T88-S88</f>
        <v>1.8941164645648079</v>
      </c>
      <c r="V88" s="208">
        <v>0.5</v>
      </c>
      <c r="W88" s="200">
        <v>1.5282322016327095</v>
      </c>
      <c r="X88" s="117">
        <f>W88-V88</f>
        <v>1.0282322016327095</v>
      </c>
      <c r="Y88" s="208">
        <v>1</v>
      </c>
      <c r="Z88" s="200">
        <v>3.8308479444907371</v>
      </c>
      <c r="AA88" s="117">
        <f>Z88-Y88</f>
        <v>2.8308479444907371</v>
      </c>
      <c r="AB88" s="208">
        <v>3.3</v>
      </c>
      <c r="AC88" s="200">
        <v>7.8892983157293761</v>
      </c>
      <c r="AD88" s="117">
        <f>AC88-AB88</f>
        <v>4.5892983157293763</v>
      </c>
      <c r="AE88" s="208">
        <v>3.3</v>
      </c>
      <c r="AF88" s="200">
        <v>8.857571943475028</v>
      </c>
      <c r="AG88" s="117">
        <f>AF88-AE88</f>
        <v>5.5575719434750281</v>
      </c>
      <c r="AH88" s="208">
        <v>0</v>
      </c>
      <c r="AI88" s="200">
        <v>0.8876459714285716</v>
      </c>
      <c r="AJ88" s="117">
        <f>AI88-AH88</f>
        <v>0.8876459714285716</v>
      </c>
      <c r="AK88" s="208">
        <v>0</v>
      </c>
      <c r="AL88" s="200">
        <v>0.7568742249999999</v>
      </c>
      <c r="AM88" s="117">
        <f>AL88-AK88</f>
        <v>0.7568742249999999</v>
      </c>
      <c r="AN88" s="94"/>
      <c r="AO88" s="94"/>
      <c r="AP88" s="94"/>
      <c r="AQ88" s="197"/>
      <c r="AR88">
        <v>7.7714285714285722</v>
      </c>
      <c r="AS88" s="150">
        <f t="shared" ref="AS88:AS113" si="118">AVERAGE(F88,I88,L88,O88)</f>
        <v>-1.9495221106045424</v>
      </c>
      <c r="AT88" s="219">
        <f t="shared" ref="AT88:AT122" si="119">AS88/AR88</f>
        <v>-0.25085762452631977</v>
      </c>
      <c r="AU88" s="150">
        <f>_xlfn.STDEV.P(F88,I88,L88,O88)</f>
        <v>1.5916791734981968</v>
      </c>
      <c r="AV88" s="144">
        <f t="shared" ref="AV88:AV113" si="120">AVERAGE(R88,U88)</f>
        <v>2.0747136576247938</v>
      </c>
      <c r="AW88" s="132"/>
      <c r="AX88" s="145"/>
      <c r="AY88" s="144">
        <f t="shared" ref="AY88:AY113" si="121">AVERAGE(X88,AA88)</f>
        <v>1.9295400730617231</v>
      </c>
      <c r="AZ88" s="132"/>
      <c r="BA88" s="145"/>
      <c r="BB88" s="144">
        <f t="shared" ref="BB88:BB113" si="122">AVERAGE(AD88,AG88)</f>
        <v>5.0734351296022027</v>
      </c>
      <c r="BC88" s="132"/>
      <c r="BD88" s="145"/>
      <c r="BE88" s="144">
        <f t="shared" ref="BE88:BE113" si="123">AVERAGE(AJ88,AM88)</f>
        <v>0.82226009821428581</v>
      </c>
      <c r="BF88" s="132"/>
      <c r="BG88" s="145"/>
    </row>
    <row r="89" spans="2:59" x14ac:dyDescent="0.25">
      <c r="B89" s="50">
        <f t="shared" si="117"/>
        <v>1.0098732174607186</v>
      </c>
      <c r="C89" s="104" t="s">
        <v>8</v>
      </c>
      <c r="D89" s="208">
        <v>12.785714285714286</v>
      </c>
      <c r="E89" s="200">
        <v>9.7271635633143934</v>
      </c>
      <c r="F89" s="117">
        <f t="shared" ref="F89:F113" si="124">E89-D89</f>
        <v>-3.0585507223998931</v>
      </c>
      <c r="G89" s="208">
        <v>12.785714285714286</v>
      </c>
      <c r="H89" s="200">
        <v>6.616485893987945</v>
      </c>
      <c r="I89" s="117">
        <f t="shared" ref="I89:I113" si="125">H89-G89</f>
        <v>-6.1692283917263415</v>
      </c>
      <c r="J89" s="208">
        <v>12.785714285714286</v>
      </c>
      <c r="K89" s="200">
        <v>9.4923435476609228</v>
      </c>
      <c r="L89" s="117">
        <f t="shared" ref="L89:L113" si="126">K89-J89</f>
        <v>-3.2933707380533637</v>
      </c>
      <c r="M89" s="208">
        <v>12.785714285714286</v>
      </c>
      <c r="N89" s="200">
        <v>13.795587503175005</v>
      </c>
      <c r="O89" s="117">
        <f t="shared" ref="O89:O113" si="127">N89-M89</f>
        <v>1.0098732174607186</v>
      </c>
      <c r="P89" s="208">
        <v>-5.7</v>
      </c>
      <c r="Q89" s="200">
        <v>0.33612273132167908</v>
      </c>
      <c r="R89" s="117">
        <f t="shared" ref="R89:R113" si="128">Q89-P89</f>
        <v>6.0361227313216794</v>
      </c>
      <c r="S89" s="208">
        <v>-4.6000000000000005</v>
      </c>
      <c r="T89" s="200">
        <v>0.25217927782268929</v>
      </c>
      <c r="U89" s="117">
        <f t="shared" ref="U89:U113" si="129">T89-S89</f>
        <v>4.8521792778226898</v>
      </c>
      <c r="V89" s="208">
        <v>-0.66666666666666696</v>
      </c>
      <c r="W89" s="200">
        <v>0.79718772344195965</v>
      </c>
      <c r="X89" s="117">
        <f t="shared" ref="X89:X113" si="130">W89-V89</f>
        <v>1.4638543901086267</v>
      </c>
      <c r="Y89" s="208">
        <v>0</v>
      </c>
      <c r="Z89" s="200">
        <v>1.5817556658237086</v>
      </c>
      <c r="AA89" s="117">
        <f t="shared" ref="AA89:AA113" si="131">Z89-Y89</f>
        <v>1.5817556658237086</v>
      </c>
      <c r="AB89" s="208">
        <v>3.3999999999999995</v>
      </c>
      <c r="AC89" s="200">
        <v>10.153942335141307</v>
      </c>
      <c r="AD89" s="117">
        <f t="shared" ref="AD89:AD113" si="132">AC89-AB89</f>
        <v>6.7539423351413079</v>
      </c>
      <c r="AE89" s="208">
        <v>3.1999999999999997</v>
      </c>
      <c r="AF89" s="200">
        <v>11.43230447966131</v>
      </c>
      <c r="AG89" s="117">
        <f t="shared" ref="AG89:AG113" si="133">AF89-AE89</f>
        <v>8.2323044796613107</v>
      </c>
      <c r="AH89" s="208">
        <v>1.2</v>
      </c>
      <c r="AI89" s="200">
        <v>1.6163713428571431</v>
      </c>
      <c r="AJ89" s="117">
        <f t="shared" ref="AJ89:AJ113" si="134">AI89-AH89</f>
        <v>0.41637134285714317</v>
      </c>
      <c r="AK89" s="208">
        <v>1.2</v>
      </c>
      <c r="AL89" s="200">
        <v>1.7302033999999999</v>
      </c>
      <c r="AM89" s="117">
        <f t="shared" ref="AM89:AM113" si="135">AL89-AK89</f>
        <v>0.53020339999999999</v>
      </c>
      <c r="AN89" s="94"/>
      <c r="AO89" s="94"/>
      <c r="AP89" s="94"/>
      <c r="AQ89" s="197"/>
      <c r="AR89">
        <v>12.785714285714286</v>
      </c>
      <c r="AS89" s="150">
        <f t="shared" si="118"/>
        <v>-2.8778191586797202</v>
      </c>
      <c r="AT89" s="219">
        <f t="shared" si="119"/>
        <v>-0.22508082805316246</v>
      </c>
      <c r="AU89" s="150">
        <f t="shared" ref="AU89:AU113" si="136">_xlfn.STDEV.P(F89,I89,L89,O89)</f>
        <v>2.5569940244420644</v>
      </c>
      <c r="AV89" s="144">
        <f t="shared" si="120"/>
        <v>5.4441510045721841</v>
      </c>
      <c r="AW89" s="132"/>
      <c r="AX89" s="145"/>
      <c r="AY89" s="144">
        <f t="shared" si="121"/>
        <v>1.5228050279661676</v>
      </c>
      <c r="AZ89" s="132"/>
      <c r="BA89" s="145"/>
      <c r="BB89" s="144">
        <f t="shared" si="122"/>
        <v>7.4931234074013098</v>
      </c>
      <c r="BC89" s="132"/>
      <c r="BD89" s="145"/>
      <c r="BE89" s="144">
        <f t="shared" si="123"/>
        <v>0.47328737142857158</v>
      </c>
      <c r="BF89" s="132"/>
      <c r="BG89" s="145"/>
    </row>
    <row r="90" spans="2:59" x14ac:dyDescent="0.25">
      <c r="B90" s="50">
        <f t="shared" si="117"/>
        <v>-0.46277644326717571</v>
      </c>
      <c r="C90" s="104" t="s">
        <v>9</v>
      </c>
      <c r="D90" s="208">
        <v>8.6142857142857157</v>
      </c>
      <c r="E90" s="200">
        <v>6.2513418665751734</v>
      </c>
      <c r="F90" s="117">
        <f t="shared" si="124"/>
        <v>-2.3629438477105422</v>
      </c>
      <c r="G90" s="208">
        <v>8.6142857142857157</v>
      </c>
      <c r="H90" s="200">
        <v>3.8844273367761502</v>
      </c>
      <c r="I90" s="117">
        <f t="shared" si="125"/>
        <v>-4.7298583775095651</v>
      </c>
      <c r="J90" s="208">
        <v>8.6142857142857157</v>
      </c>
      <c r="K90" s="200">
        <v>6.1825984950445125</v>
      </c>
      <c r="L90" s="117">
        <f t="shared" si="126"/>
        <v>-2.4316872192412031</v>
      </c>
      <c r="M90" s="208">
        <v>8.6142857142857157</v>
      </c>
      <c r="N90" s="200">
        <v>8.1515092710185399</v>
      </c>
      <c r="O90" s="117">
        <f t="shared" si="127"/>
        <v>-0.46277644326717571</v>
      </c>
      <c r="P90" s="208">
        <v>-3.1999999999999997</v>
      </c>
      <c r="Q90" s="200">
        <v>9.4192768065916935E-2</v>
      </c>
      <c r="R90" s="117">
        <f t="shared" si="128"/>
        <v>3.2941927680659169</v>
      </c>
      <c r="S90" s="208">
        <v>-2.8000000000000003</v>
      </c>
      <c r="T90" s="200">
        <v>4.9063675559148479E-2</v>
      </c>
      <c r="U90" s="117">
        <f t="shared" si="129"/>
        <v>2.8490636755591487</v>
      </c>
      <c r="V90" s="208">
        <v>-0.36666666666666714</v>
      </c>
      <c r="W90" s="200">
        <v>0.34633246886868824</v>
      </c>
      <c r="X90" s="117">
        <f t="shared" si="130"/>
        <v>0.71299913553535532</v>
      </c>
      <c r="Y90" s="208">
        <v>0</v>
      </c>
      <c r="Z90" s="200">
        <v>0.4808901789030135</v>
      </c>
      <c r="AA90" s="117">
        <f t="shared" si="131"/>
        <v>0.4808901789030135</v>
      </c>
      <c r="AB90" s="208">
        <v>1.1000000000000001</v>
      </c>
      <c r="AC90" s="200">
        <v>4.3884199257779049</v>
      </c>
      <c r="AD90" s="117">
        <f t="shared" si="132"/>
        <v>3.2884199257779048</v>
      </c>
      <c r="AE90" s="208">
        <v>0.89999999999999991</v>
      </c>
      <c r="AF90" s="200">
        <v>5.2520235711425141</v>
      </c>
      <c r="AG90" s="117">
        <f t="shared" si="133"/>
        <v>4.3520235711425137</v>
      </c>
      <c r="AH90" s="208">
        <v>0</v>
      </c>
      <c r="AI90" s="200">
        <v>0.74018785714285718</v>
      </c>
      <c r="AJ90" s="117">
        <f t="shared" si="134"/>
        <v>0.74018785714285718</v>
      </c>
      <c r="AK90" s="208">
        <v>0</v>
      </c>
      <c r="AL90" s="200">
        <v>0.79693675000000008</v>
      </c>
      <c r="AM90" s="117">
        <f t="shared" si="135"/>
        <v>0.79693675000000008</v>
      </c>
      <c r="AN90" s="94"/>
      <c r="AO90" s="94"/>
      <c r="AP90" s="94"/>
      <c r="AQ90" s="197"/>
      <c r="AR90">
        <v>8.6142857142857157</v>
      </c>
      <c r="AS90" s="150">
        <f t="shared" si="118"/>
        <v>-2.4968164719321213</v>
      </c>
      <c r="AT90" s="219">
        <f t="shared" si="119"/>
        <v>-0.28984602493407707</v>
      </c>
      <c r="AU90" s="150">
        <f t="shared" si="136"/>
        <v>1.512114305314606</v>
      </c>
      <c r="AV90" s="144">
        <f t="shared" si="120"/>
        <v>3.0716282218125328</v>
      </c>
      <c r="AW90" s="132"/>
      <c r="AX90" s="145"/>
      <c r="AY90" s="144">
        <f t="shared" si="121"/>
        <v>0.59694465721918444</v>
      </c>
      <c r="AZ90" s="132"/>
      <c r="BA90" s="145"/>
      <c r="BB90" s="144">
        <f t="shared" si="122"/>
        <v>3.8202217484602095</v>
      </c>
      <c r="BC90" s="132"/>
      <c r="BD90" s="145"/>
      <c r="BE90" s="144">
        <f t="shared" si="123"/>
        <v>0.76856230357142863</v>
      </c>
      <c r="BF90" s="132"/>
      <c r="BG90" s="145"/>
    </row>
    <row r="91" spans="2:59" x14ac:dyDescent="0.25">
      <c r="B91" s="50">
        <f t="shared" si="117"/>
        <v>3.2726748631296303</v>
      </c>
      <c r="C91" s="104" t="s">
        <v>10</v>
      </c>
      <c r="D91" s="208">
        <v>43.485491717274492</v>
      </c>
      <c r="E91" s="200">
        <v>37.846543399072935</v>
      </c>
      <c r="F91" s="117">
        <f t="shared" si="124"/>
        <v>-5.6389483182015567</v>
      </c>
      <c r="G91" s="208">
        <v>42.285714285714285</v>
      </c>
      <c r="H91" s="200">
        <v>25.113112923437857</v>
      </c>
      <c r="I91" s="117">
        <f t="shared" si="125"/>
        <v>-17.172601362276428</v>
      </c>
      <c r="J91" s="208">
        <v>42.123124855758135</v>
      </c>
      <c r="K91" s="200">
        <v>39.134262850951167</v>
      </c>
      <c r="L91" s="117">
        <f t="shared" si="126"/>
        <v>-2.9888620048069683</v>
      </c>
      <c r="M91" s="208">
        <v>41.374360950941998</v>
      </c>
      <c r="N91" s="200">
        <v>44.647035814071629</v>
      </c>
      <c r="O91" s="117">
        <f t="shared" si="127"/>
        <v>3.2726748631296303</v>
      </c>
      <c r="P91" s="208">
        <v>-23.5</v>
      </c>
      <c r="Q91" s="200">
        <v>0.50940933637679542</v>
      </c>
      <c r="R91" s="117">
        <f t="shared" si="128"/>
        <v>24.009409336376795</v>
      </c>
      <c r="S91" s="208">
        <v>-20.5</v>
      </c>
      <c r="T91" s="200">
        <v>0.37049994610617087</v>
      </c>
      <c r="U91" s="117">
        <f t="shared" si="129"/>
        <v>20.870499946106172</v>
      </c>
      <c r="V91" s="208">
        <v>-0.33333333333333215</v>
      </c>
      <c r="W91" s="200">
        <v>1.483272482524272</v>
      </c>
      <c r="X91" s="117">
        <f t="shared" si="130"/>
        <v>1.8166058158576042</v>
      </c>
      <c r="Y91" s="208">
        <v>22</v>
      </c>
      <c r="Z91" s="200">
        <v>2.1822950926500102</v>
      </c>
      <c r="AA91" s="117">
        <f t="shared" si="131"/>
        <v>-19.817704907349992</v>
      </c>
      <c r="AB91" s="208">
        <v>-0.10000000000000142</v>
      </c>
      <c r="AC91" s="200">
        <v>13.9582043962318</v>
      </c>
      <c r="AD91" s="117">
        <f t="shared" si="132"/>
        <v>14.058204396231801</v>
      </c>
      <c r="AE91" s="208">
        <v>-2.9000000000000004</v>
      </c>
      <c r="AF91" s="200">
        <v>16.597863150065795</v>
      </c>
      <c r="AG91" s="117">
        <f t="shared" si="133"/>
        <v>19.497863150065797</v>
      </c>
      <c r="AH91" s="208">
        <v>3.7</v>
      </c>
      <c r="AI91" s="200">
        <v>4.8794562857142854</v>
      </c>
      <c r="AJ91" s="117">
        <f t="shared" si="134"/>
        <v>1.1794562857142852</v>
      </c>
      <c r="AK91" s="208">
        <v>3.7</v>
      </c>
      <c r="AL91" s="200">
        <v>5.6095580000000025</v>
      </c>
      <c r="AM91" s="117">
        <f t="shared" si="135"/>
        <v>1.9095580000000023</v>
      </c>
      <c r="AN91" s="94"/>
      <c r="AO91" s="94"/>
      <c r="AP91" s="94"/>
      <c r="AQ91" s="197"/>
      <c r="AR91">
        <v>45.285714285714285</v>
      </c>
      <c r="AS91" s="150">
        <f t="shared" si="118"/>
        <v>-5.6319342055388306</v>
      </c>
      <c r="AT91" s="219">
        <f t="shared" si="119"/>
        <v>-0.12436447772483222</v>
      </c>
      <c r="AU91" s="150">
        <f t="shared" si="136"/>
        <v>7.4071745784825476</v>
      </c>
      <c r="AV91" s="144">
        <f t="shared" si="120"/>
        <v>22.439954641241485</v>
      </c>
      <c r="AW91" s="132"/>
      <c r="AX91" s="145"/>
      <c r="AY91" s="144">
        <f t="shared" si="121"/>
        <v>-9.0005495457461944</v>
      </c>
      <c r="AZ91" s="132"/>
      <c r="BA91" s="145"/>
      <c r="BB91" s="144">
        <f t="shared" si="122"/>
        <v>16.778033773148799</v>
      </c>
      <c r="BC91" s="132"/>
      <c r="BD91" s="145"/>
      <c r="BE91" s="144">
        <f t="shared" si="123"/>
        <v>1.5445071428571437</v>
      </c>
      <c r="BF91" s="132"/>
      <c r="BG91" s="145"/>
    </row>
    <row r="92" spans="2:59" x14ac:dyDescent="0.25">
      <c r="B92" s="50">
        <f t="shared" si="117"/>
        <v>-2.4063875276375626</v>
      </c>
      <c r="C92" s="104" t="s">
        <v>11</v>
      </c>
      <c r="D92" s="208">
        <v>35</v>
      </c>
      <c r="E92" s="200">
        <v>25.622167777656546</v>
      </c>
      <c r="F92" s="117">
        <f t="shared" si="124"/>
        <v>-9.3778322223434536</v>
      </c>
      <c r="G92" s="208">
        <v>35</v>
      </c>
      <c r="H92" s="200">
        <v>14.642616827124819</v>
      </c>
      <c r="I92" s="117">
        <f t="shared" si="125"/>
        <v>-20.357383172875181</v>
      </c>
      <c r="J92" s="208">
        <v>35</v>
      </c>
      <c r="K92" s="200">
        <v>30.689250776789947</v>
      </c>
      <c r="L92" s="117">
        <f t="shared" si="126"/>
        <v>-4.3107492232100526</v>
      </c>
      <c r="M92" s="208">
        <v>34.620289229440964</v>
      </c>
      <c r="N92" s="200">
        <v>32.213901701803401</v>
      </c>
      <c r="O92" s="117">
        <f t="shared" si="127"/>
        <v>-2.4063875276375626</v>
      </c>
      <c r="P92" s="208">
        <v>-15.499999999999998</v>
      </c>
      <c r="Q92" s="200">
        <v>7.4057593809152639E-2</v>
      </c>
      <c r="R92" s="117">
        <f t="shared" si="128"/>
        <v>15.574057593809151</v>
      </c>
      <c r="S92" s="208">
        <v>-12.9</v>
      </c>
      <c r="T92" s="200">
        <v>5.6889571544058215E-2</v>
      </c>
      <c r="U92" s="117">
        <f t="shared" si="129"/>
        <v>12.956889571544059</v>
      </c>
      <c r="V92" s="208">
        <v>1.3333333333333321</v>
      </c>
      <c r="W92" s="200">
        <v>0.48459136883659637</v>
      </c>
      <c r="X92" s="117">
        <f t="shared" si="130"/>
        <v>-0.84874196449673578</v>
      </c>
      <c r="Y92" s="208">
        <v>17</v>
      </c>
      <c r="Z92" s="200">
        <v>0.8188593173601959</v>
      </c>
      <c r="AA92" s="117">
        <f t="shared" si="131"/>
        <v>-16.181140682639803</v>
      </c>
      <c r="AB92" s="208">
        <v>-1.5</v>
      </c>
      <c r="AC92" s="200">
        <v>6.5013565515272624</v>
      </c>
      <c r="AD92" s="117">
        <f t="shared" si="132"/>
        <v>8.0013565515272624</v>
      </c>
      <c r="AE92" s="208">
        <v>-3.7000000000000011</v>
      </c>
      <c r="AF92" s="200">
        <v>8.1931743806853934</v>
      </c>
      <c r="AG92" s="117">
        <f t="shared" si="133"/>
        <v>11.893174380685394</v>
      </c>
      <c r="AH92" s="208">
        <v>1.6</v>
      </c>
      <c r="AI92" s="200">
        <v>1.5435511428571427</v>
      </c>
      <c r="AJ92" s="117">
        <f t="shared" si="134"/>
        <v>-5.6448857142857412E-2</v>
      </c>
      <c r="AK92" s="208">
        <v>1.6</v>
      </c>
      <c r="AL92" s="200">
        <v>1.6980913750000002</v>
      </c>
      <c r="AM92" s="117">
        <f t="shared" si="135"/>
        <v>9.8091375000000092E-2</v>
      </c>
      <c r="AN92" s="94"/>
      <c r="AO92" s="94"/>
      <c r="AP92" s="94"/>
      <c r="AQ92" s="197"/>
      <c r="AR92">
        <v>35</v>
      </c>
      <c r="AS92" s="150">
        <f t="shared" si="118"/>
        <v>-9.1130880365165616</v>
      </c>
      <c r="AT92" s="219">
        <f t="shared" si="119"/>
        <v>-0.26037394390047319</v>
      </c>
      <c r="AU92" s="150">
        <f t="shared" si="136"/>
        <v>6.9739972826037029</v>
      </c>
      <c r="AV92" s="144">
        <f t="shared" si="120"/>
        <v>14.265473582676606</v>
      </c>
      <c r="AW92" s="132"/>
      <c r="AX92" s="145"/>
      <c r="AY92" s="144">
        <f t="shared" si="121"/>
        <v>-8.5149413235682694</v>
      </c>
      <c r="AZ92" s="132"/>
      <c r="BA92" s="145"/>
      <c r="BB92" s="144">
        <f t="shared" si="122"/>
        <v>9.9472654661063284</v>
      </c>
      <c r="BC92" s="132"/>
      <c r="BD92" s="145"/>
      <c r="BE92" s="144">
        <f t="shared" si="123"/>
        <v>2.082125892857134E-2</v>
      </c>
      <c r="BF92" s="132"/>
      <c r="BG92" s="145"/>
    </row>
    <row r="93" spans="2:59" x14ac:dyDescent="0.25">
      <c r="B93" s="50">
        <f>MAX(F93,I93,L93,O93)</f>
        <v>29.400561116813378</v>
      </c>
      <c r="C93" s="104" t="s">
        <v>12</v>
      </c>
      <c r="D93" s="208">
        <v>214.14263457441734</v>
      </c>
      <c r="E93" s="200">
        <v>175.88014760485851</v>
      </c>
      <c r="F93" s="117">
        <f t="shared" si="124"/>
        <v>-38.262486969558836</v>
      </c>
      <c r="G93" s="208">
        <v>212.54285714285714</v>
      </c>
      <c r="H93" s="200">
        <v>128.51992638237203</v>
      </c>
      <c r="I93" s="117">
        <f t="shared" si="125"/>
        <v>-84.02293076048511</v>
      </c>
      <c r="J93" s="208">
        <v>212.53339487652897</v>
      </c>
      <c r="K93" s="200">
        <v>166.22972523156619</v>
      </c>
      <c r="L93" s="117">
        <f t="shared" si="126"/>
        <v>-46.303669644962781</v>
      </c>
      <c r="M93" s="208">
        <v>207.84065554561994</v>
      </c>
      <c r="N93" s="200">
        <v>237.24121666243332</v>
      </c>
      <c r="O93" s="117">
        <f t="shared" si="127"/>
        <v>29.400561116813378</v>
      </c>
      <c r="P93" s="208">
        <v>-94</v>
      </c>
      <c r="Q93" s="200">
        <v>0.39911190290613507</v>
      </c>
      <c r="R93" s="117">
        <f t="shared" si="128"/>
        <v>94.399111902906128</v>
      </c>
      <c r="S93" s="208">
        <v>-84</v>
      </c>
      <c r="T93" s="200">
        <v>0.33097828078684993</v>
      </c>
      <c r="U93" s="117">
        <f t="shared" si="129"/>
        <v>84.330978280786852</v>
      </c>
      <c r="V93" s="208">
        <v>16.666666666666671</v>
      </c>
      <c r="W93" s="200">
        <v>2.7507379279526001</v>
      </c>
      <c r="X93" s="117">
        <f t="shared" si="130"/>
        <v>-13.915928738714072</v>
      </c>
      <c r="Y93" s="208">
        <v>38</v>
      </c>
      <c r="Z93" s="200">
        <v>3.8859721860686944</v>
      </c>
      <c r="AA93" s="117">
        <f t="shared" si="131"/>
        <v>-34.114027813931308</v>
      </c>
      <c r="AB93" s="208">
        <v>-15.600000000000001</v>
      </c>
      <c r="AC93" s="200">
        <v>26.521564373394231</v>
      </c>
      <c r="AD93" s="117">
        <f t="shared" si="132"/>
        <v>42.121564373394236</v>
      </c>
      <c r="AE93" s="208">
        <v>-26.199999999999989</v>
      </c>
      <c r="AF93" s="200">
        <v>30.895042622575666</v>
      </c>
      <c r="AG93" s="117">
        <f t="shared" si="133"/>
        <v>57.095042622575654</v>
      </c>
      <c r="AH93" s="208">
        <v>4.1000000000000014</v>
      </c>
      <c r="AI93" s="200">
        <v>5.9659971428571428</v>
      </c>
      <c r="AJ93" s="117">
        <f t="shared" si="134"/>
        <v>1.8659971428571414</v>
      </c>
      <c r="AK93" s="208">
        <v>4.2</v>
      </c>
      <c r="AL93" s="200">
        <v>6.3491289999999996</v>
      </c>
      <c r="AM93" s="117">
        <f t="shared" si="135"/>
        <v>2.1491289999999994</v>
      </c>
      <c r="AN93" s="94"/>
      <c r="AO93" s="94"/>
      <c r="AP93" s="94"/>
      <c r="AQ93" s="197"/>
      <c r="AR93">
        <v>217.14285714285714</v>
      </c>
      <c r="AS93" s="218">
        <f>AVERAGE(F93,I93,L93,O93)</f>
        <v>-34.797131564548337</v>
      </c>
      <c r="AT93" s="219">
        <f t="shared" si="119"/>
        <v>-0.16024994799463049</v>
      </c>
      <c r="AU93" s="150">
        <f>_xlfn.STDEV.P(F93,I93,L93,O93)</f>
        <v>40.892946087217524</v>
      </c>
      <c r="AV93" s="144">
        <f t="shared" si="120"/>
        <v>89.365045091846497</v>
      </c>
      <c r="AW93" s="132"/>
      <c r="AX93" s="145"/>
      <c r="AY93" s="144">
        <f t="shared" si="121"/>
        <v>-24.01497827632269</v>
      </c>
      <c r="AZ93" s="132"/>
      <c r="BA93" s="145"/>
      <c r="BB93" s="144">
        <f t="shared" si="122"/>
        <v>49.608303497984949</v>
      </c>
      <c r="BC93" s="132"/>
      <c r="BD93" s="145"/>
      <c r="BE93" s="144">
        <f t="shared" si="123"/>
        <v>2.0075630714285704</v>
      </c>
      <c r="BF93" s="132"/>
      <c r="BG93" s="145"/>
    </row>
    <row r="94" spans="2:59" x14ac:dyDescent="0.25">
      <c r="B94" s="50">
        <f t="shared" si="117"/>
        <v>-13.396222639798122</v>
      </c>
      <c r="C94" s="104" t="s">
        <v>13</v>
      </c>
      <c r="D94" s="208">
        <v>41.062544911131603</v>
      </c>
      <c r="E94" s="200">
        <v>18.130290321379519</v>
      </c>
      <c r="F94" s="117">
        <f t="shared" si="124"/>
        <v>-22.932254589752084</v>
      </c>
      <c r="G94" s="208">
        <v>40.285714285714285</v>
      </c>
      <c r="H94" s="200">
        <v>20.662005128461892</v>
      </c>
      <c r="I94" s="117">
        <f t="shared" si="125"/>
        <v>-19.623709157252392</v>
      </c>
      <c r="J94" s="208">
        <v>36.621370874682668</v>
      </c>
      <c r="K94" s="200">
        <v>16.147841047705946</v>
      </c>
      <c r="L94" s="117">
        <f t="shared" si="126"/>
        <v>-20.473529826976723</v>
      </c>
      <c r="M94" s="208">
        <v>26.817723782800407</v>
      </c>
      <c r="N94" s="200">
        <v>13.421501143002285</v>
      </c>
      <c r="O94" s="117">
        <f t="shared" si="127"/>
        <v>-13.396222639798122</v>
      </c>
      <c r="P94" s="208">
        <v>-12.099999999999998</v>
      </c>
      <c r="Q94" s="200">
        <v>4.7957243068700597E-2</v>
      </c>
      <c r="R94" s="117">
        <f t="shared" si="128"/>
        <v>12.147957243068699</v>
      </c>
      <c r="S94" s="208">
        <v>-10.599999999999998</v>
      </c>
      <c r="T94" s="200">
        <v>4.4234545944489362E-2</v>
      </c>
      <c r="U94" s="117">
        <f t="shared" si="129"/>
        <v>10.644234545944487</v>
      </c>
      <c r="V94" s="208">
        <v>6.3333333333333321</v>
      </c>
      <c r="W94" s="200">
        <v>0.33826471423816556</v>
      </c>
      <c r="X94" s="117">
        <f t="shared" si="130"/>
        <v>-5.995068619095167</v>
      </c>
      <c r="Y94" s="208">
        <v>10</v>
      </c>
      <c r="Z94" s="200">
        <v>0.40817361688693382</v>
      </c>
      <c r="AA94" s="117">
        <f t="shared" si="131"/>
        <v>-9.5918263831130659</v>
      </c>
      <c r="AB94" s="208">
        <v>-8.1</v>
      </c>
      <c r="AC94" s="200">
        <v>1.874637739080788</v>
      </c>
      <c r="AD94" s="117">
        <f t="shared" si="132"/>
        <v>9.9746377390807872</v>
      </c>
      <c r="AE94" s="208">
        <v>-10.700000000000001</v>
      </c>
      <c r="AF94" s="200">
        <v>2.5987410607014128</v>
      </c>
      <c r="AG94" s="117">
        <f t="shared" si="133"/>
        <v>13.298741060701413</v>
      </c>
      <c r="AH94" s="208">
        <v>0.19999999999999996</v>
      </c>
      <c r="AI94" s="200">
        <v>0.36499648571428578</v>
      </c>
      <c r="AJ94" s="117">
        <f t="shared" si="134"/>
        <v>0.16499648571428582</v>
      </c>
      <c r="AK94" s="208">
        <v>9.9999999999999867E-2</v>
      </c>
      <c r="AL94" s="200">
        <v>0.27593224999999999</v>
      </c>
      <c r="AM94" s="117">
        <f t="shared" si="135"/>
        <v>0.17593225000000012</v>
      </c>
      <c r="AN94" s="94"/>
      <c r="AO94" s="94"/>
      <c r="AP94" s="94"/>
      <c r="AQ94" s="197"/>
      <c r="AR94">
        <v>43.285714285714285</v>
      </c>
      <c r="AS94" s="150">
        <f t="shared" si="118"/>
        <v>-19.106429053444831</v>
      </c>
      <c r="AT94" s="219">
        <f t="shared" si="119"/>
        <v>-0.44140265139971557</v>
      </c>
      <c r="AU94" s="150">
        <f t="shared" si="136"/>
        <v>3.5135431387525005</v>
      </c>
      <c r="AV94" s="144">
        <f t="shared" si="120"/>
        <v>11.396095894506594</v>
      </c>
      <c r="AW94" s="132"/>
      <c r="AX94" s="145"/>
      <c r="AY94" s="144">
        <f t="shared" si="121"/>
        <v>-7.7934475011041169</v>
      </c>
      <c r="AZ94" s="132"/>
      <c r="BA94" s="145"/>
      <c r="BB94" s="144">
        <f t="shared" si="122"/>
        <v>11.6366893998911</v>
      </c>
      <c r="BC94" s="132"/>
      <c r="BD94" s="145"/>
      <c r="BE94" s="144">
        <f t="shared" si="123"/>
        <v>0.17046436785714297</v>
      </c>
      <c r="BF94" s="132"/>
      <c r="BG94" s="145"/>
    </row>
    <row r="95" spans="2:59" x14ac:dyDescent="0.25">
      <c r="B95" s="50">
        <f t="shared" si="117"/>
        <v>-23.645258941812934</v>
      </c>
      <c r="C95" s="104" t="s">
        <v>14</v>
      </c>
      <c r="D95" s="208">
        <v>46.022256843979527</v>
      </c>
      <c r="E95" s="200">
        <v>6.6754232758500605</v>
      </c>
      <c r="F95" s="117">
        <f t="shared" si="124"/>
        <v>-39.346833568129469</v>
      </c>
      <c r="G95" s="208">
        <v>40</v>
      </c>
      <c r="H95" s="200">
        <v>5.9359239495117118</v>
      </c>
      <c r="I95" s="117">
        <f t="shared" si="125"/>
        <v>-34.064076050488289</v>
      </c>
      <c r="J95" s="208">
        <v>38.758135241172397</v>
      </c>
      <c r="K95" s="200">
        <v>3.7811192843807588</v>
      </c>
      <c r="L95" s="117">
        <f t="shared" si="126"/>
        <v>-34.977015956791639</v>
      </c>
      <c r="M95" s="208">
        <v>27.276710554716161</v>
      </c>
      <c r="N95" s="200">
        <v>3.6314516129032253</v>
      </c>
      <c r="O95" s="117">
        <f t="shared" si="127"/>
        <v>-23.645258941812934</v>
      </c>
      <c r="P95" s="208">
        <v>-12</v>
      </c>
      <c r="Q95" s="200">
        <v>8.730767731878411E-2</v>
      </c>
      <c r="R95" s="117">
        <f t="shared" si="128"/>
        <v>12.087307677318783</v>
      </c>
      <c r="S95" s="208">
        <v>-9.5</v>
      </c>
      <c r="T95" s="200">
        <v>4.9960414982484512E-2</v>
      </c>
      <c r="U95" s="117">
        <f t="shared" si="129"/>
        <v>9.5499604149824844</v>
      </c>
      <c r="V95" s="208">
        <v>9.6666666666666679</v>
      </c>
      <c r="W95" s="200">
        <v>0.33484809330656795</v>
      </c>
      <c r="X95" s="117">
        <f t="shared" si="130"/>
        <v>-9.3318185733600991</v>
      </c>
      <c r="Y95" s="208">
        <v>16</v>
      </c>
      <c r="Z95" s="200">
        <v>0.47468809680881763</v>
      </c>
      <c r="AA95" s="117">
        <f t="shared" si="131"/>
        <v>-15.525311903191183</v>
      </c>
      <c r="AB95" s="208">
        <v>-24.499999999999996</v>
      </c>
      <c r="AC95" s="200">
        <v>0.76148444190693687</v>
      </c>
      <c r="AD95" s="117">
        <f t="shared" si="132"/>
        <v>25.261484441906934</v>
      </c>
      <c r="AE95" s="208">
        <v>-31.3</v>
      </c>
      <c r="AF95" s="200">
        <v>0.93089730533783388</v>
      </c>
      <c r="AG95" s="117">
        <f t="shared" si="133"/>
        <v>32.230897305337834</v>
      </c>
      <c r="AH95" s="208">
        <v>-1</v>
      </c>
      <c r="AI95" s="200">
        <v>3.5436828571428582E-2</v>
      </c>
      <c r="AJ95" s="117">
        <f t="shared" si="134"/>
        <v>1.0354368285714286</v>
      </c>
      <c r="AK95" s="208">
        <v>-0.80000000000000027</v>
      </c>
      <c r="AL95" s="200">
        <v>4.0215050000000002E-2</v>
      </c>
      <c r="AM95" s="117">
        <f t="shared" si="135"/>
        <v>0.8402150500000003</v>
      </c>
      <c r="AN95" s="94"/>
      <c r="AO95" s="94"/>
      <c r="AP95" s="94"/>
      <c r="AQ95" s="197"/>
      <c r="AR95">
        <v>67</v>
      </c>
      <c r="AS95" s="150">
        <f t="shared" si="118"/>
        <v>-33.008296129305577</v>
      </c>
      <c r="AT95" s="219">
        <f t="shared" si="119"/>
        <v>-0.49266113625829222</v>
      </c>
      <c r="AU95" s="150">
        <f t="shared" si="136"/>
        <v>5.7626827788551127</v>
      </c>
      <c r="AV95" s="144">
        <f t="shared" si="120"/>
        <v>10.818634046150635</v>
      </c>
      <c r="AW95" s="132"/>
      <c r="AX95" s="145"/>
      <c r="AY95" s="144">
        <f t="shared" si="121"/>
        <v>-12.428565238275642</v>
      </c>
      <c r="AZ95" s="132"/>
      <c r="BA95" s="145"/>
      <c r="BB95" s="144">
        <f t="shared" si="122"/>
        <v>28.746190873622382</v>
      </c>
      <c r="BC95" s="132"/>
      <c r="BD95" s="145"/>
      <c r="BE95" s="144">
        <f t="shared" si="123"/>
        <v>0.93782593928571445</v>
      </c>
      <c r="BF95" s="132"/>
      <c r="BG95" s="145"/>
    </row>
    <row r="96" spans="2:59" x14ac:dyDescent="0.25">
      <c r="B96" s="50">
        <f t="shared" si="117"/>
        <v>-3.295279807286732</v>
      </c>
      <c r="C96" s="105" t="s">
        <v>15</v>
      </c>
      <c r="D96" s="209">
        <v>6.4985162104013661</v>
      </c>
      <c r="E96" s="201">
        <v>0.30052825678002054</v>
      </c>
      <c r="F96" s="117">
        <f t="shared" si="124"/>
        <v>-6.1979879536213458</v>
      </c>
      <c r="G96" s="209">
        <v>6.1666666666666679</v>
      </c>
      <c r="H96" s="201">
        <v>0.15230089570458533</v>
      </c>
      <c r="I96" s="117">
        <f t="shared" si="125"/>
        <v>-6.0143657709620824</v>
      </c>
      <c r="J96" s="209">
        <v>7.2587968305254265</v>
      </c>
      <c r="K96" s="201">
        <v>8.8440792953062439E-2</v>
      </c>
      <c r="L96" s="117">
        <f t="shared" si="126"/>
        <v>-7.1703560375723638</v>
      </c>
      <c r="M96" s="209">
        <v>3.5845384560040294</v>
      </c>
      <c r="N96" s="201">
        <v>0.28925864871729734</v>
      </c>
      <c r="O96" s="117">
        <f t="shared" si="127"/>
        <v>-3.295279807286732</v>
      </c>
      <c r="P96" s="209">
        <v>-5.3000000000000007</v>
      </c>
      <c r="Q96" s="201">
        <v>3.360705934751141E-2</v>
      </c>
      <c r="R96" s="117">
        <f t="shared" si="128"/>
        <v>5.3336070593475124</v>
      </c>
      <c r="S96" s="209">
        <v>-4.5</v>
      </c>
      <c r="T96" s="201">
        <v>2.5715790891942873E-2</v>
      </c>
      <c r="U96" s="117">
        <f t="shared" si="129"/>
        <v>4.525715790891943</v>
      </c>
      <c r="V96" s="209">
        <v>1.3666666666666671</v>
      </c>
      <c r="W96" s="201">
        <v>7.8389299320797051E-2</v>
      </c>
      <c r="X96" s="117">
        <f t="shared" si="130"/>
        <v>-1.2882773673458701</v>
      </c>
      <c r="Y96" s="209">
        <v>3</v>
      </c>
      <c r="Z96" s="201">
        <v>0.1410317733692048</v>
      </c>
      <c r="AA96" s="117">
        <f t="shared" si="131"/>
        <v>-2.858968226630795</v>
      </c>
      <c r="AB96" s="209">
        <v>-8.4</v>
      </c>
      <c r="AC96" s="201">
        <v>6.122623465600914E-2</v>
      </c>
      <c r="AD96" s="117">
        <f t="shared" si="132"/>
        <v>8.4612262346560101</v>
      </c>
      <c r="AE96" s="209">
        <v>-10.1</v>
      </c>
      <c r="AF96" s="201">
        <v>6.9894358945019733E-2</v>
      </c>
      <c r="AG96" s="117">
        <f t="shared" si="133"/>
        <v>10.169894358945019</v>
      </c>
      <c r="AH96" s="209">
        <v>0</v>
      </c>
      <c r="AI96" s="201">
        <v>0</v>
      </c>
      <c r="AJ96" s="117">
        <f t="shared" si="134"/>
        <v>0</v>
      </c>
      <c r="AK96" s="209">
        <v>0</v>
      </c>
      <c r="AL96" s="201">
        <v>0</v>
      </c>
      <c r="AM96" s="117">
        <f t="shared" si="135"/>
        <v>0</v>
      </c>
      <c r="AN96" s="75"/>
      <c r="AO96" s="75"/>
      <c r="AP96" s="75"/>
      <c r="AQ96" s="138"/>
      <c r="AR96">
        <v>17.166666666666668</v>
      </c>
      <c r="AS96" s="150">
        <f t="shared" si="118"/>
        <v>-5.6694973923606309</v>
      </c>
      <c r="AT96" s="219">
        <f t="shared" si="119"/>
        <v>-0.33026198402100759</v>
      </c>
      <c r="AU96" s="150">
        <f t="shared" si="136"/>
        <v>1.4394202206167781</v>
      </c>
      <c r="AV96" s="144">
        <f t="shared" si="120"/>
        <v>4.9296614251197273</v>
      </c>
      <c r="AW96" s="132"/>
      <c r="AX96" s="145"/>
      <c r="AY96" s="144">
        <f t="shared" si="121"/>
        <v>-2.0736227969883325</v>
      </c>
      <c r="AZ96" s="132"/>
      <c r="BA96" s="145"/>
      <c r="BB96" s="144">
        <f t="shared" si="122"/>
        <v>9.3155602968005145</v>
      </c>
      <c r="BC96" s="132"/>
      <c r="BD96" s="145"/>
      <c r="BE96" s="144">
        <f t="shared" si="123"/>
        <v>0</v>
      </c>
      <c r="BF96" s="133"/>
      <c r="BG96" s="146"/>
    </row>
    <row r="97" spans="2:59" x14ac:dyDescent="0.25">
      <c r="B97" s="50">
        <f t="shared" si="117"/>
        <v>-2.2317312867222756</v>
      </c>
      <c r="C97" s="105" t="s">
        <v>16</v>
      </c>
      <c r="D97" s="209">
        <v>4.2482194524816395</v>
      </c>
      <c r="E97" s="201">
        <v>0.15697729449157849</v>
      </c>
      <c r="F97" s="117">
        <f t="shared" si="124"/>
        <v>-4.0912421579900613</v>
      </c>
      <c r="G97" s="209">
        <v>3.9500000000000011</v>
      </c>
      <c r="H97" s="201">
        <v>6.2571057378690786E-2</v>
      </c>
      <c r="I97" s="117">
        <f t="shared" si="125"/>
        <v>-3.8874289426213102</v>
      </c>
      <c r="J97" s="209">
        <v>4.8615393491807062</v>
      </c>
      <c r="K97" s="201">
        <v>2.3301794645912245E-2</v>
      </c>
      <c r="L97" s="117">
        <f t="shared" si="126"/>
        <v>-4.8382375545347935</v>
      </c>
      <c r="M97" s="209">
        <v>2.3033563565724151</v>
      </c>
      <c r="N97" s="201">
        <v>7.162506985013968E-2</v>
      </c>
      <c r="O97" s="117">
        <f t="shared" si="127"/>
        <v>-2.2317312867222756</v>
      </c>
      <c r="P97" s="209">
        <v>-5.5</v>
      </c>
      <c r="Q97" s="201">
        <v>1.876032735775526E-2</v>
      </c>
      <c r="R97" s="117">
        <f t="shared" si="128"/>
        <v>5.5187603273577555</v>
      </c>
      <c r="S97" s="209">
        <v>-5</v>
      </c>
      <c r="T97" s="201">
        <v>2.1703664780382645E-2</v>
      </c>
      <c r="U97" s="117">
        <f t="shared" si="129"/>
        <v>5.0217036647803823</v>
      </c>
      <c r="V97" s="209">
        <v>3.7333333333333334</v>
      </c>
      <c r="W97" s="201">
        <v>7.4712844348617996E-2</v>
      </c>
      <c r="X97" s="117">
        <f t="shared" si="130"/>
        <v>-3.6586204889847154</v>
      </c>
      <c r="Y97" s="209">
        <v>5</v>
      </c>
      <c r="Z97" s="201">
        <v>0.1284378356576579</v>
      </c>
      <c r="AA97" s="117">
        <f t="shared" si="131"/>
        <v>-4.8715621643423423</v>
      </c>
      <c r="AB97" s="209">
        <v>-7.3000000000000007</v>
      </c>
      <c r="AC97" s="201">
        <v>1.7870682272337994E-3</v>
      </c>
      <c r="AD97" s="117">
        <f t="shared" si="132"/>
        <v>7.3017870682272346</v>
      </c>
      <c r="AE97" s="209">
        <v>-8.5</v>
      </c>
      <c r="AF97" s="201">
        <v>4.3780250586417987E-3</v>
      </c>
      <c r="AG97" s="117">
        <f t="shared" si="133"/>
        <v>8.5043780250586423</v>
      </c>
      <c r="AH97" s="209">
        <v>0</v>
      </c>
      <c r="AI97" s="201">
        <v>0</v>
      </c>
      <c r="AJ97" s="117">
        <f t="shared" si="134"/>
        <v>0</v>
      </c>
      <c r="AK97" s="209">
        <v>0</v>
      </c>
      <c r="AL97" s="201">
        <v>0</v>
      </c>
      <c r="AM97" s="117">
        <f t="shared" si="135"/>
        <v>0</v>
      </c>
      <c r="AN97" s="75"/>
      <c r="AO97" s="75"/>
      <c r="AP97" s="75"/>
      <c r="AQ97" s="138"/>
      <c r="AR97">
        <v>12.15</v>
      </c>
      <c r="AS97" s="150">
        <f t="shared" si="118"/>
        <v>-3.7621599854671102</v>
      </c>
      <c r="AT97" s="219">
        <f t="shared" si="119"/>
        <v>-0.30964279715778681</v>
      </c>
      <c r="AU97" s="150">
        <f t="shared" si="136"/>
        <v>0.95185901325923161</v>
      </c>
      <c r="AV97" s="144">
        <f t="shared" si="120"/>
        <v>5.2702319960690689</v>
      </c>
      <c r="AW97" s="132"/>
      <c r="AX97" s="145"/>
      <c r="AY97" s="144">
        <f t="shared" si="121"/>
        <v>-4.2650913266635291</v>
      </c>
      <c r="AZ97" s="132"/>
      <c r="BA97" s="145"/>
      <c r="BB97" s="144">
        <f t="shared" si="122"/>
        <v>7.9030825466429384</v>
      </c>
      <c r="BC97" s="132"/>
      <c r="BD97" s="145"/>
      <c r="BE97" s="144">
        <f t="shared" si="123"/>
        <v>0</v>
      </c>
      <c r="BF97" s="133"/>
      <c r="BG97" s="146"/>
    </row>
    <row r="98" spans="2:59" x14ac:dyDescent="0.25">
      <c r="B98" s="50">
        <f t="shared" si="117"/>
        <v>0.2671604013208026</v>
      </c>
      <c r="C98" s="106" t="s">
        <v>17</v>
      </c>
      <c r="D98" s="210">
        <v>0</v>
      </c>
      <c r="E98" s="202">
        <v>0.10818229248591624</v>
      </c>
      <c r="F98" s="117">
        <f t="shared" si="124"/>
        <v>0.10818229248591624</v>
      </c>
      <c r="G98" s="210">
        <v>0</v>
      </c>
      <c r="H98" s="202">
        <v>6.738345674067292E-2</v>
      </c>
      <c r="I98" s="117">
        <f t="shared" si="125"/>
        <v>6.738345674067292E-2</v>
      </c>
      <c r="J98" s="210">
        <v>0</v>
      </c>
      <c r="K98" s="202">
        <v>2.0943348105749084E-2</v>
      </c>
      <c r="L98" s="117">
        <f t="shared" si="126"/>
        <v>2.0943348105749084E-2</v>
      </c>
      <c r="M98" s="210">
        <v>0</v>
      </c>
      <c r="N98" s="202">
        <v>0.2671604013208026</v>
      </c>
      <c r="O98" s="117">
        <f t="shared" si="127"/>
        <v>0.2671604013208026</v>
      </c>
      <c r="P98" s="210"/>
      <c r="Q98" s="202">
        <v>0.35792461863934971</v>
      </c>
      <c r="R98" s="117">
        <f t="shared" si="128"/>
        <v>0.35792461863934971</v>
      </c>
      <c r="S98" s="210"/>
      <c r="T98" s="202">
        <v>0.45121042845594178</v>
      </c>
      <c r="U98" s="117">
        <f t="shared" si="129"/>
        <v>0.45121042845594178</v>
      </c>
      <c r="V98" s="210"/>
      <c r="W98" s="202">
        <v>0.27645252697001316</v>
      </c>
      <c r="X98" s="117">
        <f t="shared" si="130"/>
        <v>0.27645252697001316</v>
      </c>
      <c r="Y98" s="210"/>
      <c r="Z98" s="202">
        <v>0.23686721257180751</v>
      </c>
      <c r="AA98" s="117">
        <f t="shared" si="131"/>
        <v>0.23686721257180751</v>
      </c>
      <c r="AB98" s="210"/>
      <c r="AC98" s="202">
        <v>0.73364550385383942</v>
      </c>
      <c r="AD98" s="117">
        <f t="shared" si="132"/>
        <v>0.73364550385383942</v>
      </c>
      <c r="AE98" s="210"/>
      <c r="AF98" s="202">
        <v>6.3090966302420046E-2</v>
      </c>
      <c r="AG98" s="117">
        <f t="shared" si="133"/>
        <v>6.3090966302420046E-2</v>
      </c>
      <c r="AH98" s="210"/>
      <c r="AI98" s="202">
        <v>0.13234905714285716</v>
      </c>
      <c r="AJ98" s="117">
        <f t="shared" si="134"/>
        <v>0.13234905714285716</v>
      </c>
      <c r="AK98" s="210"/>
      <c r="AL98" s="202">
        <v>0.112970275</v>
      </c>
      <c r="AM98" s="117">
        <f t="shared" si="135"/>
        <v>0.112970275</v>
      </c>
      <c r="AN98" s="75"/>
      <c r="AO98" s="75"/>
      <c r="AP98" s="75"/>
      <c r="AQ98" s="138"/>
      <c r="AR98">
        <v>0</v>
      </c>
      <c r="AS98" s="150">
        <f t="shared" si="118"/>
        <v>0.11591737466328521</v>
      </c>
      <c r="AT98" s="219" t="e">
        <f t="shared" si="119"/>
        <v>#DIV/0!</v>
      </c>
      <c r="AU98" s="150">
        <f t="shared" si="136"/>
        <v>9.2614647219389126E-2</v>
      </c>
      <c r="AV98" s="144">
        <f t="shared" si="120"/>
        <v>0.40456752354764575</v>
      </c>
      <c r="AW98" s="132"/>
      <c r="AX98" s="145"/>
      <c r="AY98" s="144">
        <f t="shared" si="121"/>
        <v>0.25665986977091032</v>
      </c>
      <c r="AZ98" s="132"/>
      <c r="BA98" s="145"/>
      <c r="BB98" s="144">
        <f t="shared" si="122"/>
        <v>0.39836823507812974</v>
      </c>
      <c r="BC98" s="132"/>
      <c r="BD98" s="145"/>
      <c r="BE98" s="144">
        <f t="shared" si="123"/>
        <v>0.12265966607142859</v>
      </c>
      <c r="BF98" s="133"/>
      <c r="BG98" s="146"/>
    </row>
    <row r="99" spans="2:59" x14ac:dyDescent="0.25">
      <c r="B99" s="50">
        <f t="shared" si="117"/>
        <v>9.2237744475488943E-3</v>
      </c>
      <c r="C99" s="106" t="s">
        <v>18</v>
      </c>
      <c r="D99" s="210">
        <v>0</v>
      </c>
      <c r="E99" s="202">
        <v>4.5397013884568562E-3</v>
      </c>
      <c r="F99" s="117">
        <f t="shared" si="124"/>
        <v>4.5397013884568562E-3</v>
      </c>
      <c r="G99" s="210">
        <v>0</v>
      </c>
      <c r="H99" s="202">
        <v>1.7970702677958341E-3</v>
      </c>
      <c r="I99" s="117">
        <f t="shared" si="125"/>
        <v>1.7970702677958341E-3</v>
      </c>
      <c r="J99" s="210">
        <v>0</v>
      </c>
      <c r="K99" s="202">
        <v>0</v>
      </c>
      <c r="L99" s="117">
        <f t="shared" si="126"/>
        <v>0</v>
      </c>
      <c r="M99" s="210">
        <v>0</v>
      </c>
      <c r="N99" s="202">
        <v>9.2237744475488943E-3</v>
      </c>
      <c r="O99" s="117">
        <f t="shared" si="127"/>
        <v>9.2237744475488943E-3</v>
      </c>
      <c r="P99" s="210"/>
      <c r="Q99" s="202">
        <v>0</v>
      </c>
      <c r="R99" s="117">
        <f t="shared" si="128"/>
        <v>0</v>
      </c>
      <c r="S99" s="210"/>
      <c r="T99" s="202">
        <v>4.7016976556184314E-3</v>
      </c>
      <c r="U99" s="117">
        <f t="shared" si="129"/>
        <v>4.7016976556184314E-3</v>
      </c>
      <c r="V99" s="210"/>
      <c r="W99" s="202"/>
      <c r="X99" s="117">
        <f t="shared" si="130"/>
        <v>0</v>
      </c>
      <c r="Y99" s="210"/>
      <c r="Z99" s="202">
        <v>0</v>
      </c>
      <c r="AA99" s="117">
        <f t="shared" si="131"/>
        <v>0</v>
      </c>
      <c r="AB99" s="210"/>
      <c r="AC99" s="202">
        <v>1.1372252355124181E-3</v>
      </c>
      <c r="AD99" s="117">
        <f t="shared" si="132"/>
        <v>1.1372252355124181E-3</v>
      </c>
      <c r="AE99" s="210"/>
      <c r="AF99" s="202">
        <v>0</v>
      </c>
      <c r="AG99" s="117">
        <f t="shared" si="133"/>
        <v>0</v>
      </c>
      <c r="AH99" s="210"/>
      <c r="AI99" s="202">
        <v>5.7202285714285719E-3</v>
      </c>
      <c r="AJ99" s="117">
        <f t="shared" si="134"/>
        <v>5.7202285714285719E-3</v>
      </c>
      <c r="AK99" s="210"/>
      <c r="AL99" s="202">
        <v>1.0445949999999999E-2</v>
      </c>
      <c r="AM99" s="117">
        <f t="shared" si="135"/>
        <v>1.0445949999999999E-2</v>
      </c>
      <c r="AN99" s="75"/>
      <c r="AO99" s="75"/>
      <c r="AP99" s="75"/>
      <c r="AQ99" s="138"/>
      <c r="AR99">
        <v>0</v>
      </c>
      <c r="AS99" s="150">
        <f t="shared" si="118"/>
        <v>3.8901365259503963E-3</v>
      </c>
      <c r="AT99" s="219" t="e">
        <f t="shared" si="119"/>
        <v>#DIV/0!</v>
      </c>
      <c r="AU99" s="150">
        <f t="shared" si="136"/>
        <v>3.4779202312903591E-3</v>
      </c>
      <c r="AV99" s="144">
        <f t="shared" si="120"/>
        <v>2.3508488278092157E-3</v>
      </c>
      <c r="AW99" s="132"/>
      <c r="AX99" s="145"/>
      <c r="AY99" s="144">
        <f t="shared" si="121"/>
        <v>0</v>
      </c>
      <c r="AZ99" s="132"/>
      <c r="BA99" s="145"/>
      <c r="BB99" s="144">
        <f t="shared" si="122"/>
        <v>5.6861261775620906E-4</v>
      </c>
      <c r="BC99" s="132"/>
      <c r="BD99" s="145"/>
      <c r="BE99" s="144">
        <f t="shared" si="123"/>
        <v>8.0830892857142855E-3</v>
      </c>
      <c r="BF99" s="133"/>
      <c r="BG99" s="146"/>
    </row>
    <row r="100" spans="2:59" x14ac:dyDescent="0.25">
      <c r="B100" s="50">
        <f t="shared" si="117"/>
        <v>6.8177927355854706E-2</v>
      </c>
      <c r="C100" s="106" t="s">
        <v>19</v>
      </c>
      <c r="D100" s="210">
        <v>0</v>
      </c>
      <c r="E100" s="202">
        <v>5.9016118049939122E-2</v>
      </c>
      <c r="F100" s="117">
        <f t="shared" si="124"/>
        <v>5.9016118049939122E-2</v>
      </c>
      <c r="G100" s="210">
        <v>0</v>
      </c>
      <c r="H100" s="202">
        <v>3.1931388761730378E-2</v>
      </c>
      <c r="I100" s="117">
        <f t="shared" si="125"/>
        <v>3.1931388761730378E-2</v>
      </c>
      <c r="J100" s="210">
        <v>0</v>
      </c>
      <c r="K100" s="202">
        <v>5.5425126213359099E-2</v>
      </c>
      <c r="L100" s="117">
        <f t="shared" si="126"/>
        <v>5.5425126213359099E-2</v>
      </c>
      <c r="M100" s="210">
        <v>0</v>
      </c>
      <c r="N100" s="202">
        <v>6.8177927355854706E-2</v>
      </c>
      <c r="O100" s="117">
        <f t="shared" si="127"/>
        <v>6.8177927355854706E-2</v>
      </c>
      <c r="P100" s="210"/>
      <c r="Q100" s="202">
        <v>0</v>
      </c>
      <c r="R100" s="117">
        <f t="shared" si="128"/>
        <v>0</v>
      </c>
      <c r="S100" s="210"/>
      <c r="T100" s="202">
        <v>5.1426030719482624E-3</v>
      </c>
      <c r="U100" s="117">
        <f t="shared" si="129"/>
        <v>5.1426030719482624E-3</v>
      </c>
      <c r="V100" s="210"/>
      <c r="W100" s="202"/>
      <c r="X100" s="117">
        <f t="shared" si="130"/>
        <v>0</v>
      </c>
      <c r="Y100" s="210"/>
      <c r="Z100" s="202">
        <v>0</v>
      </c>
      <c r="AA100" s="117">
        <f t="shared" si="131"/>
        <v>0</v>
      </c>
      <c r="AB100" s="210"/>
      <c r="AC100" s="202">
        <v>1.8412218098772478E-3</v>
      </c>
      <c r="AD100" s="117">
        <f t="shared" si="132"/>
        <v>1.8412218098772478E-3</v>
      </c>
      <c r="AE100" s="210"/>
      <c r="AF100" s="202">
        <v>3.361004634132388E-3</v>
      </c>
      <c r="AG100" s="117">
        <f t="shared" si="133"/>
        <v>3.361004634132388E-3</v>
      </c>
      <c r="AH100" s="210"/>
      <c r="AI100" s="202">
        <v>2.4070200000000003E-2</v>
      </c>
      <c r="AJ100" s="117">
        <f t="shared" si="134"/>
        <v>2.4070200000000003E-2</v>
      </c>
      <c r="AK100" s="210"/>
      <c r="AL100" s="202">
        <v>3.6648799999999995E-2</v>
      </c>
      <c r="AM100" s="117">
        <f t="shared" si="135"/>
        <v>3.6648799999999995E-2</v>
      </c>
      <c r="AN100" s="75"/>
      <c r="AO100" s="75"/>
      <c r="AP100" s="75"/>
      <c r="AQ100" s="138"/>
      <c r="AR100">
        <v>0</v>
      </c>
      <c r="AS100" s="150">
        <f t="shared" si="118"/>
        <v>5.3637640095220825E-2</v>
      </c>
      <c r="AT100" s="219" t="e">
        <f t="shared" si="119"/>
        <v>#DIV/0!</v>
      </c>
      <c r="AU100" s="150">
        <f t="shared" si="136"/>
        <v>1.3366978270221888E-2</v>
      </c>
      <c r="AV100" s="144">
        <f t="shared" si="120"/>
        <v>2.5713015359741312E-3</v>
      </c>
      <c r="AW100" s="132"/>
      <c r="AX100" s="145"/>
      <c r="AY100" s="144">
        <f t="shared" si="121"/>
        <v>0</v>
      </c>
      <c r="AZ100" s="132"/>
      <c r="BA100" s="145"/>
      <c r="BB100" s="144">
        <f t="shared" si="122"/>
        <v>2.6011132220048177E-3</v>
      </c>
      <c r="BC100" s="132"/>
      <c r="BD100" s="145"/>
      <c r="BE100" s="144">
        <f t="shared" si="123"/>
        <v>3.0359499999999998E-2</v>
      </c>
      <c r="BF100" s="133"/>
      <c r="BG100" s="146"/>
    </row>
    <row r="101" spans="2:59" x14ac:dyDescent="0.25">
      <c r="B101" s="50">
        <f t="shared" si="117"/>
        <v>0.37022392684785371</v>
      </c>
      <c r="C101" s="106" t="s">
        <v>20</v>
      </c>
      <c r="D101" s="210">
        <v>0</v>
      </c>
      <c r="E101" s="202">
        <v>0.23448858067822953</v>
      </c>
      <c r="F101" s="117">
        <f t="shared" si="124"/>
        <v>0.23448858067822953</v>
      </c>
      <c r="G101" s="210">
        <v>0</v>
      </c>
      <c r="H101" s="202">
        <v>0.13629781295300222</v>
      </c>
      <c r="I101" s="117">
        <f t="shared" si="125"/>
        <v>0.13629781295300222</v>
      </c>
      <c r="J101" s="210">
        <v>0</v>
      </c>
      <c r="K101" s="202">
        <v>0.18630748155574101</v>
      </c>
      <c r="L101" s="117">
        <f t="shared" si="126"/>
        <v>0.18630748155574101</v>
      </c>
      <c r="M101" s="210">
        <v>0</v>
      </c>
      <c r="N101" s="202">
        <v>0.37022392684785371</v>
      </c>
      <c r="O101" s="117">
        <f t="shared" si="127"/>
        <v>0.37022392684785371</v>
      </c>
      <c r="P101" s="210"/>
      <c r="Q101" s="202">
        <v>0</v>
      </c>
      <c r="R101" s="117">
        <f t="shared" si="128"/>
        <v>0</v>
      </c>
      <c r="S101" s="210"/>
      <c r="T101" s="202">
        <v>0</v>
      </c>
      <c r="U101" s="117">
        <f t="shared" si="129"/>
        <v>0</v>
      </c>
      <c r="V101" s="210"/>
      <c r="W101" s="202"/>
      <c r="X101" s="117">
        <f t="shared" si="130"/>
        <v>0</v>
      </c>
      <c r="Y101" s="210"/>
      <c r="Z101" s="202">
        <v>0</v>
      </c>
      <c r="AA101" s="117">
        <f t="shared" si="131"/>
        <v>0</v>
      </c>
      <c r="AB101" s="210"/>
      <c r="AC101" s="202">
        <v>1.6685498144447617E-2</v>
      </c>
      <c r="AD101" s="117">
        <f t="shared" si="132"/>
        <v>1.6685498144447617E-2</v>
      </c>
      <c r="AE101" s="210"/>
      <c r="AF101" s="202">
        <v>2.4783397219520567E-2</v>
      </c>
      <c r="AG101" s="117">
        <f t="shared" si="133"/>
        <v>2.4783397219520567E-2</v>
      </c>
      <c r="AH101" s="210"/>
      <c r="AI101" s="202">
        <v>1.8342885714285717E-2</v>
      </c>
      <c r="AJ101" s="117">
        <f t="shared" si="134"/>
        <v>1.8342885714285717E-2</v>
      </c>
      <c r="AK101" s="210"/>
      <c r="AL101" s="202">
        <v>2.5486000000000005E-2</v>
      </c>
      <c r="AM101" s="117">
        <f t="shared" si="135"/>
        <v>2.5486000000000005E-2</v>
      </c>
      <c r="AN101" s="75"/>
      <c r="AO101" s="75"/>
      <c r="AP101" s="75"/>
      <c r="AQ101" s="138"/>
      <c r="AR101">
        <v>0</v>
      </c>
      <c r="AS101" s="150">
        <f t="shared" si="118"/>
        <v>0.23182945050870662</v>
      </c>
      <c r="AT101" s="219" t="e">
        <f t="shared" si="119"/>
        <v>#DIV/0!</v>
      </c>
      <c r="AU101" s="150">
        <f t="shared" si="136"/>
        <v>8.71186625899905E-2</v>
      </c>
      <c r="AV101" s="144">
        <f t="shared" si="120"/>
        <v>0</v>
      </c>
      <c r="AW101" s="132"/>
      <c r="AX101" s="145"/>
      <c r="AY101" s="144">
        <f t="shared" si="121"/>
        <v>0</v>
      </c>
      <c r="AZ101" s="132"/>
      <c r="BA101" s="145"/>
      <c r="BB101" s="144">
        <f t="shared" si="122"/>
        <v>2.073444768198409E-2</v>
      </c>
      <c r="BC101" s="132"/>
      <c r="BD101" s="145"/>
      <c r="BE101" s="144">
        <f t="shared" si="123"/>
        <v>2.1914442857142863E-2</v>
      </c>
      <c r="BF101" s="133"/>
      <c r="BG101" s="146"/>
    </row>
    <row r="102" spans="2:59" x14ac:dyDescent="0.25">
      <c r="B102" s="50">
        <f t="shared" si="117"/>
        <v>-10.883789811325471</v>
      </c>
      <c r="C102" s="104" t="s">
        <v>21</v>
      </c>
      <c r="D102" s="208">
        <v>183.8465803949</v>
      </c>
      <c r="E102" s="200">
        <v>154.98105964110715</v>
      </c>
      <c r="F102" s="117">
        <f t="shared" si="124"/>
        <v>-28.86552075379285</v>
      </c>
      <c r="G102" s="208">
        <v>182.01428571428573</v>
      </c>
      <c r="H102" s="200">
        <v>104.46300406986727</v>
      </c>
      <c r="I102" s="117">
        <f t="shared" si="125"/>
        <v>-77.551281644418466</v>
      </c>
      <c r="J102" s="208">
        <v>182.5919916916686</v>
      </c>
      <c r="K102" s="200">
        <v>150.68906717071968</v>
      </c>
      <c r="L102" s="117">
        <f t="shared" si="126"/>
        <v>-31.902924520948915</v>
      </c>
      <c r="M102" s="208">
        <v>180.37368567111716</v>
      </c>
      <c r="N102" s="200">
        <v>169.48989585979169</v>
      </c>
      <c r="O102" s="117">
        <f t="shared" si="127"/>
        <v>-10.883789811325471</v>
      </c>
      <c r="P102" s="208">
        <v>-64</v>
      </c>
      <c r="Q102" s="200">
        <v>0.33480018928849797</v>
      </c>
      <c r="R102" s="117">
        <f t="shared" si="128"/>
        <v>64.334800189288501</v>
      </c>
      <c r="S102" s="208">
        <v>-49.199999999999989</v>
      </c>
      <c r="T102" s="200">
        <v>0.16685858259229322</v>
      </c>
      <c r="U102" s="117">
        <f t="shared" si="129"/>
        <v>49.366858582592279</v>
      </c>
      <c r="V102" s="208">
        <v>31.666666666666671</v>
      </c>
      <c r="W102" s="200">
        <v>2.0657128442921509</v>
      </c>
      <c r="X102" s="117">
        <f t="shared" si="130"/>
        <v>-29.600953822374521</v>
      </c>
      <c r="Y102" s="208">
        <v>110</v>
      </c>
      <c r="Z102" s="200">
        <v>3.3908465501920606</v>
      </c>
      <c r="AA102" s="117">
        <f t="shared" si="131"/>
        <v>-106.60915344980793</v>
      </c>
      <c r="AB102" s="208">
        <v>-20.300000000000004</v>
      </c>
      <c r="AC102" s="200">
        <v>20.607011133314302</v>
      </c>
      <c r="AD102" s="117">
        <f t="shared" si="132"/>
        <v>40.907011133314306</v>
      </c>
      <c r="AE102" s="208">
        <v>-35.5</v>
      </c>
      <c r="AF102" s="200">
        <v>25.192013273070543</v>
      </c>
      <c r="AG102" s="117">
        <f t="shared" si="133"/>
        <v>60.692013273070543</v>
      </c>
      <c r="AH102" s="208">
        <v>2.8</v>
      </c>
      <c r="AI102" s="200">
        <v>6.9533942857142863</v>
      </c>
      <c r="AJ102" s="117">
        <f t="shared" si="134"/>
        <v>4.1533942857142865</v>
      </c>
      <c r="AK102" s="208">
        <v>2.5</v>
      </c>
      <c r="AL102" s="200">
        <v>7.0217152500000006</v>
      </c>
      <c r="AM102" s="117">
        <f t="shared" si="135"/>
        <v>4.5217152500000006</v>
      </c>
      <c r="AN102" s="94"/>
      <c r="AO102" s="94"/>
      <c r="AP102" s="94"/>
      <c r="AQ102" s="197"/>
      <c r="AR102">
        <v>185.71428571428572</v>
      </c>
      <c r="AS102" s="150">
        <f t="shared" si="118"/>
        <v>-37.300879182621429</v>
      </c>
      <c r="AT102" s="219">
        <f t="shared" si="119"/>
        <v>-0.20085088790642308</v>
      </c>
      <c r="AU102" s="150">
        <f t="shared" si="136"/>
        <v>24.587856227922533</v>
      </c>
      <c r="AV102" s="144">
        <f t="shared" si="120"/>
        <v>56.850829385940386</v>
      </c>
      <c r="AW102" s="132"/>
      <c r="AX102" s="145"/>
      <c r="AY102" s="144">
        <f t="shared" si="121"/>
        <v>-68.105053636091228</v>
      </c>
      <c r="AZ102" s="132"/>
      <c r="BA102" s="145"/>
      <c r="BB102" s="144">
        <f t="shared" si="122"/>
        <v>50.799512203192421</v>
      </c>
      <c r="BC102" s="132"/>
      <c r="BD102" s="145"/>
      <c r="BE102" s="144">
        <f t="shared" si="123"/>
        <v>4.337554767857144</v>
      </c>
      <c r="BF102" s="132"/>
      <c r="BG102" s="145"/>
    </row>
    <row r="103" spans="2:59" x14ac:dyDescent="0.25">
      <c r="B103" s="50">
        <f t="shared" si="117"/>
        <v>0.17169658874916319</v>
      </c>
      <c r="C103" s="106" t="s">
        <v>22</v>
      </c>
      <c r="D103" s="210">
        <v>0</v>
      </c>
      <c r="E103" s="202">
        <v>0.17169658874916319</v>
      </c>
      <c r="F103" s="117">
        <f t="shared" si="124"/>
        <v>0.17169658874916319</v>
      </c>
      <c r="G103" s="210">
        <v>0</v>
      </c>
      <c r="H103" s="202">
        <v>8.1081209992751965E-2</v>
      </c>
      <c r="I103" s="117">
        <f t="shared" si="125"/>
        <v>8.1081209992751965E-2</v>
      </c>
      <c r="J103" s="210">
        <v>0</v>
      </c>
      <c r="K103" s="202">
        <v>9.801418674174435E-2</v>
      </c>
      <c r="L103" s="117">
        <f t="shared" si="126"/>
        <v>9.801418674174435E-2</v>
      </c>
      <c r="M103" s="210">
        <v>0</v>
      </c>
      <c r="N103" s="202">
        <v>4.4713995427990851E-2</v>
      </c>
      <c r="O103" s="117">
        <f t="shared" si="127"/>
        <v>4.4713995427990851E-2</v>
      </c>
      <c r="P103" s="210"/>
      <c r="Q103" s="202">
        <v>0</v>
      </c>
      <c r="R103" s="117">
        <f t="shared" si="128"/>
        <v>0</v>
      </c>
      <c r="S103" s="210"/>
      <c r="T103" s="202">
        <v>0</v>
      </c>
      <c r="U103" s="117">
        <f t="shared" si="129"/>
        <v>0</v>
      </c>
      <c r="V103" s="210"/>
      <c r="W103" s="202"/>
      <c r="X103" s="117">
        <f t="shared" si="130"/>
        <v>0</v>
      </c>
      <c r="Y103" s="210"/>
      <c r="Z103" s="202">
        <v>0</v>
      </c>
      <c r="AA103" s="117">
        <f t="shared" si="131"/>
        <v>0</v>
      </c>
      <c r="AB103" s="210"/>
      <c r="AC103" s="202">
        <v>5.7399942906080498E-3</v>
      </c>
      <c r="AD103" s="117">
        <f t="shared" si="132"/>
        <v>5.7399942906080498E-3</v>
      </c>
      <c r="AE103" s="210"/>
      <c r="AF103" s="202">
        <v>8.7154013387493578E-3</v>
      </c>
      <c r="AG103" s="117">
        <f t="shared" si="133"/>
        <v>8.7154013387493578E-3</v>
      </c>
      <c r="AH103" s="210"/>
      <c r="AI103" s="202">
        <v>0</v>
      </c>
      <c r="AJ103" s="117">
        <f t="shared" si="134"/>
        <v>0</v>
      </c>
      <c r="AK103" s="210"/>
      <c r="AL103" s="202">
        <v>0</v>
      </c>
      <c r="AM103" s="117">
        <f t="shared" si="135"/>
        <v>0</v>
      </c>
      <c r="AN103" s="75"/>
      <c r="AO103" s="75"/>
      <c r="AP103" s="75"/>
      <c r="AQ103" s="138"/>
      <c r="AR103">
        <v>0</v>
      </c>
      <c r="AS103" s="150">
        <f t="shared" si="118"/>
        <v>9.8876495227912586E-2</v>
      </c>
      <c r="AT103" s="219" t="e">
        <f t="shared" si="119"/>
        <v>#DIV/0!</v>
      </c>
      <c r="AU103" s="150">
        <f t="shared" si="136"/>
        <v>4.624326480025566E-2</v>
      </c>
      <c r="AV103" s="144">
        <f t="shared" si="120"/>
        <v>0</v>
      </c>
      <c r="AW103" s="132"/>
      <c r="AX103" s="145"/>
      <c r="AY103" s="144">
        <f t="shared" si="121"/>
        <v>0</v>
      </c>
      <c r="AZ103" s="132"/>
      <c r="BA103" s="145"/>
      <c r="BB103" s="144">
        <f t="shared" si="122"/>
        <v>7.2276978146787038E-3</v>
      </c>
      <c r="BC103" s="132"/>
      <c r="BD103" s="145"/>
      <c r="BE103" s="144">
        <f t="shared" si="123"/>
        <v>0</v>
      </c>
      <c r="BF103" s="133"/>
      <c r="BG103" s="146"/>
    </row>
    <row r="104" spans="2:59" x14ac:dyDescent="0.25">
      <c r="B104" s="50">
        <f t="shared" si="117"/>
        <v>1.4469564721490186E-3</v>
      </c>
      <c r="C104" s="106" t="s">
        <v>23</v>
      </c>
      <c r="D104" s="210">
        <v>0</v>
      </c>
      <c r="E104" s="202">
        <v>0</v>
      </c>
      <c r="F104" s="117">
        <f t="shared" si="124"/>
        <v>0</v>
      </c>
      <c r="G104" s="210">
        <v>0</v>
      </c>
      <c r="H104" s="202">
        <v>8.9853513389791706E-4</v>
      </c>
      <c r="I104" s="117">
        <f t="shared" si="125"/>
        <v>8.9853513389791706E-4</v>
      </c>
      <c r="J104" s="210">
        <v>0</v>
      </c>
      <c r="K104" s="202">
        <v>1.4469564721490186E-3</v>
      </c>
      <c r="L104" s="117">
        <f t="shared" si="126"/>
        <v>1.4469564721490186E-3</v>
      </c>
      <c r="M104" s="210">
        <v>0</v>
      </c>
      <c r="N104" s="202">
        <v>0</v>
      </c>
      <c r="O104" s="117">
        <f t="shared" si="127"/>
        <v>0</v>
      </c>
      <c r="P104" s="210"/>
      <c r="Q104" s="202">
        <v>0</v>
      </c>
      <c r="R104" s="117">
        <f t="shared" si="128"/>
        <v>0</v>
      </c>
      <c r="S104" s="210"/>
      <c r="T104" s="202">
        <v>0</v>
      </c>
      <c r="U104" s="117">
        <f t="shared" si="129"/>
        <v>0</v>
      </c>
      <c r="V104" s="210"/>
      <c r="W104" s="202"/>
      <c r="X104" s="117">
        <f t="shared" si="130"/>
        <v>0</v>
      </c>
      <c r="Y104" s="210"/>
      <c r="Z104" s="202">
        <v>0</v>
      </c>
      <c r="AA104" s="117">
        <f t="shared" si="131"/>
        <v>0</v>
      </c>
      <c r="AB104" s="210"/>
      <c r="AC104" s="202">
        <v>0</v>
      </c>
      <c r="AD104" s="117">
        <f t="shared" si="132"/>
        <v>0</v>
      </c>
      <c r="AE104" s="210"/>
      <c r="AF104" s="202">
        <v>0</v>
      </c>
      <c r="AG104" s="117">
        <f t="shared" si="133"/>
        <v>0</v>
      </c>
      <c r="AH104" s="210"/>
      <c r="AI104" s="202">
        <v>0</v>
      </c>
      <c r="AJ104" s="117">
        <f t="shared" si="134"/>
        <v>0</v>
      </c>
      <c r="AK104" s="210"/>
      <c r="AL104" s="202">
        <v>0</v>
      </c>
      <c r="AM104" s="117">
        <f t="shared" si="135"/>
        <v>0</v>
      </c>
      <c r="AN104" s="75"/>
      <c r="AO104" s="75"/>
      <c r="AP104" s="75"/>
      <c r="AQ104" s="138"/>
      <c r="AR104">
        <v>0</v>
      </c>
      <c r="AS104" s="150">
        <f t="shared" si="118"/>
        <v>5.8637290151173391E-4</v>
      </c>
      <c r="AT104" s="219" t="e">
        <f t="shared" si="119"/>
        <v>#DIV/0!</v>
      </c>
      <c r="AU104" s="150">
        <f t="shared" si="136"/>
        <v>6.175993241240074E-4</v>
      </c>
      <c r="AV104" s="144">
        <f t="shared" si="120"/>
        <v>0</v>
      </c>
      <c r="AW104" s="132"/>
      <c r="AX104" s="145"/>
      <c r="AY104" s="144">
        <f t="shared" si="121"/>
        <v>0</v>
      </c>
      <c r="AZ104" s="132"/>
      <c r="BA104" s="145"/>
      <c r="BB104" s="144">
        <f t="shared" si="122"/>
        <v>0</v>
      </c>
      <c r="BC104" s="132"/>
      <c r="BD104" s="145"/>
      <c r="BE104" s="144">
        <f t="shared" si="123"/>
        <v>0</v>
      </c>
      <c r="BF104" s="133"/>
      <c r="BG104" s="146"/>
    </row>
    <row r="105" spans="2:59" x14ac:dyDescent="0.25">
      <c r="B105" s="50">
        <f t="shared" si="117"/>
        <v>1.5376283665217058E-2</v>
      </c>
      <c r="C105" s="106" t="s">
        <v>24</v>
      </c>
      <c r="D105" s="210">
        <v>0</v>
      </c>
      <c r="E105" s="202">
        <v>3.8718496013281935E-3</v>
      </c>
      <c r="F105" s="117">
        <f t="shared" si="124"/>
        <v>3.8718496013281935E-3</v>
      </c>
      <c r="G105" s="210">
        <v>0</v>
      </c>
      <c r="H105" s="202">
        <v>1.5376283665217058E-2</v>
      </c>
      <c r="I105" s="117">
        <f t="shared" si="125"/>
        <v>1.5376283665217058E-2</v>
      </c>
      <c r="J105" s="210">
        <v>0</v>
      </c>
      <c r="K105" s="202">
        <v>0</v>
      </c>
      <c r="L105" s="117">
        <f t="shared" si="126"/>
        <v>0</v>
      </c>
      <c r="M105" s="210">
        <v>0</v>
      </c>
      <c r="N105" s="202">
        <v>0</v>
      </c>
      <c r="O105" s="117">
        <f t="shared" si="127"/>
        <v>0</v>
      </c>
      <c r="P105" s="210"/>
      <c r="Q105" s="202">
        <v>0</v>
      </c>
      <c r="R105" s="117">
        <f t="shared" si="128"/>
        <v>0</v>
      </c>
      <c r="S105" s="210"/>
      <c r="T105" s="202">
        <v>5.6812180005389378E-3</v>
      </c>
      <c r="U105" s="117">
        <f t="shared" si="129"/>
        <v>5.6812180005389378E-3</v>
      </c>
      <c r="V105" s="210"/>
      <c r="W105" s="202"/>
      <c r="X105" s="117">
        <f t="shared" si="130"/>
        <v>0</v>
      </c>
      <c r="Y105" s="210"/>
      <c r="Z105" s="202">
        <v>0</v>
      </c>
      <c r="AA105" s="117">
        <f t="shared" si="131"/>
        <v>0</v>
      </c>
      <c r="AB105" s="210"/>
      <c r="AC105" s="202">
        <v>0</v>
      </c>
      <c r="AD105" s="117">
        <f t="shared" si="132"/>
        <v>0</v>
      </c>
      <c r="AE105" s="210"/>
      <c r="AF105" s="202">
        <v>3.2378854625550652E-3</v>
      </c>
      <c r="AG105" s="117">
        <f t="shared" si="133"/>
        <v>3.2378854625550652E-3</v>
      </c>
      <c r="AH105" s="210"/>
      <c r="AI105" s="202">
        <v>0</v>
      </c>
      <c r="AJ105" s="117">
        <f t="shared" si="134"/>
        <v>0</v>
      </c>
      <c r="AK105" s="210"/>
      <c r="AL105" s="202">
        <v>0</v>
      </c>
      <c r="AM105" s="117">
        <f t="shared" si="135"/>
        <v>0</v>
      </c>
      <c r="AN105" s="75"/>
      <c r="AO105" s="75"/>
      <c r="AP105" s="75"/>
      <c r="AQ105" s="138"/>
      <c r="AR105">
        <v>0</v>
      </c>
      <c r="AS105" s="150">
        <f t="shared" si="118"/>
        <v>4.8120333166363129E-3</v>
      </c>
      <c r="AT105" s="219" t="e">
        <f t="shared" si="119"/>
        <v>#DIV/0!</v>
      </c>
      <c r="AU105" s="150">
        <f t="shared" si="136"/>
        <v>6.3007670193170667E-3</v>
      </c>
      <c r="AV105" s="144">
        <f t="shared" si="120"/>
        <v>2.8406090002694689E-3</v>
      </c>
      <c r="AW105" s="132"/>
      <c r="AX105" s="145"/>
      <c r="AY105" s="144">
        <f t="shared" si="121"/>
        <v>0</v>
      </c>
      <c r="AZ105" s="132"/>
      <c r="BA105" s="145"/>
      <c r="BB105" s="144">
        <f t="shared" si="122"/>
        <v>1.6189427312775326E-3</v>
      </c>
      <c r="BC105" s="132"/>
      <c r="BD105" s="145"/>
      <c r="BE105" s="144">
        <f t="shared" si="123"/>
        <v>0</v>
      </c>
      <c r="BF105" s="133"/>
      <c r="BG105" s="146"/>
    </row>
    <row r="106" spans="2:59" x14ac:dyDescent="0.25">
      <c r="B106" s="50">
        <f t="shared" si="117"/>
        <v>0.16737145034290069</v>
      </c>
      <c r="C106" s="106" t="s">
        <v>25</v>
      </c>
      <c r="D106" s="210">
        <v>0</v>
      </c>
      <c r="E106" s="202">
        <v>6.9227089510107684E-2</v>
      </c>
      <c r="F106" s="117">
        <f t="shared" si="124"/>
        <v>6.9227089510107684E-2</v>
      </c>
      <c r="G106" s="210">
        <v>0</v>
      </c>
      <c r="H106" s="202">
        <v>7.6528606684405281E-2</v>
      </c>
      <c r="I106" s="117">
        <f t="shared" si="125"/>
        <v>7.6528606684405281E-2</v>
      </c>
      <c r="J106" s="210">
        <v>0</v>
      </c>
      <c r="K106" s="202">
        <v>5.1338385669606135E-2</v>
      </c>
      <c r="L106" s="117">
        <f t="shared" si="126"/>
        <v>5.1338385669606135E-2</v>
      </c>
      <c r="M106" s="210">
        <v>0</v>
      </c>
      <c r="N106" s="202">
        <v>0.16737145034290069</v>
      </c>
      <c r="O106" s="117">
        <f t="shared" si="127"/>
        <v>0.16737145034290069</v>
      </c>
      <c r="P106" s="210"/>
      <c r="Q106" s="202">
        <v>0</v>
      </c>
      <c r="R106" s="117">
        <f t="shared" si="128"/>
        <v>0</v>
      </c>
      <c r="S106" s="210"/>
      <c r="T106" s="202">
        <v>0</v>
      </c>
      <c r="U106" s="117">
        <f t="shared" si="129"/>
        <v>0</v>
      </c>
      <c r="V106" s="210"/>
      <c r="W106" s="202"/>
      <c r="X106" s="117">
        <f t="shared" si="130"/>
        <v>0</v>
      </c>
      <c r="Y106" s="210"/>
      <c r="Z106" s="202">
        <v>0</v>
      </c>
      <c r="AA106" s="117">
        <f t="shared" si="131"/>
        <v>0</v>
      </c>
      <c r="AB106" s="210"/>
      <c r="AC106" s="202">
        <v>8.9830145589494727E-3</v>
      </c>
      <c r="AD106" s="117">
        <f t="shared" si="132"/>
        <v>8.9830145589494727E-3</v>
      </c>
      <c r="AE106" s="210"/>
      <c r="AF106" s="202">
        <v>1.6177956404828654E-2</v>
      </c>
      <c r="AG106" s="117">
        <f t="shared" si="133"/>
        <v>1.6177956404828654E-2</v>
      </c>
      <c r="AH106" s="210"/>
      <c r="AI106" s="202">
        <v>9.6348285714285727E-3</v>
      </c>
      <c r="AJ106" s="117">
        <f t="shared" si="134"/>
        <v>9.6348285714285727E-3</v>
      </c>
      <c r="AK106" s="210"/>
      <c r="AL106" s="202">
        <v>1.7323425E-2</v>
      </c>
      <c r="AM106" s="117">
        <f t="shared" si="135"/>
        <v>1.7323425E-2</v>
      </c>
      <c r="AN106" s="75"/>
      <c r="AO106" s="75"/>
      <c r="AP106" s="75"/>
      <c r="AQ106" s="138"/>
      <c r="AR106">
        <v>0</v>
      </c>
      <c r="AS106" s="150">
        <f t="shared" si="118"/>
        <v>9.1116383051754943E-2</v>
      </c>
      <c r="AT106" s="219" t="e">
        <f t="shared" si="119"/>
        <v>#DIV/0!</v>
      </c>
      <c r="AU106" s="150">
        <f t="shared" si="136"/>
        <v>4.4969625177467297E-2</v>
      </c>
      <c r="AV106" s="144">
        <f t="shared" si="120"/>
        <v>0</v>
      </c>
      <c r="AW106" s="132"/>
      <c r="AX106" s="145"/>
      <c r="AY106" s="144">
        <f t="shared" si="121"/>
        <v>0</v>
      </c>
      <c r="AZ106" s="132"/>
      <c r="BA106" s="145"/>
      <c r="BB106" s="144">
        <f t="shared" si="122"/>
        <v>1.2580485481889062E-2</v>
      </c>
      <c r="BC106" s="132"/>
      <c r="BD106" s="145"/>
      <c r="BE106" s="144">
        <f t="shared" si="123"/>
        <v>1.3479126785714286E-2</v>
      </c>
      <c r="BF106" s="133"/>
      <c r="BG106" s="146"/>
    </row>
    <row r="107" spans="2:59" x14ac:dyDescent="0.25">
      <c r="B107" s="50">
        <f t="shared" si="117"/>
        <v>0.42483261366522734</v>
      </c>
      <c r="C107" s="106" t="s">
        <v>26</v>
      </c>
      <c r="D107" s="210">
        <v>0</v>
      </c>
      <c r="E107" s="202">
        <v>3.3356884398640235E-2</v>
      </c>
      <c r="F107" s="117">
        <f t="shared" si="124"/>
        <v>3.3356884398640235E-2</v>
      </c>
      <c r="G107" s="210">
        <v>0</v>
      </c>
      <c r="H107" s="202">
        <v>7.9476343270771355E-2</v>
      </c>
      <c r="I107" s="117">
        <f t="shared" si="125"/>
        <v>7.9476343270771355E-2</v>
      </c>
      <c r="J107" s="210">
        <v>0</v>
      </c>
      <c r="K107" s="202">
        <v>5.683143294934058E-2</v>
      </c>
      <c r="L107" s="117">
        <f t="shared" si="126"/>
        <v>5.683143294934058E-2</v>
      </c>
      <c r="M107" s="210">
        <v>0</v>
      </c>
      <c r="N107" s="202">
        <v>0.42483261366522734</v>
      </c>
      <c r="O107" s="117">
        <f t="shared" si="127"/>
        <v>0.42483261366522734</v>
      </c>
      <c r="P107" s="210"/>
      <c r="Q107" s="202">
        <v>0</v>
      </c>
      <c r="R107" s="117">
        <f t="shared" si="128"/>
        <v>0</v>
      </c>
      <c r="S107" s="210"/>
      <c r="T107" s="202">
        <v>0</v>
      </c>
      <c r="U107" s="117">
        <f t="shared" si="129"/>
        <v>0</v>
      </c>
      <c r="V107" s="210"/>
      <c r="W107" s="202"/>
      <c r="X107" s="117">
        <f t="shared" si="130"/>
        <v>0</v>
      </c>
      <c r="Y107" s="210"/>
      <c r="Z107" s="202">
        <v>0</v>
      </c>
      <c r="AA107" s="117">
        <f t="shared" si="131"/>
        <v>0</v>
      </c>
      <c r="AB107" s="210"/>
      <c r="AC107" s="202">
        <v>5.5106622894661721E-2</v>
      </c>
      <c r="AD107" s="117">
        <f t="shared" si="132"/>
        <v>5.5106622894661721E-2</v>
      </c>
      <c r="AE107" s="210"/>
      <c r="AF107" s="202">
        <v>7.6598661250643629E-2</v>
      </c>
      <c r="AG107" s="117">
        <f t="shared" si="133"/>
        <v>7.6598661250643629E-2</v>
      </c>
      <c r="AH107" s="210"/>
      <c r="AI107" s="202">
        <v>3.7141714285714293E-3</v>
      </c>
      <c r="AJ107" s="117">
        <f t="shared" si="134"/>
        <v>3.7141714285714293E-3</v>
      </c>
      <c r="AK107" s="210"/>
      <c r="AL107" s="202">
        <v>2.3016500000000001E-3</v>
      </c>
      <c r="AM107" s="117">
        <f t="shared" si="135"/>
        <v>2.3016500000000001E-3</v>
      </c>
      <c r="AN107" s="75"/>
      <c r="AO107" s="75"/>
      <c r="AP107" s="75"/>
      <c r="AQ107" s="138"/>
      <c r="AR107">
        <v>0</v>
      </c>
      <c r="AS107" s="150">
        <f t="shared" si="118"/>
        <v>0.1486243185709949</v>
      </c>
      <c r="AT107" s="219" t="e">
        <f t="shared" si="119"/>
        <v>#DIV/0!</v>
      </c>
      <c r="AU107" s="150">
        <f t="shared" si="136"/>
        <v>0.1603004834665285</v>
      </c>
      <c r="AV107" s="144">
        <f t="shared" si="120"/>
        <v>0</v>
      </c>
      <c r="AW107" s="132"/>
      <c r="AX107" s="145"/>
      <c r="AY107" s="144">
        <f t="shared" si="121"/>
        <v>0</v>
      </c>
      <c r="AZ107" s="132"/>
      <c r="BA107" s="145"/>
      <c r="BB107" s="144">
        <f t="shared" si="122"/>
        <v>6.5852642072652678E-2</v>
      </c>
      <c r="BC107" s="132"/>
      <c r="BD107" s="145"/>
      <c r="BE107" s="144">
        <f t="shared" si="123"/>
        <v>3.0079107142857147E-3</v>
      </c>
      <c r="BF107" s="133"/>
      <c r="BG107" s="146"/>
    </row>
    <row r="108" spans="2:59" x14ac:dyDescent="0.25">
      <c r="B108" s="50">
        <f t="shared" si="117"/>
        <v>3.1456929567352248</v>
      </c>
      <c r="C108" s="107" t="s">
        <v>27</v>
      </c>
      <c r="D108" s="211">
        <v>13.522622492130616</v>
      </c>
      <c r="E108" s="203">
        <v>11.907710091243706</v>
      </c>
      <c r="F108" s="117">
        <f t="shared" si="124"/>
        <v>-1.6149124008869098</v>
      </c>
      <c r="G108" s="211">
        <v>13.057142857142857</v>
      </c>
      <c r="H108" s="203">
        <v>16.202835813878082</v>
      </c>
      <c r="I108" s="117">
        <f t="shared" si="125"/>
        <v>3.1456929567352248</v>
      </c>
      <c r="J108" s="211">
        <v>12.966789753057927</v>
      </c>
      <c r="K108" s="203">
        <v>13.325780729426171</v>
      </c>
      <c r="L108" s="117">
        <f t="shared" si="126"/>
        <v>0.35899097636824351</v>
      </c>
      <c r="M108" s="211">
        <v>9.6033763991242935</v>
      </c>
      <c r="N108" s="203">
        <v>9.7678079756159502</v>
      </c>
      <c r="O108" s="117">
        <f t="shared" si="127"/>
        <v>0.16443157649165663</v>
      </c>
      <c r="P108" s="211">
        <v>-7.5</v>
      </c>
      <c r="Q108" s="203">
        <v>6.4919134840218232E-2</v>
      </c>
      <c r="R108" s="117">
        <f t="shared" si="128"/>
        <v>7.5649191348402178</v>
      </c>
      <c r="S108" s="211">
        <v>-6.4000000000000021</v>
      </c>
      <c r="T108" s="203">
        <v>5.6022069523039612E-2</v>
      </c>
      <c r="U108" s="117">
        <f t="shared" si="129"/>
        <v>6.4560220695230415</v>
      </c>
      <c r="V108" s="211">
        <v>1.8333333333333339</v>
      </c>
      <c r="W108" s="203">
        <v>0.36511320588121804</v>
      </c>
      <c r="X108" s="117">
        <f t="shared" si="130"/>
        <v>-1.4682201274521158</v>
      </c>
      <c r="Y108" s="211">
        <v>0</v>
      </c>
      <c r="Z108" s="203">
        <v>0.52568867263734942</v>
      </c>
      <c r="AA108" s="117">
        <f t="shared" si="131"/>
        <v>0.52568867263734942</v>
      </c>
      <c r="AB108" s="211">
        <v>-11.899999999999997</v>
      </c>
      <c r="AC108" s="203">
        <v>6.0357462175278318</v>
      </c>
      <c r="AD108" s="117">
        <f t="shared" si="132"/>
        <v>17.935746217527829</v>
      </c>
      <c r="AE108" s="211">
        <v>-14.300000000000002</v>
      </c>
      <c r="AF108" s="203">
        <v>7.6457128554265124</v>
      </c>
      <c r="AG108" s="117">
        <f t="shared" si="133"/>
        <v>21.945712855426514</v>
      </c>
      <c r="AH108" s="211">
        <v>0.39999999999999991</v>
      </c>
      <c r="AI108" s="203">
        <v>1.8096951428571428</v>
      </c>
      <c r="AJ108" s="117">
        <f t="shared" si="134"/>
        <v>1.4096951428571429</v>
      </c>
      <c r="AK108" s="211">
        <v>0.30000000000000004</v>
      </c>
      <c r="AL108" s="203">
        <v>1.7809867500000003</v>
      </c>
      <c r="AM108" s="117">
        <f t="shared" si="135"/>
        <v>1.4809867500000002</v>
      </c>
      <c r="AN108" s="94"/>
      <c r="AO108" s="94"/>
      <c r="AP108" s="94"/>
      <c r="AQ108" s="197"/>
      <c r="AR108">
        <v>14.957142857142857</v>
      </c>
      <c r="AS108" s="150">
        <f t="shared" si="118"/>
        <v>0.51355077717705377</v>
      </c>
      <c r="AT108" s="219">
        <f t="shared" si="119"/>
        <v>3.4334817958351256E-2</v>
      </c>
      <c r="AU108" s="150">
        <f t="shared" si="136"/>
        <v>1.7032543044196788</v>
      </c>
      <c r="AV108" s="144">
        <f t="shared" si="120"/>
        <v>7.0104706021816297</v>
      </c>
      <c r="AW108" s="132"/>
      <c r="AX108" s="145"/>
      <c r="AY108" s="144">
        <f t="shared" si="121"/>
        <v>-0.47126572740738321</v>
      </c>
      <c r="AZ108" s="132"/>
      <c r="BA108" s="145"/>
      <c r="BB108" s="144">
        <f t="shared" si="122"/>
        <v>19.940729536477171</v>
      </c>
      <c r="BC108" s="132"/>
      <c r="BD108" s="145"/>
      <c r="BE108" s="144">
        <f t="shared" si="123"/>
        <v>1.4453409464285716</v>
      </c>
      <c r="BF108" s="132"/>
      <c r="BG108" s="145"/>
    </row>
    <row r="109" spans="2:59" x14ac:dyDescent="0.25">
      <c r="B109" s="50">
        <f t="shared" si="117"/>
        <v>1.1627381254762511E-3</v>
      </c>
      <c r="C109" s="105" t="s">
        <v>28</v>
      </c>
      <c r="D109" s="209">
        <v>0</v>
      </c>
      <c r="E109" s="201">
        <v>0</v>
      </c>
      <c r="F109" s="117">
        <f t="shared" si="124"/>
        <v>0</v>
      </c>
      <c r="G109" s="209">
        <v>0</v>
      </c>
      <c r="H109" s="201">
        <v>0</v>
      </c>
      <c r="I109" s="117">
        <f t="shared" si="125"/>
        <v>0</v>
      </c>
      <c r="J109" s="209">
        <v>0</v>
      </c>
      <c r="K109" s="201">
        <v>0</v>
      </c>
      <c r="L109" s="117">
        <f t="shared" si="126"/>
        <v>0</v>
      </c>
      <c r="M109" s="209">
        <v>0</v>
      </c>
      <c r="N109" s="201">
        <v>1.1627381254762511E-3</v>
      </c>
      <c r="O109" s="117">
        <f t="shared" si="127"/>
        <v>1.1627381254762511E-3</v>
      </c>
      <c r="P109" s="209"/>
      <c r="Q109" s="201">
        <v>0</v>
      </c>
      <c r="R109" s="117">
        <f t="shared" si="128"/>
        <v>0</v>
      </c>
      <c r="S109" s="209"/>
      <c r="T109" s="201">
        <v>0</v>
      </c>
      <c r="U109" s="117">
        <f t="shared" si="129"/>
        <v>0</v>
      </c>
      <c r="V109" s="209"/>
      <c r="W109" s="201"/>
      <c r="X109" s="117">
        <f t="shared" si="130"/>
        <v>0</v>
      </c>
      <c r="Y109" s="209"/>
      <c r="Z109" s="201">
        <v>0</v>
      </c>
      <c r="AA109" s="117">
        <f t="shared" si="131"/>
        <v>0</v>
      </c>
      <c r="AB109" s="209"/>
      <c r="AC109" s="201">
        <v>0</v>
      </c>
      <c r="AD109" s="117">
        <f t="shared" si="132"/>
        <v>0</v>
      </c>
      <c r="AE109" s="209"/>
      <c r="AF109" s="201">
        <v>0</v>
      </c>
      <c r="AG109" s="117">
        <f t="shared" si="133"/>
        <v>0</v>
      </c>
      <c r="AH109" s="209"/>
      <c r="AI109" s="201">
        <v>6.2399428571428585E-2</v>
      </c>
      <c r="AJ109" s="117">
        <f t="shared" si="134"/>
        <v>6.2399428571428585E-2</v>
      </c>
      <c r="AK109" s="209"/>
      <c r="AL109" s="201">
        <v>0</v>
      </c>
      <c r="AM109" s="117">
        <f t="shared" si="135"/>
        <v>0</v>
      </c>
      <c r="AN109" s="75"/>
      <c r="AO109" s="75"/>
      <c r="AP109" s="75"/>
      <c r="AQ109" s="138"/>
      <c r="AR109">
        <v>0</v>
      </c>
      <c r="AS109" s="150">
        <f t="shared" si="118"/>
        <v>2.9068453136906278E-4</v>
      </c>
      <c r="AT109" s="219" t="e">
        <f t="shared" si="119"/>
        <v>#DIV/0!</v>
      </c>
      <c r="AU109" s="150">
        <f t="shared" si="136"/>
        <v>5.0348037730556586E-4</v>
      </c>
      <c r="AV109" s="144">
        <f t="shared" si="120"/>
        <v>0</v>
      </c>
      <c r="AW109" s="132"/>
      <c r="AX109" s="145"/>
      <c r="AY109" s="144">
        <f t="shared" si="121"/>
        <v>0</v>
      </c>
      <c r="AZ109" s="132"/>
      <c r="BA109" s="145"/>
      <c r="BB109" s="144">
        <f t="shared" si="122"/>
        <v>0</v>
      </c>
      <c r="BC109" s="132"/>
      <c r="BD109" s="145"/>
      <c r="BE109" s="144">
        <f t="shared" si="123"/>
        <v>3.1199714285714292E-2</v>
      </c>
      <c r="BF109" s="133"/>
      <c r="BG109" s="146"/>
    </row>
    <row r="110" spans="2:59" x14ac:dyDescent="0.25">
      <c r="B110" s="50">
        <f t="shared" si="117"/>
        <v>0.50911074422148839</v>
      </c>
      <c r="C110" s="105" t="s">
        <v>29</v>
      </c>
      <c r="D110" s="209">
        <v>0</v>
      </c>
      <c r="E110" s="201">
        <v>0</v>
      </c>
      <c r="F110" s="117">
        <f t="shared" si="124"/>
        <v>0</v>
      </c>
      <c r="G110" s="209">
        <v>0</v>
      </c>
      <c r="H110" s="201">
        <v>0</v>
      </c>
      <c r="I110" s="117">
        <f t="shared" si="125"/>
        <v>0</v>
      </c>
      <c r="J110" s="209">
        <v>0</v>
      </c>
      <c r="K110" s="201">
        <v>0.40611556977602753</v>
      </c>
      <c r="L110" s="117">
        <f t="shared" si="126"/>
        <v>0.40611556977602753</v>
      </c>
      <c r="M110" s="209">
        <v>0</v>
      </c>
      <c r="N110" s="201">
        <v>0.50911074422148839</v>
      </c>
      <c r="O110" s="117">
        <f t="shared" si="127"/>
        <v>0.50911074422148839</v>
      </c>
      <c r="P110" s="209"/>
      <c r="Q110" s="201">
        <v>0</v>
      </c>
      <c r="R110" s="117">
        <f t="shared" si="128"/>
        <v>0</v>
      </c>
      <c r="S110" s="209"/>
      <c r="T110" s="201">
        <v>0</v>
      </c>
      <c r="U110" s="117">
        <f t="shared" si="129"/>
        <v>0</v>
      </c>
      <c r="V110" s="209"/>
      <c r="W110" s="201"/>
      <c r="X110" s="117">
        <f t="shared" si="130"/>
        <v>0</v>
      </c>
      <c r="Y110" s="209"/>
      <c r="Z110" s="201">
        <v>0</v>
      </c>
      <c r="AA110" s="117">
        <f t="shared" si="131"/>
        <v>0</v>
      </c>
      <c r="AB110" s="209"/>
      <c r="AC110" s="201">
        <v>2.7418098772480724E-2</v>
      </c>
      <c r="AD110" s="117">
        <f t="shared" si="132"/>
        <v>2.7418098772480724E-2</v>
      </c>
      <c r="AE110" s="209"/>
      <c r="AF110" s="201">
        <v>1.3950569254534011E-2</v>
      </c>
      <c r="AG110" s="117">
        <f t="shared" si="133"/>
        <v>1.3950569254534011E-2</v>
      </c>
      <c r="AH110" s="209"/>
      <c r="AI110" s="201">
        <v>3.9820000000000001E-2</v>
      </c>
      <c r="AJ110" s="117">
        <f t="shared" si="134"/>
        <v>3.9820000000000001E-2</v>
      </c>
      <c r="AK110" s="209"/>
      <c r="AL110" s="201">
        <v>0</v>
      </c>
      <c r="AM110" s="117">
        <f t="shared" si="135"/>
        <v>0</v>
      </c>
      <c r="AN110" s="75"/>
      <c r="AO110" s="75"/>
      <c r="AP110" s="75"/>
      <c r="AQ110" s="138"/>
      <c r="AR110">
        <v>0</v>
      </c>
      <c r="AS110" s="150">
        <f t="shared" si="118"/>
        <v>0.22880657849937897</v>
      </c>
      <c r="AT110" s="219" t="e">
        <f t="shared" si="119"/>
        <v>#DIV/0!</v>
      </c>
      <c r="AU110" s="150">
        <f t="shared" si="136"/>
        <v>0.2316861046965783</v>
      </c>
      <c r="AV110" s="144">
        <f t="shared" si="120"/>
        <v>0</v>
      </c>
      <c r="AW110" s="132"/>
      <c r="AX110" s="145"/>
      <c r="AY110" s="144">
        <f t="shared" si="121"/>
        <v>0</v>
      </c>
      <c r="AZ110" s="132"/>
      <c r="BA110" s="145"/>
      <c r="BB110" s="144">
        <f t="shared" si="122"/>
        <v>2.0684334013507368E-2</v>
      </c>
      <c r="BC110" s="132"/>
      <c r="BD110" s="145"/>
      <c r="BE110" s="144">
        <f t="shared" si="123"/>
        <v>1.9910000000000001E-2</v>
      </c>
      <c r="BF110" s="133"/>
      <c r="BG110" s="146"/>
    </row>
    <row r="111" spans="2:59" x14ac:dyDescent="0.25">
      <c r="B111" s="50">
        <f t="shared" si="117"/>
        <v>2.4995328596983528</v>
      </c>
      <c r="C111" s="105" t="s">
        <v>30</v>
      </c>
      <c r="D111" s="209">
        <v>5.95</v>
      </c>
      <c r="E111" s="201">
        <v>8.449532859698353</v>
      </c>
      <c r="F111" s="117">
        <f t="shared" si="124"/>
        <v>2.4995328596983528</v>
      </c>
      <c r="G111" s="209">
        <v>5.95</v>
      </c>
      <c r="H111" s="201">
        <v>4.3522041962548634</v>
      </c>
      <c r="I111" s="117">
        <f t="shared" si="125"/>
        <v>-1.5977958037451367</v>
      </c>
      <c r="J111" s="209">
        <v>4.9600392337872146</v>
      </c>
      <c r="K111" s="201">
        <v>4.1317127018663369</v>
      </c>
      <c r="L111" s="117">
        <f t="shared" si="126"/>
        <v>-0.82832653192087768</v>
      </c>
      <c r="M111" s="209">
        <v>4.4482085042089361</v>
      </c>
      <c r="N111" s="201">
        <v>6.3921008382016753</v>
      </c>
      <c r="O111" s="117">
        <f t="shared" si="127"/>
        <v>1.9438923339927392</v>
      </c>
      <c r="P111" s="209">
        <v>-0.50000000000000022</v>
      </c>
      <c r="Q111" s="201">
        <v>1.4214675425899123E-2</v>
      </c>
      <c r="R111" s="117">
        <f t="shared" si="128"/>
        <v>0.51421467542589938</v>
      </c>
      <c r="S111" s="209">
        <v>-0.50000000000000022</v>
      </c>
      <c r="T111" s="201">
        <v>8.3767178658043662E-3</v>
      </c>
      <c r="U111" s="117">
        <f t="shared" si="129"/>
        <v>0.50837671786580463</v>
      </c>
      <c r="V111" s="209">
        <v>4.2999343688470795</v>
      </c>
      <c r="W111" s="201">
        <v>0.14621446752477563</v>
      </c>
      <c r="X111" s="117">
        <f t="shared" si="130"/>
        <v>-4.1537199013223036</v>
      </c>
      <c r="Y111" s="209">
        <v>5</v>
      </c>
      <c r="Z111" s="201">
        <v>0.2686264576400193</v>
      </c>
      <c r="AA111" s="117">
        <f t="shared" si="131"/>
        <v>-4.7313735423599805</v>
      </c>
      <c r="AB111" s="209">
        <v>1.2</v>
      </c>
      <c r="AC111" s="201">
        <v>2.1541421638595488</v>
      </c>
      <c r="AD111" s="117">
        <f t="shared" si="132"/>
        <v>0.95414216385954886</v>
      </c>
      <c r="AE111" s="209">
        <v>1.2</v>
      </c>
      <c r="AF111" s="201">
        <v>2.5331042965844728</v>
      </c>
      <c r="AG111" s="117">
        <f t="shared" si="133"/>
        <v>1.3331042965844728</v>
      </c>
      <c r="AH111" s="209">
        <v>0</v>
      </c>
      <c r="AI111" s="201">
        <v>0.21063037142857141</v>
      </c>
      <c r="AJ111" s="117">
        <f t="shared" si="134"/>
        <v>0.21063037142857141</v>
      </c>
      <c r="AK111" s="209">
        <v>0</v>
      </c>
      <c r="AL111" s="201">
        <v>0.14573027499999999</v>
      </c>
      <c r="AM111" s="117">
        <f t="shared" si="135"/>
        <v>0.14573027499999999</v>
      </c>
      <c r="AN111" s="75"/>
      <c r="AO111" s="75"/>
      <c r="AP111" s="75"/>
      <c r="AQ111" s="138"/>
      <c r="AR111">
        <v>5.95</v>
      </c>
      <c r="AS111" s="150">
        <f t="shared" si="118"/>
        <v>0.5043257145062694</v>
      </c>
      <c r="AT111" s="219">
        <f t="shared" si="119"/>
        <v>8.4760624286767963E-2</v>
      </c>
      <c r="AU111" s="150">
        <f t="shared" si="136"/>
        <v>1.7498628868834383</v>
      </c>
      <c r="AV111" s="144">
        <f t="shared" si="120"/>
        <v>0.51129569664585195</v>
      </c>
      <c r="AW111" s="132"/>
      <c r="AX111" s="145"/>
      <c r="AY111" s="144">
        <f t="shared" si="121"/>
        <v>-4.4425467218411416</v>
      </c>
      <c r="AZ111" s="132"/>
      <c r="BA111" s="145"/>
      <c r="BB111" s="144">
        <f t="shared" si="122"/>
        <v>1.1436232302220108</v>
      </c>
      <c r="BC111" s="132"/>
      <c r="BD111" s="145"/>
      <c r="BE111" s="144">
        <f t="shared" si="123"/>
        <v>0.1781803232142857</v>
      </c>
      <c r="BF111" s="133"/>
      <c r="BG111" s="146"/>
    </row>
    <row r="112" spans="2:59" x14ac:dyDescent="0.25">
      <c r="B112" s="50">
        <f t="shared" si="117"/>
        <v>0.34566287408445895</v>
      </c>
      <c r="C112" s="105" t="s">
        <v>31</v>
      </c>
      <c r="D112" s="209">
        <v>3.3000000000000003</v>
      </c>
      <c r="E112" s="201">
        <v>3.3073605341236507</v>
      </c>
      <c r="F112" s="117">
        <f t="shared" si="124"/>
        <v>7.3605341236504529E-3</v>
      </c>
      <c r="G112" s="209">
        <v>3.3000000000000003</v>
      </c>
      <c r="H112" s="201">
        <v>3.6456628740844592</v>
      </c>
      <c r="I112" s="117">
        <f t="shared" si="125"/>
        <v>0.34566287408445895</v>
      </c>
      <c r="J112" s="209">
        <v>3.3000000000000003</v>
      </c>
      <c r="K112" s="201">
        <v>3.1139896363974713</v>
      </c>
      <c r="L112" s="117">
        <f t="shared" si="126"/>
        <v>-0.18601036360252898</v>
      </c>
      <c r="M112" s="209">
        <v>2.7937189725879561</v>
      </c>
      <c r="N112" s="201">
        <v>1.9161170942341883</v>
      </c>
      <c r="O112" s="117">
        <f t="shared" si="127"/>
        <v>-0.87760187835376779</v>
      </c>
      <c r="P112" s="209">
        <v>0.10000000000000009</v>
      </c>
      <c r="Q112" s="201">
        <v>0</v>
      </c>
      <c r="R112" s="117">
        <f t="shared" si="128"/>
        <v>-0.10000000000000009</v>
      </c>
      <c r="S112" s="209">
        <v>0.20000000000000018</v>
      </c>
      <c r="T112" s="201">
        <v>7.3144704931285363E-3</v>
      </c>
      <c r="U112" s="117">
        <f t="shared" si="129"/>
        <v>-0.19268552950687165</v>
      </c>
      <c r="V112" s="209">
        <v>2.1668343907241305</v>
      </c>
      <c r="W112" s="201"/>
      <c r="X112" s="117">
        <f t="shared" si="130"/>
        <v>-2.1668343907241305</v>
      </c>
      <c r="Y112" s="209">
        <v>2</v>
      </c>
      <c r="Z112" s="201">
        <v>3.5165180404835107E-2</v>
      </c>
      <c r="AA112" s="117">
        <f t="shared" si="131"/>
        <v>-1.9648348195951648</v>
      </c>
      <c r="AB112" s="209">
        <v>-1.6</v>
      </c>
      <c r="AC112" s="201">
        <v>0.49150439623180131</v>
      </c>
      <c r="AD112" s="117">
        <f t="shared" si="132"/>
        <v>2.0915043962318016</v>
      </c>
      <c r="AE112" s="209">
        <v>-1.7999999999999998</v>
      </c>
      <c r="AF112" s="201">
        <v>0.58705712569368962</v>
      </c>
      <c r="AG112" s="117">
        <f t="shared" si="133"/>
        <v>2.3870571256936897</v>
      </c>
      <c r="AH112" s="209">
        <v>0</v>
      </c>
      <c r="AI112" s="201">
        <v>0.5894961428571428</v>
      </c>
      <c r="AJ112" s="117">
        <f t="shared" si="134"/>
        <v>0.5894961428571428</v>
      </c>
      <c r="AK112" s="209">
        <v>0</v>
      </c>
      <c r="AL112" s="201">
        <v>0.32078770000000001</v>
      </c>
      <c r="AM112" s="117">
        <f t="shared" si="135"/>
        <v>0.32078770000000001</v>
      </c>
      <c r="AN112" s="75"/>
      <c r="AO112" s="75"/>
      <c r="AP112" s="75"/>
      <c r="AQ112" s="138"/>
      <c r="AR112">
        <v>3.3000000000000003</v>
      </c>
      <c r="AS112" s="150">
        <f t="shared" si="118"/>
        <v>-0.17764720843704684</v>
      </c>
      <c r="AT112" s="219">
        <f t="shared" si="119"/>
        <v>-5.3832487405165705E-2</v>
      </c>
      <c r="AU112" s="150">
        <f t="shared" si="136"/>
        <v>0.44667879667010674</v>
      </c>
      <c r="AV112" s="144">
        <f t="shared" si="120"/>
        <v>-0.14634276475343588</v>
      </c>
      <c r="AW112" s="132"/>
      <c r="AX112" s="145"/>
      <c r="AY112" s="144">
        <f t="shared" si="121"/>
        <v>-2.0658346051596475</v>
      </c>
      <c r="AZ112" s="132"/>
      <c r="BA112" s="145"/>
      <c r="BB112" s="144">
        <f t="shared" si="122"/>
        <v>2.2392807609627456</v>
      </c>
      <c r="BC112" s="132"/>
      <c r="BD112" s="145"/>
      <c r="BE112" s="144">
        <f t="shared" si="123"/>
        <v>0.45514192142857141</v>
      </c>
      <c r="BF112" s="133"/>
      <c r="BG112" s="146"/>
    </row>
    <row r="113" spans="2:59" x14ac:dyDescent="0.25">
      <c r="B113" s="50">
        <f t="shared" si="117"/>
        <v>-42.609375414779322</v>
      </c>
      <c r="C113" s="108" t="s">
        <v>32</v>
      </c>
      <c r="D113" s="212">
        <v>170.35855775651012</v>
      </c>
      <c r="E113" s="204">
        <v>87.787441572550662</v>
      </c>
      <c r="F113" s="117">
        <f t="shared" si="124"/>
        <v>-82.571116183959461</v>
      </c>
      <c r="G113" s="212">
        <v>161</v>
      </c>
      <c r="H113" s="204">
        <v>61.317957548924255</v>
      </c>
      <c r="I113" s="117">
        <f t="shared" si="125"/>
        <v>-99.682042451075745</v>
      </c>
      <c r="J113" s="212">
        <v>146.12808677590584</v>
      </c>
      <c r="K113" s="204">
        <v>53.877160316478864</v>
      </c>
      <c r="L113" s="117">
        <f t="shared" si="126"/>
        <v>-92.250926459426978</v>
      </c>
      <c r="M113" s="212">
        <v>109.41808763220375</v>
      </c>
      <c r="N113" s="204">
        <v>66.808712217424429</v>
      </c>
      <c r="O113" s="117">
        <f t="shared" si="127"/>
        <v>-42.609375414779322</v>
      </c>
      <c r="P113" s="212">
        <v>-36.5</v>
      </c>
      <c r="Q113" s="204">
        <v>0.31618842556508181</v>
      </c>
      <c r="R113" s="117">
        <f t="shared" si="128"/>
        <v>36.81618842556508</v>
      </c>
      <c r="S113" s="212">
        <v>-31.099999999999994</v>
      </c>
      <c r="T113" s="204">
        <v>0.24103864187550528</v>
      </c>
      <c r="U113" s="117">
        <f t="shared" si="129"/>
        <v>31.3410386418755</v>
      </c>
      <c r="V113" s="212">
        <v>26</v>
      </c>
      <c r="W113" s="204">
        <v>2.1804739582903947</v>
      </c>
      <c r="X113" s="117">
        <f t="shared" si="130"/>
        <v>-23.819526041709604</v>
      </c>
      <c r="Y113" s="212">
        <v>40</v>
      </c>
      <c r="Z113" s="204">
        <v>2.5464226059392465</v>
      </c>
      <c r="AA113" s="117">
        <f t="shared" si="131"/>
        <v>-37.453577394060751</v>
      </c>
      <c r="AB113" s="212">
        <v>-28.1</v>
      </c>
      <c r="AC113" s="204">
        <v>10.087248644019411</v>
      </c>
      <c r="AD113" s="117">
        <f t="shared" si="132"/>
        <v>38.187248644019412</v>
      </c>
      <c r="AE113" s="212">
        <v>-36.699999999999996</v>
      </c>
      <c r="AF113" s="204">
        <v>13.254856685165056</v>
      </c>
      <c r="AG113" s="117">
        <f t="shared" si="133"/>
        <v>49.954856685165055</v>
      </c>
      <c r="AH113" s="212">
        <v>0.19999999999999996</v>
      </c>
      <c r="AI113" s="204">
        <v>0.53046948571428565</v>
      </c>
      <c r="AJ113" s="117">
        <f t="shared" si="134"/>
        <v>0.33046948571428569</v>
      </c>
      <c r="AK113" s="212">
        <v>1.5</v>
      </c>
      <c r="AL113" s="204">
        <v>0.35997099999999999</v>
      </c>
      <c r="AM113" s="117">
        <f t="shared" si="135"/>
        <v>-1.140029</v>
      </c>
      <c r="AN113" s="75"/>
      <c r="AO113" s="75"/>
      <c r="AP113" s="75"/>
      <c r="AQ113" s="138"/>
      <c r="AR113">
        <v>185</v>
      </c>
      <c r="AS113" s="150">
        <f t="shared" si="118"/>
        <v>-79.27836512731038</v>
      </c>
      <c r="AT113" s="219">
        <f t="shared" si="119"/>
        <v>-0.42853170339086694</v>
      </c>
      <c r="AU113" s="150">
        <f t="shared" si="136"/>
        <v>22.023024383055546</v>
      </c>
      <c r="AV113" s="144">
        <f t="shared" si="120"/>
        <v>34.078613533720286</v>
      </c>
      <c r="AW113" s="132"/>
      <c r="AX113" s="145"/>
      <c r="AY113" s="144">
        <f t="shared" si="121"/>
        <v>-30.636551717885176</v>
      </c>
      <c r="AZ113" s="132"/>
      <c r="BA113" s="145"/>
      <c r="BB113" s="144">
        <f t="shared" si="122"/>
        <v>44.07105266459223</v>
      </c>
      <c r="BC113" s="132"/>
      <c r="BD113" s="145"/>
      <c r="BE113" s="144">
        <f t="shared" si="123"/>
        <v>-0.40477975714285713</v>
      </c>
      <c r="BF113" s="133"/>
      <c r="BG113" s="146"/>
    </row>
    <row r="114" spans="2:59" x14ac:dyDescent="0.25">
      <c r="B114" s="50">
        <f>MAX(D114,G114,J114,M114)</f>
        <v>-13.33701313153793</v>
      </c>
      <c r="C114" s="198" t="s">
        <v>209</v>
      </c>
      <c r="D114" s="213">
        <v>-13.33701313153793</v>
      </c>
      <c r="E114" s="62"/>
      <c r="F114" s="113"/>
      <c r="G114" s="213">
        <v>-33.5</v>
      </c>
      <c r="H114" s="62"/>
      <c r="I114" s="113"/>
      <c r="J114" s="213">
        <v>-20.394530348488331</v>
      </c>
      <c r="K114" s="62"/>
      <c r="L114" s="113"/>
      <c r="M114" s="213">
        <v>-36.91463414634147</v>
      </c>
      <c r="N114" s="62"/>
      <c r="O114" s="113"/>
      <c r="P114" s="213">
        <v>-41</v>
      </c>
      <c r="Q114" s="62"/>
      <c r="R114" s="113"/>
      <c r="S114" s="213">
        <v>-21</v>
      </c>
      <c r="T114" s="62"/>
      <c r="U114" s="113"/>
      <c r="V114" s="213">
        <v>-16.666666666666657</v>
      </c>
      <c r="W114" s="62"/>
      <c r="X114" s="113"/>
      <c r="Y114" s="213">
        <v>-40</v>
      </c>
      <c r="Z114" s="62"/>
      <c r="AA114" s="113"/>
      <c r="AB114" s="213">
        <v>0</v>
      </c>
      <c r="AC114" s="62"/>
      <c r="AD114" s="113"/>
      <c r="AE114" s="213">
        <v>0</v>
      </c>
      <c r="AF114" s="62"/>
      <c r="AG114" s="113"/>
      <c r="AH114" s="213">
        <v>4.5999999999999996</v>
      </c>
      <c r="AI114" s="62"/>
      <c r="AJ114" s="113"/>
      <c r="AK114" s="213">
        <v>4.9000000000000004</v>
      </c>
      <c r="AL114" s="62"/>
      <c r="AM114" s="113"/>
      <c r="AQ114" s="198" t="s">
        <v>209</v>
      </c>
      <c r="AR114">
        <v>76.5</v>
      </c>
      <c r="AS114" s="150">
        <f>AVERAGE(D114,G114,J114,M114)</f>
        <v>-26.036544406591933</v>
      </c>
      <c r="AT114" s="219">
        <f>AS114/AR114</f>
        <v>-0.3403469857070841</v>
      </c>
      <c r="AU114" s="150">
        <f>_xlfn.STDEV.P(D114,G114,J114,M114)</f>
        <v>9.5805326446227888</v>
      </c>
    </row>
    <row r="115" spans="2:59" x14ac:dyDescent="0.25">
      <c r="B115" s="50">
        <f t="shared" ref="B115:B122" si="137">MAX(D115,G115,J115,M115)</f>
        <v>-12.53288819645374</v>
      </c>
      <c r="C115" s="198" t="s">
        <v>210</v>
      </c>
      <c r="D115" s="213">
        <v>-12.53288819645374</v>
      </c>
      <c r="E115" s="62"/>
      <c r="F115" s="113"/>
      <c r="G115" s="213">
        <v>-27.833333333333329</v>
      </c>
      <c r="H115" s="62"/>
      <c r="I115" s="113"/>
      <c r="J115" s="213">
        <v>-15.772636356642806</v>
      </c>
      <c r="K115" s="62"/>
      <c r="L115" s="113"/>
      <c r="M115" s="213">
        <v>-31.247967479674799</v>
      </c>
      <c r="N115" s="62"/>
      <c r="O115" s="113"/>
      <c r="P115" s="213">
        <v>10</v>
      </c>
      <c r="Q115" s="62"/>
      <c r="R115" s="113"/>
      <c r="S115" s="213">
        <v>29</v>
      </c>
      <c r="T115" s="62"/>
      <c r="U115" s="113"/>
      <c r="V115" s="213">
        <v>13.333333333333343</v>
      </c>
      <c r="W115" s="62"/>
      <c r="X115" s="113"/>
      <c r="Y115" s="213">
        <v>-30</v>
      </c>
      <c r="Z115" s="62"/>
      <c r="AA115" s="113"/>
      <c r="AB115" s="213">
        <v>-60</v>
      </c>
      <c r="AC115" s="62"/>
      <c r="AD115" s="113"/>
      <c r="AE115" s="213">
        <v>-80</v>
      </c>
      <c r="AF115" s="62"/>
      <c r="AG115" s="113"/>
      <c r="AH115" s="213">
        <v>-38.4</v>
      </c>
      <c r="AI115" s="62"/>
      <c r="AJ115" s="113"/>
      <c r="AK115" s="213">
        <v>-3.4000000000000004</v>
      </c>
      <c r="AL115" s="62"/>
      <c r="AM115" s="113"/>
      <c r="AQ115" s="198" t="s">
        <v>210</v>
      </c>
      <c r="AR115">
        <v>82.166666666666671</v>
      </c>
      <c r="AS115" s="150">
        <f t="shared" ref="AS115:AS121" si="138">AVERAGE(D115,G115,J115,M115)</f>
        <v>-21.846706341526168</v>
      </c>
      <c r="AT115" s="219">
        <f t="shared" si="119"/>
        <v>-0.26588283579950711</v>
      </c>
      <c r="AU115" s="150">
        <f t="shared" ref="AU115:AU122" si="139">_xlfn.STDEV.P(D115,G115,J115,M115)</f>
        <v>7.8718636349253277</v>
      </c>
    </row>
    <row r="116" spans="2:59" x14ac:dyDescent="0.25">
      <c r="B116" s="50">
        <f t="shared" si="137"/>
        <v>-18.84620520810148</v>
      </c>
      <c r="C116" s="198" t="s">
        <v>211</v>
      </c>
      <c r="D116" s="213">
        <v>-18.84620520810148</v>
      </c>
      <c r="E116" s="62"/>
      <c r="F116" s="113"/>
      <c r="G116" s="213">
        <v>-65</v>
      </c>
      <c r="H116" s="62"/>
      <c r="I116" s="113"/>
      <c r="J116" s="213">
        <v>-41.646665128086767</v>
      </c>
      <c r="K116" s="62"/>
      <c r="L116" s="113"/>
      <c r="M116" s="213">
        <v>-78.408158860349658</v>
      </c>
      <c r="N116" s="62"/>
      <c r="O116" s="113"/>
      <c r="P116" s="213">
        <v>44</v>
      </c>
      <c r="Q116" s="62"/>
      <c r="R116" s="113"/>
      <c r="S116" s="213">
        <v>64</v>
      </c>
      <c r="T116" s="62"/>
      <c r="U116" s="113"/>
      <c r="V116" s="213">
        <v>180</v>
      </c>
      <c r="W116" s="62"/>
      <c r="X116" s="113"/>
      <c r="Y116" s="213">
        <v>317</v>
      </c>
      <c r="Z116" s="62"/>
      <c r="AA116" s="113"/>
      <c r="AB116" s="213">
        <v>0</v>
      </c>
      <c r="AC116" s="62"/>
      <c r="AD116" s="113"/>
      <c r="AE116" s="213">
        <v>-10</v>
      </c>
      <c r="AF116" s="62"/>
      <c r="AG116" s="113"/>
      <c r="AH116" s="213">
        <v>14.1</v>
      </c>
      <c r="AI116" s="62"/>
      <c r="AJ116" s="113"/>
      <c r="AK116" s="213">
        <v>14.1</v>
      </c>
      <c r="AL116" s="62"/>
      <c r="AM116" s="113"/>
      <c r="AQ116" s="198" t="s">
        <v>211</v>
      </c>
      <c r="AR116">
        <v>115</v>
      </c>
      <c r="AS116" s="150">
        <f t="shared" si="138"/>
        <v>-50.975257299134476</v>
      </c>
      <c r="AT116" s="219">
        <f t="shared" si="119"/>
        <v>-0.44326310694899546</v>
      </c>
      <c r="AU116" s="150">
        <f t="shared" si="139"/>
        <v>22.740691040812983</v>
      </c>
    </row>
    <row r="117" spans="2:59" x14ac:dyDescent="0.25">
      <c r="B117" s="50">
        <f t="shared" si="137"/>
        <v>4.3967356628830041</v>
      </c>
      <c r="C117" s="198" t="s">
        <v>212</v>
      </c>
      <c r="D117" s="213">
        <v>4.3967356628830041</v>
      </c>
      <c r="E117" s="62"/>
      <c r="F117" s="113"/>
      <c r="G117" s="213">
        <v>2.5666666666666673</v>
      </c>
      <c r="H117" s="62"/>
      <c r="I117" s="113"/>
      <c r="J117" s="213">
        <v>2.2871605508116017</v>
      </c>
      <c r="K117" s="62"/>
      <c r="L117" s="113"/>
      <c r="M117" s="213">
        <v>2.152939060364055</v>
      </c>
      <c r="N117" s="62"/>
      <c r="O117" s="113"/>
      <c r="P117" s="213">
        <v>209</v>
      </c>
      <c r="Q117" s="62"/>
      <c r="R117" s="113"/>
      <c r="S117" s="213">
        <v>212</v>
      </c>
      <c r="T117" s="62"/>
      <c r="U117" s="113"/>
      <c r="V117" s="213">
        <v>-1.0333333333333341</v>
      </c>
      <c r="W117" s="62"/>
      <c r="X117" s="113"/>
      <c r="Y117" s="213">
        <v>5.3</v>
      </c>
      <c r="Z117" s="62"/>
      <c r="AA117" s="113"/>
      <c r="AB117" s="213">
        <v>-8.6999999999999993</v>
      </c>
      <c r="AC117" s="62"/>
      <c r="AD117" s="113"/>
      <c r="AE117" s="213">
        <v>-10.7</v>
      </c>
      <c r="AF117" s="62"/>
      <c r="AG117" s="113"/>
      <c r="AH117" s="213">
        <v>-3.3000000000000003</v>
      </c>
      <c r="AI117" s="62"/>
      <c r="AJ117" s="113"/>
      <c r="AK117" s="213">
        <v>-2.9</v>
      </c>
      <c r="AL117" s="62"/>
      <c r="AM117" s="113"/>
      <c r="AQ117" s="198" t="s">
        <v>212</v>
      </c>
      <c r="AR117">
        <v>7.666666666666667</v>
      </c>
      <c r="AS117" s="150">
        <f t="shared" si="138"/>
        <v>2.8508754851813318</v>
      </c>
      <c r="AT117" s="219">
        <f t="shared" si="119"/>
        <v>0.37185332415408673</v>
      </c>
      <c r="AU117" s="150">
        <f t="shared" si="139"/>
        <v>0.90489614346668845</v>
      </c>
    </row>
    <row r="118" spans="2:59" x14ac:dyDescent="0.25">
      <c r="B118" s="50">
        <f t="shared" si="137"/>
        <v>0.80548503731056087</v>
      </c>
      <c r="C118" s="199" t="s">
        <v>213</v>
      </c>
      <c r="D118" s="213">
        <v>0.70452555827583296</v>
      </c>
      <c r="E118" s="62"/>
      <c r="F118" s="113"/>
      <c r="G118" s="213">
        <v>0.1666666666666643</v>
      </c>
      <c r="H118" s="62"/>
      <c r="I118" s="113"/>
      <c r="J118" s="213">
        <v>0.80548503731056087</v>
      </c>
      <c r="K118" s="62"/>
      <c r="L118" s="113"/>
      <c r="M118" s="213">
        <v>-4.0977408446650898</v>
      </c>
      <c r="N118" s="62"/>
      <c r="O118" s="113"/>
      <c r="P118" s="213">
        <v>281</v>
      </c>
      <c r="Q118" s="62"/>
      <c r="R118" s="113"/>
      <c r="S118" s="213">
        <v>288</v>
      </c>
      <c r="T118" s="62"/>
      <c r="U118" s="113"/>
      <c r="V118" s="213">
        <v>7.3333333333333357</v>
      </c>
      <c r="W118" s="62"/>
      <c r="X118" s="113"/>
      <c r="Y118" s="213">
        <v>-4</v>
      </c>
      <c r="Z118" s="62"/>
      <c r="AA118" s="113"/>
      <c r="AB118" s="213">
        <v>-14</v>
      </c>
      <c r="AC118" s="62"/>
      <c r="AD118" s="113"/>
      <c r="AE118" s="213">
        <v>-19</v>
      </c>
      <c r="AF118" s="62"/>
      <c r="AG118" s="113"/>
      <c r="AH118" s="213">
        <v>-0.89999999999999991</v>
      </c>
      <c r="AI118" s="62"/>
      <c r="AJ118" s="113"/>
      <c r="AK118" s="213">
        <v>-0.39999999999999991</v>
      </c>
      <c r="AL118" s="62"/>
      <c r="AM118" s="113"/>
      <c r="AQ118" s="199" t="s">
        <v>213</v>
      </c>
      <c r="AR118">
        <v>32.166666666666664</v>
      </c>
      <c r="AS118" s="150">
        <f t="shared" si="138"/>
        <v>-0.60526589560300792</v>
      </c>
      <c r="AT118" s="219">
        <f t="shared" si="119"/>
        <v>-1.8816556339989885E-2</v>
      </c>
      <c r="AU118" s="150">
        <f t="shared" si="139"/>
        <v>2.030950085421166</v>
      </c>
    </row>
    <row r="119" spans="2:59" x14ac:dyDescent="0.25">
      <c r="B119" s="50">
        <f t="shared" si="137"/>
        <v>48.642818678359873</v>
      </c>
      <c r="C119" s="198" t="s">
        <v>214</v>
      </c>
      <c r="D119" s="213">
        <v>43.851583945396541</v>
      </c>
      <c r="E119" s="62"/>
      <c r="F119" s="113"/>
      <c r="G119" s="213">
        <v>45.333333333333329</v>
      </c>
      <c r="H119" s="62"/>
      <c r="I119" s="113"/>
      <c r="J119" s="213">
        <v>48.642818678359873</v>
      </c>
      <c r="K119" s="62"/>
      <c r="L119" s="113"/>
      <c r="M119" s="213">
        <v>39.95539247427871</v>
      </c>
      <c r="N119" s="62"/>
      <c r="O119" s="113"/>
      <c r="P119" s="213">
        <v>-71</v>
      </c>
      <c r="Q119" s="62"/>
      <c r="R119" s="113"/>
      <c r="S119" s="213">
        <v>-47</v>
      </c>
      <c r="T119" s="62"/>
      <c r="U119" s="113"/>
      <c r="V119" s="213">
        <v>87</v>
      </c>
      <c r="W119" s="62"/>
      <c r="X119" s="113"/>
      <c r="Y119" s="213">
        <v>-10</v>
      </c>
      <c r="Z119" s="62"/>
      <c r="AA119" s="113"/>
      <c r="AB119" s="213">
        <v>-226</v>
      </c>
      <c r="AC119" s="62"/>
      <c r="AD119" s="113"/>
      <c r="AE119" s="213">
        <v>-276</v>
      </c>
      <c r="AF119" s="62"/>
      <c r="AG119" s="113"/>
      <c r="AH119" s="213">
        <v>-12.9</v>
      </c>
      <c r="AI119" s="62"/>
      <c r="AJ119" s="113"/>
      <c r="AK119" s="213">
        <v>-7.9</v>
      </c>
      <c r="AL119" s="62"/>
      <c r="AM119" s="113"/>
      <c r="AQ119" s="198" t="s">
        <v>214</v>
      </c>
      <c r="AR119">
        <v>117.33333333333333</v>
      </c>
      <c r="AS119" s="150">
        <f t="shared" si="138"/>
        <v>44.445782107842113</v>
      </c>
      <c r="AT119" s="219">
        <f t="shared" si="119"/>
        <v>0.37879927932819984</v>
      </c>
      <c r="AU119" s="150">
        <f t="shared" si="139"/>
        <v>3.1192761047077013</v>
      </c>
    </row>
    <row r="120" spans="2:59" x14ac:dyDescent="0.25">
      <c r="B120" s="50">
        <f t="shared" si="137"/>
        <v>9.4825755827371552</v>
      </c>
      <c r="C120" s="199" t="s">
        <v>215</v>
      </c>
      <c r="D120" s="213">
        <v>8.7371466726018241</v>
      </c>
      <c r="E120" s="62"/>
      <c r="F120" s="113"/>
      <c r="G120" s="213">
        <v>-4</v>
      </c>
      <c r="H120" s="62"/>
      <c r="I120" s="113"/>
      <c r="J120" s="213">
        <v>9.4825755827371552</v>
      </c>
      <c r="K120" s="62"/>
      <c r="L120" s="113"/>
      <c r="M120" s="213">
        <v>-16.644075113317484</v>
      </c>
      <c r="N120" s="62"/>
      <c r="O120" s="113"/>
      <c r="P120" s="213">
        <v>-110</v>
      </c>
      <c r="Q120" s="62"/>
      <c r="R120" s="113"/>
      <c r="S120" s="213">
        <v>-110</v>
      </c>
      <c r="T120" s="62"/>
      <c r="U120" s="113"/>
      <c r="V120" s="213">
        <v>26.666666666666657</v>
      </c>
      <c r="W120" s="62"/>
      <c r="X120" s="113"/>
      <c r="Y120" s="213">
        <v>-50</v>
      </c>
      <c r="Z120" s="62"/>
      <c r="AA120" s="113"/>
      <c r="AB120" s="213">
        <v>-149</v>
      </c>
      <c r="AC120" s="62"/>
      <c r="AD120" s="113"/>
      <c r="AE120" s="213">
        <v>-159</v>
      </c>
      <c r="AF120" s="62"/>
      <c r="AG120" s="113"/>
      <c r="AH120" s="213">
        <v>-10.4</v>
      </c>
      <c r="AI120" s="62"/>
      <c r="AJ120" s="113"/>
      <c r="AK120" s="213">
        <v>-3.4000000000000004</v>
      </c>
      <c r="AL120" s="62"/>
      <c r="AM120" s="113"/>
      <c r="AQ120" s="199" t="s">
        <v>215</v>
      </c>
      <c r="AR120">
        <v>156</v>
      </c>
      <c r="AS120" s="150">
        <f t="shared" si="138"/>
        <v>-0.60608821449462624</v>
      </c>
      <c r="AT120" s="219">
        <f t="shared" si="119"/>
        <v>-3.8851808621450401E-3</v>
      </c>
      <c r="AU120" s="150">
        <f t="shared" si="139"/>
        <v>10.698280660270104</v>
      </c>
    </row>
    <row r="121" spans="2:59" x14ac:dyDescent="0.25">
      <c r="B121" s="50">
        <f t="shared" si="137"/>
        <v>12.192373321463037</v>
      </c>
      <c r="C121" s="199" t="s">
        <v>216</v>
      </c>
      <c r="D121" s="213">
        <v>12.192373321463037</v>
      </c>
      <c r="E121" s="62"/>
      <c r="F121" s="113"/>
      <c r="G121" s="213">
        <v>-41.333333333333343</v>
      </c>
      <c r="H121" s="62"/>
      <c r="I121" s="113"/>
      <c r="J121" s="213">
        <v>-8.0100007692899169</v>
      </c>
      <c r="K121" s="62"/>
      <c r="L121" s="113"/>
      <c r="M121" s="213">
        <v>-60.562774300309371</v>
      </c>
      <c r="N121" s="62"/>
      <c r="O121" s="113"/>
      <c r="P121" s="213">
        <v>-208</v>
      </c>
      <c r="Q121" s="62"/>
      <c r="R121" s="113"/>
      <c r="S121" s="213">
        <v>-168</v>
      </c>
      <c r="T121" s="62"/>
      <c r="U121" s="113"/>
      <c r="V121" s="213">
        <v>-80</v>
      </c>
      <c r="W121" s="62"/>
      <c r="X121" s="113"/>
      <c r="Y121" s="213">
        <v>-160</v>
      </c>
      <c r="Z121" s="62"/>
      <c r="AA121" s="113"/>
      <c r="AB121" s="213">
        <v>-274</v>
      </c>
      <c r="AC121" s="62"/>
      <c r="AD121" s="113"/>
      <c r="AE121" s="213">
        <v>-294</v>
      </c>
      <c r="AF121" s="62"/>
      <c r="AG121" s="113"/>
      <c r="AH121" s="213">
        <v>-19.8</v>
      </c>
      <c r="AI121" s="62"/>
      <c r="AJ121" s="113"/>
      <c r="AK121" s="213">
        <v>-7.8000000000000007</v>
      </c>
      <c r="AL121" s="62"/>
      <c r="AM121" s="113"/>
      <c r="AQ121" s="199" t="s">
        <v>216</v>
      </c>
      <c r="AR121">
        <v>218.66666666666666</v>
      </c>
      <c r="AS121" s="150">
        <f t="shared" si="138"/>
        <v>-24.428433770367398</v>
      </c>
      <c r="AT121" s="219">
        <f t="shared" si="119"/>
        <v>-0.11171539834009482</v>
      </c>
      <c r="AU121" s="150">
        <f t="shared" si="139"/>
        <v>28.293615220733553</v>
      </c>
    </row>
    <row r="122" spans="2:59" ht="15.75" thickBot="1" x14ac:dyDescent="0.3">
      <c r="B122" s="50">
        <f t="shared" si="137"/>
        <v>131.19782624823799</v>
      </c>
      <c r="C122" s="198" t="s">
        <v>217</v>
      </c>
      <c r="D122" s="214">
        <v>131.19782624823799</v>
      </c>
      <c r="E122" s="121"/>
      <c r="F122" s="122"/>
      <c r="G122" s="214">
        <v>124.16666666666669</v>
      </c>
      <c r="H122" s="121"/>
      <c r="I122" s="122"/>
      <c r="J122" s="214">
        <v>118.41545503500271</v>
      </c>
      <c r="K122" s="121"/>
      <c r="L122" s="122"/>
      <c r="M122" s="214">
        <v>95.964637743722619</v>
      </c>
      <c r="N122" s="121"/>
      <c r="O122" s="122"/>
      <c r="P122" s="214">
        <v>-335</v>
      </c>
      <c r="Q122" s="121"/>
      <c r="R122" s="122"/>
      <c r="S122" s="214">
        <v>-345</v>
      </c>
      <c r="T122" s="121"/>
      <c r="U122" s="122"/>
      <c r="V122" s="214">
        <v>211.33333333333331</v>
      </c>
      <c r="W122" s="121"/>
      <c r="X122" s="122"/>
      <c r="Y122" s="214">
        <v>0</v>
      </c>
      <c r="Z122" s="121"/>
      <c r="AA122" s="122"/>
      <c r="AB122" s="214">
        <v>60</v>
      </c>
      <c r="AC122" s="121"/>
      <c r="AD122" s="122"/>
      <c r="AE122" s="214">
        <v>70</v>
      </c>
      <c r="AF122" s="121"/>
      <c r="AG122" s="122"/>
      <c r="AH122" s="214">
        <v>-6</v>
      </c>
      <c r="AI122" s="121"/>
      <c r="AJ122" s="122"/>
      <c r="AK122" s="214">
        <v>6.3000000000000007</v>
      </c>
      <c r="AL122" s="121"/>
      <c r="AM122" s="122"/>
      <c r="AQ122" s="198" t="s">
        <v>217</v>
      </c>
      <c r="AR122">
        <v>364.16666666666669</v>
      </c>
      <c r="AS122" s="150">
        <f>AVERAGE(D122,G122,J122,M122)</f>
        <v>117.43614642340751</v>
      </c>
      <c r="AT122" s="219">
        <f t="shared" si="119"/>
        <v>0.322479120613476</v>
      </c>
      <c r="AU122" s="150">
        <f t="shared" si="139"/>
        <v>13.19723896014418</v>
      </c>
    </row>
    <row r="123" spans="2:59" x14ac:dyDescent="0.25"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86"/>
      <c r="AO123" s="86"/>
      <c r="AP123" s="86"/>
      <c r="AQ123" s="86"/>
      <c r="AR123" s="86">
        <v>1834.5571428571427</v>
      </c>
      <c r="AS123" s="150"/>
      <c r="AU123" s="128"/>
    </row>
    <row r="124" spans="2:59" x14ac:dyDescent="0.25"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86"/>
      <c r="AO124" s="86"/>
      <c r="AP124" s="86"/>
      <c r="AQ124" s="86"/>
      <c r="AR124" s="86"/>
    </row>
    <row r="125" spans="2:59" x14ac:dyDescent="0.25"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86"/>
      <c r="AO125" s="86"/>
      <c r="AP125" s="86"/>
      <c r="AQ125" s="86"/>
      <c r="AR125" s="86" t="s">
        <v>310</v>
      </c>
      <c r="AS125" t="s">
        <v>204</v>
      </c>
      <c r="AT125" s="134" t="s">
        <v>309</v>
      </c>
      <c r="AV125" t="s">
        <v>311</v>
      </c>
      <c r="AW125" t="s">
        <v>312</v>
      </c>
      <c r="AX125" t="s">
        <v>313</v>
      </c>
      <c r="AY125" t="s">
        <v>314</v>
      </c>
    </row>
    <row r="126" spans="2:59" x14ac:dyDescent="0.25">
      <c r="G126" s="215"/>
      <c r="H126" s="215"/>
      <c r="I126" s="86"/>
      <c r="J126" s="215"/>
      <c r="K126" s="215"/>
      <c r="L126" s="86"/>
      <c r="M126" s="215"/>
      <c r="N126" s="215"/>
      <c r="O126" s="86"/>
      <c r="P126" s="215"/>
      <c r="Q126" s="215"/>
      <c r="R126" s="86"/>
      <c r="S126" s="215"/>
      <c r="T126" s="215"/>
      <c r="U126" s="86"/>
      <c r="V126" s="215"/>
      <c r="W126" s="215"/>
      <c r="X126" s="86"/>
      <c r="Y126" s="215"/>
      <c r="Z126" s="215"/>
      <c r="AA126" s="86"/>
      <c r="AB126" s="215"/>
      <c r="AC126" s="215"/>
      <c r="AD126" s="86"/>
      <c r="AE126" s="215"/>
      <c r="AF126" s="215"/>
      <c r="AG126" s="86"/>
      <c r="AH126" s="215"/>
      <c r="AI126" s="215"/>
      <c r="AJ126" s="86"/>
      <c r="AK126" s="215"/>
      <c r="AL126" s="215"/>
      <c r="AM126" s="86"/>
      <c r="AN126" s="86"/>
      <c r="AO126" s="86"/>
      <c r="AP126" s="86"/>
      <c r="AQ126" s="86"/>
      <c r="AR126" s="86">
        <v>440</v>
      </c>
      <c r="AS126" s="50">
        <f>-AS114</f>
        <v>26.036544406591933</v>
      </c>
      <c r="AT126" s="134">
        <f>AS126/AR126*1000</f>
        <v>59.173964560436211</v>
      </c>
      <c r="AV126" s="50">
        <f>-MAX(D114,G114,J114,M114)</f>
        <v>13.33701313153793</v>
      </c>
      <c r="AW126" s="50">
        <f>-MIN(D114,G114,J114,M114)</f>
        <v>36.91463414634147</v>
      </c>
      <c r="AX126" s="134">
        <f>AT126-AV126/AR126*1000</f>
        <v>28.862571079668189</v>
      </c>
      <c r="AY126" s="134">
        <f>AW126/AR126*1000-AT126</f>
        <v>24.722931226703487</v>
      </c>
    </row>
    <row r="127" spans="2:59" x14ac:dyDescent="0.25">
      <c r="G127" s="82"/>
      <c r="H127" s="82"/>
      <c r="I127" s="86"/>
      <c r="J127" s="82"/>
      <c r="K127" s="82"/>
      <c r="L127" s="86"/>
      <c r="M127" s="82"/>
      <c r="N127" s="82"/>
      <c r="O127" s="86"/>
      <c r="P127" s="82"/>
      <c r="Q127" s="82"/>
      <c r="R127" s="86"/>
      <c r="S127" s="82"/>
      <c r="T127" s="82"/>
      <c r="U127" s="86"/>
      <c r="V127" s="82"/>
      <c r="W127" s="82"/>
      <c r="X127" s="86"/>
      <c r="Y127" s="82"/>
      <c r="Z127" s="82"/>
      <c r="AA127" s="86"/>
      <c r="AB127" s="82"/>
      <c r="AC127" s="82"/>
      <c r="AD127" s="86"/>
      <c r="AE127" s="82"/>
      <c r="AF127" s="82"/>
      <c r="AG127" s="86"/>
      <c r="AH127" s="82"/>
      <c r="AI127" s="82"/>
      <c r="AJ127" s="86"/>
      <c r="AK127" s="82"/>
      <c r="AL127" s="82"/>
      <c r="AM127" s="86"/>
      <c r="AN127" s="86"/>
      <c r="AO127" s="86"/>
      <c r="AP127" s="86"/>
      <c r="AQ127" s="86"/>
      <c r="AR127" s="86">
        <v>502</v>
      </c>
      <c r="AS127" s="50">
        <f t="shared" ref="AS127:AS134" si="140">-AS115</f>
        <v>21.846706341526168</v>
      </c>
      <c r="AT127" s="134">
        <f t="shared" ref="AT127:AT134" si="141">AS127/AR127*1000</f>
        <v>43.519335341685597</v>
      </c>
      <c r="AV127" s="50">
        <f t="shared" ref="AV127:AV133" si="142">-MAX(D115,G115,J115,M115)</f>
        <v>12.53288819645374</v>
      </c>
      <c r="AW127" s="50">
        <f t="shared" ref="AW127:AW133" si="143">-MIN(D115,G115,J115,M115)</f>
        <v>31.247967479674799</v>
      </c>
      <c r="AX127" s="134">
        <f t="shared" ref="AX127:AX134" si="144">AT127-AV127/AR127*1000</f>
        <v>18.553422599745875</v>
      </c>
      <c r="AY127" s="134">
        <f t="shared" ref="AY127:AY134" si="145">AW127/AR127*1000-AT127</f>
        <v>18.727611828981331</v>
      </c>
    </row>
    <row r="128" spans="2:59" x14ac:dyDescent="0.25">
      <c r="G128" s="82"/>
      <c r="H128" s="82"/>
      <c r="I128" s="86"/>
      <c r="J128" s="82"/>
      <c r="K128" s="82"/>
      <c r="L128" s="86"/>
      <c r="M128" s="82"/>
      <c r="N128" s="82"/>
      <c r="O128" s="86"/>
      <c r="P128" s="82"/>
      <c r="Q128" s="82"/>
      <c r="R128" s="86"/>
      <c r="S128" s="82"/>
      <c r="T128" s="82"/>
      <c r="U128" s="86"/>
      <c r="V128" s="82"/>
      <c r="W128" s="82"/>
      <c r="X128" s="86"/>
      <c r="Y128" s="82"/>
      <c r="Z128" s="82"/>
      <c r="AA128" s="86"/>
      <c r="AB128" s="82"/>
      <c r="AC128" s="82"/>
      <c r="AD128" s="86"/>
      <c r="AE128" s="82"/>
      <c r="AF128" s="82"/>
      <c r="AG128" s="86"/>
      <c r="AH128" s="82"/>
      <c r="AI128" s="82"/>
      <c r="AJ128" s="86"/>
      <c r="AK128" s="82"/>
      <c r="AL128" s="82"/>
      <c r="AM128" s="86"/>
      <c r="AN128" s="86"/>
      <c r="AO128" s="86"/>
      <c r="AP128" s="86"/>
      <c r="AQ128" s="86"/>
      <c r="AR128" s="86">
        <v>564</v>
      </c>
      <c r="AS128" s="50">
        <f t="shared" si="140"/>
        <v>50.975257299134476</v>
      </c>
      <c r="AT128" s="134">
        <f t="shared" si="141"/>
        <v>90.381661877898011</v>
      </c>
      <c r="AV128" s="50">
        <f t="shared" si="142"/>
        <v>18.84620520810148</v>
      </c>
      <c r="AW128" s="50">
        <f t="shared" si="143"/>
        <v>78.408158860349658</v>
      </c>
      <c r="AX128" s="134">
        <f t="shared" si="144"/>
        <v>56.966404416725169</v>
      </c>
      <c r="AY128" s="134">
        <f t="shared" si="145"/>
        <v>48.639896385133284</v>
      </c>
    </row>
    <row r="129" spans="7:51" x14ac:dyDescent="0.25">
      <c r="G129" s="216"/>
      <c r="H129" s="216"/>
      <c r="I129" s="138"/>
      <c r="J129" s="216"/>
      <c r="K129" s="216"/>
      <c r="L129" s="138"/>
      <c r="M129" s="216"/>
      <c r="N129" s="216"/>
      <c r="O129" s="138"/>
      <c r="P129" s="216"/>
      <c r="Q129" s="216"/>
      <c r="R129" s="138"/>
      <c r="S129" s="216"/>
      <c r="T129" s="216"/>
      <c r="U129" s="138"/>
      <c r="V129" s="216"/>
      <c r="W129" s="216"/>
      <c r="X129" s="138"/>
      <c r="Y129" s="216"/>
      <c r="Z129" s="216"/>
      <c r="AA129" s="138"/>
      <c r="AB129" s="216"/>
      <c r="AC129" s="216"/>
      <c r="AD129" s="138"/>
      <c r="AE129" s="216"/>
      <c r="AF129" s="216"/>
      <c r="AG129" s="138"/>
      <c r="AH129" s="216"/>
      <c r="AI129" s="216"/>
      <c r="AJ129" s="138"/>
      <c r="AK129" s="216"/>
      <c r="AL129" s="216"/>
      <c r="AM129" s="138"/>
      <c r="AN129" s="86"/>
      <c r="AO129" s="86"/>
      <c r="AP129" s="86"/>
      <c r="AQ129" s="86"/>
      <c r="AR129" s="86">
        <v>645</v>
      </c>
      <c r="AS129" s="50">
        <f t="shared" si="140"/>
        <v>-2.8508754851813318</v>
      </c>
      <c r="AT129" s="134">
        <f t="shared" si="141"/>
        <v>-4.4199619925291973</v>
      </c>
      <c r="AV129" s="50">
        <f t="shared" si="142"/>
        <v>-4.3967356628830041</v>
      </c>
      <c r="AW129" s="50">
        <f t="shared" si="143"/>
        <v>-2.152939060364055</v>
      </c>
      <c r="AX129" s="134">
        <f t="shared" si="144"/>
        <v>2.3966824460491036</v>
      </c>
      <c r="AY129" s="134">
        <f t="shared" si="145"/>
        <v>1.0820719764608948</v>
      </c>
    </row>
    <row r="130" spans="7:51" x14ac:dyDescent="0.25"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>
        <v>790</v>
      </c>
      <c r="AS130" s="50">
        <f t="shared" si="140"/>
        <v>0.60526589560300792</v>
      </c>
      <c r="AT130" s="134">
        <f t="shared" si="141"/>
        <v>0.76615936152279485</v>
      </c>
      <c r="AV130" s="50">
        <f t="shared" si="142"/>
        <v>-0.80548503731056087</v>
      </c>
      <c r="AW130" s="50">
        <f t="shared" si="143"/>
        <v>4.0977408446650898</v>
      </c>
      <c r="AX130" s="134">
        <f t="shared" si="144"/>
        <v>1.7857606745741377</v>
      </c>
      <c r="AY130" s="134">
        <f t="shared" si="145"/>
        <v>4.420854365901369</v>
      </c>
    </row>
    <row r="131" spans="7:51" x14ac:dyDescent="0.25"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>
        <v>890</v>
      </c>
      <c r="AS131" s="50">
        <f t="shared" si="140"/>
        <v>-44.445782107842113</v>
      </c>
      <c r="AT131" s="134">
        <f t="shared" si="141"/>
        <v>-49.939081020047318</v>
      </c>
      <c r="AV131" s="50">
        <f t="shared" si="142"/>
        <v>-48.642818678359873</v>
      </c>
      <c r="AW131" s="50">
        <f t="shared" si="143"/>
        <v>-39.95539247427871</v>
      </c>
      <c r="AX131" s="134">
        <f t="shared" si="144"/>
        <v>4.7157714275480416</v>
      </c>
      <c r="AY131" s="134">
        <f t="shared" si="145"/>
        <v>5.0453816107453946</v>
      </c>
    </row>
    <row r="132" spans="7:51" x14ac:dyDescent="0.25"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>
        <v>990</v>
      </c>
      <c r="AS132" s="50">
        <f t="shared" si="140"/>
        <v>0.60608821449462624</v>
      </c>
      <c r="AT132" s="134">
        <f t="shared" si="141"/>
        <v>0.6122103176713396</v>
      </c>
      <c r="AV132" s="50">
        <f t="shared" si="142"/>
        <v>-9.4825755827371552</v>
      </c>
      <c r="AW132" s="50">
        <f t="shared" si="143"/>
        <v>16.644075113317484</v>
      </c>
      <c r="AX132" s="134">
        <f t="shared" si="144"/>
        <v>10.190569492153315</v>
      </c>
      <c r="AY132" s="134">
        <f t="shared" si="145"/>
        <v>16.199986766487736</v>
      </c>
    </row>
    <row r="133" spans="7:51" x14ac:dyDescent="0.25">
      <c r="AR133">
        <v>1190</v>
      </c>
      <c r="AS133" s="50">
        <f t="shared" si="140"/>
        <v>24.428433770367398</v>
      </c>
      <c r="AT133" s="134">
        <f t="shared" si="141"/>
        <v>20.528095605350757</v>
      </c>
      <c r="AV133" s="50">
        <f t="shared" si="142"/>
        <v>-12.192373321463037</v>
      </c>
      <c r="AW133" s="50">
        <f t="shared" si="143"/>
        <v>60.562774300309371</v>
      </c>
      <c r="AX133" s="134">
        <f t="shared" si="144"/>
        <v>30.773787472126418</v>
      </c>
      <c r="AY133" s="134">
        <f t="shared" si="145"/>
        <v>30.364992041968044</v>
      </c>
    </row>
    <row r="134" spans="7:51" x14ac:dyDescent="0.25">
      <c r="AR134">
        <v>1204</v>
      </c>
      <c r="AS134" s="50">
        <f t="shared" si="140"/>
        <v>-117.43614642340751</v>
      </c>
      <c r="AT134" s="134">
        <f t="shared" si="141"/>
        <v>-97.538327594192282</v>
      </c>
      <c r="AV134" s="50">
        <f t="shared" ref="AV134" si="146">-MAX(D122,G122,J122,M122)</f>
        <v>-131.19782624823799</v>
      </c>
      <c r="AW134" s="50">
        <f t="shared" ref="AW134" si="147">-MIN(D122,G122,J122,M122)</f>
        <v>-95.964637743722619</v>
      </c>
      <c r="AX134" s="134">
        <f t="shared" si="144"/>
        <v>11.429966631919001</v>
      </c>
      <c r="AY134" s="134">
        <f t="shared" si="145"/>
        <v>17.833478969837941</v>
      </c>
    </row>
  </sheetData>
  <mergeCells count="37">
    <mergeCell ref="BF9:BF10"/>
    <mergeCell ref="BL9:BL10"/>
    <mergeCell ref="BR9:BR10"/>
    <mergeCell ref="BX9:BX10"/>
    <mergeCell ref="D9:D10"/>
    <mergeCell ref="J9:J10"/>
    <mergeCell ref="P9:P10"/>
    <mergeCell ref="V9:V10"/>
    <mergeCell ref="AB9:AB10"/>
    <mergeCell ref="AH9:AH10"/>
    <mergeCell ref="AN9:AN10"/>
    <mergeCell ref="AH123:AJ123"/>
    <mergeCell ref="AK123:AM123"/>
    <mergeCell ref="AT9:AT10"/>
    <mergeCell ref="AZ9:AZ10"/>
    <mergeCell ref="AN81:AP81"/>
    <mergeCell ref="AH81:AJ81"/>
    <mergeCell ref="AK81:AM81"/>
    <mergeCell ref="G123:I123"/>
    <mergeCell ref="J123:L123"/>
    <mergeCell ref="M123:O123"/>
    <mergeCell ref="P123:R123"/>
    <mergeCell ref="S123:U123"/>
    <mergeCell ref="V123:X123"/>
    <mergeCell ref="Y123:AA123"/>
    <mergeCell ref="AB123:AD123"/>
    <mergeCell ref="AE123:AG123"/>
    <mergeCell ref="V81:X81"/>
    <mergeCell ref="Y81:AA81"/>
    <mergeCell ref="AB81:AD81"/>
    <mergeCell ref="AE81:AG81"/>
    <mergeCell ref="S81:U81"/>
    <mergeCell ref="D81:F81"/>
    <mergeCell ref="G81:I81"/>
    <mergeCell ref="J81:L81"/>
    <mergeCell ref="M81:O81"/>
    <mergeCell ref="P81:R8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Feststoffanalyse N-1</vt:lpstr>
      <vt:lpstr>N1_1_end</vt:lpstr>
      <vt:lpstr>N1</vt:lpstr>
      <vt:lpstr>N1_2_end</vt:lpstr>
      <vt:lpstr>N1_3_end</vt:lpstr>
      <vt:lpstr>N1_4_end</vt:lpstr>
      <vt:lpstr>Differenz Feststoffanalys Eluat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Bierbaum</dc:creator>
  <cp:lastModifiedBy>Matthias Gültig</cp:lastModifiedBy>
  <cp:lastPrinted>2019-12-04T15:41:00Z</cp:lastPrinted>
  <dcterms:created xsi:type="dcterms:W3CDTF">2019-11-26T10:52:42Z</dcterms:created>
  <dcterms:modified xsi:type="dcterms:W3CDTF">2022-12-13T12:58:49Z</dcterms:modified>
</cp:coreProperties>
</file>