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Projekte_laufend\PFAS - RP KA\Daten\LS3\Daten\"/>
    </mc:Choice>
  </mc:AlternateContent>
  <bookViews>
    <workbookView xWindow="0" yWindow="0" windowWidth="28800" windowHeight="12300" tabRatio="777"/>
  </bookViews>
  <sheets>
    <sheet name="Sheet1" sheetId="1" r:id="rId1"/>
    <sheet name="hydraulics" sheetId="3" r:id="rId2"/>
    <sheet name="bulk density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3" l="1"/>
  <c r="P2" i="1"/>
  <c r="Q2" i="1" s="1"/>
  <c r="T2" i="1"/>
  <c r="U2" i="1"/>
  <c r="P3" i="1"/>
  <c r="Q3" i="1" s="1"/>
  <c r="T3" i="1"/>
  <c r="U3" i="1"/>
  <c r="P4" i="1"/>
  <c r="Q4" i="1" s="1"/>
  <c r="T4" i="1"/>
  <c r="U4" i="1"/>
  <c r="P5" i="1"/>
  <c r="Q5" i="1" s="1"/>
  <c r="T5" i="1"/>
  <c r="U5" i="1"/>
  <c r="V4" i="1" l="1"/>
  <c r="V5" i="1"/>
  <c r="V3" i="1"/>
  <c r="V2" i="1"/>
  <c r="I3" i="2"/>
  <c r="I4" i="2"/>
  <c r="I5" i="2"/>
  <c r="I2" i="2"/>
  <c r="T5" i="3" l="1"/>
  <c r="Y9" i="3"/>
  <c r="N55" i="3"/>
  <c r="P55" i="3" s="1"/>
  <c r="N54" i="3"/>
  <c r="P54" i="3" s="1"/>
  <c r="N53" i="3"/>
  <c r="P53" i="3" s="1"/>
  <c r="N52" i="3"/>
  <c r="P52" i="3" s="1"/>
  <c r="N51" i="3"/>
  <c r="P51" i="3" s="1"/>
  <c r="N50" i="3"/>
  <c r="P50" i="3" s="1"/>
  <c r="N49" i="3"/>
  <c r="P49" i="3" s="1"/>
  <c r="N48" i="3"/>
  <c r="P48" i="3" s="1"/>
  <c r="N47" i="3"/>
  <c r="P47" i="3" s="1"/>
  <c r="N46" i="3"/>
  <c r="P46" i="3" s="1"/>
  <c r="N45" i="3"/>
  <c r="P45" i="3" s="1"/>
  <c r="N38" i="3"/>
  <c r="P38" i="3" s="1"/>
  <c r="N37" i="3"/>
  <c r="P37" i="3" s="1"/>
  <c r="N36" i="3"/>
  <c r="P36" i="3" s="1"/>
  <c r="N35" i="3"/>
  <c r="P35" i="3" s="1"/>
  <c r="N34" i="3"/>
  <c r="P34" i="3" s="1"/>
  <c r="N33" i="3"/>
  <c r="P33" i="3" s="1"/>
  <c r="N32" i="3"/>
  <c r="P32" i="3" s="1"/>
  <c r="N31" i="3"/>
  <c r="P31" i="3" s="1"/>
  <c r="N30" i="3"/>
  <c r="P30" i="3" s="1"/>
  <c r="G29" i="3"/>
  <c r="G31" i="3" s="1"/>
  <c r="G33" i="3" s="1"/>
  <c r="G35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N16" i="3"/>
  <c r="P16" i="3" s="1"/>
  <c r="C16" i="3"/>
  <c r="E16" i="3" s="1"/>
  <c r="N15" i="3"/>
  <c r="P15" i="3" s="1"/>
  <c r="C15" i="3"/>
  <c r="E15" i="3" s="1"/>
  <c r="N14" i="3"/>
  <c r="P14" i="3" s="1"/>
  <c r="C14" i="3"/>
  <c r="E14" i="3" s="1"/>
  <c r="N13" i="3"/>
  <c r="P13" i="3" s="1"/>
  <c r="C13" i="3"/>
  <c r="E13" i="3" s="1"/>
  <c r="N12" i="3"/>
  <c r="P12" i="3" s="1"/>
  <c r="C12" i="3"/>
  <c r="E12" i="3" s="1"/>
  <c r="N11" i="3"/>
  <c r="P11" i="3" s="1"/>
  <c r="C11" i="3"/>
  <c r="E11" i="3" s="1"/>
  <c r="N10" i="3"/>
  <c r="P10" i="3" s="1"/>
  <c r="C10" i="3"/>
  <c r="E10" i="3" s="1"/>
  <c r="N9" i="3"/>
  <c r="P9" i="3" s="1"/>
  <c r="C9" i="3"/>
  <c r="E9" i="3" s="1"/>
  <c r="N8" i="3"/>
  <c r="P8" i="3" s="1"/>
  <c r="C8" i="3"/>
  <c r="E8" i="3" s="1"/>
  <c r="N7" i="3"/>
  <c r="P7" i="3" s="1"/>
  <c r="C7" i="3"/>
  <c r="E7" i="3" s="1"/>
  <c r="U5" i="3"/>
  <c r="S5" i="3"/>
  <c r="R5" i="3"/>
  <c r="P5" i="3"/>
  <c r="O5" i="3"/>
  <c r="N5" i="3"/>
  <c r="M5" i="3"/>
  <c r="Q5" i="3"/>
  <c r="H3" i="2" l="1"/>
  <c r="H4" i="2"/>
  <c r="H5" i="2"/>
  <c r="H2" i="2"/>
  <c r="AC7" i="3" l="1"/>
  <c r="Q8" i="3" l="1"/>
  <c r="R8" i="3" s="1"/>
  <c r="S8" i="3" s="1"/>
  <c r="U8" i="3" s="1"/>
  <c r="F9" i="3"/>
  <c r="G9" i="3" s="1"/>
  <c r="H9" i="3" s="1"/>
  <c r="J9" i="3" s="1"/>
  <c r="Q11" i="3"/>
  <c r="R11" i="3" s="1"/>
  <c r="S11" i="3" s="1"/>
  <c r="U11" i="3" s="1"/>
  <c r="F13" i="3"/>
  <c r="G13" i="3" s="1"/>
  <c r="H13" i="3" s="1"/>
  <c r="J13" i="3" s="1"/>
  <c r="Q15" i="3"/>
  <c r="R15" i="3" s="1"/>
  <c r="S15" i="3" s="1"/>
  <c r="U15" i="3" s="1"/>
  <c r="F17" i="3"/>
  <c r="G17" i="3" s="1"/>
  <c r="H17" i="3" s="1"/>
  <c r="J17" i="3" s="1"/>
  <c r="F21" i="3"/>
  <c r="G21" i="3" s="1"/>
  <c r="H21" i="3" s="1"/>
  <c r="J21" i="3" s="1"/>
  <c r="F25" i="3"/>
  <c r="G25" i="3" s="1"/>
  <c r="H25" i="3" s="1"/>
  <c r="J25" i="3" s="1"/>
  <c r="Q30" i="3"/>
  <c r="R30" i="3" s="1"/>
  <c r="S30" i="3" s="1"/>
  <c r="U30" i="3" s="1"/>
  <c r="Q31" i="3"/>
  <c r="R31" i="3" s="1"/>
  <c r="S31" i="3" s="1"/>
  <c r="U31" i="3" s="1"/>
  <c r="Q32" i="3"/>
  <c r="R32" i="3" s="1"/>
  <c r="S32" i="3" s="1"/>
  <c r="U32" i="3" s="1"/>
  <c r="Q33" i="3"/>
  <c r="R33" i="3" s="1"/>
  <c r="S33" i="3" s="1"/>
  <c r="U33" i="3" s="1"/>
  <c r="Q34" i="3"/>
  <c r="R34" i="3" s="1"/>
  <c r="S34" i="3" s="1"/>
  <c r="U34" i="3" s="1"/>
  <c r="Q35" i="3"/>
  <c r="R35" i="3" s="1"/>
  <c r="S35" i="3" s="1"/>
  <c r="U35" i="3" s="1"/>
  <c r="Q36" i="3"/>
  <c r="R36" i="3" s="1"/>
  <c r="S36" i="3" s="1"/>
  <c r="U36" i="3" s="1"/>
  <c r="Q37" i="3"/>
  <c r="R37" i="3" s="1"/>
  <c r="S37" i="3" s="1"/>
  <c r="U37" i="3" s="1"/>
  <c r="Q38" i="3"/>
  <c r="R38" i="3" s="1"/>
  <c r="S38" i="3" s="1"/>
  <c r="U38" i="3" s="1"/>
  <c r="Q45" i="3"/>
  <c r="R45" i="3" s="1"/>
  <c r="S45" i="3" s="1"/>
  <c r="U45" i="3" s="1"/>
  <c r="Q46" i="3"/>
  <c r="R46" i="3" s="1"/>
  <c r="S46" i="3" s="1"/>
  <c r="U46" i="3" s="1"/>
  <c r="Q47" i="3"/>
  <c r="R47" i="3" s="1"/>
  <c r="S47" i="3" s="1"/>
  <c r="U47" i="3" s="1"/>
  <c r="Q48" i="3"/>
  <c r="R48" i="3" s="1"/>
  <c r="S48" i="3" s="1"/>
  <c r="U48" i="3" s="1"/>
  <c r="Q49" i="3"/>
  <c r="R49" i="3" s="1"/>
  <c r="S49" i="3" s="1"/>
  <c r="U49" i="3" s="1"/>
  <c r="Q50" i="3"/>
  <c r="R50" i="3" s="1"/>
  <c r="S50" i="3" s="1"/>
  <c r="U50" i="3" s="1"/>
  <c r="Q51" i="3"/>
  <c r="R51" i="3" s="1"/>
  <c r="S51" i="3" s="1"/>
  <c r="U51" i="3" s="1"/>
  <c r="Q52" i="3"/>
  <c r="R52" i="3" s="1"/>
  <c r="S52" i="3" s="1"/>
  <c r="U52" i="3" s="1"/>
  <c r="Q53" i="3"/>
  <c r="R53" i="3" s="1"/>
  <c r="S53" i="3" s="1"/>
  <c r="U53" i="3" s="1"/>
  <c r="Q54" i="3"/>
  <c r="R54" i="3" s="1"/>
  <c r="S54" i="3" s="1"/>
  <c r="U54" i="3" s="1"/>
  <c r="Q55" i="3"/>
  <c r="R55" i="3" s="1"/>
  <c r="S55" i="3" s="1"/>
  <c r="U55" i="3" s="1"/>
  <c r="F20" i="3"/>
  <c r="G20" i="3" s="1"/>
  <c r="H20" i="3" s="1"/>
  <c r="F12" i="3"/>
  <c r="G12" i="3" s="1"/>
  <c r="H12" i="3" s="1"/>
  <c r="J12" i="3" s="1"/>
  <c r="F8" i="3"/>
  <c r="G8" i="3" s="1"/>
  <c r="H8" i="3" s="1"/>
  <c r="J8" i="3" s="1"/>
  <c r="Q14" i="3"/>
  <c r="R14" i="3" s="1"/>
  <c r="S14" i="3" s="1"/>
  <c r="U14" i="3" s="1"/>
  <c r="Q10" i="3"/>
  <c r="R10" i="3" s="1"/>
  <c r="S10" i="3" s="1"/>
  <c r="U10" i="3" s="1"/>
  <c r="F7" i="3"/>
  <c r="G7" i="3" s="1"/>
  <c r="H7" i="3" s="1"/>
  <c r="J7" i="3" s="1"/>
  <c r="F23" i="3"/>
  <c r="G23" i="3" s="1"/>
  <c r="H23" i="3" s="1"/>
  <c r="J23" i="3" s="1"/>
  <c r="F19" i="3"/>
  <c r="G19" i="3" s="1"/>
  <c r="H19" i="3" s="1"/>
  <c r="J19" i="3" s="1"/>
  <c r="F15" i="3"/>
  <c r="G15" i="3" s="1"/>
  <c r="H15" i="3" s="1"/>
  <c r="F11" i="3"/>
  <c r="G11" i="3" s="1"/>
  <c r="H11" i="3" s="1"/>
  <c r="J11" i="3" s="1"/>
  <c r="Q7" i="3"/>
  <c r="R7" i="3" s="1"/>
  <c r="S7" i="3" s="1"/>
  <c r="U7" i="3" s="1"/>
  <c r="Q13" i="3"/>
  <c r="R13" i="3" s="1"/>
  <c r="S13" i="3" s="1"/>
  <c r="U13" i="3" s="1"/>
  <c r="Q9" i="3"/>
  <c r="R9" i="3" s="1"/>
  <c r="S9" i="3" s="1"/>
  <c r="U9" i="3" s="1"/>
  <c r="F24" i="3"/>
  <c r="G24" i="3" s="1"/>
  <c r="H24" i="3" s="1"/>
  <c r="J24" i="3" s="1"/>
  <c r="F16" i="3"/>
  <c r="G16" i="3" s="1"/>
  <c r="H16" i="3" s="1"/>
  <c r="J16" i="3" s="1"/>
  <c r="F26" i="3"/>
  <c r="G26" i="3" s="1"/>
  <c r="H26" i="3" s="1"/>
  <c r="J26" i="3" s="1"/>
  <c r="F22" i="3"/>
  <c r="G22" i="3" s="1"/>
  <c r="H22" i="3" s="1"/>
  <c r="F18" i="3"/>
  <c r="G18" i="3" s="1"/>
  <c r="H18" i="3" s="1"/>
  <c r="J18" i="3" s="1"/>
  <c r="F14" i="3"/>
  <c r="G14" i="3" s="1"/>
  <c r="H14" i="3" s="1"/>
  <c r="J14" i="3" s="1"/>
  <c r="F10" i="3"/>
  <c r="G10" i="3" s="1"/>
  <c r="H10" i="3" s="1"/>
  <c r="J10" i="3" s="1"/>
  <c r="Q16" i="3"/>
  <c r="R16" i="3" s="1"/>
  <c r="S16" i="3" s="1"/>
  <c r="U16" i="3" s="1"/>
  <c r="Q12" i="3"/>
  <c r="R12" i="3" s="1"/>
  <c r="S12" i="3" s="1"/>
  <c r="U12" i="3" s="1"/>
  <c r="C30" i="3"/>
  <c r="C31" i="3" s="1"/>
  <c r="C32" i="3" s="1"/>
  <c r="J20" i="3"/>
  <c r="J22" i="3"/>
  <c r="J15" i="3"/>
</calcChain>
</file>

<file path=xl/sharedStrings.xml><?xml version="1.0" encoding="utf-8"?>
<sst xmlns="http://schemas.openxmlformats.org/spreadsheetml/2006/main" count="83" uniqueCount="59">
  <si>
    <t>Experiment</t>
  </si>
  <si>
    <t>Type</t>
  </si>
  <si>
    <t>Name</t>
  </si>
  <si>
    <t>Material</t>
  </si>
  <si>
    <t>Number</t>
  </si>
  <si>
    <t>Date</t>
  </si>
  <si>
    <t>LengthOfSoilMaterial [m]</t>
  </si>
  <si>
    <t>Dia [m]</t>
  </si>
  <si>
    <t>MassOfSoil (dry) [kg]:</t>
  </si>
  <si>
    <t>Porosity</t>
  </si>
  <si>
    <t>Recharge [mm/yr]</t>
  </si>
  <si>
    <t>Applied q [L/day]</t>
  </si>
  <si>
    <t>Sorbent</t>
  </si>
  <si>
    <t>MassSorbent</t>
  </si>
  <si>
    <t>Area [sq cm]</t>
  </si>
  <si>
    <t>q [cm/ day]</t>
  </si>
  <si>
    <t>L [cm]</t>
  </si>
  <si>
    <t>dp [cm]</t>
  </si>
  <si>
    <t>dh [cm]</t>
  </si>
  <si>
    <t>ke [cm / day]</t>
  </si>
  <si>
    <t>q_hydrus [cm / day]</t>
  </si>
  <si>
    <t>N1</t>
  </si>
  <si>
    <t>Saturated_Column</t>
  </si>
  <si>
    <t>SC</t>
  </si>
  <si>
    <t>N1_1</t>
  </si>
  <si>
    <t>N1_2</t>
  </si>
  <si>
    <t>N1_3</t>
  </si>
  <si>
    <t>N1_4</t>
  </si>
  <si>
    <t>variable head calculation (column_N1_1 )</t>
  </si>
  <si>
    <t>variable head calculation (column_N1_2 )</t>
  </si>
  <si>
    <t>sampling_ time [days]</t>
  </si>
  <si>
    <t>sample_duration [days[</t>
  </si>
  <si>
    <t xml:space="preserve">sample_vol [L] </t>
  </si>
  <si>
    <t>Q [L/day]</t>
  </si>
  <si>
    <t>cm/d</t>
  </si>
  <si>
    <t>dp_hydrus [cm]</t>
  </si>
  <si>
    <t>h_bottom [cm]</t>
  </si>
  <si>
    <t>h_top [cm]</t>
  </si>
  <si>
    <t>Column dimensions</t>
  </si>
  <si>
    <t>Ks [cm/d]</t>
  </si>
  <si>
    <t>length in column [cm]</t>
  </si>
  <si>
    <t>A [cm²]</t>
  </si>
  <si>
    <t>l [cm]</t>
  </si>
  <si>
    <t>Sand</t>
  </si>
  <si>
    <t>Soil</t>
  </si>
  <si>
    <t>Mean Ks</t>
  </si>
  <si>
    <t>variable head calculation (column_N1_3 )</t>
  </si>
  <si>
    <t>cu cm / day</t>
  </si>
  <si>
    <t>cm / day</t>
  </si>
  <si>
    <t xml:space="preserve"> cm </t>
  </si>
  <si>
    <t>dh / dl</t>
  </si>
  <si>
    <t>sq cm</t>
  </si>
  <si>
    <t>l/ day</t>
  </si>
  <si>
    <t>variable head calculation (column_N1_4 )</t>
  </si>
  <si>
    <t>bulk density [L/kg]</t>
  </si>
  <si>
    <t>pore volume [L]</t>
  </si>
  <si>
    <t>total mass PFBA [µg/kg]</t>
  </si>
  <si>
    <t>total mass PFOA [µg/kg]</t>
  </si>
  <si>
    <t>total mass PFOS [µg/kg]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</si>
</sst>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FF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4" fontId="1" fillId="0" borderId="0" xfId="0" applyNumberFormat="1" applyFont="1"/>
    <xf numFmtId="2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0" fillId="2" borderId="0" xfId="0" applyFill="1"/>
    <xf numFmtId="2" fontId="4" fillId="2" borderId="0" xfId="0" applyNumberFormat="1" applyFont="1" applyFill="1"/>
    <xf numFmtId="0" fontId="5" fillId="2" borderId="0" xfId="0" applyFont="1" applyFill="1" applyAlignment="1">
      <alignment horizontal="right" vertical="center"/>
    </xf>
    <xf numFmtId="0" fontId="6" fillId="0" borderId="0" xfId="0" applyFont="1" applyAlignment="1">
      <alignment horizontal="left" vertical="center"/>
    </xf>
    <xf numFmtId="2" fontId="7" fillId="3" borderId="0" xfId="0" applyNumberFormat="1" applyFont="1" applyFill="1"/>
    <xf numFmtId="2" fontId="8" fillId="3" borderId="0" xfId="0" applyNumberFormat="1" applyFont="1" applyFill="1"/>
    <xf numFmtId="0" fontId="0" fillId="3" borderId="0" xfId="0" applyFill="1"/>
    <xf numFmtId="2" fontId="0" fillId="2" borderId="0" xfId="0" applyNumberFormat="1" applyFill="1"/>
    <xf numFmtId="0" fontId="7" fillId="3" borderId="0" xfId="0" applyFont="1" applyFill="1"/>
    <xf numFmtId="0" fontId="8" fillId="3" borderId="0" xfId="0" applyFont="1" applyFill="1"/>
    <xf numFmtId="0" fontId="1" fillId="3" borderId="0" xfId="0" applyFont="1" applyFill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2" fontId="8" fillId="0" borderId="0" xfId="0" applyNumberFormat="1" applyFont="1"/>
    <xf numFmtId="2" fontId="7" fillId="0" borderId="0" xfId="0" applyNumberFormat="1" applyFont="1"/>
    <xf numFmtId="2" fontId="7" fillId="4" borderId="0" xfId="0" applyNumberFormat="1" applyFont="1" applyFill="1"/>
    <xf numFmtId="3" fontId="0" fillId="0" borderId="0" xfId="0" applyNumberFormat="1"/>
    <xf numFmtId="0" fontId="9" fillId="0" borderId="0" xfId="0" applyFont="1"/>
    <xf numFmtId="0" fontId="10" fillId="5" borderId="0" xfId="0" applyFont="1" applyFill="1" applyAlignment="1">
      <alignment horizontal="center"/>
    </xf>
    <xf numFmtId="0" fontId="9" fillId="6" borderId="0" xfId="0" applyFont="1" applyFill="1"/>
    <xf numFmtId="2" fontId="4" fillId="3" borderId="0" xfId="0" applyNumberFormat="1" applyFont="1" applyFill="1"/>
    <xf numFmtId="2" fontId="0" fillId="3" borderId="0" xfId="0" applyNumberFormat="1" applyFill="1"/>
    <xf numFmtId="164" fontId="0" fillId="3" borderId="0" xfId="0" applyNumberFormat="1" applyFill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164" fontId="0" fillId="0" borderId="0" xfId="0" applyNumberFormat="1" applyFill="1" applyBorder="1"/>
    <xf numFmtId="166" fontId="4" fillId="0" borderId="0" xfId="0" applyNumberFormat="1" applyFont="1" applyFill="1" applyBorder="1"/>
    <xf numFmtId="165" fontId="4" fillId="0" borderId="0" xfId="0" applyNumberFormat="1" applyFont="1" applyFill="1" applyBorder="1"/>
    <xf numFmtId="0" fontId="4" fillId="0" borderId="0" xfId="0" applyFont="1" applyFill="1" applyBorder="1"/>
    <xf numFmtId="2" fontId="4" fillId="0" borderId="0" xfId="0" applyNumberFormat="1" applyFont="1" applyFill="1" applyBorder="1"/>
    <xf numFmtId="165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9</xdr:row>
      <xdr:rowOff>0</xdr:rowOff>
    </xdr:from>
    <xdr:to>
      <xdr:col>31</xdr:col>
      <xdr:colOff>838530</xdr:colOff>
      <xdr:row>24</xdr:row>
      <xdr:rowOff>141992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83450" y="1762125"/>
          <a:ext cx="3810330" cy="2999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"/>
  <sheetViews>
    <sheetView tabSelected="1" workbookViewId="0">
      <selection activeCell="Q10" sqref="Q10"/>
    </sheetView>
  </sheetViews>
  <sheetFormatPr baseColWidth="10" defaultColWidth="8.85546875" defaultRowHeight="15" x14ac:dyDescent="0.25"/>
  <cols>
    <col min="1" max="1" width="15.28515625" bestFit="1" customWidth="1"/>
    <col min="3" max="5" width="14.42578125" customWidth="1"/>
    <col min="6" max="6" width="14.140625" customWidth="1"/>
    <col min="7" max="7" width="20.140625" bestFit="1" customWidth="1"/>
    <col min="8" max="9" width="9.85546875" customWidth="1"/>
    <col min="10" max="10" width="7.85546875" customWidth="1"/>
    <col min="11" max="11" width="14.7109375" customWidth="1"/>
    <col min="12" max="12" width="13.85546875" bestFit="1" customWidth="1"/>
    <col min="13" max="13" width="7.140625" bestFit="1" customWidth="1"/>
    <col min="14" max="14" width="10.85546875" bestFit="1" customWidth="1"/>
    <col min="37" max="37" width="12.28515625" customWidth="1"/>
  </cols>
  <sheetData>
    <row r="1" spans="1:4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s="21" t="s">
        <v>14</v>
      </c>
      <c r="Q1" s="22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2" t="s">
        <v>20</v>
      </c>
    </row>
    <row r="2" spans="1:48" x14ac:dyDescent="0.25">
      <c r="A2" t="s">
        <v>22</v>
      </c>
      <c r="B2" t="s">
        <v>23</v>
      </c>
      <c r="C2" t="s">
        <v>24</v>
      </c>
      <c r="D2" t="s">
        <v>21</v>
      </c>
      <c r="E2">
        <v>1</v>
      </c>
      <c r="F2" s="1">
        <v>43746.716666666667</v>
      </c>
      <c r="G2">
        <v>0.4</v>
      </c>
      <c r="H2">
        <v>0.09</v>
      </c>
      <c r="I2" s="2">
        <v>4.02185043413313</v>
      </c>
      <c r="J2">
        <v>0.4</v>
      </c>
      <c r="K2">
        <v>300</v>
      </c>
      <c r="L2" s="5">
        <v>2</v>
      </c>
      <c r="P2" s="23">
        <f>PI()*H2*H2/4 * 10000</f>
        <v>63.617251235193315</v>
      </c>
      <c r="Q2" s="24">
        <f>L2*1000/P2</f>
        <v>31.438013450250928</v>
      </c>
      <c r="R2" s="25">
        <v>55</v>
      </c>
      <c r="S2" s="26">
        <v>6</v>
      </c>
      <c r="T2" s="25">
        <f>R2+S2</f>
        <v>61</v>
      </c>
      <c r="U2" s="25">
        <f>hydraulics!$Y$9</f>
        <v>31.409453506369807</v>
      </c>
      <c r="V2" s="24">
        <f>U2*T2/R2</f>
        <v>34.835939343428329</v>
      </c>
    </row>
    <row r="3" spans="1:48" x14ac:dyDescent="0.25">
      <c r="A3" t="s">
        <v>22</v>
      </c>
      <c r="B3" t="s">
        <v>23</v>
      </c>
      <c r="C3" t="s">
        <v>25</v>
      </c>
      <c r="D3" t="s">
        <v>21</v>
      </c>
      <c r="E3">
        <v>2</v>
      </c>
      <c r="F3" s="1">
        <v>43747.647916666669</v>
      </c>
      <c r="G3">
        <v>0.4</v>
      </c>
      <c r="H3">
        <v>0.09</v>
      </c>
      <c r="I3" s="2">
        <v>3.9531008482563599</v>
      </c>
      <c r="J3">
        <v>0.41</v>
      </c>
      <c r="K3">
        <v>300</v>
      </c>
      <c r="L3">
        <v>1.1499999999999999</v>
      </c>
      <c r="P3" s="23">
        <f t="shared" ref="P3:P5" si="0">PI()*H3*H3/4 * 10000</f>
        <v>63.617251235193315</v>
      </c>
      <c r="Q3" s="24">
        <f t="shared" ref="Q3:Q5" si="1">L3*1000/P3</f>
        <v>18.076857733894286</v>
      </c>
      <c r="R3" s="25">
        <v>55</v>
      </c>
      <c r="S3" s="26">
        <v>-18</v>
      </c>
      <c r="T3" s="25">
        <f t="shared" ref="T3:T5" si="2">R3+S3</f>
        <v>37</v>
      </c>
      <c r="U3" s="25">
        <f>hydraulics!$Y$9</f>
        <v>31.409453506369807</v>
      </c>
      <c r="V3" s="24">
        <f t="shared" ref="V3:V5" si="3">U3*T3/R3</f>
        <v>21.129995995194232</v>
      </c>
    </row>
    <row r="4" spans="1:48" x14ac:dyDescent="0.25">
      <c r="A4" t="s">
        <v>22</v>
      </c>
      <c r="B4" t="s">
        <v>23</v>
      </c>
      <c r="C4" t="s">
        <v>26</v>
      </c>
      <c r="D4" t="s">
        <v>21</v>
      </c>
      <c r="E4">
        <v>3</v>
      </c>
      <c r="F4" s="1">
        <v>43749.493750000001</v>
      </c>
      <c r="G4">
        <v>0.4</v>
      </c>
      <c r="H4">
        <v>0.09</v>
      </c>
      <c r="I4" s="2">
        <v>3.6753006067291798</v>
      </c>
      <c r="J4">
        <v>0.45</v>
      </c>
      <c r="K4">
        <v>300</v>
      </c>
      <c r="L4">
        <v>0.69</v>
      </c>
      <c r="P4" s="23">
        <f t="shared" si="0"/>
        <v>63.617251235193315</v>
      </c>
      <c r="Q4" s="24">
        <f t="shared" si="1"/>
        <v>10.846114640336571</v>
      </c>
      <c r="R4" s="25">
        <v>55</v>
      </c>
      <c r="S4" s="26">
        <v>-37</v>
      </c>
      <c r="T4" s="25">
        <f t="shared" si="2"/>
        <v>18</v>
      </c>
      <c r="U4" s="25">
        <f>hydraulics!$Y$9</f>
        <v>31.409453506369807</v>
      </c>
      <c r="V4" s="24">
        <f t="shared" si="3"/>
        <v>10.279457511175574</v>
      </c>
    </row>
    <row r="5" spans="1:48" x14ac:dyDescent="0.25">
      <c r="A5" t="s">
        <v>22</v>
      </c>
      <c r="B5" t="s">
        <v>23</v>
      </c>
      <c r="C5" t="s">
        <v>27</v>
      </c>
      <c r="D5" t="s">
        <v>21</v>
      </c>
      <c r="E5">
        <v>4</v>
      </c>
      <c r="F5" s="1">
        <v>43893.486111111109</v>
      </c>
      <c r="G5">
        <v>0.4</v>
      </c>
      <c r="H5">
        <v>0.09</v>
      </c>
      <c r="I5" s="2">
        <v>3.9370000000000003</v>
      </c>
      <c r="J5">
        <v>0.42</v>
      </c>
      <c r="K5">
        <v>300</v>
      </c>
      <c r="L5">
        <v>3.84</v>
      </c>
      <c r="P5" s="23">
        <f t="shared" si="0"/>
        <v>63.617251235193315</v>
      </c>
      <c r="Q5" s="24">
        <f t="shared" si="1"/>
        <v>60.360985824481787</v>
      </c>
      <c r="R5" s="25">
        <v>55</v>
      </c>
      <c r="S5" s="26">
        <v>6</v>
      </c>
      <c r="T5" s="25">
        <f t="shared" si="2"/>
        <v>61</v>
      </c>
      <c r="U5" s="25">
        <f>hydraulics!$Y$9</f>
        <v>31.409453506369807</v>
      </c>
      <c r="V5" s="24">
        <f t="shared" si="3"/>
        <v>34.835939343428329</v>
      </c>
    </row>
    <row r="6" spans="1:48" x14ac:dyDescent="0.25">
      <c r="AV6" s="27"/>
    </row>
  </sheetData>
  <phoneticPr fontId="2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42"/>
  <sheetViews>
    <sheetView workbookViewId="0">
      <selection activeCell="E36" sqref="E36"/>
    </sheetView>
  </sheetViews>
  <sheetFormatPr baseColWidth="10" defaultColWidth="11.42578125" defaultRowHeight="15" x14ac:dyDescent="0.25"/>
  <cols>
    <col min="6" max="6" width="12.7109375" customWidth="1"/>
    <col min="7" max="7" width="14.28515625" customWidth="1"/>
    <col min="8" max="9" width="16.42578125" customWidth="1"/>
    <col min="10" max="10" width="11.28515625" customWidth="1"/>
    <col min="11" max="12" width="10.140625" customWidth="1"/>
    <col min="13" max="13" width="17.42578125" customWidth="1"/>
    <col min="14" max="14" width="14.5703125" customWidth="1"/>
    <col min="15" max="27" width="13.7109375" bestFit="1" customWidth="1"/>
    <col min="28" max="32" width="14.85546875" bestFit="1" customWidth="1"/>
  </cols>
  <sheetData>
    <row r="2" spans="1:3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4" spans="1:35" ht="18.75" x14ac:dyDescent="0.3">
      <c r="B4" s="34" t="s">
        <v>28</v>
      </c>
      <c r="C4" s="35"/>
      <c r="D4" s="35"/>
      <c r="E4" s="35"/>
      <c r="F4" s="35"/>
      <c r="G4" s="35"/>
      <c r="H4" s="35"/>
      <c r="I4" s="35"/>
      <c r="J4" s="35"/>
      <c r="M4" s="34" t="s">
        <v>29</v>
      </c>
      <c r="N4" s="35"/>
      <c r="O4" s="35"/>
      <c r="P4" s="35"/>
      <c r="Q4" s="35"/>
      <c r="R4" s="35"/>
      <c r="S4" s="35"/>
      <c r="T4" s="35"/>
      <c r="U4" s="35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</row>
    <row r="5" spans="1:35" x14ac:dyDescent="0.25">
      <c r="B5" s="6" t="s">
        <v>30</v>
      </c>
      <c r="C5" s="6" t="s">
        <v>31</v>
      </c>
      <c r="D5" s="6" t="s">
        <v>32</v>
      </c>
      <c r="E5" s="6" t="s">
        <v>33</v>
      </c>
      <c r="F5" s="6" t="s">
        <v>34</v>
      </c>
      <c r="G5" s="6" t="s">
        <v>18</v>
      </c>
      <c r="H5" s="6" t="s">
        <v>35</v>
      </c>
      <c r="I5" s="6" t="s">
        <v>36</v>
      </c>
      <c r="J5" s="6" t="s">
        <v>37</v>
      </c>
      <c r="M5" s="6" t="str">
        <f t="shared" ref="M5:U5" si="0">B5</f>
        <v>sampling_ time [days]</v>
      </c>
      <c r="N5" s="6" t="str">
        <f t="shared" si="0"/>
        <v>sample_duration [days[</v>
      </c>
      <c r="O5" s="6" t="str">
        <f t="shared" si="0"/>
        <v xml:space="preserve">sample_vol [L] </v>
      </c>
      <c r="P5" s="6" t="str">
        <f t="shared" si="0"/>
        <v>Q [L/day]</v>
      </c>
      <c r="Q5" s="6" t="str">
        <f t="shared" si="0"/>
        <v>cm/d</v>
      </c>
      <c r="R5" s="6" t="str">
        <f t="shared" si="0"/>
        <v>dh [cm]</v>
      </c>
      <c r="S5" s="6" t="str">
        <f t="shared" si="0"/>
        <v>dp_hydrus [cm]</v>
      </c>
      <c r="T5" s="6" t="str">
        <f t="shared" si="0"/>
        <v>h_bottom [cm]</v>
      </c>
      <c r="U5" s="6" t="str">
        <f t="shared" si="0"/>
        <v>h_top [cm]</v>
      </c>
      <c r="X5" s="28"/>
      <c r="Y5" s="28"/>
      <c r="Z5" s="28"/>
      <c r="AA5" s="28"/>
      <c r="AB5" s="28"/>
      <c r="AC5" s="28" t="s">
        <v>38</v>
      </c>
      <c r="AD5" s="28"/>
      <c r="AE5" s="28"/>
      <c r="AF5" s="28"/>
      <c r="AG5" s="28"/>
      <c r="AH5" s="28"/>
      <c r="AI5" s="28"/>
    </row>
    <row r="6" spans="1:35" x14ac:dyDescent="0.25">
      <c r="B6" s="7"/>
      <c r="C6" s="7"/>
      <c r="D6" s="7"/>
      <c r="E6" s="7"/>
      <c r="F6" s="7"/>
      <c r="G6" s="7"/>
      <c r="H6" s="7"/>
      <c r="I6" s="7"/>
      <c r="J6" s="7"/>
      <c r="M6" s="7"/>
      <c r="N6" s="7"/>
      <c r="O6" s="7"/>
      <c r="P6" s="7"/>
      <c r="Q6" s="7"/>
      <c r="R6" s="7"/>
      <c r="S6" s="7"/>
      <c r="T6" s="7"/>
      <c r="U6" s="7"/>
      <c r="X6" s="28"/>
      <c r="Y6" s="29" t="s">
        <v>39</v>
      </c>
      <c r="Z6" s="29" t="s">
        <v>40</v>
      </c>
      <c r="AA6" s="28"/>
      <c r="AB6" s="28"/>
      <c r="AC6" s="29" t="s">
        <v>41</v>
      </c>
      <c r="AD6" s="29" t="s">
        <v>42</v>
      </c>
      <c r="AE6" s="28"/>
      <c r="AF6" s="28"/>
      <c r="AG6" s="28"/>
      <c r="AH6" s="28"/>
      <c r="AI6" s="28"/>
    </row>
    <row r="7" spans="1:35" x14ac:dyDescent="0.25">
      <c r="B7" s="8">
        <v>2.8993000000000002</v>
      </c>
      <c r="C7" s="8">
        <f>B7</f>
        <v>2.8993000000000002</v>
      </c>
      <c r="D7" s="8">
        <v>9.1289999999999996</v>
      </c>
      <c r="E7" s="9">
        <f t="shared" ref="E7:E26" si="1">D7/C7</f>
        <v>3.1486910633601211</v>
      </c>
      <c r="F7" s="10">
        <f>E7/$AC$7*1000</f>
        <v>49.494296000300189</v>
      </c>
      <c r="G7" s="8">
        <f>F7/$Y$9*$AD$7</f>
        <v>86.667737770873771</v>
      </c>
      <c r="H7" s="31">
        <f>G7-$AD$7</f>
        <v>31.667737770873771</v>
      </c>
      <c r="I7" s="11">
        <v>100</v>
      </c>
      <c r="J7" s="31">
        <f>I7+H7</f>
        <v>131.66773777087377</v>
      </c>
      <c r="K7" s="5"/>
      <c r="L7" s="5"/>
      <c r="M7" s="12">
        <v>1.9666999999999999</v>
      </c>
      <c r="N7" s="8">
        <f>M7</f>
        <v>1.9666999999999999</v>
      </c>
      <c r="O7" s="8">
        <v>3.415</v>
      </c>
      <c r="P7" s="9">
        <f t="shared" ref="P7:P16" si="2">O7/N7</f>
        <v>1.7364112472669957</v>
      </c>
      <c r="Q7" s="10">
        <f>P7/$AC$7*1000</f>
        <v>27.294660073373404</v>
      </c>
      <c r="R7" s="8">
        <f>Q7/$Y$9*$AD$7</f>
        <v>47.794728543465233</v>
      </c>
      <c r="S7" s="31">
        <f>R7-$AD$7</f>
        <v>-7.2052714565347671</v>
      </c>
      <c r="T7" s="11">
        <v>148</v>
      </c>
      <c r="U7" s="31">
        <f>T7+S7</f>
        <v>140.79472854346523</v>
      </c>
      <c r="X7" s="28" t="s">
        <v>43</v>
      </c>
      <c r="Y7" s="28">
        <v>3456</v>
      </c>
      <c r="Z7" s="28">
        <v>15</v>
      </c>
      <c r="AA7" s="28"/>
      <c r="AB7" s="28"/>
      <c r="AC7" s="28">
        <f>Sheet1!P2</f>
        <v>63.617251235193315</v>
      </c>
      <c r="AD7" s="28">
        <v>55</v>
      </c>
      <c r="AE7" s="28"/>
      <c r="AF7" s="28"/>
      <c r="AG7" s="28"/>
      <c r="AH7" s="28"/>
      <c r="AI7" s="28"/>
    </row>
    <row r="8" spans="1:35" x14ac:dyDescent="0.25">
      <c r="B8" s="8">
        <v>5.7069000000000001</v>
      </c>
      <c r="C8" s="8">
        <f t="shared" ref="C8:C26" si="3">B8-B7</f>
        <v>2.8075999999999999</v>
      </c>
      <c r="D8" s="8">
        <v>8.4749999999999996</v>
      </c>
      <c r="E8" s="9">
        <f t="shared" si="1"/>
        <v>3.0185923920786437</v>
      </c>
      <c r="F8" s="10">
        <f t="shared" ref="F8:F26" si="4">E8/$AC$7*1000</f>
        <v>47.449274111496763</v>
      </c>
      <c r="G8" s="8">
        <f t="shared" ref="G8:G26" si="5">F8/$Y$9*$AD$7</f>
        <v>83.08677117235024</v>
      </c>
      <c r="H8" s="31">
        <f t="shared" ref="H8:H26" si="6">G8-$AD$7</f>
        <v>28.08677117235024</v>
      </c>
      <c r="I8" s="11">
        <v>100</v>
      </c>
      <c r="J8" s="31">
        <f t="shared" ref="J8:J26" si="7">I8+H8</f>
        <v>128.08677117235024</v>
      </c>
      <c r="K8" s="5"/>
      <c r="L8" s="5"/>
      <c r="M8" s="10">
        <v>8.7132000000000005</v>
      </c>
      <c r="N8" s="8">
        <f t="shared" ref="N8:N16" si="8">M8-M7</f>
        <v>6.7465000000000011</v>
      </c>
      <c r="O8" s="8">
        <v>3.552</v>
      </c>
      <c r="P8" s="9">
        <f t="shared" si="2"/>
        <v>0.52649521974357072</v>
      </c>
      <c r="Q8" s="10">
        <f t="shared" ref="Q8:Q16" si="9">P8/$AC$7*1000</f>
        <v>8.2759818998955978</v>
      </c>
      <c r="R8" s="8">
        <f t="shared" ref="R8:R16" si="10">Q8/$Y$9*$AD$7</f>
        <v>14.491783640933072</v>
      </c>
      <c r="S8" s="31">
        <f t="shared" ref="S8:S16" si="11">R8-$AD$7</f>
        <v>-40.508216359066928</v>
      </c>
      <c r="T8" s="11">
        <v>148</v>
      </c>
      <c r="U8" s="31">
        <f t="shared" ref="U8:U16" si="12">T8+S8</f>
        <v>107.49178364093308</v>
      </c>
      <c r="X8" s="28" t="s">
        <v>44</v>
      </c>
      <c r="Y8" s="28">
        <v>22.9</v>
      </c>
      <c r="Z8" s="28">
        <v>40</v>
      </c>
      <c r="AA8" s="28"/>
      <c r="AB8" s="28"/>
      <c r="AC8" s="28"/>
      <c r="AD8" s="28"/>
      <c r="AE8" s="28"/>
      <c r="AF8" s="28"/>
      <c r="AG8" s="28"/>
      <c r="AH8" s="28"/>
      <c r="AI8" s="28"/>
    </row>
    <row r="9" spans="1:35" x14ac:dyDescent="0.25">
      <c r="B9" s="8">
        <v>8.6999999999999993</v>
      </c>
      <c r="C9" s="8">
        <f t="shared" si="3"/>
        <v>2.9930999999999992</v>
      </c>
      <c r="D9" s="8">
        <v>7.7779999999999996</v>
      </c>
      <c r="E9" s="9">
        <f t="shared" si="1"/>
        <v>2.5986435468243632</v>
      </c>
      <c r="F9" s="10">
        <f t="shared" si="4"/>
        <v>40.848095388736056</v>
      </c>
      <c r="G9" s="8">
        <f t="shared" si="5"/>
        <v>71.527677039171195</v>
      </c>
      <c r="H9" s="31">
        <f t="shared" si="6"/>
        <v>16.527677039171195</v>
      </c>
      <c r="I9" s="11">
        <v>100</v>
      </c>
      <c r="J9" s="31">
        <f t="shared" si="7"/>
        <v>116.52767703917119</v>
      </c>
      <c r="K9" s="5"/>
      <c r="L9" s="5"/>
      <c r="M9" s="10">
        <v>21.768799999999999</v>
      </c>
      <c r="N9" s="8">
        <f t="shared" si="8"/>
        <v>13.055599999999998</v>
      </c>
      <c r="O9" s="8">
        <v>3.6739999999999999</v>
      </c>
      <c r="P9" s="9">
        <f t="shared" si="2"/>
        <v>0.2814118079598027</v>
      </c>
      <c r="Q9" s="10">
        <f t="shared" si="9"/>
        <v>4.4235141018498538</v>
      </c>
      <c r="R9" s="8">
        <f t="shared" si="10"/>
        <v>7.7458614665932437</v>
      </c>
      <c r="S9" s="31">
        <f t="shared" si="11"/>
        <v>-47.25413853340676</v>
      </c>
      <c r="T9" s="11">
        <v>148</v>
      </c>
      <c r="U9" s="31">
        <f t="shared" si="12"/>
        <v>100.74586146659324</v>
      </c>
      <c r="X9" s="28" t="s">
        <v>45</v>
      </c>
      <c r="Y9" s="30">
        <f>(Z7+Z8)/ (Z7/Y7+Z8/Y8)</f>
        <v>31.409453506369807</v>
      </c>
      <c r="Z9" s="28"/>
      <c r="AA9" s="28"/>
      <c r="AB9" s="28"/>
      <c r="AC9" s="28"/>
      <c r="AD9" s="28"/>
      <c r="AE9" s="28"/>
      <c r="AF9" s="28"/>
      <c r="AG9" s="28"/>
      <c r="AH9" s="28"/>
      <c r="AI9" s="28"/>
    </row>
    <row r="10" spans="1:35" x14ac:dyDescent="0.25">
      <c r="B10" s="8">
        <v>12.729200000000001</v>
      </c>
      <c r="C10" s="8">
        <f t="shared" si="3"/>
        <v>4.0292000000000012</v>
      </c>
      <c r="D10" s="8">
        <v>8.0350000000000001</v>
      </c>
      <c r="E10" s="9">
        <f t="shared" si="1"/>
        <v>1.9941923955127563</v>
      </c>
      <c r="F10" s="10">
        <f t="shared" si="4"/>
        <v>31.346723676259078</v>
      </c>
      <c r="G10" s="8">
        <f t="shared" si="5"/>
        <v>54.890155979460438</v>
      </c>
      <c r="H10" s="31">
        <f t="shared" si="6"/>
        <v>-0.10984402053956188</v>
      </c>
      <c r="I10" s="11">
        <v>100</v>
      </c>
      <c r="J10" s="31">
        <f t="shared" si="7"/>
        <v>99.890155979460445</v>
      </c>
      <c r="K10" s="5"/>
      <c r="L10" s="5"/>
      <c r="M10" s="10">
        <v>28.786799999999999</v>
      </c>
      <c r="N10" s="8">
        <f t="shared" si="8"/>
        <v>7.0180000000000007</v>
      </c>
      <c r="O10" s="8">
        <v>9.1349999999999998</v>
      </c>
      <c r="P10" s="9">
        <f t="shared" si="2"/>
        <v>1.3016528925619832</v>
      </c>
      <c r="Q10" s="10">
        <f t="shared" si="9"/>
        <v>20.460690571960829</v>
      </c>
      <c r="R10" s="8">
        <f t="shared" si="10"/>
        <v>35.828002586215902</v>
      </c>
      <c r="S10" s="31">
        <f t="shared" si="11"/>
        <v>-19.171997413784098</v>
      </c>
      <c r="T10" s="11">
        <v>148</v>
      </c>
      <c r="U10" s="31">
        <f t="shared" si="12"/>
        <v>128.82800258621592</v>
      </c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35" x14ac:dyDescent="0.25">
      <c r="B11" s="8">
        <v>15.8979</v>
      </c>
      <c r="C11" s="8">
        <f t="shared" si="3"/>
        <v>3.1686999999999994</v>
      </c>
      <c r="D11" s="8">
        <v>5.8710000000000004</v>
      </c>
      <c r="E11" s="9">
        <f t="shared" si="1"/>
        <v>1.8528103007542531</v>
      </c>
      <c r="F11" s="10">
        <f t="shared" si="4"/>
        <v>29.12433757793784</v>
      </c>
      <c r="G11" s="8">
        <f t="shared" si="5"/>
        <v>50.998613091492658</v>
      </c>
      <c r="H11" s="31">
        <f t="shared" si="6"/>
        <v>-4.0013869085073424</v>
      </c>
      <c r="I11" s="11">
        <v>100</v>
      </c>
      <c r="J11" s="31">
        <f t="shared" si="7"/>
        <v>95.998613091492658</v>
      </c>
      <c r="K11" s="5"/>
      <c r="L11" s="5"/>
      <c r="M11" s="10">
        <v>35.797199999999997</v>
      </c>
      <c r="N11" s="8">
        <f t="shared" si="8"/>
        <v>7.0103999999999971</v>
      </c>
      <c r="O11" s="8">
        <v>9.3879999999999999</v>
      </c>
      <c r="P11" s="9">
        <f t="shared" si="2"/>
        <v>1.3391532580166614</v>
      </c>
      <c r="Q11" s="10">
        <f t="shared" si="9"/>
        <v>21.050159068737578</v>
      </c>
      <c r="R11" s="8">
        <f t="shared" si="10"/>
        <v>36.860200338913074</v>
      </c>
      <c r="S11" s="31">
        <f t="shared" si="11"/>
        <v>-18.139799661086926</v>
      </c>
      <c r="T11" s="11">
        <v>148</v>
      </c>
      <c r="U11" s="31">
        <f t="shared" si="12"/>
        <v>129.86020033891307</v>
      </c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35" x14ac:dyDescent="0.25">
      <c r="B12" s="8">
        <v>19.7118</v>
      </c>
      <c r="C12" s="8">
        <f t="shared" si="3"/>
        <v>3.8139000000000003</v>
      </c>
      <c r="D12" s="8">
        <v>7.3369999999999997</v>
      </c>
      <c r="E12" s="9">
        <f t="shared" si="1"/>
        <v>1.9237525892131413</v>
      </c>
      <c r="F12" s="10">
        <f t="shared" si="4"/>
        <v>30.239479887318897</v>
      </c>
      <c r="G12" s="8">
        <f t="shared" si="5"/>
        <v>52.95129994749032</v>
      </c>
      <c r="H12" s="31">
        <f t="shared" si="6"/>
        <v>-2.0487000525096803</v>
      </c>
      <c r="I12" s="11">
        <v>100</v>
      </c>
      <c r="J12" s="31">
        <f t="shared" si="7"/>
        <v>97.951299947490327</v>
      </c>
      <c r="K12" s="5"/>
      <c r="L12" s="5"/>
      <c r="M12" s="10">
        <v>43.794400000000003</v>
      </c>
      <c r="N12" s="8">
        <f t="shared" si="8"/>
        <v>7.9972000000000065</v>
      </c>
      <c r="O12" s="8">
        <v>10.48</v>
      </c>
      <c r="P12" s="9">
        <f t="shared" si="2"/>
        <v>1.310458660531185</v>
      </c>
      <c r="Q12" s="10">
        <f t="shared" si="9"/>
        <v>20.599108497888608</v>
      </c>
      <c r="R12" s="8">
        <f t="shared" si="10"/>
        <v>36.070381395018927</v>
      </c>
      <c r="S12" s="31">
        <f t="shared" si="11"/>
        <v>-18.929618604981073</v>
      </c>
      <c r="T12" s="11">
        <v>148</v>
      </c>
      <c r="U12" s="31">
        <f t="shared" si="12"/>
        <v>129.07038139501893</v>
      </c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35" x14ac:dyDescent="0.25">
      <c r="B13" s="8">
        <v>22.738900000000001</v>
      </c>
      <c r="C13" s="8">
        <f t="shared" si="3"/>
        <v>3.0271000000000008</v>
      </c>
      <c r="D13" s="8">
        <v>5.3609999999999998</v>
      </c>
      <c r="E13" s="9">
        <f t="shared" si="1"/>
        <v>1.7710019490601561</v>
      </c>
      <c r="F13" s="10">
        <f t="shared" si="4"/>
        <v>27.8383915474869</v>
      </c>
      <c r="G13" s="8">
        <f t="shared" si="5"/>
        <v>48.746837788860972</v>
      </c>
      <c r="H13" s="31">
        <f t="shared" si="6"/>
        <v>-6.2531622111390277</v>
      </c>
      <c r="I13" s="11">
        <v>100</v>
      </c>
      <c r="J13" s="31">
        <f t="shared" si="7"/>
        <v>93.746837788860972</v>
      </c>
      <c r="K13" s="5"/>
      <c r="L13" s="5"/>
      <c r="M13" s="10">
        <v>63.772199999999998</v>
      </c>
      <c r="N13" s="8">
        <f t="shared" si="8"/>
        <v>19.977799999999995</v>
      </c>
      <c r="O13" s="8">
        <v>27.126999999999999</v>
      </c>
      <c r="P13" s="9">
        <f t="shared" si="2"/>
        <v>1.3578572215158828</v>
      </c>
      <c r="Q13" s="10">
        <f t="shared" si="9"/>
        <v>21.344166796768341</v>
      </c>
      <c r="R13" s="8">
        <f t="shared" si="10"/>
        <v>37.375027030769161</v>
      </c>
      <c r="S13" s="31">
        <f t="shared" si="11"/>
        <v>-17.624972969230839</v>
      </c>
      <c r="T13" s="11">
        <v>148</v>
      </c>
      <c r="U13" s="31">
        <f t="shared" si="12"/>
        <v>130.37502703076916</v>
      </c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35" x14ac:dyDescent="0.25">
      <c r="B14" s="8">
        <v>26.697900000000001</v>
      </c>
      <c r="C14" s="8">
        <f t="shared" si="3"/>
        <v>3.9589999999999996</v>
      </c>
      <c r="D14" s="8">
        <v>7.867</v>
      </c>
      <c r="E14" s="9">
        <f t="shared" si="1"/>
        <v>1.9871179590805761</v>
      </c>
      <c r="F14" s="10">
        <f t="shared" si="4"/>
        <v>31.235520562405164</v>
      </c>
      <c r="G14" s="8">
        <f t="shared" si="5"/>
        <v>54.695432080150155</v>
      </c>
      <c r="H14" s="31">
        <f t="shared" si="6"/>
        <v>-0.30456791984984477</v>
      </c>
      <c r="I14" s="11">
        <v>100</v>
      </c>
      <c r="J14" s="31">
        <f t="shared" si="7"/>
        <v>99.695432080150155</v>
      </c>
      <c r="K14" s="5"/>
      <c r="L14" s="5"/>
      <c r="M14" s="10">
        <v>89.685400000000001</v>
      </c>
      <c r="N14" s="8">
        <f t="shared" si="8"/>
        <v>25.913200000000003</v>
      </c>
      <c r="O14" s="8">
        <v>34.401000000000003</v>
      </c>
      <c r="P14" s="9">
        <f t="shared" si="2"/>
        <v>1.3275473503851318</v>
      </c>
      <c r="Q14" s="10">
        <f t="shared" si="9"/>
        <v>20.867725728626379</v>
      </c>
      <c r="R14" s="8">
        <f t="shared" si="10"/>
        <v>36.540747671451633</v>
      </c>
      <c r="S14" s="31">
        <f t="shared" si="11"/>
        <v>-18.459252328548367</v>
      </c>
      <c r="T14" s="11">
        <v>148</v>
      </c>
      <c r="U14" s="31">
        <f t="shared" si="12"/>
        <v>129.54074767145164</v>
      </c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35" x14ac:dyDescent="0.25">
      <c r="B15" s="8">
        <v>29.713899999999999</v>
      </c>
      <c r="C15" s="8">
        <f t="shared" si="3"/>
        <v>3.0159999999999982</v>
      </c>
      <c r="D15" s="8">
        <v>5.5640000000000001</v>
      </c>
      <c r="E15" s="9">
        <f t="shared" si="1"/>
        <v>1.8448275862068977</v>
      </c>
      <c r="F15" s="10">
        <f t="shared" si="4"/>
        <v>28.998857234283204</v>
      </c>
      <c r="G15" s="8">
        <f t="shared" si="5"/>
        <v>50.778888832374129</v>
      </c>
      <c r="H15" s="31">
        <f t="shared" si="6"/>
        <v>-4.221111167625871</v>
      </c>
      <c r="I15" s="11">
        <v>100</v>
      </c>
      <c r="J15" s="31">
        <f t="shared" si="7"/>
        <v>95.778888832374122</v>
      </c>
      <c r="K15" s="5"/>
      <c r="L15" s="5"/>
      <c r="M15" s="10">
        <v>116.685</v>
      </c>
      <c r="N15" s="8">
        <f t="shared" si="8"/>
        <v>26.999600000000001</v>
      </c>
      <c r="O15" s="8">
        <v>34.6</v>
      </c>
      <c r="P15" s="9">
        <f t="shared" si="2"/>
        <v>1.2815004666735803</v>
      </c>
      <c r="Q15" s="10">
        <f t="shared" si="9"/>
        <v>20.143914453893434</v>
      </c>
      <c r="R15" s="8">
        <f t="shared" si="10"/>
        <v>35.273306959621394</v>
      </c>
      <c r="S15" s="31">
        <f t="shared" si="11"/>
        <v>-19.726693040378606</v>
      </c>
      <c r="T15" s="11">
        <v>148</v>
      </c>
      <c r="U15" s="31">
        <f t="shared" si="12"/>
        <v>128.27330695962138</v>
      </c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</row>
    <row r="16" spans="1:35" x14ac:dyDescent="0.25">
      <c r="B16" s="8">
        <v>33.698599999999999</v>
      </c>
      <c r="C16" s="8">
        <f t="shared" si="3"/>
        <v>3.9847000000000001</v>
      </c>
      <c r="D16" s="8">
        <v>7.7510000000000003</v>
      </c>
      <c r="E16" s="9">
        <f t="shared" si="1"/>
        <v>1.9451903531006098</v>
      </c>
      <c r="F16" s="10">
        <f t="shared" si="4"/>
        <v>30.576460242037665</v>
      </c>
      <c r="G16" s="8">
        <f t="shared" si="5"/>
        <v>53.541374509143346</v>
      </c>
      <c r="H16" s="31">
        <f t="shared" si="6"/>
        <v>-1.4586254908566545</v>
      </c>
      <c r="I16" s="11">
        <v>100</v>
      </c>
      <c r="J16" s="31">
        <f t="shared" si="7"/>
        <v>98.541374509143338</v>
      </c>
      <c r="K16" s="5"/>
      <c r="L16" s="5"/>
      <c r="M16" s="10">
        <v>159.93899999999999</v>
      </c>
      <c r="N16" s="8">
        <f t="shared" si="8"/>
        <v>43.253999999999991</v>
      </c>
      <c r="O16" s="8">
        <v>62.268000000000001</v>
      </c>
      <c r="P16" s="9">
        <f t="shared" si="2"/>
        <v>1.439589402136219</v>
      </c>
      <c r="Q16" s="10">
        <f t="shared" si="9"/>
        <v>22.628915493598576</v>
      </c>
      <c r="R16" s="8">
        <f t="shared" si="10"/>
        <v>39.624705724202428</v>
      </c>
      <c r="S16" s="31">
        <f t="shared" si="11"/>
        <v>-15.375294275797572</v>
      </c>
      <c r="T16" s="11">
        <v>148</v>
      </c>
      <c r="U16" s="31">
        <f t="shared" si="12"/>
        <v>132.62470572420244</v>
      </c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</row>
    <row r="17" spans="2:35" x14ac:dyDescent="0.25">
      <c r="B17" s="8">
        <v>36.723599999999998</v>
      </c>
      <c r="C17" s="8">
        <f t="shared" si="3"/>
        <v>3.0249999999999986</v>
      </c>
      <c r="D17" s="8">
        <v>5.8330000000000002</v>
      </c>
      <c r="E17" s="9">
        <f t="shared" si="1"/>
        <v>1.9282644628099184</v>
      </c>
      <c r="F17" s="10">
        <f t="shared" si="4"/>
        <v>30.310402058729551</v>
      </c>
      <c r="G17" s="8">
        <f t="shared" si="5"/>
        <v>53.075489291529529</v>
      </c>
      <c r="H17" s="31">
        <f t="shared" si="6"/>
        <v>-1.9245107084704713</v>
      </c>
      <c r="I17" s="11">
        <v>100</v>
      </c>
      <c r="J17" s="31">
        <f t="shared" si="7"/>
        <v>98.075489291529522</v>
      </c>
      <c r="K17" s="5"/>
      <c r="L17" s="5"/>
      <c r="M17" s="8"/>
      <c r="N17" s="8"/>
      <c r="O17" s="8"/>
      <c r="P17" s="9"/>
      <c r="Q17" s="10"/>
      <c r="R17" s="8"/>
      <c r="S17" s="31"/>
      <c r="T17" s="11"/>
      <c r="U17" s="31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</row>
    <row r="18" spans="2:35" x14ac:dyDescent="0.25">
      <c r="B18" s="8">
        <v>40.747199999999999</v>
      </c>
      <c r="C18" s="8">
        <f t="shared" si="3"/>
        <v>4.0236000000000018</v>
      </c>
      <c r="D18" s="8">
        <v>7.8380000000000001</v>
      </c>
      <c r="E18" s="9">
        <f t="shared" si="1"/>
        <v>1.9480067601153188</v>
      </c>
      <c r="F18" s="10">
        <f t="shared" si="4"/>
        <v>30.620731362842562</v>
      </c>
      <c r="G18" s="8">
        <f t="shared" si="5"/>
        <v>53.618896126760021</v>
      </c>
      <c r="H18" s="31">
        <f t="shared" si="6"/>
        <v>-1.3811038732399794</v>
      </c>
      <c r="I18" s="11">
        <v>100</v>
      </c>
      <c r="J18" s="31">
        <f t="shared" si="7"/>
        <v>98.618896126760021</v>
      </c>
      <c r="K18" s="5"/>
      <c r="L18" s="5"/>
      <c r="M18" s="8"/>
      <c r="N18" s="8"/>
      <c r="O18" s="8"/>
      <c r="P18" s="9"/>
      <c r="Q18" s="10"/>
      <c r="R18" s="8"/>
      <c r="S18" s="31"/>
      <c r="T18" s="11"/>
      <c r="U18" s="31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</row>
    <row r="19" spans="2:35" x14ac:dyDescent="0.25">
      <c r="B19" s="8">
        <v>44.720799999999997</v>
      </c>
      <c r="C19" s="8">
        <f t="shared" si="3"/>
        <v>3.9735999999999976</v>
      </c>
      <c r="D19" s="8">
        <v>9.16</v>
      </c>
      <c r="E19" s="9">
        <f t="shared" si="1"/>
        <v>2.305214415139925</v>
      </c>
      <c r="F19" s="10">
        <f t="shared" si="4"/>
        <v>36.235680894440648</v>
      </c>
      <c r="G19" s="8">
        <f t="shared" si="5"/>
        <v>63.451038675030262</v>
      </c>
      <c r="H19" s="31">
        <f t="shared" si="6"/>
        <v>8.4510386750302615</v>
      </c>
      <c r="I19" s="11">
        <v>100</v>
      </c>
      <c r="J19" s="31">
        <f t="shared" si="7"/>
        <v>108.45103867503026</v>
      </c>
      <c r="K19" s="5"/>
      <c r="L19" s="5"/>
      <c r="M19" s="8"/>
      <c r="N19" s="8"/>
      <c r="O19" s="8"/>
      <c r="P19" s="9"/>
      <c r="Q19" s="10"/>
      <c r="R19" s="8"/>
      <c r="S19" s="11"/>
      <c r="T19" s="11"/>
      <c r="U19" s="11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</row>
    <row r="20" spans="2:35" x14ac:dyDescent="0.25">
      <c r="B20" s="8">
        <v>47.7194</v>
      </c>
      <c r="C20" s="8">
        <f t="shared" si="3"/>
        <v>2.9986000000000033</v>
      </c>
      <c r="D20" s="8">
        <v>5.8760000000000003</v>
      </c>
      <c r="E20" s="9">
        <f t="shared" si="1"/>
        <v>1.9595811378643346</v>
      </c>
      <c r="F20" s="10">
        <f t="shared" si="4"/>
        <v>30.802669084518488</v>
      </c>
      <c r="G20" s="8">
        <f t="shared" si="5"/>
        <v>53.937480934042533</v>
      </c>
      <c r="H20" s="31">
        <f t="shared" si="6"/>
        <v>-1.062519065957467</v>
      </c>
      <c r="I20" s="11">
        <v>100</v>
      </c>
      <c r="J20" s="31">
        <f t="shared" si="7"/>
        <v>98.937480934042526</v>
      </c>
      <c r="K20" s="5"/>
      <c r="L20" s="5"/>
      <c r="M20" s="8"/>
      <c r="N20" s="8"/>
      <c r="O20" s="8"/>
      <c r="P20" s="9"/>
      <c r="Q20" s="10"/>
      <c r="R20" s="8"/>
      <c r="S20" s="11"/>
      <c r="T20" s="11"/>
      <c r="U20" s="11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</row>
    <row r="21" spans="2:35" x14ac:dyDescent="0.25">
      <c r="B21" s="8">
        <v>51.640999999999998</v>
      </c>
      <c r="C21" s="8">
        <f t="shared" si="3"/>
        <v>3.921599999999998</v>
      </c>
      <c r="D21" s="8">
        <v>7.7309999999999999</v>
      </c>
      <c r="E21" s="9">
        <f t="shared" si="1"/>
        <v>1.9713892288861699</v>
      </c>
      <c r="F21" s="10">
        <f t="shared" si="4"/>
        <v>30.988280546701606</v>
      </c>
      <c r="G21" s="8">
        <f t="shared" si="5"/>
        <v>54.262498700365697</v>
      </c>
      <c r="H21" s="31">
        <f t="shared" si="6"/>
        <v>-0.73750129963430311</v>
      </c>
      <c r="I21" s="11">
        <v>100</v>
      </c>
      <c r="J21" s="31">
        <f t="shared" si="7"/>
        <v>99.262498700365697</v>
      </c>
      <c r="K21" s="5"/>
      <c r="L21" s="5"/>
      <c r="M21" s="8"/>
      <c r="N21" s="8"/>
      <c r="O21" s="8"/>
      <c r="P21" s="9"/>
      <c r="Q21" s="10"/>
      <c r="R21" s="8"/>
      <c r="S21" s="11"/>
      <c r="T21" s="11"/>
      <c r="U21" s="11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</row>
    <row r="22" spans="2:35" x14ac:dyDescent="0.25">
      <c r="B22" s="8">
        <v>54.714599999999997</v>
      </c>
      <c r="C22" s="8">
        <f t="shared" si="3"/>
        <v>3.073599999999999</v>
      </c>
      <c r="D22" s="8">
        <v>6.1369999999999996</v>
      </c>
      <c r="E22" s="9">
        <f t="shared" si="1"/>
        <v>1.9966814159292041</v>
      </c>
      <c r="F22" s="10">
        <f t="shared" si="4"/>
        <v>31.385848604924195</v>
      </c>
      <c r="G22" s="8">
        <f t="shared" si="5"/>
        <v>54.958666279270176</v>
      </c>
      <c r="H22" s="31">
        <f t="shared" si="6"/>
        <v>-4.1333720729824108E-2</v>
      </c>
      <c r="I22" s="11">
        <v>100</v>
      </c>
      <c r="J22" s="31">
        <f t="shared" si="7"/>
        <v>99.958666279270176</v>
      </c>
      <c r="K22" s="5"/>
      <c r="L22" s="5"/>
      <c r="M22" s="8"/>
      <c r="N22" s="8"/>
      <c r="O22" s="8"/>
      <c r="P22" s="9"/>
      <c r="Q22" s="10"/>
      <c r="R22" s="8"/>
      <c r="S22" s="11"/>
      <c r="T22" s="11"/>
      <c r="U22" s="11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</row>
    <row r="23" spans="2:35" x14ac:dyDescent="0.25">
      <c r="B23" s="8">
        <v>68.680599999999998</v>
      </c>
      <c r="C23" s="8">
        <f t="shared" si="3"/>
        <v>13.966000000000001</v>
      </c>
      <c r="D23" s="8">
        <v>28.170999999999999</v>
      </c>
      <c r="E23" s="9">
        <f t="shared" si="1"/>
        <v>2.0171129886868107</v>
      </c>
      <c r="F23" s="10">
        <f t="shared" si="4"/>
        <v>31.707012634505897</v>
      </c>
      <c r="G23" s="8">
        <f t="shared" si="5"/>
        <v>55.52104542488032</v>
      </c>
      <c r="H23" s="31">
        <f t="shared" si="6"/>
        <v>0.52104542488032024</v>
      </c>
      <c r="I23" s="11">
        <v>100</v>
      </c>
      <c r="J23" s="31">
        <f t="shared" si="7"/>
        <v>100.52104542488033</v>
      </c>
      <c r="K23" s="5"/>
      <c r="L23" s="5"/>
      <c r="M23" s="8"/>
      <c r="N23" s="8"/>
      <c r="O23" s="8"/>
      <c r="P23" s="9"/>
      <c r="Q23" s="10"/>
      <c r="R23" s="8"/>
      <c r="S23" s="11"/>
      <c r="T23" s="11"/>
      <c r="U23" s="11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</row>
    <row r="24" spans="2:35" x14ac:dyDescent="0.25">
      <c r="B24" s="8">
        <v>82.711799999999997</v>
      </c>
      <c r="C24" s="8">
        <f t="shared" si="3"/>
        <v>14.031199999999998</v>
      </c>
      <c r="D24" s="8">
        <v>27.908999999999999</v>
      </c>
      <c r="E24" s="9">
        <f t="shared" si="1"/>
        <v>1.9890672216203891</v>
      </c>
      <c r="F24" s="10">
        <f t="shared" si="4"/>
        <v>31.266161033377518</v>
      </c>
      <c r="G24" s="8">
        <f t="shared" si="5"/>
        <v>54.749085541619571</v>
      </c>
      <c r="H24" s="31">
        <f t="shared" si="6"/>
        <v>-0.25091445838042858</v>
      </c>
      <c r="I24" s="11">
        <v>100</v>
      </c>
      <c r="J24" s="31">
        <f t="shared" si="7"/>
        <v>99.749085541619564</v>
      </c>
      <c r="K24" s="5"/>
      <c r="L24" s="5"/>
      <c r="M24" s="8"/>
      <c r="N24" s="8"/>
      <c r="O24" s="8"/>
      <c r="P24" s="9"/>
      <c r="Q24" s="10"/>
      <c r="R24" s="8"/>
      <c r="S24" s="11"/>
      <c r="T24" s="11"/>
      <c r="U24" s="11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</row>
    <row r="25" spans="2:35" x14ac:dyDescent="0.25">
      <c r="B25" s="8">
        <v>96.970799999999997</v>
      </c>
      <c r="C25" s="8">
        <f t="shared" si="3"/>
        <v>14.259</v>
      </c>
      <c r="D25" s="8">
        <v>27.896999999999998</v>
      </c>
      <c r="E25" s="9">
        <f t="shared" si="1"/>
        <v>1.9564485588049652</v>
      </c>
      <c r="F25" s="10">
        <f t="shared" si="4"/>
        <v>30.75342805321727</v>
      </c>
      <c r="G25" s="8">
        <f t="shared" si="5"/>
        <v>53.851256679264658</v>
      </c>
      <c r="H25" s="31">
        <f t="shared" si="6"/>
        <v>-1.1487433207353419</v>
      </c>
      <c r="I25" s="11">
        <v>100</v>
      </c>
      <c r="J25" s="31">
        <f t="shared" si="7"/>
        <v>98.851256679264651</v>
      </c>
      <c r="K25" s="5"/>
      <c r="L25" s="5"/>
      <c r="M25" s="8"/>
      <c r="N25" s="8"/>
      <c r="O25" s="8"/>
      <c r="P25" s="9"/>
      <c r="Q25" s="10"/>
      <c r="R25" s="8"/>
      <c r="S25" s="11"/>
      <c r="T25" s="11"/>
      <c r="U25" s="11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</row>
    <row r="26" spans="2:35" x14ac:dyDescent="0.25">
      <c r="B26" s="8">
        <v>141.762</v>
      </c>
      <c r="C26" s="8">
        <f t="shared" si="3"/>
        <v>44.791200000000003</v>
      </c>
      <c r="D26" s="8">
        <v>85.941999999999993</v>
      </c>
      <c r="E26" s="9">
        <f t="shared" si="1"/>
        <v>1.9187251067173907</v>
      </c>
      <c r="F26" s="10">
        <f t="shared" si="4"/>
        <v>30.16045285615774</v>
      </c>
      <c r="G26" s="8">
        <f t="shared" si="5"/>
        <v>52.812918465845563</v>
      </c>
      <c r="H26" s="31">
        <f t="shared" si="6"/>
        <v>-2.1870815341544372</v>
      </c>
      <c r="I26" s="11">
        <v>100</v>
      </c>
      <c r="J26" s="31">
        <f t="shared" si="7"/>
        <v>97.81291846584557</v>
      </c>
      <c r="K26" s="5"/>
      <c r="L26" s="5"/>
      <c r="M26" s="8"/>
      <c r="N26" s="8"/>
      <c r="O26" s="8"/>
      <c r="P26" s="9"/>
      <c r="Q26" s="10"/>
      <c r="R26" s="8"/>
      <c r="S26" s="11"/>
      <c r="T26" s="11"/>
      <c r="U26" s="11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</row>
    <row r="27" spans="2:35" x14ac:dyDescent="0.25">
      <c r="F27" s="13"/>
    </row>
    <row r="28" spans="2:35" ht="18.75" x14ac:dyDescent="0.3">
      <c r="F28" s="13"/>
      <c r="M28" s="36" t="s">
        <v>46</v>
      </c>
      <c r="N28" s="37"/>
      <c r="O28" s="37"/>
      <c r="P28" s="37"/>
      <c r="Q28" s="37"/>
      <c r="R28" s="37"/>
      <c r="S28" s="37"/>
      <c r="T28" s="37"/>
      <c r="U28" s="37"/>
    </row>
    <row r="29" spans="2:35" x14ac:dyDescent="0.25">
      <c r="B29" s="14"/>
      <c r="C29" s="14">
        <f>Sheet1!L2*1000</f>
        <v>2000</v>
      </c>
      <c r="D29" s="14" t="s">
        <v>47</v>
      </c>
      <c r="E29" s="14">
        <v>35.384999999999998</v>
      </c>
      <c r="F29" s="15" t="s">
        <v>48</v>
      </c>
      <c r="G29" s="16">
        <f>Sheet1!H2*100</f>
        <v>9</v>
      </c>
      <c r="H29" s="16" t="s">
        <v>49</v>
      </c>
      <c r="I29" s="16"/>
      <c r="M29" s="10"/>
      <c r="N29" s="10"/>
      <c r="O29" s="10"/>
      <c r="P29" s="10"/>
      <c r="Q29" s="10"/>
      <c r="R29" s="10"/>
      <c r="S29" s="10"/>
      <c r="T29" s="10"/>
      <c r="U29" s="10"/>
    </row>
    <row r="30" spans="2:35" x14ac:dyDescent="0.25">
      <c r="B30" s="14"/>
      <c r="C30" s="14">
        <f>C29/Sheet1!P2</f>
        <v>31.438013450250928</v>
      </c>
      <c r="D30" s="14" t="s">
        <v>48</v>
      </c>
      <c r="E30" s="14"/>
      <c r="F30" s="15"/>
      <c r="G30" s="16"/>
      <c r="H30" s="16"/>
      <c r="I30" s="16"/>
      <c r="M30" s="10">
        <v>4.9333</v>
      </c>
      <c r="N30" s="10">
        <f>M30</f>
        <v>4.9333</v>
      </c>
      <c r="O30" s="10">
        <v>7.51</v>
      </c>
      <c r="P30" s="10">
        <f t="shared" ref="P30:P38" si="13">O30/N30</f>
        <v>1.5223075831593456</v>
      </c>
      <c r="Q30" s="10">
        <f>P30/$AC$7*1000</f>
        <v>23.929163137391242</v>
      </c>
      <c r="R30" s="10">
        <f>Q30/$Y$9*$AD$7</f>
        <v>41.901524083811701</v>
      </c>
      <c r="S30" s="32">
        <f>R30-$AD$7</f>
        <v>-13.098475916188299</v>
      </c>
      <c r="T30" s="17">
        <v>143</v>
      </c>
      <c r="U30" s="32">
        <f>T30+S30</f>
        <v>129.90152408381169</v>
      </c>
    </row>
    <row r="31" spans="2:35" x14ac:dyDescent="0.25">
      <c r="B31" s="14"/>
      <c r="C31" s="14">
        <f>C30/Sheet1!U2</f>
        <v>1.0009092785990474</v>
      </c>
      <c r="D31" s="14" t="s">
        <v>50</v>
      </c>
      <c r="E31" s="14"/>
      <c r="F31" s="15"/>
      <c r="G31" s="16">
        <f>PI()*G29*G29/4</f>
        <v>63.617251235193308</v>
      </c>
      <c r="H31" s="16" t="s">
        <v>51</v>
      </c>
      <c r="I31" s="16"/>
      <c r="M31" s="10">
        <v>13.129899999999999</v>
      </c>
      <c r="N31" s="10">
        <f t="shared" ref="N31:N38" si="14">M31-M30</f>
        <v>8.1966000000000001</v>
      </c>
      <c r="O31" s="10">
        <v>4.0739999999999998</v>
      </c>
      <c r="P31" s="10">
        <f t="shared" si="13"/>
        <v>0.4970353561232706</v>
      </c>
      <c r="Q31" s="10">
        <f t="shared" ref="Q31:Q38" si="15">P31/$AC$7*1000</f>
        <v>7.8129021055268213</v>
      </c>
      <c r="R31" s="10">
        <f t="shared" ref="R31:R38" si="16">Q31/$Y$9*$AD$7</f>
        <v>13.680900742727996</v>
      </c>
      <c r="S31" s="32">
        <f t="shared" ref="S31:S38" si="17">R31-$AD$7</f>
        <v>-41.319099257272001</v>
      </c>
      <c r="T31" s="17">
        <v>143</v>
      </c>
      <c r="U31" s="32">
        <f t="shared" ref="U31:U38" si="18">T31+S31</f>
        <v>101.680900742728</v>
      </c>
    </row>
    <row r="32" spans="2:35" x14ac:dyDescent="0.25">
      <c r="B32" s="14"/>
      <c r="C32" s="14">
        <f>C31*52</f>
        <v>52.047282487150468</v>
      </c>
      <c r="D32" s="14"/>
      <c r="E32" s="14"/>
      <c r="F32" s="15"/>
      <c r="G32" s="16"/>
      <c r="H32" s="16"/>
      <c r="I32" s="16"/>
      <c r="M32" s="10">
        <v>19.931899999999999</v>
      </c>
      <c r="N32" s="10">
        <f t="shared" si="14"/>
        <v>6.8019999999999996</v>
      </c>
      <c r="O32" s="10">
        <v>4.6550000000000002</v>
      </c>
      <c r="P32" s="10">
        <f t="shared" si="13"/>
        <v>0.68435754189944142</v>
      </c>
      <c r="Q32" s="10">
        <f t="shared" si="15"/>
        <v>10.757420803507651</v>
      </c>
      <c r="R32" s="10">
        <f t="shared" si="16"/>
        <v>18.836944873075652</v>
      </c>
      <c r="S32" s="32">
        <f t="shared" si="17"/>
        <v>-36.163055126924348</v>
      </c>
      <c r="T32" s="17">
        <v>143</v>
      </c>
      <c r="U32" s="32">
        <f t="shared" si="18"/>
        <v>106.83694487307565</v>
      </c>
    </row>
    <row r="33" spans="2:21" x14ac:dyDescent="0.25">
      <c r="B33" s="14"/>
      <c r="C33" s="14"/>
      <c r="D33" s="14"/>
      <c r="E33" s="14"/>
      <c r="F33" s="15"/>
      <c r="G33" s="16">
        <f>E29*G31</f>
        <v>2251.0964349573151</v>
      </c>
      <c r="H33" s="16" t="s">
        <v>47</v>
      </c>
      <c r="I33" s="16"/>
      <c r="M33" s="10">
        <v>33.957599999999999</v>
      </c>
      <c r="N33" s="10">
        <f t="shared" si="14"/>
        <v>14.025700000000001</v>
      </c>
      <c r="O33" s="10">
        <v>6.4480000000000004</v>
      </c>
      <c r="P33" s="10">
        <f t="shared" si="13"/>
        <v>0.45972750023171749</v>
      </c>
      <c r="Q33" s="10">
        <f t="shared" si="15"/>
        <v>7.2264596678674851</v>
      </c>
      <c r="R33" s="10">
        <f t="shared" si="16"/>
        <v>12.654001816749474</v>
      </c>
      <c r="S33" s="32">
        <f t="shared" si="17"/>
        <v>-42.345998183250529</v>
      </c>
      <c r="T33" s="17">
        <v>143</v>
      </c>
      <c r="U33" s="32">
        <f t="shared" si="18"/>
        <v>100.65400181674947</v>
      </c>
    </row>
    <row r="34" spans="2:21" x14ac:dyDescent="0.25">
      <c r="B34" s="18"/>
      <c r="C34" s="18"/>
      <c r="D34" s="18"/>
      <c r="E34" s="18"/>
      <c r="F34" s="19"/>
      <c r="G34" s="16"/>
      <c r="H34" s="16"/>
      <c r="I34" s="16"/>
      <c r="M34" s="10">
        <v>48.5062</v>
      </c>
      <c r="N34" s="10">
        <f t="shared" si="14"/>
        <v>14.5486</v>
      </c>
      <c r="O34" s="10">
        <v>7.7519999999999998</v>
      </c>
      <c r="P34" s="10">
        <f t="shared" si="13"/>
        <v>0.5328347744800187</v>
      </c>
      <c r="Q34" s="10">
        <f t="shared" si="15"/>
        <v>8.3756334034321256</v>
      </c>
      <c r="R34" s="10">
        <f t="shared" si="16"/>
        <v>14.666279917775251</v>
      </c>
      <c r="S34" s="32">
        <f t="shared" si="17"/>
        <v>-40.333720082224751</v>
      </c>
      <c r="T34" s="17">
        <v>143</v>
      </c>
      <c r="U34" s="32">
        <f t="shared" si="18"/>
        <v>102.66627991777526</v>
      </c>
    </row>
    <row r="35" spans="2:21" x14ac:dyDescent="0.25">
      <c r="B35" s="18"/>
      <c r="C35" s="18"/>
      <c r="D35" s="18"/>
      <c r="E35" s="18"/>
      <c r="F35" s="19"/>
      <c r="G35" s="20">
        <f>G33/1000</f>
        <v>2.251096434957315</v>
      </c>
      <c r="H35" s="20" t="s">
        <v>52</v>
      </c>
      <c r="I35" s="20"/>
      <c r="M35" s="10">
        <v>61.949300000000001</v>
      </c>
      <c r="N35" s="10">
        <f t="shared" si="14"/>
        <v>13.443100000000001</v>
      </c>
      <c r="O35" s="10">
        <v>7.1159999999999997</v>
      </c>
      <c r="P35" s="10">
        <f t="shared" si="13"/>
        <v>0.52934219041738872</v>
      </c>
      <c r="Q35" s="10">
        <f t="shared" si="15"/>
        <v>8.3207334510635782</v>
      </c>
      <c r="R35" s="10">
        <f t="shared" si="16"/>
        <v>14.570146523424476</v>
      </c>
      <c r="S35" s="32">
        <f t="shared" si="17"/>
        <v>-40.429853476575524</v>
      </c>
      <c r="T35" s="17">
        <v>143</v>
      </c>
      <c r="U35" s="32">
        <f t="shared" si="18"/>
        <v>102.57014652342448</v>
      </c>
    </row>
    <row r="36" spans="2:21" x14ac:dyDescent="0.25">
      <c r="M36" s="10">
        <v>107.908</v>
      </c>
      <c r="N36" s="10">
        <f t="shared" si="14"/>
        <v>45.9587</v>
      </c>
      <c r="O36" s="10">
        <v>25.119</v>
      </c>
      <c r="P36" s="10">
        <f t="shared" si="13"/>
        <v>0.5465559295628466</v>
      </c>
      <c r="Q36" s="10">
        <f t="shared" si="15"/>
        <v>8.5913163324555857</v>
      </c>
      <c r="R36" s="10">
        <f t="shared" si="16"/>
        <v>15.04395478225147</v>
      </c>
      <c r="S36" s="32">
        <f t="shared" si="17"/>
        <v>-39.956045217748532</v>
      </c>
      <c r="T36" s="17">
        <v>143</v>
      </c>
      <c r="U36" s="32">
        <f t="shared" si="18"/>
        <v>103.04395478225146</v>
      </c>
    </row>
    <row r="37" spans="2:21" x14ac:dyDescent="0.25">
      <c r="M37" s="10">
        <v>146.91900000000001</v>
      </c>
      <c r="N37" s="10">
        <f t="shared" si="14"/>
        <v>39.01100000000001</v>
      </c>
      <c r="O37" s="10">
        <v>21.952999999999999</v>
      </c>
      <c r="P37" s="10">
        <f t="shared" si="13"/>
        <v>0.56273871472148862</v>
      </c>
      <c r="Q37" s="10">
        <f t="shared" si="15"/>
        <v>8.84569364119554</v>
      </c>
      <c r="R37" s="10">
        <f t="shared" si="16"/>
        <v>15.489386027270109</v>
      </c>
      <c r="S37" s="32">
        <f t="shared" si="17"/>
        <v>-39.510613972729892</v>
      </c>
      <c r="T37" s="17">
        <v>143</v>
      </c>
      <c r="U37" s="32">
        <f t="shared" si="18"/>
        <v>103.48938602727011</v>
      </c>
    </row>
    <row r="38" spans="2:21" x14ac:dyDescent="0.25">
      <c r="M38" s="10">
        <v>159.173</v>
      </c>
      <c r="N38" s="10">
        <f t="shared" si="14"/>
        <v>12.253999999999991</v>
      </c>
      <c r="O38" s="10">
        <v>6.9729999999999999</v>
      </c>
      <c r="P38" s="10">
        <f t="shared" si="13"/>
        <v>0.56903868124694024</v>
      </c>
      <c r="Q38" s="10">
        <f t="shared" si="15"/>
        <v>8.9447228573771795</v>
      </c>
      <c r="R38" s="10">
        <f t="shared" si="16"/>
        <v>15.662792638400278</v>
      </c>
      <c r="S38" s="32">
        <f t="shared" si="17"/>
        <v>-39.337207361599724</v>
      </c>
      <c r="T38" s="17">
        <v>143</v>
      </c>
      <c r="U38" s="32">
        <f t="shared" si="18"/>
        <v>103.66279263840028</v>
      </c>
    </row>
    <row r="39" spans="2:21" x14ac:dyDescent="0.25">
      <c r="M39" s="10"/>
      <c r="N39" s="10"/>
      <c r="O39" s="10"/>
      <c r="P39" s="10"/>
      <c r="Q39" s="10"/>
      <c r="R39" s="10"/>
      <c r="S39" s="32"/>
      <c r="T39" s="17"/>
      <c r="U39" s="32"/>
    </row>
    <row r="40" spans="2:21" x14ac:dyDescent="0.25">
      <c r="M40" s="10"/>
      <c r="N40" s="10"/>
      <c r="O40" s="10"/>
      <c r="P40" s="10"/>
      <c r="Q40" s="10"/>
      <c r="R40" s="10"/>
      <c r="S40" s="32"/>
      <c r="T40" s="17"/>
      <c r="U40" s="32"/>
    </row>
    <row r="43" spans="2:21" ht="18.75" x14ac:dyDescent="0.3">
      <c r="M43" s="36" t="s">
        <v>53</v>
      </c>
      <c r="N43" s="37"/>
      <c r="O43" s="37"/>
      <c r="P43" s="37"/>
      <c r="Q43" s="37"/>
      <c r="R43" s="37"/>
      <c r="S43" s="37"/>
      <c r="T43" s="37"/>
      <c r="U43" s="37"/>
    </row>
    <row r="44" spans="2:21" x14ac:dyDescent="0.25">
      <c r="M44" s="10"/>
      <c r="N44" s="10"/>
      <c r="O44" s="10"/>
      <c r="P44" s="10"/>
      <c r="Q44" s="10"/>
      <c r="R44" s="10"/>
      <c r="S44" s="10"/>
      <c r="T44" s="10"/>
      <c r="U44" s="10"/>
    </row>
    <row r="45" spans="2:21" x14ac:dyDescent="0.25">
      <c r="M45" s="10">
        <v>0.22220000000000001</v>
      </c>
      <c r="N45" s="10">
        <f>M45</f>
        <v>0.22220000000000001</v>
      </c>
      <c r="O45" s="10">
        <v>0.82099999999999995</v>
      </c>
      <c r="P45" s="10">
        <f t="shared" ref="P45:P55" si="19">O45/N45</f>
        <v>3.6948694869486944</v>
      </c>
      <c r="Q45" s="10">
        <f>P45/$AC$7*1000</f>
        <v>58.079678313807406</v>
      </c>
      <c r="R45" s="10">
        <f>Q45/$Y$9*$AD$7</f>
        <v>101.7013016992349</v>
      </c>
      <c r="S45" s="32">
        <f>R45-$AD$7</f>
        <v>46.701301699234904</v>
      </c>
      <c r="T45" s="17">
        <v>100</v>
      </c>
      <c r="U45" s="32">
        <f>T45+S45</f>
        <v>146.7013016992349</v>
      </c>
    </row>
    <row r="46" spans="2:21" x14ac:dyDescent="0.25">
      <c r="M46" s="10">
        <v>0.85760000000000003</v>
      </c>
      <c r="N46" s="10">
        <f t="shared" ref="N46:N55" si="20">M46-M45</f>
        <v>0.63539999999999996</v>
      </c>
      <c r="O46" s="10">
        <v>3.0419999999999998</v>
      </c>
      <c r="P46" s="10">
        <f t="shared" si="19"/>
        <v>4.7875354107648729</v>
      </c>
      <c r="Q46" s="10">
        <f t="shared" ref="Q46:Q55" si="21">P46/$AC$7*1000</f>
        <v>75.255301318589346</v>
      </c>
      <c r="R46" s="10">
        <f t="shared" ref="R46:R55" si="22">Q46/$Y$9*$AD$7</f>
        <v>131.77693689204176</v>
      </c>
      <c r="S46" s="32">
        <f t="shared" ref="S46:S55" si="23">R46-$AD$7</f>
        <v>76.776936892041761</v>
      </c>
      <c r="T46" s="17">
        <v>100</v>
      </c>
      <c r="U46" s="32">
        <f t="shared" ref="U46:U55" si="24">T46+S46</f>
        <v>176.77693689204176</v>
      </c>
    </row>
    <row r="47" spans="2:21" x14ac:dyDescent="0.25">
      <c r="M47" s="10">
        <v>1.0693999999999999</v>
      </c>
      <c r="N47" s="10">
        <f t="shared" si="20"/>
        <v>0.21179999999999988</v>
      </c>
      <c r="O47" s="10">
        <v>0.98099999999999998</v>
      </c>
      <c r="P47" s="10">
        <f t="shared" si="19"/>
        <v>4.6317280453257821</v>
      </c>
      <c r="Q47" s="10">
        <f t="shared" si="21"/>
        <v>72.806164293428196</v>
      </c>
      <c r="R47" s="10">
        <f t="shared" si="22"/>
        <v>127.48833835413517</v>
      </c>
      <c r="S47" s="32">
        <f t="shared" si="23"/>
        <v>72.488338354135166</v>
      </c>
      <c r="T47" s="17">
        <v>100</v>
      </c>
      <c r="U47" s="32">
        <f t="shared" si="24"/>
        <v>172.48833835413518</v>
      </c>
    </row>
    <row r="48" spans="2:21" x14ac:dyDescent="0.25">
      <c r="M48" s="10">
        <v>1.8575999999999999</v>
      </c>
      <c r="N48" s="10">
        <f t="shared" si="20"/>
        <v>0.78820000000000001</v>
      </c>
      <c r="O48" s="10">
        <v>3.3149999999999999</v>
      </c>
      <c r="P48" s="10">
        <f t="shared" si="19"/>
        <v>4.2057853336716571</v>
      </c>
      <c r="Q48" s="10">
        <f t="shared" si="21"/>
        <v>66.110767944418825</v>
      </c>
      <c r="R48" s="10">
        <f t="shared" si="22"/>
        <v>115.76426301736321</v>
      </c>
      <c r="S48" s="32">
        <f t="shared" si="23"/>
        <v>60.764263017363206</v>
      </c>
      <c r="T48" s="17">
        <v>100</v>
      </c>
      <c r="U48" s="32">
        <f t="shared" si="24"/>
        <v>160.76426301736319</v>
      </c>
    </row>
    <row r="49" spans="2:21" x14ac:dyDescent="0.25">
      <c r="M49" s="10">
        <v>3.0972</v>
      </c>
      <c r="N49" s="10">
        <f t="shared" si="20"/>
        <v>1.2396</v>
      </c>
      <c r="O49" s="10">
        <v>4.4790000000000001</v>
      </c>
      <c r="P49" s="10">
        <f t="shared" si="19"/>
        <v>3.6132623426911907</v>
      </c>
      <c r="Q49" s="10">
        <f t="shared" si="21"/>
        <v>56.796895064405419</v>
      </c>
      <c r="R49" s="10">
        <f t="shared" si="22"/>
        <v>99.455064632333972</v>
      </c>
      <c r="S49" s="32">
        <f t="shared" si="23"/>
        <v>44.455064632333972</v>
      </c>
      <c r="T49" s="17">
        <v>100</v>
      </c>
      <c r="U49" s="32">
        <f t="shared" si="24"/>
        <v>144.45506463233397</v>
      </c>
    </row>
    <row r="50" spans="2:21" x14ac:dyDescent="0.25">
      <c r="M50" s="10">
        <v>5.9166999999999996</v>
      </c>
      <c r="N50" s="10">
        <f t="shared" si="20"/>
        <v>2.8194999999999997</v>
      </c>
      <c r="O50" s="10">
        <v>9.593</v>
      </c>
      <c r="P50" s="10">
        <f t="shared" si="19"/>
        <v>3.4023763078560032</v>
      </c>
      <c r="Q50" s="10">
        <f t="shared" si="21"/>
        <v>53.481976064596068</v>
      </c>
      <c r="R50" s="10">
        <f t="shared" si="22"/>
        <v>93.650425435012693</v>
      </c>
      <c r="S50" s="32">
        <f t="shared" si="23"/>
        <v>38.650425435012693</v>
      </c>
      <c r="T50" s="17">
        <v>100</v>
      </c>
      <c r="U50" s="32">
        <f t="shared" si="24"/>
        <v>138.65042543501269</v>
      </c>
    </row>
    <row r="51" spans="2:21" x14ac:dyDescent="0.25">
      <c r="M51" s="10">
        <v>7.8958000000000004</v>
      </c>
      <c r="N51" s="10">
        <f t="shared" si="20"/>
        <v>1.9791000000000007</v>
      </c>
      <c r="O51" s="10">
        <v>5.9409999999999998</v>
      </c>
      <c r="P51" s="10">
        <f t="shared" si="19"/>
        <v>3.0018695366580759</v>
      </c>
      <c r="Q51" s="10">
        <f t="shared" si="21"/>
        <v>47.186407434677555</v>
      </c>
      <c r="R51" s="10">
        <f t="shared" si="22"/>
        <v>82.626474490584513</v>
      </c>
      <c r="S51" s="32">
        <f t="shared" si="23"/>
        <v>27.626474490584513</v>
      </c>
      <c r="T51" s="17">
        <v>100</v>
      </c>
      <c r="U51" s="32">
        <f t="shared" si="24"/>
        <v>127.62647449058451</v>
      </c>
    </row>
    <row r="52" spans="2:21" x14ac:dyDescent="0.25">
      <c r="M52" s="10">
        <v>9.9319000000000006</v>
      </c>
      <c r="N52" s="10">
        <f t="shared" si="20"/>
        <v>2.0361000000000002</v>
      </c>
      <c r="O52" s="10">
        <v>6.1449999999999996</v>
      </c>
      <c r="P52" s="10">
        <f t="shared" si="19"/>
        <v>3.0180246549776526</v>
      </c>
      <c r="Q52" s="10">
        <f t="shared" si="21"/>
        <v>47.440349848188177</v>
      </c>
      <c r="R52" s="10">
        <f t="shared" si="22"/>
        <v>83.0711442057151</v>
      </c>
      <c r="S52" s="32">
        <f t="shared" si="23"/>
        <v>28.0711442057151</v>
      </c>
      <c r="T52" s="17">
        <v>100</v>
      </c>
      <c r="U52" s="32">
        <f t="shared" si="24"/>
        <v>128.07114420571509</v>
      </c>
    </row>
    <row r="53" spans="2:21" x14ac:dyDescent="0.25">
      <c r="M53" s="10">
        <v>12.934699999999999</v>
      </c>
      <c r="N53" s="10">
        <f t="shared" si="20"/>
        <v>3.0027999999999988</v>
      </c>
      <c r="O53" s="10">
        <v>9.7509999999999994</v>
      </c>
      <c r="P53" s="10">
        <f t="shared" si="19"/>
        <v>3.2473025176501942</v>
      </c>
      <c r="Q53" s="10">
        <f t="shared" si="21"/>
        <v>51.044370113460253</v>
      </c>
      <c r="R53" s="10">
        <f t="shared" si="22"/>
        <v>89.382018559188481</v>
      </c>
      <c r="S53" s="32">
        <f t="shared" si="23"/>
        <v>34.382018559188481</v>
      </c>
      <c r="T53" s="17">
        <v>100</v>
      </c>
      <c r="U53" s="32">
        <f t="shared" si="24"/>
        <v>134.38201855918848</v>
      </c>
    </row>
    <row r="54" spans="2:21" x14ac:dyDescent="0.25">
      <c r="M54" s="10">
        <v>16.980599999999999</v>
      </c>
      <c r="N54" s="10">
        <f t="shared" si="20"/>
        <v>4.0458999999999996</v>
      </c>
      <c r="O54" s="10">
        <v>16.675999999999998</v>
      </c>
      <c r="P54" s="10">
        <f t="shared" si="19"/>
        <v>4.1217034528782222</v>
      </c>
      <c r="Q54" s="10">
        <f t="shared" si="21"/>
        <v>64.78908429476563</v>
      </c>
      <c r="R54" s="10">
        <f t="shared" si="22"/>
        <v>113.44990881453751</v>
      </c>
      <c r="S54" s="32">
        <f t="shared" si="23"/>
        <v>58.449908814537508</v>
      </c>
      <c r="T54" s="17">
        <v>100</v>
      </c>
      <c r="U54" s="32">
        <f t="shared" si="24"/>
        <v>158.44990881453751</v>
      </c>
    </row>
    <row r="55" spans="2:21" x14ac:dyDescent="0.25">
      <c r="M55" s="10">
        <v>19.916699999999999</v>
      </c>
      <c r="N55" s="10">
        <f t="shared" si="20"/>
        <v>2.9360999999999997</v>
      </c>
      <c r="O55" s="10">
        <v>13.292999999999999</v>
      </c>
      <c r="P55" s="10">
        <f t="shared" si="19"/>
        <v>4.5274343516910189</v>
      </c>
      <c r="Q55" s="10">
        <f t="shared" si="21"/>
        <v>71.166771021795185</v>
      </c>
      <c r="R55" s="10">
        <f t="shared" si="22"/>
        <v>124.61765389852914</v>
      </c>
      <c r="S55" s="32">
        <f t="shared" si="23"/>
        <v>69.617653898529142</v>
      </c>
      <c r="T55" s="17">
        <v>100</v>
      </c>
      <c r="U55" s="32">
        <f t="shared" si="24"/>
        <v>169.61765389852914</v>
      </c>
    </row>
    <row r="56" spans="2:21" x14ac:dyDescent="0.25">
      <c r="M56" s="10"/>
      <c r="N56" s="10"/>
      <c r="O56" s="10"/>
      <c r="P56" s="10"/>
      <c r="Q56" s="10"/>
      <c r="R56" s="10"/>
      <c r="S56" s="32"/>
      <c r="T56" s="17"/>
      <c r="U56" s="32"/>
    </row>
    <row r="57" spans="2:21" x14ac:dyDescent="0.25">
      <c r="M57" s="10"/>
      <c r="N57" s="10"/>
      <c r="O57" s="10"/>
      <c r="P57" s="10"/>
      <c r="Q57" s="10"/>
      <c r="R57" s="10"/>
      <c r="S57" s="32"/>
      <c r="T57" s="17"/>
      <c r="U57" s="32"/>
    </row>
    <row r="59" spans="2:21" s="38" customFormat="1" x14ac:dyDescent="0.25"/>
    <row r="60" spans="2:21" s="38" customFormat="1" ht="18.75" x14ac:dyDescent="0.3">
      <c r="B60" s="39"/>
      <c r="C60" s="40"/>
      <c r="D60" s="40"/>
      <c r="E60" s="40"/>
      <c r="F60" s="40"/>
      <c r="G60" s="40"/>
      <c r="H60" s="40"/>
      <c r="I60" s="40"/>
      <c r="J60" s="40"/>
      <c r="M60" s="39"/>
      <c r="N60" s="40"/>
      <c r="O60" s="40"/>
      <c r="P60" s="40"/>
      <c r="Q60" s="40"/>
      <c r="R60" s="40"/>
      <c r="S60" s="40"/>
      <c r="T60" s="40"/>
      <c r="U60" s="40"/>
    </row>
    <row r="61" spans="2:21" s="38" customFormat="1" x14ac:dyDescent="0.25">
      <c r="B61" s="41"/>
      <c r="C61" s="41"/>
      <c r="D61" s="41"/>
      <c r="E61" s="41"/>
      <c r="F61" s="41"/>
      <c r="G61" s="41"/>
      <c r="H61" s="41"/>
      <c r="I61" s="41"/>
      <c r="J61" s="41"/>
      <c r="M61" s="41"/>
      <c r="N61" s="41"/>
      <c r="O61" s="41"/>
      <c r="P61" s="41"/>
      <c r="Q61" s="41"/>
      <c r="R61" s="41"/>
      <c r="S61" s="41"/>
      <c r="T61" s="41"/>
      <c r="U61" s="41"/>
    </row>
    <row r="62" spans="2:21" s="38" customFormat="1" x14ac:dyDescent="0.25">
      <c r="B62" s="42"/>
      <c r="C62" s="42"/>
      <c r="D62" s="42"/>
      <c r="E62" s="42"/>
      <c r="F62" s="42"/>
      <c r="G62" s="42"/>
      <c r="H62" s="42"/>
      <c r="I62" s="42"/>
      <c r="J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2:21" s="38" customFormat="1" x14ac:dyDescent="0.25">
      <c r="B63" s="43"/>
      <c r="C63" s="44"/>
      <c r="E63" s="45"/>
      <c r="G63" s="46"/>
      <c r="H63" s="47"/>
      <c r="I63" s="47"/>
      <c r="J63" s="47"/>
      <c r="M63" s="43"/>
      <c r="N63" s="44"/>
      <c r="O63" s="43"/>
      <c r="P63" s="45"/>
      <c r="R63" s="46"/>
      <c r="S63" s="47"/>
      <c r="T63" s="47"/>
      <c r="U63" s="47"/>
    </row>
    <row r="64" spans="2:21" s="38" customFormat="1" x14ac:dyDescent="0.25">
      <c r="B64" s="43"/>
      <c r="C64" s="44"/>
      <c r="E64" s="45"/>
      <c r="G64" s="46"/>
      <c r="H64" s="47"/>
      <c r="I64" s="47"/>
      <c r="J64" s="47"/>
      <c r="M64" s="43"/>
      <c r="N64" s="44"/>
      <c r="O64" s="43"/>
      <c r="P64" s="45"/>
      <c r="R64" s="46"/>
      <c r="S64" s="47"/>
      <c r="T64" s="47"/>
      <c r="U64" s="47"/>
    </row>
    <row r="65" spans="2:21" s="38" customFormat="1" x14ac:dyDescent="0.25">
      <c r="B65" s="43"/>
      <c r="C65" s="44"/>
      <c r="E65" s="45"/>
      <c r="G65" s="46"/>
      <c r="H65" s="47"/>
      <c r="I65" s="47"/>
      <c r="J65" s="47"/>
      <c r="M65" s="43"/>
      <c r="N65" s="44"/>
      <c r="O65" s="43"/>
      <c r="P65" s="45"/>
      <c r="R65" s="46"/>
      <c r="S65" s="47"/>
      <c r="T65" s="47"/>
      <c r="U65" s="47"/>
    </row>
    <row r="66" spans="2:21" s="38" customFormat="1" x14ac:dyDescent="0.25">
      <c r="B66" s="43"/>
      <c r="C66" s="44"/>
      <c r="E66" s="45"/>
      <c r="G66" s="46"/>
      <c r="H66" s="47"/>
      <c r="I66" s="47"/>
      <c r="J66" s="47"/>
      <c r="M66" s="43"/>
      <c r="N66" s="44"/>
      <c r="O66" s="43"/>
      <c r="P66" s="45"/>
      <c r="R66" s="46"/>
      <c r="S66" s="47"/>
      <c r="T66" s="47"/>
      <c r="U66" s="47"/>
    </row>
    <row r="67" spans="2:21" s="38" customFormat="1" x14ac:dyDescent="0.25">
      <c r="B67" s="43"/>
      <c r="C67" s="44"/>
      <c r="E67" s="45"/>
      <c r="G67" s="46"/>
      <c r="H67" s="47"/>
      <c r="I67" s="47"/>
      <c r="J67" s="47"/>
      <c r="M67" s="43"/>
      <c r="N67" s="44"/>
      <c r="O67" s="43"/>
      <c r="P67" s="45"/>
      <c r="R67" s="46"/>
      <c r="S67" s="47"/>
      <c r="T67" s="47"/>
      <c r="U67" s="47"/>
    </row>
    <row r="68" spans="2:21" s="38" customFormat="1" x14ac:dyDescent="0.25">
      <c r="B68" s="43"/>
      <c r="C68" s="44"/>
      <c r="E68" s="45"/>
      <c r="G68" s="46"/>
      <c r="H68" s="47"/>
      <c r="I68" s="47"/>
      <c r="J68" s="47"/>
      <c r="M68" s="43"/>
      <c r="N68" s="44"/>
      <c r="O68" s="43"/>
      <c r="P68" s="45"/>
      <c r="R68" s="46"/>
      <c r="S68" s="47"/>
      <c r="T68" s="47"/>
      <c r="U68" s="47"/>
    </row>
    <row r="69" spans="2:21" s="38" customFormat="1" x14ac:dyDescent="0.25">
      <c r="B69" s="43"/>
      <c r="C69" s="44"/>
      <c r="E69" s="45"/>
      <c r="G69" s="46"/>
      <c r="H69" s="47"/>
      <c r="I69" s="47"/>
      <c r="J69" s="47"/>
      <c r="M69" s="43"/>
      <c r="N69" s="44"/>
      <c r="O69" s="43"/>
      <c r="P69" s="45"/>
      <c r="R69" s="46"/>
      <c r="S69" s="47"/>
      <c r="T69" s="47"/>
      <c r="U69" s="47"/>
    </row>
    <row r="70" spans="2:21" s="38" customFormat="1" x14ac:dyDescent="0.25">
      <c r="B70" s="43"/>
      <c r="C70" s="44"/>
      <c r="E70" s="45"/>
      <c r="G70" s="46"/>
      <c r="H70" s="47"/>
      <c r="I70" s="47"/>
      <c r="J70" s="47"/>
      <c r="M70" s="43"/>
      <c r="N70" s="44"/>
      <c r="O70" s="43"/>
      <c r="P70" s="45"/>
      <c r="R70" s="46"/>
      <c r="S70" s="47"/>
      <c r="T70" s="47"/>
      <c r="U70" s="47"/>
    </row>
    <row r="71" spans="2:21" s="38" customFormat="1" x14ac:dyDescent="0.25">
      <c r="B71" s="43"/>
      <c r="C71" s="44"/>
      <c r="E71" s="45"/>
      <c r="G71" s="46"/>
      <c r="H71" s="47"/>
      <c r="I71" s="47"/>
      <c r="J71" s="47"/>
      <c r="M71" s="43"/>
      <c r="N71" s="44"/>
      <c r="O71" s="43"/>
      <c r="P71" s="45"/>
      <c r="R71" s="46"/>
      <c r="S71" s="47"/>
      <c r="T71" s="47"/>
      <c r="U71" s="47"/>
    </row>
    <row r="72" spans="2:21" s="38" customFormat="1" x14ac:dyDescent="0.25">
      <c r="B72" s="43"/>
      <c r="C72" s="44"/>
      <c r="E72" s="45"/>
      <c r="G72" s="46"/>
      <c r="H72" s="47"/>
      <c r="I72" s="47"/>
      <c r="J72" s="47"/>
      <c r="M72" s="43"/>
      <c r="N72" s="44"/>
      <c r="O72" s="43"/>
      <c r="P72" s="45"/>
      <c r="R72" s="46"/>
      <c r="S72" s="47"/>
      <c r="T72" s="47"/>
      <c r="U72" s="47"/>
    </row>
    <row r="73" spans="2:21" s="38" customFormat="1" x14ac:dyDescent="0.25">
      <c r="B73" s="43"/>
      <c r="C73" s="44"/>
      <c r="E73" s="45"/>
      <c r="G73" s="46"/>
      <c r="H73" s="47"/>
      <c r="I73" s="47"/>
      <c r="J73" s="47"/>
      <c r="M73" s="43"/>
      <c r="N73" s="44"/>
      <c r="O73" s="43"/>
      <c r="P73" s="45"/>
      <c r="R73" s="46"/>
      <c r="S73" s="47"/>
      <c r="T73" s="47"/>
      <c r="U73" s="47"/>
    </row>
    <row r="74" spans="2:21" s="38" customFormat="1" x14ac:dyDescent="0.25">
      <c r="B74" s="43"/>
      <c r="C74" s="44"/>
      <c r="E74" s="45"/>
      <c r="G74" s="46"/>
      <c r="H74" s="47"/>
      <c r="I74" s="47"/>
      <c r="J74" s="47"/>
      <c r="M74" s="43"/>
      <c r="N74" s="44"/>
      <c r="O74" s="43"/>
      <c r="P74" s="45"/>
      <c r="R74" s="46"/>
      <c r="S74" s="47"/>
      <c r="T74" s="47"/>
      <c r="U74" s="47"/>
    </row>
    <row r="75" spans="2:21" s="38" customFormat="1" x14ac:dyDescent="0.25">
      <c r="B75" s="46"/>
      <c r="C75" s="46"/>
      <c r="D75" s="46"/>
      <c r="E75" s="45"/>
      <c r="G75" s="46"/>
      <c r="H75" s="47"/>
      <c r="I75" s="47"/>
      <c r="J75" s="47"/>
      <c r="M75" s="46"/>
      <c r="N75" s="46"/>
      <c r="O75" s="46"/>
      <c r="P75" s="45"/>
      <c r="R75" s="46"/>
      <c r="S75" s="47"/>
      <c r="T75" s="47"/>
      <c r="U75" s="47"/>
    </row>
    <row r="76" spans="2:21" s="38" customFormat="1" x14ac:dyDescent="0.25">
      <c r="B76" s="46"/>
      <c r="C76" s="46"/>
      <c r="D76" s="46"/>
      <c r="E76" s="45"/>
      <c r="G76" s="46"/>
      <c r="H76" s="47"/>
      <c r="I76" s="47"/>
      <c r="J76" s="47"/>
      <c r="M76" s="46"/>
      <c r="N76" s="46"/>
      <c r="O76" s="46"/>
      <c r="P76" s="45"/>
      <c r="R76" s="46"/>
      <c r="S76" s="47"/>
      <c r="T76" s="47"/>
      <c r="U76" s="47"/>
    </row>
    <row r="77" spans="2:21" s="38" customFormat="1" x14ac:dyDescent="0.25">
      <c r="B77" s="46"/>
      <c r="C77" s="46"/>
      <c r="D77" s="46"/>
      <c r="E77" s="45"/>
      <c r="G77" s="46"/>
      <c r="H77" s="47"/>
      <c r="I77" s="47"/>
      <c r="J77" s="47"/>
      <c r="M77" s="46"/>
      <c r="N77" s="46"/>
      <c r="O77" s="46"/>
      <c r="P77" s="45"/>
      <c r="R77" s="46"/>
      <c r="S77" s="47"/>
      <c r="T77" s="47"/>
      <c r="U77" s="47"/>
    </row>
    <row r="78" spans="2:21" s="38" customFormat="1" x14ac:dyDescent="0.25">
      <c r="B78" s="46"/>
      <c r="C78" s="46"/>
      <c r="D78" s="46"/>
      <c r="E78" s="45"/>
      <c r="G78" s="46"/>
      <c r="H78" s="47"/>
      <c r="I78" s="47"/>
      <c r="J78" s="47"/>
      <c r="M78" s="46"/>
      <c r="N78" s="46"/>
      <c r="O78" s="46"/>
      <c r="P78" s="45"/>
      <c r="R78" s="46"/>
      <c r="S78" s="47"/>
      <c r="T78" s="47"/>
      <c r="U78" s="47"/>
    </row>
    <row r="79" spans="2:21" s="38" customFormat="1" x14ac:dyDescent="0.25">
      <c r="B79" s="46"/>
      <c r="C79" s="46"/>
      <c r="D79" s="46"/>
      <c r="E79" s="45"/>
      <c r="G79" s="46"/>
      <c r="H79" s="47"/>
      <c r="I79" s="47"/>
      <c r="J79" s="47"/>
      <c r="M79" s="46"/>
      <c r="N79" s="46"/>
      <c r="O79" s="46"/>
      <c r="P79" s="45"/>
      <c r="R79" s="46"/>
      <c r="S79" s="47"/>
      <c r="T79" s="47"/>
      <c r="U79" s="47"/>
    </row>
    <row r="80" spans="2:21" s="38" customFormat="1" x14ac:dyDescent="0.25">
      <c r="B80" s="46"/>
      <c r="C80" s="46"/>
      <c r="D80" s="46"/>
      <c r="E80" s="45"/>
      <c r="G80" s="46"/>
      <c r="H80" s="47"/>
      <c r="I80" s="47"/>
      <c r="J80" s="47"/>
      <c r="M80" s="46"/>
      <c r="N80" s="46"/>
      <c r="O80" s="46"/>
      <c r="P80" s="45"/>
      <c r="R80" s="46"/>
      <c r="S80" s="47"/>
      <c r="T80" s="47"/>
      <c r="U80" s="47"/>
    </row>
    <row r="81" spans="2:21" s="38" customFormat="1" x14ac:dyDescent="0.25">
      <c r="B81" s="46"/>
      <c r="C81" s="46"/>
      <c r="D81" s="46"/>
      <c r="E81" s="45"/>
      <c r="G81" s="46"/>
      <c r="H81" s="47"/>
      <c r="I81" s="47"/>
      <c r="J81" s="47"/>
      <c r="M81" s="46"/>
      <c r="N81" s="46"/>
      <c r="O81" s="46"/>
      <c r="P81" s="45"/>
      <c r="R81" s="46"/>
      <c r="S81" s="47"/>
      <c r="T81" s="47"/>
      <c r="U81" s="47"/>
    </row>
    <row r="82" spans="2:21" s="38" customFormat="1" x14ac:dyDescent="0.25">
      <c r="B82" s="46"/>
      <c r="C82" s="46"/>
      <c r="D82" s="46"/>
      <c r="E82" s="45"/>
      <c r="G82" s="46"/>
      <c r="H82" s="47"/>
      <c r="I82" s="47"/>
      <c r="J82" s="47"/>
      <c r="M82" s="46"/>
      <c r="N82" s="46"/>
      <c r="O82" s="46"/>
      <c r="P82" s="45"/>
      <c r="R82" s="46"/>
      <c r="S82" s="47"/>
      <c r="T82" s="47"/>
      <c r="U82" s="47"/>
    </row>
    <row r="83" spans="2:21" s="38" customFormat="1" x14ac:dyDescent="0.25"/>
    <row r="84" spans="2:21" s="38" customFormat="1" x14ac:dyDescent="0.25"/>
    <row r="85" spans="2:21" s="38" customFormat="1" ht="18.75" x14ac:dyDescent="0.3">
      <c r="B85" s="39"/>
      <c r="C85" s="40"/>
      <c r="D85" s="40"/>
      <c r="E85" s="40"/>
      <c r="F85" s="40"/>
      <c r="G85" s="40"/>
      <c r="H85" s="40"/>
      <c r="I85" s="40"/>
      <c r="J85" s="40"/>
      <c r="M85" s="39"/>
      <c r="N85" s="40"/>
      <c r="O85" s="40"/>
      <c r="P85" s="40"/>
      <c r="Q85" s="40"/>
      <c r="R85" s="40"/>
      <c r="S85" s="40"/>
      <c r="T85" s="40"/>
      <c r="U85" s="40"/>
    </row>
    <row r="86" spans="2:21" s="38" customFormat="1" x14ac:dyDescent="0.25">
      <c r="B86" s="41"/>
      <c r="C86" s="41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R86" s="41"/>
      <c r="S86" s="41"/>
      <c r="T86" s="41"/>
      <c r="U86" s="41"/>
    </row>
    <row r="87" spans="2:21" s="38" customFormat="1" x14ac:dyDescent="0.25">
      <c r="B87" s="42"/>
      <c r="C87" s="42"/>
      <c r="D87" s="42"/>
      <c r="E87" s="42"/>
      <c r="F87" s="42"/>
      <c r="G87" s="42"/>
      <c r="H87" s="42"/>
      <c r="I87" s="42"/>
      <c r="J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2:21" s="38" customFormat="1" x14ac:dyDescent="0.25">
      <c r="C88" s="44"/>
      <c r="E88" s="45"/>
      <c r="G88" s="46"/>
      <c r="H88" s="47"/>
      <c r="I88" s="47"/>
      <c r="J88" s="47"/>
      <c r="N88" s="44"/>
      <c r="P88" s="45"/>
      <c r="R88" s="46"/>
      <c r="S88" s="47"/>
      <c r="T88" s="47"/>
      <c r="U88" s="47"/>
    </row>
    <row r="89" spans="2:21" s="38" customFormat="1" x14ac:dyDescent="0.25">
      <c r="C89" s="44"/>
      <c r="E89" s="45"/>
      <c r="G89" s="46"/>
      <c r="H89" s="47"/>
      <c r="I89" s="47"/>
      <c r="J89" s="47"/>
      <c r="N89" s="44"/>
      <c r="P89" s="45"/>
      <c r="R89" s="46"/>
      <c r="S89" s="47"/>
      <c r="T89" s="47"/>
      <c r="U89" s="47"/>
    </row>
    <row r="90" spans="2:21" s="38" customFormat="1" x14ac:dyDescent="0.25">
      <c r="C90" s="44"/>
      <c r="E90" s="45"/>
      <c r="G90" s="46"/>
      <c r="H90" s="47"/>
      <c r="I90" s="47"/>
      <c r="J90" s="47"/>
      <c r="N90" s="44"/>
      <c r="P90" s="45"/>
      <c r="R90" s="46"/>
      <c r="S90" s="47"/>
      <c r="T90" s="47"/>
      <c r="U90" s="47"/>
    </row>
    <row r="91" spans="2:21" s="38" customFormat="1" x14ac:dyDescent="0.25">
      <c r="C91" s="44"/>
      <c r="E91" s="45"/>
      <c r="G91" s="46"/>
      <c r="H91" s="47"/>
      <c r="I91" s="47"/>
      <c r="J91" s="47"/>
      <c r="N91" s="44"/>
      <c r="P91" s="45"/>
      <c r="R91" s="46"/>
      <c r="S91" s="47"/>
      <c r="T91" s="47"/>
      <c r="U91" s="47"/>
    </row>
    <row r="92" spans="2:21" s="38" customFormat="1" x14ac:dyDescent="0.25">
      <c r="C92" s="44"/>
      <c r="E92" s="45"/>
      <c r="G92" s="46"/>
      <c r="H92" s="47"/>
      <c r="I92" s="47"/>
      <c r="J92" s="47"/>
      <c r="N92" s="44"/>
      <c r="P92" s="45"/>
      <c r="R92" s="46"/>
      <c r="S92" s="47"/>
      <c r="T92" s="47"/>
      <c r="U92" s="47"/>
    </row>
    <row r="93" spans="2:21" s="38" customFormat="1" x14ac:dyDescent="0.25">
      <c r="C93" s="44"/>
      <c r="E93" s="45"/>
      <c r="G93" s="46"/>
      <c r="H93" s="47"/>
      <c r="I93" s="47"/>
      <c r="J93" s="47"/>
      <c r="N93" s="44"/>
      <c r="P93" s="45"/>
      <c r="R93" s="46"/>
      <c r="S93" s="47"/>
      <c r="T93" s="47"/>
      <c r="U93" s="47"/>
    </row>
    <row r="94" spans="2:21" s="38" customFormat="1" x14ac:dyDescent="0.25">
      <c r="C94" s="44"/>
      <c r="E94" s="45"/>
      <c r="G94" s="46"/>
      <c r="H94" s="47"/>
      <c r="I94" s="47"/>
      <c r="J94" s="47"/>
      <c r="N94" s="44"/>
      <c r="P94" s="45"/>
      <c r="R94" s="46"/>
      <c r="S94" s="47"/>
      <c r="T94" s="47"/>
      <c r="U94" s="47"/>
    </row>
    <row r="95" spans="2:21" s="38" customFormat="1" x14ac:dyDescent="0.25">
      <c r="C95" s="44"/>
      <c r="E95" s="45"/>
      <c r="G95" s="46"/>
      <c r="H95" s="47"/>
      <c r="I95" s="47"/>
      <c r="J95" s="47"/>
      <c r="N95" s="44"/>
      <c r="P95" s="45"/>
      <c r="R95" s="46"/>
      <c r="S95" s="47"/>
      <c r="T95" s="47"/>
      <c r="U95" s="47"/>
    </row>
    <row r="96" spans="2:21" s="38" customFormat="1" x14ac:dyDescent="0.25">
      <c r="C96" s="44"/>
      <c r="E96" s="45"/>
      <c r="G96" s="46"/>
      <c r="H96" s="47"/>
      <c r="I96" s="47"/>
      <c r="J96" s="47"/>
      <c r="N96" s="44"/>
      <c r="P96" s="45"/>
      <c r="R96" s="46"/>
      <c r="S96" s="47"/>
      <c r="T96" s="47"/>
      <c r="U96" s="47"/>
    </row>
    <row r="97" spans="3:21" s="38" customFormat="1" x14ac:dyDescent="0.25">
      <c r="C97" s="44"/>
      <c r="E97" s="45"/>
      <c r="G97" s="46"/>
      <c r="H97" s="47"/>
      <c r="I97" s="47"/>
      <c r="J97" s="47"/>
      <c r="N97" s="44"/>
      <c r="P97" s="45"/>
      <c r="R97" s="46"/>
      <c r="S97" s="47"/>
      <c r="T97" s="47"/>
      <c r="U97" s="47"/>
    </row>
    <row r="98" spans="3:21" s="38" customFormat="1" x14ac:dyDescent="0.25">
      <c r="C98" s="44"/>
      <c r="E98" s="45"/>
      <c r="G98" s="46"/>
      <c r="H98" s="47"/>
      <c r="I98" s="47"/>
      <c r="J98" s="47"/>
      <c r="N98" s="44"/>
      <c r="P98" s="45"/>
      <c r="R98" s="46"/>
      <c r="S98" s="47"/>
      <c r="T98" s="47"/>
      <c r="U98" s="47"/>
    </row>
    <row r="99" spans="3:21" s="38" customFormat="1" x14ac:dyDescent="0.25">
      <c r="C99" s="44"/>
      <c r="E99" s="45"/>
      <c r="G99" s="46"/>
      <c r="H99" s="47"/>
      <c r="I99" s="47"/>
      <c r="J99" s="47"/>
      <c r="N99" s="44"/>
      <c r="P99" s="45"/>
      <c r="R99" s="46"/>
      <c r="S99" s="47"/>
      <c r="T99" s="47"/>
      <c r="U99" s="47"/>
    </row>
    <row r="100" spans="3:21" s="38" customFormat="1" x14ac:dyDescent="0.25">
      <c r="C100" s="44"/>
      <c r="E100" s="45"/>
      <c r="G100" s="46"/>
      <c r="H100" s="47"/>
      <c r="I100" s="47"/>
      <c r="J100" s="47"/>
      <c r="N100" s="44"/>
      <c r="P100" s="45"/>
      <c r="R100" s="46"/>
      <c r="S100" s="47"/>
      <c r="T100" s="47"/>
      <c r="U100" s="47"/>
    </row>
    <row r="101" spans="3:21" s="38" customFormat="1" x14ac:dyDescent="0.25">
      <c r="C101" s="44"/>
      <c r="E101" s="45"/>
      <c r="G101" s="46"/>
      <c r="H101" s="47"/>
      <c r="I101" s="47"/>
      <c r="J101" s="47"/>
      <c r="N101" s="44"/>
      <c r="P101" s="45"/>
      <c r="R101" s="46"/>
      <c r="S101" s="47"/>
      <c r="T101" s="47"/>
      <c r="U101" s="47"/>
    </row>
    <row r="102" spans="3:21" s="38" customFormat="1" x14ac:dyDescent="0.25">
      <c r="C102" s="44"/>
      <c r="E102" s="45"/>
      <c r="G102" s="46"/>
      <c r="H102" s="47"/>
      <c r="I102" s="47"/>
      <c r="J102" s="47"/>
      <c r="N102" s="44"/>
      <c r="P102" s="45"/>
      <c r="R102" s="46"/>
      <c r="S102" s="47"/>
      <c r="T102" s="47"/>
      <c r="U102" s="47"/>
    </row>
    <row r="103" spans="3:21" s="38" customFormat="1" x14ac:dyDescent="0.25">
      <c r="C103" s="44"/>
      <c r="E103" s="45"/>
      <c r="G103" s="46"/>
      <c r="H103" s="47"/>
      <c r="I103" s="47"/>
      <c r="J103" s="47"/>
      <c r="N103" s="44"/>
      <c r="P103" s="45"/>
      <c r="R103" s="46"/>
      <c r="S103" s="47"/>
      <c r="T103" s="47"/>
      <c r="U103" s="47"/>
    </row>
    <row r="104" spans="3:21" s="38" customFormat="1" x14ac:dyDescent="0.25">
      <c r="C104" s="44"/>
      <c r="E104" s="45"/>
      <c r="G104" s="46"/>
      <c r="H104" s="47"/>
      <c r="I104" s="47"/>
      <c r="J104" s="47"/>
      <c r="N104" s="44"/>
      <c r="P104" s="45"/>
      <c r="R104" s="46"/>
      <c r="S104" s="47"/>
      <c r="T104" s="47"/>
      <c r="U104" s="47"/>
    </row>
    <row r="105" spans="3:21" s="38" customFormat="1" x14ac:dyDescent="0.25">
      <c r="C105" s="44"/>
      <c r="E105" s="45"/>
      <c r="G105" s="46"/>
      <c r="H105" s="47"/>
      <c r="I105" s="47"/>
      <c r="J105" s="47"/>
      <c r="N105" s="44"/>
      <c r="P105" s="45"/>
      <c r="R105" s="46"/>
      <c r="S105" s="47"/>
      <c r="T105" s="47"/>
      <c r="U105" s="47"/>
    </row>
    <row r="106" spans="3:21" s="38" customFormat="1" x14ac:dyDescent="0.25">
      <c r="C106" s="44"/>
      <c r="E106" s="45"/>
      <c r="G106" s="46"/>
      <c r="H106" s="47"/>
      <c r="I106" s="47"/>
      <c r="J106" s="47"/>
      <c r="N106" s="44"/>
      <c r="P106" s="45"/>
      <c r="R106" s="46"/>
      <c r="S106" s="47"/>
      <c r="T106" s="47"/>
      <c r="U106" s="47"/>
    </row>
    <row r="107" spans="3:21" s="38" customFormat="1" x14ac:dyDescent="0.25">
      <c r="C107" s="44"/>
      <c r="E107" s="45"/>
      <c r="G107" s="46"/>
      <c r="H107" s="47"/>
      <c r="I107" s="47"/>
      <c r="J107" s="47"/>
      <c r="N107" s="44"/>
      <c r="P107" s="45"/>
      <c r="R107" s="46"/>
      <c r="S107" s="47"/>
      <c r="T107" s="47"/>
      <c r="U107" s="47"/>
    </row>
    <row r="108" spans="3:21" s="38" customFormat="1" x14ac:dyDescent="0.25">
      <c r="C108" s="44"/>
      <c r="E108" s="45"/>
      <c r="G108" s="46"/>
      <c r="H108" s="47"/>
      <c r="I108" s="47"/>
      <c r="J108" s="47"/>
    </row>
    <row r="109" spans="3:21" s="38" customFormat="1" x14ac:dyDescent="0.25">
      <c r="C109" s="44"/>
      <c r="E109" s="45"/>
      <c r="G109" s="46"/>
      <c r="H109" s="47"/>
      <c r="I109" s="47"/>
      <c r="J109" s="47"/>
    </row>
    <row r="110" spans="3:21" s="38" customFormat="1" x14ac:dyDescent="0.25">
      <c r="C110" s="44"/>
      <c r="E110" s="45"/>
      <c r="G110" s="46"/>
      <c r="H110" s="47"/>
      <c r="I110" s="47"/>
      <c r="J110" s="47"/>
    </row>
    <row r="111" spans="3:21" s="38" customFormat="1" x14ac:dyDescent="0.25"/>
    <row r="112" spans="3:21" s="38" customFormat="1" x14ac:dyDescent="0.25"/>
    <row r="113" spans="2:32" s="38" customFormat="1" x14ac:dyDescent="0.25"/>
    <row r="114" spans="2:32" s="38" customFormat="1" ht="18.75" x14ac:dyDescent="0.3">
      <c r="B114" s="39"/>
      <c r="C114" s="40"/>
      <c r="D114" s="40"/>
      <c r="E114" s="40"/>
      <c r="F114" s="40"/>
      <c r="G114" s="40"/>
      <c r="H114" s="40"/>
      <c r="I114" s="40"/>
      <c r="J114" s="40"/>
      <c r="M114" s="39"/>
      <c r="N114" s="40"/>
      <c r="O114" s="40"/>
      <c r="P114" s="40"/>
      <c r="Q114" s="40"/>
      <c r="R114" s="40"/>
      <c r="S114" s="40"/>
      <c r="T114" s="40"/>
      <c r="U114" s="40"/>
    </row>
    <row r="115" spans="2:32" s="38" customFormat="1" x14ac:dyDescent="0.25">
      <c r="B115" s="41"/>
      <c r="C115" s="41"/>
      <c r="D115" s="41"/>
      <c r="E115" s="41"/>
      <c r="F115" s="41"/>
      <c r="G115" s="41"/>
      <c r="H115" s="41"/>
      <c r="I115" s="41"/>
      <c r="J115" s="41"/>
      <c r="M115" s="41"/>
      <c r="N115" s="41"/>
      <c r="O115" s="41"/>
      <c r="P115" s="41"/>
      <c r="Q115" s="41"/>
      <c r="R115" s="41"/>
      <c r="S115" s="41"/>
      <c r="T115" s="41"/>
      <c r="U115" s="41"/>
    </row>
    <row r="116" spans="2:32" s="38" customFormat="1" x14ac:dyDescent="0.25">
      <c r="B116" s="42"/>
      <c r="C116" s="42"/>
      <c r="D116" s="42"/>
      <c r="E116" s="42"/>
      <c r="F116" s="42"/>
      <c r="G116" s="42"/>
      <c r="H116" s="42"/>
      <c r="I116" s="42"/>
      <c r="J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2:32" s="38" customFormat="1" x14ac:dyDescent="0.25">
      <c r="B117" s="43"/>
      <c r="C117" s="44"/>
      <c r="E117" s="45"/>
      <c r="G117" s="46"/>
      <c r="H117" s="47"/>
      <c r="I117" s="47"/>
      <c r="J117" s="47"/>
      <c r="M117" s="43"/>
      <c r="N117" s="44"/>
      <c r="P117" s="45"/>
      <c r="R117" s="46"/>
      <c r="S117" s="47"/>
      <c r="T117" s="47"/>
      <c r="U117" s="47"/>
    </row>
    <row r="118" spans="2:32" s="38" customFormat="1" x14ac:dyDescent="0.25">
      <c r="B118" s="43"/>
      <c r="C118" s="44"/>
      <c r="E118" s="45"/>
      <c r="G118" s="46"/>
      <c r="H118" s="47"/>
      <c r="I118" s="47"/>
      <c r="J118" s="47"/>
      <c r="M118" s="43"/>
      <c r="N118" s="44"/>
      <c r="P118" s="45"/>
      <c r="R118" s="46"/>
      <c r="S118" s="47"/>
      <c r="T118" s="47"/>
      <c r="U118" s="47"/>
    </row>
    <row r="119" spans="2:32" s="38" customFormat="1" x14ac:dyDescent="0.25">
      <c r="B119" s="43"/>
      <c r="C119" s="44"/>
      <c r="E119" s="45"/>
      <c r="G119" s="46"/>
      <c r="H119" s="47"/>
      <c r="I119" s="47"/>
      <c r="J119" s="47"/>
      <c r="K119" s="48"/>
      <c r="L119" s="48"/>
      <c r="M119" s="43"/>
      <c r="N119" s="44"/>
      <c r="P119" s="45"/>
      <c r="R119" s="46"/>
      <c r="S119" s="47"/>
      <c r="T119" s="47"/>
      <c r="U119" s="47"/>
      <c r="V119" s="48"/>
      <c r="W119" s="48"/>
      <c r="X119" s="48"/>
      <c r="Y119" s="48"/>
      <c r="Z119" s="48"/>
      <c r="AA119" s="48"/>
      <c r="AB119" s="48"/>
      <c r="AC119" s="48"/>
      <c r="AD119" s="48"/>
    </row>
    <row r="120" spans="2:32" s="38" customFormat="1" x14ac:dyDescent="0.25">
      <c r="B120" s="43"/>
      <c r="C120" s="44"/>
      <c r="E120" s="45"/>
      <c r="G120" s="46"/>
      <c r="H120" s="47"/>
      <c r="I120" s="47"/>
      <c r="J120" s="47"/>
      <c r="K120" s="48"/>
      <c r="L120" s="48"/>
      <c r="M120" s="43"/>
      <c r="N120" s="44"/>
      <c r="P120" s="45"/>
      <c r="R120" s="46"/>
      <c r="S120" s="47"/>
      <c r="T120" s="47"/>
      <c r="U120" s="47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</row>
    <row r="121" spans="2:32" s="38" customFormat="1" x14ac:dyDescent="0.25">
      <c r="B121" s="43"/>
      <c r="C121" s="44"/>
      <c r="E121" s="45"/>
      <c r="G121" s="46"/>
      <c r="H121" s="47"/>
      <c r="I121" s="47"/>
      <c r="J121" s="47"/>
      <c r="M121" s="43"/>
      <c r="N121" s="44"/>
      <c r="P121" s="45"/>
      <c r="R121" s="46"/>
      <c r="S121" s="47"/>
      <c r="T121" s="47"/>
      <c r="U121" s="47"/>
    </row>
    <row r="122" spans="2:32" s="38" customFormat="1" x14ac:dyDescent="0.25">
      <c r="B122" s="43"/>
      <c r="C122" s="44"/>
      <c r="E122" s="45"/>
      <c r="G122" s="46"/>
      <c r="H122" s="47"/>
      <c r="I122" s="47"/>
      <c r="J122" s="47"/>
      <c r="M122" s="43"/>
      <c r="N122" s="44"/>
      <c r="P122" s="45"/>
      <c r="R122" s="46"/>
      <c r="S122" s="47"/>
      <c r="T122" s="47"/>
      <c r="U122" s="47"/>
    </row>
    <row r="123" spans="2:32" s="38" customFormat="1" x14ac:dyDescent="0.25">
      <c r="B123" s="43"/>
      <c r="C123" s="44"/>
      <c r="E123" s="45"/>
      <c r="G123" s="46"/>
      <c r="H123" s="47"/>
      <c r="I123" s="47"/>
      <c r="J123" s="47"/>
      <c r="M123" s="43"/>
      <c r="N123" s="44"/>
      <c r="P123" s="45"/>
      <c r="R123" s="46"/>
      <c r="S123" s="47"/>
      <c r="T123" s="47"/>
      <c r="U123" s="47"/>
    </row>
    <row r="124" spans="2:32" s="38" customFormat="1" x14ac:dyDescent="0.25">
      <c r="B124" s="43"/>
      <c r="C124" s="44"/>
      <c r="E124" s="45"/>
      <c r="G124" s="46"/>
      <c r="H124" s="47"/>
      <c r="I124" s="47"/>
      <c r="J124" s="47"/>
      <c r="M124" s="43"/>
      <c r="N124" s="44"/>
      <c r="P124" s="45"/>
      <c r="R124" s="46"/>
      <c r="S124" s="47"/>
      <c r="T124" s="47"/>
      <c r="U124" s="47"/>
    </row>
    <row r="125" spans="2:32" s="38" customFormat="1" x14ac:dyDescent="0.25">
      <c r="B125" s="43"/>
      <c r="C125" s="44"/>
      <c r="E125" s="45"/>
      <c r="G125" s="46"/>
      <c r="H125" s="47"/>
      <c r="I125" s="47"/>
      <c r="J125" s="47"/>
      <c r="M125" s="43"/>
      <c r="N125" s="44"/>
      <c r="P125" s="45"/>
      <c r="R125" s="46"/>
      <c r="S125" s="47"/>
      <c r="T125" s="47"/>
      <c r="U125" s="47"/>
    </row>
    <row r="126" spans="2:32" s="38" customFormat="1" x14ac:dyDescent="0.25">
      <c r="B126" s="43"/>
      <c r="C126" s="44"/>
      <c r="E126" s="45"/>
      <c r="G126" s="46"/>
      <c r="H126" s="47"/>
      <c r="I126" s="47"/>
      <c r="J126" s="47"/>
      <c r="M126" s="43"/>
      <c r="N126" s="44"/>
      <c r="P126" s="45"/>
      <c r="R126" s="46"/>
      <c r="S126" s="47"/>
      <c r="T126" s="47"/>
      <c r="U126" s="47"/>
    </row>
    <row r="127" spans="2:32" s="38" customFormat="1" x14ac:dyDescent="0.25">
      <c r="B127" s="43"/>
      <c r="C127" s="44"/>
      <c r="E127" s="45"/>
      <c r="G127" s="46"/>
      <c r="H127" s="47"/>
      <c r="I127" s="47"/>
      <c r="J127" s="47"/>
      <c r="N127" s="44"/>
      <c r="P127" s="45"/>
      <c r="R127" s="46"/>
      <c r="S127" s="47"/>
      <c r="T127" s="47"/>
      <c r="U127" s="47"/>
    </row>
    <row r="128" spans="2:32" s="38" customFormat="1" x14ac:dyDescent="0.25"/>
    <row r="129" spans="2:21" s="38" customFormat="1" x14ac:dyDescent="0.25"/>
    <row r="130" spans="2:21" s="38" customFormat="1" ht="18.75" x14ac:dyDescent="0.3">
      <c r="B130" s="39"/>
      <c r="C130" s="40"/>
      <c r="D130" s="40"/>
      <c r="E130" s="40"/>
      <c r="F130" s="40"/>
      <c r="G130" s="40"/>
      <c r="H130" s="40"/>
      <c r="I130" s="40"/>
      <c r="J130" s="40"/>
      <c r="M130" s="39"/>
      <c r="N130" s="40"/>
      <c r="O130" s="40"/>
      <c r="P130" s="40"/>
      <c r="Q130" s="40"/>
      <c r="R130" s="40"/>
      <c r="S130" s="40"/>
      <c r="T130" s="40"/>
      <c r="U130" s="40"/>
    </row>
    <row r="131" spans="2:21" s="38" customFormat="1" x14ac:dyDescent="0.25">
      <c r="B131" s="41"/>
      <c r="C131" s="41"/>
      <c r="D131" s="41"/>
      <c r="E131" s="41"/>
      <c r="F131" s="41"/>
      <c r="G131" s="41"/>
      <c r="H131" s="41"/>
      <c r="I131" s="41"/>
      <c r="J131" s="41"/>
      <c r="M131" s="41"/>
      <c r="N131" s="41"/>
      <c r="O131" s="41"/>
      <c r="P131" s="41"/>
      <c r="Q131" s="41"/>
      <c r="R131" s="41"/>
      <c r="S131" s="41"/>
      <c r="T131" s="41"/>
      <c r="U131" s="41"/>
    </row>
    <row r="132" spans="2:21" s="38" customFormat="1" x14ac:dyDescent="0.25">
      <c r="B132" s="42"/>
      <c r="C132" s="42"/>
      <c r="D132" s="42"/>
      <c r="E132" s="42"/>
      <c r="F132" s="42"/>
      <c r="G132" s="42"/>
      <c r="H132" s="42"/>
      <c r="I132" s="42"/>
      <c r="J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2:21" s="38" customFormat="1" x14ac:dyDescent="0.25">
      <c r="B133" s="43"/>
      <c r="C133" s="44"/>
      <c r="E133" s="45"/>
      <c r="G133" s="46"/>
      <c r="H133" s="47"/>
      <c r="I133" s="47"/>
      <c r="J133" s="47"/>
      <c r="M133" s="43"/>
      <c r="N133" s="44"/>
      <c r="P133" s="45"/>
      <c r="R133" s="46"/>
      <c r="S133" s="47"/>
      <c r="T133" s="47"/>
      <c r="U133" s="47"/>
    </row>
    <row r="134" spans="2:21" s="38" customFormat="1" x14ac:dyDescent="0.25">
      <c r="B134" s="43"/>
      <c r="C134" s="44"/>
      <c r="E134" s="45"/>
      <c r="G134" s="46"/>
      <c r="H134" s="47"/>
      <c r="I134" s="47"/>
      <c r="J134" s="47"/>
      <c r="M134" s="43"/>
      <c r="N134" s="44"/>
      <c r="P134" s="45"/>
      <c r="R134" s="46"/>
      <c r="S134" s="47"/>
      <c r="T134" s="47"/>
      <c r="U134" s="47"/>
    </row>
    <row r="135" spans="2:21" s="38" customFormat="1" x14ac:dyDescent="0.25">
      <c r="B135" s="43"/>
      <c r="C135" s="44"/>
      <c r="E135" s="45"/>
      <c r="G135" s="46"/>
      <c r="H135" s="47"/>
      <c r="I135" s="47"/>
      <c r="J135" s="47"/>
      <c r="K135" s="48"/>
      <c r="L135" s="48"/>
      <c r="M135" s="43"/>
      <c r="N135" s="44"/>
      <c r="P135" s="45"/>
      <c r="R135" s="46"/>
      <c r="S135" s="47"/>
      <c r="T135" s="47"/>
      <c r="U135" s="47"/>
    </row>
    <row r="136" spans="2:21" s="38" customFormat="1" x14ac:dyDescent="0.25">
      <c r="B136" s="43"/>
      <c r="C136" s="44"/>
      <c r="E136" s="45"/>
      <c r="G136" s="46"/>
      <c r="H136" s="47"/>
      <c r="I136" s="47"/>
      <c r="J136" s="47"/>
      <c r="K136" s="48"/>
      <c r="L136" s="48"/>
      <c r="M136" s="43"/>
      <c r="N136" s="44"/>
      <c r="P136" s="45"/>
      <c r="R136" s="46"/>
      <c r="S136" s="47"/>
      <c r="T136" s="47"/>
      <c r="U136" s="47"/>
    </row>
    <row r="137" spans="2:21" s="38" customFormat="1" x14ac:dyDescent="0.25">
      <c r="B137" s="43"/>
      <c r="C137" s="44"/>
      <c r="E137" s="45"/>
      <c r="G137" s="46"/>
      <c r="H137" s="47"/>
      <c r="I137" s="47"/>
      <c r="J137" s="47"/>
      <c r="M137" s="43"/>
      <c r="N137" s="44"/>
      <c r="P137" s="45"/>
      <c r="R137" s="46"/>
      <c r="S137" s="47"/>
      <c r="T137" s="47"/>
      <c r="U137" s="47"/>
    </row>
    <row r="138" spans="2:21" s="38" customFormat="1" x14ac:dyDescent="0.25">
      <c r="B138" s="43"/>
      <c r="C138" s="44"/>
      <c r="E138" s="45"/>
      <c r="G138" s="46"/>
      <c r="H138" s="47"/>
      <c r="I138" s="47"/>
      <c r="J138" s="47"/>
      <c r="M138" s="43"/>
      <c r="N138" s="44"/>
      <c r="P138" s="45"/>
      <c r="R138" s="46"/>
      <c r="S138" s="47"/>
      <c r="T138" s="47"/>
      <c r="U138" s="47"/>
    </row>
    <row r="139" spans="2:21" s="38" customFormat="1" x14ac:dyDescent="0.25">
      <c r="B139" s="43"/>
      <c r="C139" s="44"/>
      <c r="E139" s="45"/>
      <c r="G139" s="46"/>
      <c r="H139" s="47"/>
      <c r="I139" s="47"/>
      <c r="J139" s="47"/>
      <c r="M139" s="43"/>
      <c r="N139" s="44"/>
      <c r="P139" s="45"/>
      <c r="R139" s="46"/>
      <c r="S139" s="47"/>
      <c r="T139" s="47"/>
      <c r="U139" s="47"/>
    </row>
    <row r="140" spans="2:21" s="38" customFormat="1" x14ac:dyDescent="0.25">
      <c r="B140" s="43"/>
      <c r="C140" s="44"/>
      <c r="E140" s="45"/>
      <c r="G140" s="46"/>
      <c r="H140" s="47"/>
      <c r="I140" s="47"/>
      <c r="J140" s="47"/>
      <c r="M140" s="43"/>
      <c r="N140" s="44"/>
      <c r="P140" s="45"/>
      <c r="R140" s="46"/>
      <c r="S140" s="47"/>
      <c r="T140" s="47"/>
      <c r="U140" s="47"/>
    </row>
    <row r="141" spans="2:21" s="38" customFormat="1" x14ac:dyDescent="0.25">
      <c r="B141" s="43"/>
      <c r="C141" s="44"/>
      <c r="E141" s="45"/>
      <c r="G141" s="46"/>
      <c r="H141" s="47"/>
      <c r="I141" s="47"/>
      <c r="J141" s="47"/>
      <c r="M141" s="43"/>
      <c r="N141" s="44"/>
      <c r="P141" s="45"/>
      <c r="R141" s="46"/>
      <c r="S141" s="47"/>
      <c r="T141" s="47"/>
      <c r="U141" s="47"/>
    </row>
    <row r="142" spans="2:21" s="38" customFormat="1" x14ac:dyDescent="0.25"/>
  </sheetData>
  <mergeCells count="12">
    <mergeCell ref="B114:J114"/>
    <mergeCell ref="M114:U114"/>
    <mergeCell ref="B130:J130"/>
    <mergeCell ref="M130:U130"/>
    <mergeCell ref="B85:J85"/>
    <mergeCell ref="M85:U85"/>
    <mergeCell ref="B4:J4"/>
    <mergeCell ref="M4:U4"/>
    <mergeCell ref="M28:U28"/>
    <mergeCell ref="M43:U43"/>
    <mergeCell ref="M60:U60"/>
    <mergeCell ref="B60:J60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workbookViewId="0">
      <selection activeCell="J22" sqref="J22"/>
    </sheetView>
  </sheetViews>
  <sheetFormatPr baseColWidth="10" defaultColWidth="11.42578125" defaultRowHeight="15" x14ac:dyDescent="0.25"/>
  <cols>
    <col min="4" max="4" width="23.7109375" bestFit="1" customWidth="1"/>
    <col min="5" max="5" width="7.42578125" bestFit="1" customWidth="1"/>
    <col min="6" max="6" width="20.140625" bestFit="1" customWidth="1"/>
    <col min="7" max="7" width="11.28515625" customWidth="1"/>
    <col min="11" max="13" width="22.140625" bestFit="1" customWidth="1"/>
  </cols>
  <sheetData>
    <row r="1" spans="2:13" x14ac:dyDescent="0.25">
      <c r="D1" s="3" t="s">
        <v>6</v>
      </c>
      <c r="E1" s="3" t="s">
        <v>7</v>
      </c>
      <c r="F1" s="20" t="s">
        <v>8</v>
      </c>
      <c r="G1" s="20" t="s">
        <v>9</v>
      </c>
      <c r="H1" s="20" t="s">
        <v>54</v>
      </c>
      <c r="I1" s="20" t="s">
        <v>55</v>
      </c>
      <c r="K1" s="3" t="s">
        <v>56</v>
      </c>
      <c r="L1" s="3" t="s">
        <v>57</v>
      </c>
      <c r="M1" s="3" t="s">
        <v>58</v>
      </c>
    </row>
    <row r="2" spans="2:13" x14ac:dyDescent="0.25">
      <c r="B2" t="s">
        <v>24</v>
      </c>
      <c r="C2" t="s">
        <v>21</v>
      </c>
      <c r="D2">
        <v>0.4</v>
      </c>
      <c r="E2">
        <v>0.09</v>
      </c>
      <c r="F2" s="33">
        <v>4.02185043413313</v>
      </c>
      <c r="G2" s="16">
        <v>0.4</v>
      </c>
      <c r="H2" s="32">
        <f>F2/(PI()/4*E2^2*D2*1000)</f>
        <v>1.5804873505396861</v>
      </c>
      <c r="I2" s="33">
        <f>PI()/4*E2^2*D2*G2*1000</f>
        <v>1.0178760197630929</v>
      </c>
      <c r="K2">
        <v>2.6480000000000001</v>
      </c>
      <c r="L2">
        <v>39.599999999999994</v>
      </c>
      <c r="M2">
        <v>156.9</v>
      </c>
    </row>
    <row r="3" spans="2:13" x14ac:dyDescent="0.25">
      <c r="B3" t="s">
        <v>25</v>
      </c>
      <c r="C3" t="s">
        <v>21</v>
      </c>
      <c r="D3">
        <v>0.4</v>
      </c>
      <c r="E3">
        <v>0.09</v>
      </c>
      <c r="F3" s="33">
        <v>3.9531008482563599</v>
      </c>
      <c r="G3" s="16">
        <v>0.41</v>
      </c>
      <c r="H3" s="32">
        <f t="shared" ref="H3:H5" si="0">F3/(PI()/4*E3^2*D3*1000)</f>
        <v>1.5534704704710227</v>
      </c>
      <c r="I3" s="33">
        <f t="shared" ref="I3:I5" si="1">PI()/4*E3^2*D3*G3*1000</f>
        <v>1.0433229202571701</v>
      </c>
      <c r="K3">
        <v>1.8</v>
      </c>
      <c r="L3">
        <v>28.1</v>
      </c>
      <c r="M3">
        <v>108.2</v>
      </c>
    </row>
    <row r="4" spans="2:13" x14ac:dyDescent="0.25">
      <c r="B4" t="s">
        <v>26</v>
      </c>
      <c r="C4" t="s">
        <v>21</v>
      </c>
      <c r="D4">
        <v>0.4</v>
      </c>
      <c r="E4">
        <v>0.09</v>
      </c>
      <c r="F4" s="33">
        <v>3.6753006067291798</v>
      </c>
      <c r="G4" s="16">
        <v>0.45</v>
      </c>
      <c r="H4" s="32">
        <f t="shared" si="0"/>
        <v>1.4443018738508422</v>
      </c>
      <c r="I4" s="33">
        <f t="shared" si="1"/>
        <v>1.1451105222334794</v>
      </c>
      <c r="K4">
        <v>1.8</v>
      </c>
      <c r="L4">
        <v>42.300000000000004</v>
      </c>
      <c r="M4">
        <v>153.79999999999998</v>
      </c>
    </row>
    <row r="5" spans="2:13" x14ac:dyDescent="0.25">
      <c r="B5" t="s">
        <v>27</v>
      </c>
      <c r="C5" t="s">
        <v>21</v>
      </c>
      <c r="D5">
        <v>0.4</v>
      </c>
      <c r="E5">
        <v>0.09</v>
      </c>
      <c r="F5" s="33">
        <v>3.9370000000000003</v>
      </c>
      <c r="G5" s="16">
        <v>0.42</v>
      </c>
      <c r="H5" s="32">
        <f t="shared" si="0"/>
        <v>1.5471432369204743</v>
      </c>
      <c r="I5" s="33">
        <f t="shared" si="1"/>
        <v>1.0687698207512475</v>
      </c>
      <c r="K5">
        <v>2.7</v>
      </c>
      <c r="L5">
        <v>48.5</v>
      </c>
      <c r="M5">
        <v>174.8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hydraulics</vt:lpstr>
      <vt:lpstr>bulk density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Bikash Poudel</dc:creator>
  <cp:keywords/>
  <dc:description/>
  <cp:lastModifiedBy>Thomas Bierbaum</cp:lastModifiedBy>
  <cp:revision/>
  <dcterms:created xsi:type="dcterms:W3CDTF">2015-06-05T18:17:20Z</dcterms:created>
  <dcterms:modified xsi:type="dcterms:W3CDTF">2022-06-13T08:14:10Z</dcterms:modified>
  <cp:category/>
  <cp:contentStatus/>
</cp:coreProperties>
</file>