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TERI SEMESTER 4\ANSTRUK\"/>
    </mc:Choice>
  </mc:AlternateContent>
  <bookViews>
    <workbookView xWindow="0" yWindow="0" windowWidth="20490" windowHeight="7620" firstSheet="11" activeTab="12"/>
  </bookViews>
  <sheets>
    <sheet name="TUGAS 1" sheetId="1" r:id="rId1"/>
    <sheet name="I.4" sheetId="2" r:id="rId2"/>
    <sheet name="II.2" sheetId="3" r:id="rId3"/>
    <sheet name="III.2" sheetId="4" r:id="rId4"/>
    <sheet name="VI" sheetId="5" r:id="rId5"/>
    <sheet name="UTS" sheetId="8" r:id="rId6"/>
    <sheet name="UTS 2.2" sheetId="9" r:id="rId7"/>
    <sheet name="UTS 4" sheetId="11" r:id="rId8"/>
    <sheet name="TUGAS 3" sheetId="17" r:id="rId9"/>
    <sheet name="TUGAS 4" sheetId="15" r:id="rId10"/>
    <sheet name="TUGAS 4 modul (2)" sheetId="21" r:id="rId11"/>
    <sheet name="TUGAS 4.1" sheetId="19" r:id="rId12"/>
    <sheet name="UAS" sheetId="2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2" l="1"/>
  <c r="A11" i="21" l="1"/>
  <c r="L10" i="22"/>
  <c r="L11" i="22" s="1"/>
  <c r="B17" i="22" l="1"/>
  <c r="K22" i="22"/>
  <c r="B16" i="22"/>
  <c r="B15" i="22"/>
  <c r="L2" i="22" s="1"/>
  <c r="C11" i="22"/>
  <c r="D2" i="22"/>
  <c r="G22" i="22" l="1"/>
  <c r="L6" i="22"/>
  <c r="H12" i="22"/>
  <c r="O22" i="22"/>
  <c r="C34" i="22"/>
  <c r="O34" i="22"/>
  <c r="H34" i="22"/>
  <c r="H2" i="22"/>
  <c r="C23" i="22" s="1"/>
  <c r="H14" i="22"/>
  <c r="P23" i="22" s="1"/>
  <c r="H6" i="22"/>
  <c r="H22" i="22" s="1"/>
  <c r="H8" i="22"/>
  <c r="I23" i="22" s="1"/>
  <c r="H10" i="22"/>
  <c r="J22" i="22" s="1"/>
  <c r="H4" i="22"/>
  <c r="L7" i="22"/>
  <c r="P22" i="22" s="1"/>
  <c r="L5" i="22"/>
  <c r="C22" i="22" s="1"/>
  <c r="E22" i="22" s="1"/>
  <c r="I22" i="22"/>
  <c r="K39" i="21"/>
  <c r="K38" i="21"/>
  <c r="B5" i="21"/>
  <c r="B4" i="21"/>
  <c r="A10" i="21" s="1"/>
  <c r="S10" i="21" s="1"/>
  <c r="O23" i="21"/>
  <c r="N22" i="21"/>
  <c r="O21" i="21"/>
  <c r="O22" i="21"/>
  <c r="E23" i="21"/>
  <c r="F22" i="21"/>
  <c r="E21" i="21"/>
  <c r="E22" i="21"/>
  <c r="O7" i="21"/>
  <c r="N6" i="21"/>
  <c r="O6" i="21"/>
  <c r="E7" i="21"/>
  <c r="F6" i="21"/>
  <c r="E6" i="21"/>
  <c r="C26" i="21"/>
  <c r="Q26" i="21" s="1"/>
  <c r="C11" i="19"/>
  <c r="N12" i="19"/>
  <c r="N11" i="19"/>
  <c r="I8" i="22" l="1"/>
  <c r="I13" i="22"/>
  <c r="N22" i="22"/>
  <c r="B25" i="22"/>
  <c r="D22" i="22"/>
  <c r="E25" i="22" s="1"/>
  <c r="I3" i="22"/>
  <c r="H10" i="21"/>
  <c r="N10" i="21" s="1"/>
  <c r="F10" i="21"/>
  <c r="F26" i="21" s="1"/>
  <c r="L10" i="21"/>
  <c r="L25" i="22" l="1"/>
  <c r="J25" i="22"/>
  <c r="G25" i="22"/>
  <c r="C10" i="21"/>
  <c r="H26" i="21"/>
  <c r="Q10" i="21" s="1"/>
  <c r="S11" i="21" s="1"/>
  <c r="L26" i="21"/>
  <c r="N25" i="22" l="1"/>
  <c r="Q25" i="22"/>
  <c r="E36" i="22" s="1"/>
  <c r="N26" i="21"/>
  <c r="C27" i="21" s="1"/>
  <c r="Q27" i="21" s="1"/>
  <c r="H11" i="21"/>
  <c r="F11" i="21"/>
  <c r="Q36" i="22" l="1"/>
  <c r="J36" i="22"/>
  <c r="B26" i="22"/>
  <c r="E26" i="22"/>
  <c r="C11" i="21"/>
  <c r="F27" i="21"/>
  <c r="H27" i="21"/>
  <c r="N11" i="21"/>
  <c r="L11" i="21"/>
  <c r="N26" i="19"/>
  <c r="N27" i="19"/>
  <c r="C28" i="19" s="1"/>
  <c r="Q28" i="19" s="1"/>
  <c r="L27" i="19"/>
  <c r="C27" i="19"/>
  <c r="Q27" i="19" s="1"/>
  <c r="L26" i="19"/>
  <c r="Q10" i="19"/>
  <c r="C10" i="19"/>
  <c r="L10" i="19"/>
  <c r="N10" i="19"/>
  <c r="C26" i="19"/>
  <c r="Q26" i="19" s="1"/>
  <c r="A10" i="19"/>
  <c r="H10" i="19" s="1"/>
  <c r="L26" i="22" l="1"/>
  <c r="J26" i="22"/>
  <c r="G26" i="22"/>
  <c r="L27" i="21"/>
  <c r="N27" i="21"/>
  <c r="C28" i="21" s="1"/>
  <c r="Q28" i="21" s="1"/>
  <c r="Q11" i="21"/>
  <c r="A12" i="21" s="1"/>
  <c r="S10" i="19"/>
  <c r="F10" i="19"/>
  <c r="N26" i="22" l="1"/>
  <c r="Q26" i="22"/>
  <c r="E37" i="22" s="1"/>
  <c r="S12" i="21"/>
  <c r="F12" i="21"/>
  <c r="H12" i="21"/>
  <c r="F26" i="19"/>
  <c r="H26" i="19"/>
  <c r="B48" i="17"/>
  <c r="C47" i="17"/>
  <c r="B47" i="17"/>
  <c r="K39" i="17"/>
  <c r="J41" i="17"/>
  <c r="J40" i="17"/>
  <c r="J39" i="17"/>
  <c r="G39" i="17"/>
  <c r="F40" i="17"/>
  <c r="F39" i="17"/>
  <c r="F41" i="17"/>
  <c r="C43" i="17"/>
  <c r="B44" i="17"/>
  <c r="B43" i="17"/>
  <c r="C39" i="17"/>
  <c r="B40" i="17"/>
  <c r="B39" i="17"/>
  <c r="B27" i="22" l="1"/>
  <c r="J37" i="22"/>
  <c r="Q37" i="22"/>
  <c r="E27" i="22"/>
  <c r="F28" i="21"/>
  <c r="C12" i="21"/>
  <c r="H28" i="21"/>
  <c r="N12" i="21"/>
  <c r="L12" i="21"/>
  <c r="A11" i="19"/>
  <c r="A28" i="17"/>
  <c r="A29" i="17"/>
  <c r="A30" i="17"/>
  <c r="A31" i="17"/>
  <c r="K28" i="17"/>
  <c r="K29" i="17"/>
  <c r="K30" i="17"/>
  <c r="K31" i="17"/>
  <c r="D15" i="17"/>
  <c r="H15" i="17"/>
  <c r="K9" i="17"/>
  <c r="G9" i="17"/>
  <c r="E9" i="17"/>
  <c r="A9" i="17"/>
  <c r="O11" i="17"/>
  <c r="O14" i="17"/>
  <c r="O9" i="17"/>
  <c r="O7" i="17"/>
  <c r="I23" i="17"/>
  <c r="C23" i="17"/>
  <c r="I22" i="17"/>
  <c r="H22" i="17"/>
  <c r="D22" i="17"/>
  <c r="C22" i="17"/>
  <c r="I21" i="17"/>
  <c r="C21" i="17"/>
  <c r="E22" i="17" s="1"/>
  <c r="I4" i="17"/>
  <c r="C4" i="17"/>
  <c r="I3" i="17"/>
  <c r="H3" i="17"/>
  <c r="G3" i="17"/>
  <c r="D3" i="17"/>
  <c r="E3" i="17" s="1"/>
  <c r="C3" i="17"/>
  <c r="J27" i="22" l="1"/>
  <c r="L27" i="22"/>
  <c r="G27" i="22"/>
  <c r="L28" i="21"/>
  <c r="N28" i="21"/>
  <c r="C29" i="21" s="1"/>
  <c r="Q29" i="21" s="1"/>
  <c r="Q12" i="21"/>
  <c r="A13" i="21" s="1"/>
  <c r="S13" i="21" s="1"/>
  <c r="S11" i="19"/>
  <c r="F11" i="19"/>
  <c r="H11" i="19"/>
  <c r="L11" i="19" s="1"/>
  <c r="G22" i="17"/>
  <c r="A7" i="17"/>
  <c r="E7" i="17"/>
  <c r="G7" i="17" s="1"/>
  <c r="G23" i="15"/>
  <c r="I22" i="15" s="1"/>
  <c r="I20" i="15"/>
  <c r="I17" i="15"/>
  <c r="I13" i="15"/>
  <c r="C39" i="15"/>
  <c r="C43" i="15"/>
  <c r="B20" i="15"/>
  <c r="I11" i="15" s="1"/>
  <c r="B22" i="15"/>
  <c r="C33" i="15" s="1"/>
  <c r="B21" i="15"/>
  <c r="C29" i="15" s="1"/>
  <c r="B19" i="15"/>
  <c r="I15" i="15" s="1"/>
  <c r="C12" i="15"/>
  <c r="E16" i="15" s="1"/>
  <c r="C11" i="15"/>
  <c r="E15" i="15" s="1"/>
  <c r="D3" i="15"/>
  <c r="D2" i="15"/>
  <c r="Q27" i="22" l="1"/>
  <c r="E38" i="22" s="1"/>
  <c r="E28" i="22" s="1"/>
  <c r="N27" i="22"/>
  <c r="H13" i="21"/>
  <c r="N13" i="21" s="1"/>
  <c r="L13" i="21"/>
  <c r="F13" i="21"/>
  <c r="H27" i="19"/>
  <c r="Q11" i="19" s="1"/>
  <c r="A12" i="19" s="1"/>
  <c r="F27" i="19"/>
  <c r="C27" i="15"/>
  <c r="C25" i="15"/>
  <c r="C31" i="15"/>
  <c r="D30" i="15"/>
  <c r="D26" i="15"/>
  <c r="C41" i="15"/>
  <c r="H27" i="15"/>
  <c r="C35" i="15"/>
  <c r="H30" i="15"/>
  <c r="C37" i="15"/>
  <c r="K7" i="17"/>
  <c r="B15" i="15"/>
  <c r="B16" i="15"/>
  <c r="B28" i="22" l="1"/>
  <c r="Q38" i="22"/>
  <c r="J38" i="22"/>
  <c r="J28" i="22" s="1"/>
  <c r="C13" i="21"/>
  <c r="H29" i="21"/>
  <c r="F29" i="21"/>
  <c r="F12" i="19"/>
  <c r="H12" i="19"/>
  <c r="S12" i="19"/>
  <c r="D35" i="15"/>
  <c r="D41" i="15"/>
  <c r="H13" i="17"/>
  <c r="K26" i="17"/>
  <c r="G26" i="17"/>
  <c r="G28" i="22" l="1"/>
  <c r="L28" i="22"/>
  <c r="N28" i="22" s="1"/>
  <c r="L29" i="21"/>
  <c r="N29" i="21"/>
  <c r="C30" i="21" s="1"/>
  <c r="Q30" i="21" s="1"/>
  <c r="Q13" i="21"/>
  <c r="A14" i="21" s="1"/>
  <c r="L12" i="19"/>
  <c r="H28" i="19"/>
  <c r="F28" i="19"/>
  <c r="C12" i="19"/>
  <c r="A26" i="17"/>
  <c r="D13" i="17"/>
  <c r="E26" i="17"/>
  <c r="C7" i="11"/>
  <c r="D7" i="11"/>
  <c r="E7" i="11"/>
  <c r="F7" i="11"/>
  <c r="G7" i="11"/>
  <c r="H7" i="11"/>
  <c r="I7" i="11"/>
  <c r="J7" i="11"/>
  <c r="K7" i="11"/>
  <c r="B7" i="11"/>
  <c r="K6" i="11"/>
  <c r="C6" i="11"/>
  <c r="D6" i="11"/>
  <c r="E6" i="11"/>
  <c r="F6" i="11"/>
  <c r="G6" i="11"/>
  <c r="H6" i="11"/>
  <c r="I6" i="11"/>
  <c r="J6" i="11"/>
  <c r="B6" i="11"/>
  <c r="M14" i="8"/>
  <c r="Q28" i="22" l="1"/>
  <c r="E39" i="22" s="1"/>
  <c r="B29" i="22" s="1"/>
  <c r="S14" i="21"/>
  <c r="F14" i="21"/>
  <c r="H14" i="21"/>
  <c r="N28" i="19"/>
  <c r="C29" i="19" s="1"/>
  <c r="Q29" i="19" s="1"/>
  <c r="L28" i="19"/>
  <c r="Q12" i="19"/>
  <c r="A13" i="19" s="1"/>
  <c r="A8" i="17"/>
  <c r="E8" i="17"/>
  <c r="F7" i="9"/>
  <c r="M14" i="9"/>
  <c r="D10" i="9"/>
  <c r="C14" i="9"/>
  <c r="G9" i="9"/>
  <c r="E9" i="9"/>
  <c r="E8" i="9"/>
  <c r="I6" i="9"/>
  <c r="D6" i="9"/>
  <c r="E7" i="9"/>
  <c r="F8" i="9" s="1"/>
  <c r="D7" i="9"/>
  <c r="J7" i="9"/>
  <c r="K8" i="9" s="1"/>
  <c r="I7" i="9"/>
  <c r="H8" i="9" s="1"/>
  <c r="C8" i="9"/>
  <c r="G6" i="9"/>
  <c r="H7" i="9" s="1"/>
  <c r="J39" i="22" l="1"/>
  <c r="E29" i="22"/>
  <c r="G29" i="22" s="1"/>
  <c r="Q39" i="22"/>
  <c r="N14" i="21"/>
  <c r="L14" i="21"/>
  <c r="F30" i="21"/>
  <c r="C14" i="21"/>
  <c r="H30" i="21"/>
  <c r="F13" i="19"/>
  <c r="S13" i="19"/>
  <c r="H13" i="19"/>
  <c r="G8" i="17"/>
  <c r="K8" i="17"/>
  <c r="I8" i="9"/>
  <c r="G10" i="9"/>
  <c r="L11" i="9" s="1"/>
  <c r="H10" i="9"/>
  <c r="I11" i="9" s="1"/>
  <c r="I12" i="9" s="1"/>
  <c r="F10" i="9"/>
  <c r="E11" i="9" s="1"/>
  <c r="E12" i="9" s="1"/>
  <c r="G7" i="9"/>
  <c r="C13" i="8"/>
  <c r="K13" i="8"/>
  <c r="J13" i="8"/>
  <c r="I13" i="8"/>
  <c r="E13" i="8"/>
  <c r="D13" i="8"/>
  <c r="I12" i="8"/>
  <c r="E12" i="8"/>
  <c r="L11" i="8"/>
  <c r="I11" i="8"/>
  <c r="E11" i="8"/>
  <c r="G10" i="8"/>
  <c r="H10" i="8"/>
  <c r="F10" i="8"/>
  <c r="G9" i="8"/>
  <c r="K8" i="8"/>
  <c r="H8" i="8"/>
  <c r="F8" i="8"/>
  <c r="C8" i="8"/>
  <c r="J7" i="8"/>
  <c r="I7" i="8"/>
  <c r="G7" i="8"/>
  <c r="E7" i="8"/>
  <c r="D7" i="8"/>
  <c r="G6" i="8"/>
  <c r="H7" i="8" s="1"/>
  <c r="L29" i="22" l="1"/>
  <c r="N29" i="22" s="1"/>
  <c r="J29" i="22"/>
  <c r="N30" i="21"/>
  <c r="C31" i="21" s="1"/>
  <c r="Q31" i="21" s="1"/>
  <c r="L30" i="21"/>
  <c r="Q14" i="21"/>
  <c r="A15" i="21" s="1"/>
  <c r="S15" i="21" s="1"/>
  <c r="N13" i="19"/>
  <c r="L13" i="19"/>
  <c r="H29" i="19"/>
  <c r="C13" i="19"/>
  <c r="F29" i="19"/>
  <c r="H14" i="17"/>
  <c r="G27" i="17"/>
  <c r="K27" i="17"/>
  <c r="L8" i="9"/>
  <c r="E13" i="9"/>
  <c r="D13" i="9"/>
  <c r="C13" i="9" s="1"/>
  <c r="I13" i="9"/>
  <c r="J13" i="9"/>
  <c r="K13" i="9" s="1"/>
  <c r="E10" i="9"/>
  <c r="I9" i="9"/>
  <c r="I8" i="8"/>
  <c r="F7" i="8"/>
  <c r="L8" i="8"/>
  <c r="E5" i="5"/>
  <c r="E12" i="5"/>
  <c r="Q29" i="22" l="1"/>
  <c r="E40" i="22" s="1"/>
  <c r="J40" i="22" s="1"/>
  <c r="E30" i="22"/>
  <c r="H15" i="21"/>
  <c r="N15" i="21" s="1"/>
  <c r="F15" i="21"/>
  <c r="N29" i="19"/>
  <c r="L29" i="19"/>
  <c r="Q13" i="19"/>
  <c r="A14" i="19" s="1"/>
  <c r="C30" i="19"/>
  <c r="Q30" i="19" s="1"/>
  <c r="A27" i="17"/>
  <c r="D14" i="17"/>
  <c r="E27" i="17"/>
  <c r="I10" i="9"/>
  <c r="J10" i="9"/>
  <c r="C11" i="9"/>
  <c r="D14" i="9"/>
  <c r="F11" i="9"/>
  <c r="E14" i="9"/>
  <c r="M7" i="8"/>
  <c r="E8" i="8"/>
  <c r="I9" i="8"/>
  <c r="O14" i="4"/>
  <c r="F15" i="5"/>
  <c r="D15" i="5"/>
  <c r="O13" i="3"/>
  <c r="G4" i="5"/>
  <c r="G5" i="5"/>
  <c r="G6" i="5"/>
  <c r="H6" i="5" s="1"/>
  <c r="G7" i="5"/>
  <c r="G8" i="5"/>
  <c r="G9" i="5"/>
  <c r="G10" i="5"/>
  <c r="G11" i="5"/>
  <c r="G12" i="5"/>
  <c r="G13" i="5"/>
  <c r="G14" i="5"/>
  <c r="G3" i="5"/>
  <c r="E10" i="5"/>
  <c r="E6" i="5"/>
  <c r="E4" i="5"/>
  <c r="E7" i="5"/>
  <c r="E8" i="5"/>
  <c r="E9" i="5"/>
  <c r="E11" i="5"/>
  <c r="E13" i="5"/>
  <c r="E14" i="5"/>
  <c r="E3" i="5"/>
  <c r="Q40" i="22" l="1"/>
  <c r="B30" i="22"/>
  <c r="J30" i="22"/>
  <c r="L30" i="22"/>
  <c r="G30" i="22"/>
  <c r="E51" i="22" s="1"/>
  <c r="L15" i="21"/>
  <c r="C15" i="21"/>
  <c r="F31" i="21"/>
  <c r="H31" i="21"/>
  <c r="S14" i="19"/>
  <c r="H14" i="19"/>
  <c r="N14" i="19" s="1"/>
  <c r="F14" i="19"/>
  <c r="E15" i="9"/>
  <c r="K11" i="9"/>
  <c r="K14" i="9" s="1"/>
  <c r="J14" i="9"/>
  <c r="H11" i="9"/>
  <c r="I14" i="9"/>
  <c r="J10" i="8"/>
  <c r="I10" i="8"/>
  <c r="E9" i="8"/>
  <c r="H7" i="5"/>
  <c r="H10" i="5"/>
  <c r="H11" i="5"/>
  <c r="H14" i="5"/>
  <c r="H13" i="5"/>
  <c r="H9" i="5"/>
  <c r="H5" i="5"/>
  <c r="H3" i="5"/>
  <c r="H12" i="5"/>
  <c r="H8" i="5"/>
  <c r="H4" i="5"/>
  <c r="C15" i="5"/>
  <c r="B51" i="22" l="1"/>
  <c r="N30" i="22"/>
  <c r="H51" i="22" s="1"/>
  <c r="Q30" i="22"/>
  <c r="L31" i="21"/>
  <c r="N31" i="21"/>
  <c r="C32" i="21" s="1"/>
  <c r="Q32" i="21" s="1"/>
  <c r="Q15" i="21"/>
  <c r="A16" i="21" s="1"/>
  <c r="F30" i="19"/>
  <c r="H30" i="19"/>
  <c r="C14" i="19"/>
  <c r="L14" i="19"/>
  <c r="I15" i="9"/>
  <c r="G12" i="9"/>
  <c r="E10" i="8"/>
  <c r="D10" i="8"/>
  <c r="H11" i="8"/>
  <c r="I14" i="8"/>
  <c r="I15" i="8" s="1"/>
  <c r="K11" i="8"/>
  <c r="K14" i="8" s="1"/>
  <c r="J14" i="8"/>
  <c r="N14" i="4"/>
  <c r="C14" i="4"/>
  <c r="L14" i="4"/>
  <c r="K14" i="4"/>
  <c r="M14" i="4"/>
  <c r="J14" i="4"/>
  <c r="G14" i="4"/>
  <c r="D14" i="4"/>
  <c r="F14" i="4"/>
  <c r="L6" i="4"/>
  <c r="I7" i="4"/>
  <c r="H8" i="4" s="1"/>
  <c r="J7" i="4"/>
  <c r="K8" i="4" s="1"/>
  <c r="E6" i="4"/>
  <c r="E7" i="4" s="1"/>
  <c r="L8" i="4" s="1"/>
  <c r="H7" i="4"/>
  <c r="I8" i="4" s="1"/>
  <c r="D7" i="4"/>
  <c r="C8" i="4" s="1"/>
  <c r="G7" i="4"/>
  <c r="E41" i="22" l="1"/>
  <c r="R30" i="22"/>
  <c r="E53" i="22"/>
  <c r="S16" i="21"/>
  <c r="F16" i="21"/>
  <c r="H16" i="21"/>
  <c r="N30" i="19"/>
  <c r="C31" i="19" s="1"/>
  <c r="Q31" i="19" s="1"/>
  <c r="Q14" i="19"/>
  <c r="A15" i="19" s="1"/>
  <c r="S15" i="19" s="1"/>
  <c r="L30" i="19"/>
  <c r="G28" i="17"/>
  <c r="G13" i="9"/>
  <c r="F13" i="9"/>
  <c r="F14" i="9" s="1"/>
  <c r="H13" i="9"/>
  <c r="H14" i="9" s="1"/>
  <c r="C11" i="8"/>
  <c r="C14" i="8" s="1"/>
  <c r="D14" i="8"/>
  <c r="E15" i="8" s="1"/>
  <c r="F11" i="8"/>
  <c r="E14" i="8"/>
  <c r="F7" i="4"/>
  <c r="G8" i="4" s="1"/>
  <c r="L9" i="4"/>
  <c r="L10" i="4" s="1"/>
  <c r="E11" i="4" s="1"/>
  <c r="G9" i="4"/>
  <c r="H10" i="4" s="1"/>
  <c r="I11" i="4" s="1"/>
  <c r="F8" i="4"/>
  <c r="L10" i="1"/>
  <c r="L7" i="1"/>
  <c r="L7" i="3"/>
  <c r="E10" i="3"/>
  <c r="B52" i="22" l="1"/>
  <c r="C51" i="22" s="1"/>
  <c r="Q41" i="22"/>
  <c r="J41" i="22"/>
  <c r="K50" i="22"/>
  <c r="F32" i="21"/>
  <c r="C16" i="21"/>
  <c r="H32" i="21"/>
  <c r="N16" i="21"/>
  <c r="L16" i="21"/>
  <c r="H15" i="19"/>
  <c r="N15" i="19" s="1"/>
  <c r="F15" i="19"/>
  <c r="E28" i="17"/>
  <c r="L13" i="9"/>
  <c r="L14" i="9" s="1"/>
  <c r="G14" i="9"/>
  <c r="G15" i="9" s="1"/>
  <c r="G12" i="8"/>
  <c r="M10" i="4"/>
  <c r="K10" i="4"/>
  <c r="J11" i="4" s="1"/>
  <c r="I12" i="4" s="1"/>
  <c r="G10" i="4"/>
  <c r="F11" i="4" s="1"/>
  <c r="E12" i="4" s="1"/>
  <c r="D13" i="4" s="1"/>
  <c r="C13" i="4" s="1"/>
  <c r="N11" i="4"/>
  <c r="E10" i="1"/>
  <c r="L10" i="3"/>
  <c r="L10" i="2"/>
  <c r="E10" i="2"/>
  <c r="M6" i="3"/>
  <c r="N7" i="3" s="1"/>
  <c r="L6" i="3"/>
  <c r="E7" i="3" s="1"/>
  <c r="K6" i="3"/>
  <c r="J7" i="3" s="1"/>
  <c r="J6" i="3"/>
  <c r="I6" i="3"/>
  <c r="H6" i="3"/>
  <c r="I7" i="3" s="1"/>
  <c r="G6" i="3"/>
  <c r="F7" i="3" s="1"/>
  <c r="F6" i="3"/>
  <c r="E6" i="3"/>
  <c r="D6" i="3"/>
  <c r="C7" i="3" s="1"/>
  <c r="K52" i="22" l="1"/>
  <c r="H52" i="22"/>
  <c r="I51" i="22" s="1"/>
  <c r="E52" i="22"/>
  <c r="F51" i="22" s="1"/>
  <c r="K51" i="22"/>
  <c r="L32" i="21"/>
  <c r="N32" i="21"/>
  <c r="C33" i="21" s="1"/>
  <c r="Q33" i="21" s="1"/>
  <c r="Q16" i="21"/>
  <c r="A17" i="21" s="1"/>
  <c r="S17" i="21" s="1"/>
  <c r="F31" i="19"/>
  <c r="C15" i="19"/>
  <c r="H31" i="19"/>
  <c r="L15" i="19"/>
  <c r="A10" i="17"/>
  <c r="E10" i="17"/>
  <c r="F13" i="8"/>
  <c r="F14" i="8" s="1"/>
  <c r="H13" i="8"/>
  <c r="H14" i="8" s="1"/>
  <c r="G13" i="8"/>
  <c r="E13" i="4"/>
  <c r="F13" i="4"/>
  <c r="J13" i="4"/>
  <c r="I13" i="4"/>
  <c r="E8" i="3"/>
  <c r="I8" i="3"/>
  <c r="J9" i="3"/>
  <c r="K10" i="3" s="1"/>
  <c r="I9" i="3"/>
  <c r="H10" i="3" s="1"/>
  <c r="F9" i="3"/>
  <c r="E9" i="3"/>
  <c r="D9" i="3"/>
  <c r="K7" i="3"/>
  <c r="H7" i="3"/>
  <c r="G7" i="3"/>
  <c r="H17" i="21" l="1"/>
  <c r="F17" i="21"/>
  <c r="N31" i="19"/>
  <c r="C32" i="19" s="1"/>
  <c r="Q32" i="19" s="1"/>
  <c r="Q15" i="19"/>
  <c r="A16" i="19" s="1"/>
  <c r="S16" i="19" s="1"/>
  <c r="L31" i="19"/>
  <c r="G10" i="17"/>
  <c r="K10" i="17"/>
  <c r="H16" i="17" s="1"/>
  <c r="L13" i="8"/>
  <c r="L14" i="8" s="1"/>
  <c r="G14" i="8"/>
  <c r="G15" i="8"/>
  <c r="G8" i="3"/>
  <c r="L8" i="3"/>
  <c r="C10" i="3"/>
  <c r="G10" i="3"/>
  <c r="G11" i="3" s="1"/>
  <c r="L7" i="2"/>
  <c r="E7" i="2"/>
  <c r="E7" i="1"/>
  <c r="C17" i="21" l="1"/>
  <c r="H33" i="21"/>
  <c r="F33" i="21"/>
  <c r="N17" i="21"/>
  <c r="L17" i="21"/>
  <c r="H16" i="19"/>
  <c r="N16" i="19" s="1"/>
  <c r="F16" i="19"/>
  <c r="G29" i="17"/>
  <c r="D16" i="17" s="1"/>
  <c r="H9" i="3"/>
  <c r="G9" i="3"/>
  <c r="G12" i="3"/>
  <c r="H12" i="3"/>
  <c r="L9" i="3"/>
  <c r="M9" i="3"/>
  <c r="K9" i="3"/>
  <c r="F7" i="2"/>
  <c r="M6" i="2"/>
  <c r="N7" i="2" s="1"/>
  <c r="L6" i="2"/>
  <c r="K6" i="2"/>
  <c r="J6" i="2"/>
  <c r="I6" i="2"/>
  <c r="H6" i="2"/>
  <c r="I7" i="2" s="1"/>
  <c r="G6" i="2"/>
  <c r="F6" i="2"/>
  <c r="E6" i="2"/>
  <c r="D6" i="2"/>
  <c r="C7" i="2" s="1"/>
  <c r="L33" i="21" l="1"/>
  <c r="N33" i="21"/>
  <c r="C34" i="21" s="1"/>
  <c r="Q34" i="21" s="1"/>
  <c r="Q17" i="21"/>
  <c r="A18" i="21" s="1"/>
  <c r="S18" i="21" s="1"/>
  <c r="F32" i="19"/>
  <c r="H32" i="19"/>
  <c r="C16" i="19"/>
  <c r="L16" i="19"/>
  <c r="E29" i="17"/>
  <c r="G13" i="3"/>
  <c r="H13" i="3"/>
  <c r="F10" i="3"/>
  <c r="I10" i="3"/>
  <c r="L11" i="3"/>
  <c r="J10" i="3"/>
  <c r="N10" i="3"/>
  <c r="J7" i="2"/>
  <c r="I8" i="2" s="1"/>
  <c r="O6" i="2"/>
  <c r="K7" i="2"/>
  <c r="H7" i="2"/>
  <c r="G7" i="2"/>
  <c r="E8" i="2"/>
  <c r="K10" i="1"/>
  <c r="I10" i="1"/>
  <c r="H10" i="1"/>
  <c r="F10" i="1"/>
  <c r="M9" i="1"/>
  <c r="N10" i="1" s="1"/>
  <c r="J9" i="1"/>
  <c r="I9" i="1"/>
  <c r="H9" i="1"/>
  <c r="G9" i="1"/>
  <c r="L8" i="1"/>
  <c r="L9" i="1" s="1"/>
  <c r="I8" i="1"/>
  <c r="G8" i="1"/>
  <c r="E8" i="1"/>
  <c r="F9" i="1" s="1"/>
  <c r="O7" i="1"/>
  <c r="O6" i="1"/>
  <c r="N7" i="1"/>
  <c r="K7" i="1"/>
  <c r="J7" i="1"/>
  <c r="I7" i="1"/>
  <c r="H7" i="1"/>
  <c r="G7" i="1"/>
  <c r="F7" i="1"/>
  <c r="C7" i="1"/>
  <c r="M6" i="1"/>
  <c r="L6" i="1"/>
  <c r="K6" i="1"/>
  <c r="J6" i="1"/>
  <c r="I6" i="1"/>
  <c r="H6" i="1"/>
  <c r="G6" i="1"/>
  <c r="F6" i="1"/>
  <c r="E6" i="1"/>
  <c r="D6" i="1"/>
  <c r="H18" i="21" l="1"/>
  <c r="N18" i="21" s="1"/>
  <c r="F18" i="21"/>
  <c r="N32" i="19"/>
  <c r="C33" i="19" s="1"/>
  <c r="Q33" i="19" s="1"/>
  <c r="Q16" i="19"/>
  <c r="A17" i="19" s="1"/>
  <c r="S17" i="19" s="1"/>
  <c r="L32" i="19"/>
  <c r="A11" i="17"/>
  <c r="E11" i="17"/>
  <c r="E11" i="3"/>
  <c r="I11" i="3"/>
  <c r="K12" i="3"/>
  <c r="K13" i="3" s="1"/>
  <c r="M12" i="3"/>
  <c r="L12" i="3"/>
  <c r="L13" i="3" s="1"/>
  <c r="G14" i="3"/>
  <c r="K9" i="1"/>
  <c r="G10" i="1"/>
  <c r="E11" i="1"/>
  <c r="D9" i="1"/>
  <c r="E9" i="1"/>
  <c r="J9" i="2"/>
  <c r="K10" i="2" s="1"/>
  <c r="I9" i="2"/>
  <c r="H10" i="2" s="1"/>
  <c r="F9" i="2"/>
  <c r="E9" i="2"/>
  <c r="D9" i="2"/>
  <c r="G8" i="2"/>
  <c r="O7" i="2"/>
  <c r="L8" i="2"/>
  <c r="L18" i="21" l="1"/>
  <c r="C41" i="21" s="1"/>
  <c r="F34" i="21"/>
  <c r="C18" i="21"/>
  <c r="G38" i="21" s="1"/>
  <c r="H34" i="21"/>
  <c r="F17" i="19"/>
  <c r="F33" i="19" s="1"/>
  <c r="H17" i="19"/>
  <c r="N17" i="19" s="1"/>
  <c r="G11" i="17"/>
  <c r="K11" i="17"/>
  <c r="H17" i="17" s="1"/>
  <c r="E12" i="3"/>
  <c r="E13" i="3" s="1"/>
  <c r="D12" i="3"/>
  <c r="F12" i="3"/>
  <c r="F13" i="3" s="1"/>
  <c r="N12" i="3"/>
  <c r="N13" i="3" s="1"/>
  <c r="M13" i="3"/>
  <c r="L14" i="3" s="1"/>
  <c r="I12" i="3"/>
  <c r="I13" i="3" s="1"/>
  <c r="J12" i="3"/>
  <c r="J13" i="3" s="1"/>
  <c r="J10" i="1"/>
  <c r="C10" i="1"/>
  <c r="O9" i="1"/>
  <c r="E12" i="1"/>
  <c r="E13" i="1" s="1"/>
  <c r="D12" i="1"/>
  <c r="C12" i="1" s="1"/>
  <c r="F12" i="1"/>
  <c r="F13" i="1" s="1"/>
  <c r="G11" i="1"/>
  <c r="H9" i="2"/>
  <c r="G9" i="2"/>
  <c r="C10" i="2"/>
  <c r="L9" i="2"/>
  <c r="M9" i="2"/>
  <c r="K9" i="2"/>
  <c r="G10" i="2"/>
  <c r="G11" i="2" s="1"/>
  <c r="C38" i="21" l="1"/>
  <c r="N34" i="21"/>
  <c r="L34" i="21"/>
  <c r="Q18" i="21"/>
  <c r="G40" i="21"/>
  <c r="O38" i="21"/>
  <c r="C39" i="21"/>
  <c r="H33" i="19"/>
  <c r="C17" i="19"/>
  <c r="L17" i="19"/>
  <c r="L33" i="19"/>
  <c r="G30" i="17"/>
  <c r="D17" i="17" s="1"/>
  <c r="D13" i="1"/>
  <c r="C12" i="3"/>
  <c r="D13" i="3"/>
  <c r="E14" i="3" s="1"/>
  <c r="I14" i="3"/>
  <c r="I11" i="1"/>
  <c r="L11" i="1"/>
  <c r="H12" i="1"/>
  <c r="H13" i="1" s="1"/>
  <c r="G12" i="1"/>
  <c r="G13" i="1" s="1"/>
  <c r="G14" i="1" s="1"/>
  <c r="E14" i="1"/>
  <c r="O10" i="1"/>
  <c r="C13" i="1"/>
  <c r="J10" i="2"/>
  <c r="L11" i="2"/>
  <c r="N10" i="2"/>
  <c r="O9" i="2"/>
  <c r="F10" i="2"/>
  <c r="E11" i="2" s="1"/>
  <c r="G12" i="2"/>
  <c r="G13" i="2" s="1"/>
  <c r="H12" i="2"/>
  <c r="H13" i="2" s="1"/>
  <c r="I10" i="2"/>
  <c r="D38" i="21" l="1"/>
  <c r="G39" i="21"/>
  <c r="H38" i="21" s="1"/>
  <c r="K40" i="21"/>
  <c r="O40" i="21"/>
  <c r="C42" i="21"/>
  <c r="D41" i="21" s="1"/>
  <c r="Q17" i="19"/>
  <c r="A18" i="19" s="1"/>
  <c r="S18" i="19" s="1"/>
  <c r="N33" i="19"/>
  <c r="C34" i="19" s="1"/>
  <c r="Q34" i="19" s="1"/>
  <c r="E30" i="17"/>
  <c r="C13" i="3"/>
  <c r="M12" i="1"/>
  <c r="L12" i="1"/>
  <c r="L13" i="1" s="1"/>
  <c r="K12" i="1"/>
  <c r="K13" i="1" s="1"/>
  <c r="J12" i="1"/>
  <c r="J13" i="1" s="1"/>
  <c r="I12" i="1"/>
  <c r="G14" i="2"/>
  <c r="I11" i="2"/>
  <c r="E12" i="2"/>
  <c r="E13" i="2" s="1"/>
  <c r="F12" i="2"/>
  <c r="F13" i="2" s="1"/>
  <c r="D12" i="2"/>
  <c r="C12" i="2" s="1"/>
  <c r="K12" i="2"/>
  <c r="K13" i="2" s="1"/>
  <c r="M12" i="2"/>
  <c r="L12" i="2"/>
  <c r="L13" i="2" s="1"/>
  <c r="O10" i="2"/>
  <c r="L38" i="21" l="1"/>
  <c r="H18" i="19"/>
  <c r="N18" i="19" s="1"/>
  <c r="F18" i="19"/>
  <c r="F34" i="19" s="1"/>
  <c r="A12" i="17"/>
  <c r="E12" i="17"/>
  <c r="I13" i="1"/>
  <c r="N12" i="1"/>
  <c r="N13" i="1" s="1"/>
  <c r="M13" i="1"/>
  <c r="L14" i="1" s="1"/>
  <c r="N12" i="2"/>
  <c r="N13" i="2" s="1"/>
  <c r="M13" i="2"/>
  <c r="L14" i="2"/>
  <c r="D13" i="2"/>
  <c r="E14" i="2" s="1"/>
  <c r="I12" i="2"/>
  <c r="I13" i="2" s="1"/>
  <c r="J12" i="2"/>
  <c r="J13" i="2" s="1"/>
  <c r="H34" i="19" l="1"/>
  <c r="C18" i="19"/>
  <c r="G38" i="19" s="1"/>
  <c r="G40" i="19"/>
  <c r="O38" i="19"/>
  <c r="L18" i="19"/>
  <c r="C41" i="19" s="1"/>
  <c r="Q18" i="19"/>
  <c r="K39" i="19" s="1"/>
  <c r="L34" i="19"/>
  <c r="K38" i="19" s="1"/>
  <c r="N34" i="19"/>
  <c r="C42" i="19"/>
  <c r="G12" i="17"/>
  <c r="K12" i="17"/>
  <c r="H18" i="17" s="1"/>
  <c r="I14" i="1"/>
  <c r="O13" i="1"/>
  <c r="O12" i="1"/>
  <c r="I14" i="2"/>
  <c r="O12" i="2"/>
  <c r="C13" i="2"/>
  <c r="O13" i="2" s="1"/>
  <c r="M7" i="4"/>
  <c r="N8" i="4"/>
  <c r="L7" i="4"/>
  <c r="E8" i="4"/>
  <c r="E9" i="4" s="1"/>
  <c r="K7" i="4"/>
  <c r="J8" i="4" s="1"/>
  <c r="C39" i="19" l="1"/>
  <c r="D41" i="19"/>
  <c r="K40" i="19"/>
  <c r="L38" i="19" s="1"/>
  <c r="O40" i="19"/>
  <c r="G39" i="19"/>
  <c r="H38" i="19" s="1"/>
  <c r="C38" i="19"/>
  <c r="D38" i="19" s="1"/>
  <c r="G31" i="17"/>
  <c r="D18" i="17" s="1"/>
  <c r="I9" i="4"/>
  <c r="D10" i="4"/>
  <c r="E10" i="4"/>
  <c r="L11" i="4" s="1"/>
  <c r="F10" i="4"/>
  <c r="E14" i="4"/>
  <c r="E31" i="17" l="1"/>
  <c r="C11" i="4"/>
  <c r="J10" i="4"/>
  <c r="I10" i="4"/>
  <c r="G11" i="4"/>
  <c r="E15" i="4" l="1"/>
  <c r="K11" i="4"/>
  <c r="G12" i="4"/>
  <c r="H11" i="4"/>
  <c r="I14" i="4"/>
  <c r="I15" i="4" s="1"/>
  <c r="G13" i="4" l="1"/>
  <c r="H13" i="4"/>
  <c r="H14" i="4"/>
  <c r="L12" i="4"/>
  <c r="L13" i="4" l="1"/>
  <c r="K13" i="4"/>
  <c r="M13" i="4"/>
  <c r="G15" i="4"/>
  <c r="N13" i="4" l="1"/>
  <c r="L15" i="4"/>
</calcChain>
</file>

<file path=xl/sharedStrings.xml><?xml version="1.0" encoding="utf-8"?>
<sst xmlns="http://schemas.openxmlformats.org/spreadsheetml/2006/main" count="385" uniqueCount="174">
  <si>
    <t>Titik</t>
  </si>
  <si>
    <t>A</t>
  </si>
  <si>
    <t>Batang</t>
  </si>
  <si>
    <t>K (EI)</t>
  </si>
  <si>
    <t>A3</t>
  </si>
  <si>
    <t>3A</t>
  </si>
  <si>
    <t>4B</t>
  </si>
  <si>
    <t>B</t>
  </si>
  <si>
    <t>Siklus</t>
  </si>
  <si>
    <t>DF</t>
  </si>
  <si>
    <t>Balance</t>
  </si>
  <si>
    <t>C.O</t>
  </si>
  <si>
    <r>
      <t>M</t>
    </r>
    <r>
      <rPr>
        <sz val="11"/>
        <color theme="1"/>
        <rFont val="Calibri"/>
        <family val="2"/>
      </rPr>
      <t>◦</t>
    </r>
  </si>
  <si>
    <t>∑</t>
  </si>
  <si>
    <t>B4</t>
  </si>
  <si>
    <t>Bagian</t>
  </si>
  <si>
    <t>Akibat Muatan Luar</t>
  </si>
  <si>
    <t>Pendel 2 Dilepas (x)</t>
  </si>
  <si>
    <t>Pendel 1 Dilepas (y)</t>
  </si>
  <si>
    <t>Momen Akhir (Momen Titik)</t>
  </si>
  <si>
    <t>X</t>
  </si>
  <si>
    <t>Y</t>
  </si>
  <si>
    <t>C</t>
  </si>
  <si>
    <t>A1</t>
  </si>
  <si>
    <t>1A</t>
  </si>
  <si>
    <t>2B</t>
  </si>
  <si>
    <t>3C</t>
  </si>
  <si>
    <t>C3</t>
  </si>
  <si>
    <t>B2</t>
  </si>
  <si>
    <t>A.Muatan Luar</t>
  </si>
  <si>
    <t>A.Momen pergoyangan</t>
  </si>
  <si>
    <t>jumlah</t>
  </si>
  <si>
    <r>
      <t>M</t>
    </r>
    <r>
      <rPr>
        <b/>
        <sz val="11"/>
        <color theme="1"/>
        <rFont val="Calibri"/>
        <family val="2"/>
      </rPr>
      <t>◦12</t>
    </r>
  </si>
  <si>
    <t>M◦21</t>
  </si>
  <si>
    <t>M◦24</t>
  </si>
  <si>
    <t>DIKET :</t>
  </si>
  <si>
    <t>M12</t>
  </si>
  <si>
    <t>M21</t>
  </si>
  <si>
    <t>M34</t>
  </si>
  <si>
    <t>M43</t>
  </si>
  <si>
    <t>R12</t>
  </si>
  <si>
    <t>R21</t>
  </si>
  <si>
    <t>R13</t>
  </si>
  <si>
    <t>R24</t>
  </si>
  <si>
    <t>R31</t>
  </si>
  <si>
    <t>R34</t>
  </si>
  <si>
    <t>R3A</t>
  </si>
  <si>
    <t>R42</t>
  </si>
  <si>
    <t>R43</t>
  </si>
  <si>
    <t>R4B</t>
  </si>
  <si>
    <t>M◦13</t>
  </si>
  <si>
    <r>
      <t>M</t>
    </r>
    <r>
      <rPr>
        <b/>
        <sz val="11"/>
        <color theme="1"/>
        <rFont val="Calibri"/>
        <family val="2"/>
      </rPr>
      <t>◦</t>
    </r>
    <r>
      <rPr>
        <b/>
        <sz val="11"/>
        <color theme="1"/>
        <rFont val="Calibri"/>
        <family val="2"/>
        <scheme val="minor"/>
      </rPr>
      <t>31</t>
    </r>
  </si>
  <si>
    <t>M◦3A</t>
  </si>
  <si>
    <t>M◦34</t>
  </si>
  <si>
    <t>M◦43</t>
  </si>
  <si>
    <t>M◦42</t>
  </si>
  <si>
    <t>M◦4B</t>
  </si>
  <si>
    <t>Data</t>
  </si>
  <si>
    <t>q1</t>
  </si>
  <si>
    <t>q2</t>
  </si>
  <si>
    <t>H1</t>
  </si>
  <si>
    <t>H2</t>
  </si>
  <si>
    <t>K1</t>
  </si>
  <si>
    <t>K2</t>
  </si>
  <si>
    <t>l</t>
  </si>
  <si>
    <t>Q1</t>
  </si>
  <si>
    <t>Q2</t>
  </si>
  <si>
    <t>A. Momen Primer</t>
  </si>
  <si>
    <t>M'21=-M'21</t>
  </si>
  <si>
    <t>M'34=-M'43</t>
  </si>
  <si>
    <t>Restrain Momen</t>
  </si>
  <si>
    <t>M1</t>
  </si>
  <si>
    <t>M2</t>
  </si>
  <si>
    <t>M3</t>
  </si>
  <si>
    <t>M4</t>
  </si>
  <si>
    <t>B. Angka Kekakuan</t>
  </si>
  <si>
    <t>KA3=KB4</t>
  </si>
  <si>
    <t>K13=K24</t>
  </si>
  <si>
    <t>K12</t>
  </si>
  <si>
    <t>K34</t>
  </si>
  <si>
    <t>EI34</t>
  </si>
  <si>
    <t>EI 3A,4B</t>
  </si>
  <si>
    <t>EI 12</t>
  </si>
  <si>
    <t>EI 13,24</t>
  </si>
  <si>
    <t>C. Rotation Factor</t>
  </si>
  <si>
    <t>Titik 1</t>
  </si>
  <si>
    <t>Titik 2</t>
  </si>
  <si>
    <t>Titik 3</t>
  </si>
  <si>
    <t>Titik 4</t>
  </si>
  <si>
    <t>D. Displacement Factor</t>
  </si>
  <si>
    <t>Tingkat Atas</t>
  </si>
  <si>
    <t>D13</t>
  </si>
  <si>
    <t>D24</t>
  </si>
  <si>
    <t>Tingkat Bawah</t>
  </si>
  <si>
    <t>D3A</t>
  </si>
  <si>
    <t>D4B</t>
  </si>
  <si>
    <t>Momen Tingkat</t>
  </si>
  <si>
    <t>Mr1</t>
  </si>
  <si>
    <t>Mr2</t>
  </si>
  <si>
    <t>Qr2</t>
  </si>
  <si>
    <t>M'31</t>
  </si>
  <si>
    <t>M''13</t>
  </si>
  <si>
    <t>M'13</t>
  </si>
  <si>
    <t>M'12</t>
  </si>
  <si>
    <t>M'21</t>
  </si>
  <si>
    <t>M'24</t>
  </si>
  <si>
    <t>M'42</t>
  </si>
  <si>
    <t>M''24</t>
  </si>
  <si>
    <t>Displacement Kontribusi</t>
  </si>
  <si>
    <t>M''13=M''24</t>
  </si>
  <si>
    <t>M''3A=M''4B</t>
  </si>
  <si>
    <t>M''3A</t>
  </si>
  <si>
    <t>M'3A</t>
  </si>
  <si>
    <t>M'34</t>
  </si>
  <si>
    <t>M'4B</t>
  </si>
  <si>
    <t>M''4B</t>
  </si>
  <si>
    <t>Titik 1:</t>
  </si>
  <si>
    <t>M13</t>
  </si>
  <si>
    <t>Titik 2:</t>
  </si>
  <si>
    <t xml:space="preserve">M21 </t>
  </si>
  <si>
    <t>M24</t>
  </si>
  <si>
    <t>M31</t>
  </si>
  <si>
    <t>M3A</t>
  </si>
  <si>
    <t>M42</t>
  </si>
  <si>
    <t>M4B</t>
  </si>
  <si>
    <t>Titik A</t>
  </si>
  <si>
    <t>MA3</t>
  </si>
  <si>
    <t>MB4</t>
  </si>
  <si>
    <t>M'43</t>
  </si>
  <si>
    <t>D</t>
  </si>
  <si>
    <t>MOMEN AKHIR</t>
  </si>
  <si>
    <t>TITIK 1</t>
  </si>
  <si>
    <t>TITIK 2</t>
  </si>
  <si>
    <t>TITIK 3</t>
  </si>
  <si>
    <t>TITIK 4</t>
  </si>
  <si>
    <t>TITIK A</t>
  </si>
  <si>
    <t>TITIK B</t>
  </si>
  <si>
    <t>P</t>
  </si>
  <si>
    <t>EI23</t>
  </si>
  <si>
    <t>EI 1A,2B,3C</t>
  </si>
  <si>
    <t>K1A,2B,3C</t>
  </si>
  <si>
    <t>l1</t>
  </si>
  <si>
    <t>l2</t>
  </si>
  <si>
    <t>K23</t>
  </si>
  <si>
    <t>R1A</t>
  </si>
  <si>
    <t>R2B</t>
  </si>
  <si>
    <t>R23</t>
  </si>
  <si>
    <t>R32</t>
  </si>
  <si>
    <t>R3C</t>
  </si>
  <si>
    <t>D1A=2B=3C</t>
  </si>
  <si>
    <r>
      <t>M◦21=-M</t>
    </r>
    <r>
      <rPr>
        <sz val="11"/>
        <color theme="1"/>
        <rFont val="Calibri"/>
        <family val="2"/>
      </rPr>
      <t>◦</t>
    </r>
    <r>
      <rPr>
        <sz val="11"/>
        <color theme="1"/>
        <rFont val="Calibri"/>
        <family val="2"/>
        <charset val="1"/>
        <scheme val="minor"/>
      </rPr>
      <t>21</t>
    </r>
  </si>
  <si>
    <t>M◦23=-M◦32</t>
  </si>
  <si>
    <t>M1=-M◦12</t>
  </si>
  <si>
    <t>M2=M◦21+M◦23</t>
  </si>
  <si>
    <t>E. Rotasi Kontribusi/ Proses Iterasi</t>
  </si>
  <si>
    <t>M'1A</t>
  </si>
  <si>
    <t>M'2B</t>
  </si>
  <si>
    <t>M'23</t>
  </si>
  <si>
    <t>M'32</t>
  </si>
  <si>
    <t>M'3C</t>
  </si>
  <si>
    <t>M''1A</t>
  </si>
  <si>
    <t>M''2B</t>
  </si>
  <si>
    <t>M''3C</t>
  </si>
  <si>
    <t xml:space="preserve">Qr = K </t>
  </si>
  <si>
    <t>Mr</t>
  </si>
  <si>
    <t>Momen Ujung</t>
  </si>
  <si>
    <t>M1A</t>
  </si>
  <si>
    <t>M2B</t>
  </si>
  <si>
    <t>M23</t>
  </si>
  <si>
    <t>M32</t>
  </si>
  <si>
    <t>M3C</t>
  </si>
  <si>
    <t>MA1</t>
  </si>
  <si>
    <t>MB2</t>
  </si>
  <si>
    <t>MC3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</si>
</sst>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/>
    <xf numFmtId="0" fontId="0" fillId="0" borderId="3" xfId="0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14" xfId="0" applyNumberForma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/>
    <xf numFmtId="164" fontId="0" fillId="0" borderId="6" xfId="0" applyNumberFormat="1" applyBorder="1"/>
    <xf numFmtId="0" fontId="0" fillId="3" borderId="4" xfId="0" applyFill="1" applyBorder="1"/>
    <xf numFmtId="164" fontId="0" fillId="3" borderId="0" xfId="0" applyNumberFormat="1" applyFill="1" applyBorder="1"/>
    <xf numFmtId="0" fontId="0" fillId="3" borderId="5" xfId="0" applyFill="1" applyBorder="1"/>
    <xf numFmtId="164" fontId="0" fillId="3" borderId="0" xfId="0" applyNumberFormat="1" applyFill="1"/>
    <xf numFmtId="0" fontId="0" fillId="3" borderId="0" xfId="0" applyFill="1"/>
    <xf numFmtId="164" fontId="0" fillId="3" borderId="4" xfId="0" applyNumberFormat="1" applyFill="1" applyBorder="1"/>
    <xf numFmtId="0" fontId="0" fillId="3" borderId="14" xfId="0" applyFill="1" applyBorder="1"/>
    <xf numFmtId="164" fontId="0" fillId="4" borderId="4" xfId="0" applyNumberFormat="1" applyFill="1" applyBorder="1"/>
    <xf numFmtId="164" fontId="0" fillId="4" borderId="0" xfId="0" applyNumberFormat="1" applyFill="1"/>
    <xf numFmtId="0" fontId="0" fillId="5" borderId="0" xfId="0" applyFill="1" applyBorder="1"/>
    <xf numFmtId="164" fontId="0" fillId="5" borderId="11" xfId="0" applyNumberFormat="1" applyFill="1" applyBorder="1"/>
    <xf numFmtId="164" fontId="0" fillId="5" borderId="0" xfId="0" applyNumberFormat="1" applyFill="1" applyBorder="1"/>
    <xf numFmtId="0" fontId="0" fillId="5" borderId="0" xfId="0" applyFill="1"/>
    <xf numFmtId="164" fontId="0" fillId="5" borderId="0" xfId="0" applyNumberFormat="1" applyFill="1"/>
    <xf numFmtId="164" fontId="0" fillId="5" borderId="4" xfId="0" applyNumberFormat="1" applyFill="1" applyBorder="1"/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164" fontId="0" fillId="6" borderId="11" xfId="0" applyNumberFormat="1" applyFill="1" applyBorder="1"/>
    <xf numFmtId="164" fontId="0" fillId="6" borderId="0" xfId="0" applyNumberFormat="1" applyFill="1" applyBorder="1"/>
    <xf numFmtId="0" fontId="0" fillId="6" borderId="0" xfId="0" applyFill="1"/>
    <xf numFmtId="164" fontId="0" fillId="6" borderId="0" xfId="0" applyNumberFormat="1" applyFill="1"/>
    <xf numFmtId="164" fontId="0" fillId="6" borderId="4" xfId="0" applyNumberForma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64" fontId="0" fillId="6" borderId="5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6" borderId="14" xfId="0" applyNumberFormat="1" applyFill="1" applyBorder="1"/>
    <xf numFmtId="0" fontId="0" fillId="0" borderId="0" xfId="0" applyAlignment="1">
      <alignment horizontal="center"/>
    </xf>
    <xf numFmtId="0" fontId="0" fillId="8" borderId="0" xfId="0" applyFill="1"/>
    <xf numFmtId="164" fontId="0" fillId="8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Fill="1"/>
    <xf numFmtId="164" fontId="0" fillId="9" borderId="0" xfId="0" applyNumberForma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4" xfId="0" applyFill="1" applyBorder="1"/>
    <xf numFmtId="164" fontId="0" fillId="0" borderId="8" xfId="0" applyNumberFormat="1" applyBorder="1"/>
    <xf numFmtId="0" fontId="0" fillId="0" borderId="0" xfId="0" applyAlignment="1">
      <alignment horizontal="center"/>
    </xf>
    <xf numFmtId="0" fontId="0" fillId="3" borderId="0" xfId="0" applyFill="1" applyBorder="1"/>
    <xf numFmtId="164" fontId="0" fillId="3" borderId="14" xfId="0" applyNumberFormat="1" applyFill="1" applyBorder="1"/>
    <xf numFmtId="164" fontId="0" fillId="3" borderId="5" xfId="0" applyNumberFormat="1" applyFill="1" applyBorder="1"/>
    <xf numFmtId="164" fontId="0" fillId="0" borderId="0" xfId="0" applyNumberFormat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9" xfId="0" applyFont="1" applyBorder="1"/>
    <xf numFmtId="0" fontId="0" fillId="0" borderId="16" xfId="0" applyBorder="1"/>
    <xf numFmtId="0" fontId="4" fillId="0" borderId="5" xfId="0" applyFont="1" applyBorder="1"/>
    <xf numFmtId="0" fontId="0" fillId="0" borderId="13" xfId="0" applyBorder="1"/>
    <xf numFmtId="0" fontId="2" fillId="0" borderId="7" xfId="0" applyFont="1" applyBorder="1"/>
    <xf numFmtId="165" fontId="0" fillId="6" borderId="0" xfId="0" applyNumberFormat="1" applyFill="1" applyBorder="1"/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11" borderId="0" xfId="0" applyNumberFormat="1" applyFill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17" xfId="0" applyBorder="1"/>
    <xf numFmtId="164" fontId="0" fillId="0" borderId="16" xfId="0" applyNumberFormat="1" applyBorder="1"/>
    <xf numFmtId="0" fontId="0" fillId="15" borderId="8" xfId="0" applyFill="1" applyBorder="1"/>
    <xf numFmtId="0" fontId="0" fillId="6" borderId="8" xfId="0" applyFill="1" applyBorder="1"/>
    <xf numFmtId="165" fontId="0" fillId="3" borderId="0" xfId="0" applyNumberFormat="1" applyFill="1" applyBorder="1"/>
    <xf numFmtId="0" fontId="0" fillId="10" borderId="4" xfId="0" applyFill="1" applyBorder="1"/>
    <xf numFmtId="164" fontId="0" fillId="13" borderId="0" xfId="0" applyNumberFormat="1" applyFill="1" applyBorder="1"/>
    <xf numFmtId="0" fontId="0" fillId="12" borderId="2" xfId="0" applyFill="1" applyBorder="1"/>
    <xf numFmtId="0" fontId="0" fillId="13" borderId="2" xfId="0" applyFill="1" applyBorder="1"/>
    <xf numFmtId="0" fontId="0" fillId="11" borderId="5" xfId="0" applyFill="1" applyBorder="1"/>
    <xf numFmtId="0" fontId="0" fillId="5" borderId="8" xfId="0" applyFill="1" applyBorder="1"/>
    <xf numFmtId="164" fontId="0" fillId="16" borderId="0" xfId="0" applyNumberFormat="1" applyFill="1"/>
    <xf numFmtId="0" fontId="0" fillId="16" borderId="4" xfId="0" applyFill="1" applyBorder="1"/>
    <xf numFmtId="0" fontId="0" fillId="17" borderId="8" xfId="0" applyFill="1" applyBorder="1"/>
    <xf numFmtId="0" fontId="2" fillId="0" borderId="5" xfId="0" applyFont="1" applyBorder="1"/>
    <xf numFmtId="0" fontId="2" fillId="0" borderId="4" xfId="0" applyFont="1" applyBorder="1"/>
    <xf numFmtId="164" fontId="0" fillId="12" borderId="0" xfId="0" applyNumberFormat="1" applyFill="1" applyBorder="1"/>
    <xf numFmtId="164" fontId="0" fillId="10" borderId="0" xfId="0" applyNumberFormat="1" applyFill="1" applyBorder="1"/>
    <xf numFmtId="164" fontId="5" fillId="15" borderId="0" xfId="0" applyNumberFormat="1" applyFont="1" applyFill="1" applyBorder="1"/>
    <xf numFmtId="164" fontId="0" fillId="16" borderId="0" xfId="0" applyNumberFormat="1" applyFill="1" applyBorder="1"/>
    <xf numFmtId="164" fontId="0" fillId="17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10" borderId="4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15" borderId="8" xfId="0" applyNumberForma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164" fontId="5" fillId="15" borderId="2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0" fillId="17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0" xfId="0" applyNumberFormat="1"/>
    <xf numFmtId="164" fontId="0" fillId="13" borderId="2" xfId="0" applyNumberFormat="1" applyFill="1" applyBorder="1" applyAlignment="1">
      <alignment horizontal="center"/>
    </xf>
    <xf numFmtId="164" fontId="0" fillId="16" borderId="4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17" borderId="8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/>
    <xf numFmtId="0" fontId="0" fillId="0" borderId="12" xfId="0" applyBorder="1" applyAlignment="1"/>
    <xf numFmtId="0" fontId="0" fillId="0" borderId="2" xfId="0" applyBorder="1" applyAlignment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0" fillId="0" borderId="38" xfId="0" applyBorder="1" applyAlignment="1">
      <alignment horizontal="center" vertical="center"/>
    </xf>
    <xf numFmtId="0" fontId="0" fillId="0" borderId="39" xfId="0" applyBorder="1" applyAlignment="1"/>
    <xf numFmtId="0" fontId="7" fillId="0" borderId="0" xfId="0" applyFont="1" applyBorder="1"/>
    <xf numFmtId="0" fontId="8" fillId="0" borderId="0" xfId="0" applyFont="1" applyBorder="1"/>
    <xf numFmtId="0" fontId="0" fillId="0" borderId="26" xfId="0" applyBorder="1"/>
    <xf numFmtId="0" fontId="0" fillId="0" borderId="20" xfId="0" applyFill="1" applyBorder="1"/>
    <xf numFmtId="164" fontId="0" fillId="0" borderId="20" xfId="0" applyNumberFormat="1" applyFill="1" applyBorder="1"/>
    <xf numFmtId="0" fontId="0" fillId="0" borderId="40" xfId="0" applyBorder="1" applyAlignment="1"/>
    <xf numFmtId="0" fontId="0" fillId="0" borderId="19" xfId="0" applyBorder="1"/>
    <xf numFmtId="0" fontId="0" fillId="0" borderId="19" xfId="0" applyFill="1" applyBorder="1"/>
    <xf numFmtId="164" fontId="0" fillId="0" borderId="18" xfId="0" applyNumberFormat="1" applyFill="1" applyBorder="1"/>
    <xf numFmtId="0" fontId="0" fillId="0" borderId="24" xfId="0" applyBorder="1"/>
    <xf numFmtId="0" fontId="0" fillId="0" borderId="22" xfId="0" applyBorder="1"/>
    <xf numFmtId="0" fontId="0" fillId="0" borderId="41" xfId="0" applyFill="1" applyBorder="1"/>
    <xf numFmtId="0" fontId="0" fillId="0" borderId="21" xfId="0" applyFill="1" applyBorder="1"/>
    <xf numFmtId="0" fontId="0" fillId="0" borderId="42" xfId="0" applyFill="1" applyBorder="1"/>
    <xf numFmtId="164" fontId="0" fillId="0" borderId="21" xfId="0" applyNumberFormat="1" applyFill="1" applyBorder="1"/>
    <xf numFmtId="0" fontId="0" fillId="0" borderId="41" xfId="0" applyBorder="1"/>
    <xf numFmtId="0" fontId="0" fillId="0" borderId="25" xfId="0" applyFill="1" applyBorder="1"/>
    <xf numFmtId="0" fontId="0" fillId="0" borderId="23" xfId="0" applyFill="1" applyBorder="1"/>
    <xf numFmtId="164" fontId="0" fillId="0" borderId="23" xfId="0" applyNumberFormat="1" applyFill="1" applyBorder="1"/>
    <xf numFmtId="164" fontId="0" fillId="0" borderId="21" xfId="0" applyNumberFormat="1" applyBorder="1"/>
    <xf numFmtId="0" fontId="0" fillId="0" borderId="42" xfId="0" applyBorder="1"/>
    <xf numFmtId="0" fontId="0" fillId="0" borderId="24" xfId="0" applyFill="1" applyBorder="1"/>
    <xf numFmtId="164" fontId="0" fillId="13" borderId="21" xfId="0" applyNumberFormat="1" applyFill="1" applyBorder="1"/>
    <xf numFmtId="164" fontId="0" fillId="20" borderId="21" xfId="0" applyNumberFormat="1" applyFill="1" applyBorder="1"/>
    <xf numFmtId="164" fontId="0" fillId="19" borderId="27" xfId="0" applyNumberFormat="1" applyFill="1" applyBorder="1"/>
    <xf numFmtId="164" fontId="0" fillId="21" borderId="23" xfId="0" applyNumberFormat="1" applyFill="1" applyBorder="1"/>
    <xf numFmtId="164" fontId="0" fillId="22" borderId="27" xfId="0" applyNumberFormat="1" applyFill="1" applyBorder="1"/>
    <xf numFmtId="164" fontId="0" fillId="24" borderId="42" xfId="0" applyNumberFormat="1" applyFill="1" applyBorder="1"/>
    <xf numFmtId="164" fontId="0" fillId="9" borderId="25" xfId="0" applyNumberFormat="1" applyFill="1" applyBorder="1"/>
    <xf numFmtId="164" fontId="0" fillId="0" borderId="42" xfId="0" applyNumberFormat="1" applyBorder="1"/>
    <xf numFmtId="0" fontId="0" fillId="0" borderId="45" xfId="0" applyBorder="1"/>
    <xf numFmtId="0" fontId="0" fillId="0" borderId="46" xfId="0" applyBorder="1"/>
    <xf numFmtId="0" fontId="0" fillId="0" borderId="46" xfId="0" applyFill="1" applyBorder="1"/>
    <xf numFmtId="164" fontId="0" fillId="0" borderId="45" xfId="0" applyNumberFormat="1" applyFill="1" applyBorder="1"/>
    <xf numFmtId="164" fontId="0" fillId="0" borderId="16" xfId="0" applyNumberFormat="1" applyFill="1" applyBorder="1"/>
    <xf numFmtId="165" fontId="0" fillId="22" borderId="0" xfId="0" applyNumberFormat="1" applyFill="1" applyBorder="1"/>
    <xf numFmtId="164" fontId="0" fillId="9" borderId="22" xfId="0" applyNumberFormat="1" applyFill="1" applyBorder="1"/>
    <xf numFmtId="164" fontId="0" fillId="20" borderId="22" xfId="0" applyNumberFormat="1" applyFill="1" applyBorder="1"/>
    <xf numFmtId="164" fontId="0" fillId="19" borderId="22" xfId="0" applyNumberFormat="1" applyFill="1" applyBorder="1"/>
    <xf numFmtId="164" fontId="0" fillId="21" borderId="22" xfId="0" applyNumberFormat="1" applyFill="1" applyBorder="1"/>
    <xf numFmtId="0" fontId="0" fillId="0" borderId="10" xfId="0" applyFill="1" applyBorder="1"/>
    <xf numFmtId="0" fontId="0" fillId="0" borderId="12" xfId="0" applyFill="1" applyBorder="1"/>
    <xf numFmtId="164" fontId="0" fillId="18" borderId="22" xfId="0" applyNumberFormat="1" applyFill="1" applyBorder="1"/>
    <xf numFmtId="164" fontId="0" fillId="22" borderId="0" xfId="0" applyNumberFormat="1" applyFill="1" applyBorder="1"/>
    <xf numFmtId="0" fontId="0" fillId="0" borderId="33" xfId="0" applyFill="1" applyBorder="1"/>
    <xf numFmtId="0" fontId="0" fillId="0" borderId="47" xfId="0" applyFill="1" applyBorder="1"/>
    <xf numFmtId="0" fontId="0" fillId="0" borderId="48" xfId="0" applyBorder="1"/>
    <xf numFmtId="164" fontId="0" fillId="24" borderId="20" xfId="0" applyNumberFormat="1" applyFill="1" applyBorder="1"/>
    <xf numFmtId="164" fontId="0" fillId="23" borderId="0" xfId="0" applyNumberFormat="1" applyFill="1" applyBorder="1"/>
    <xf numFmtId="164" fontId="0" fillId="25" borderId="20" xfId="0" applyNumberFormat="1" applyFill="1" applyBorder="1"/>
    <xf numFmtId="0" fontId="0" fillId="0" borderId="1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23" xfId="0" applyNumberFormat="1" applyBorder="1"/>
    <xf numFmtId="164" fontId="0" fillId="0" borderId="19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4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99FF"/>
      <color rgb="FFFF99FF"/>
      <color rgb="FFFF7C8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14" workbookViewId="0">
      <selection activeCell="C13" sqref="C13"/>
    </sheetView>
  </sheetViews>
  <sheetFormatPr defaultRowHeight="15" x14ac:dyDescent="0.25"/>
  <sheetData>
    <row r="1" spans="1:16" x14ac:dyDescent="0.25">
      <c r="A1" s="276" t="s">
        <v>0</v>
      </c>
      <c r="B1" s="276"/>
      <c r="C1" s="4" t="s">
        <v>1</v>
      </c>
      <c r="D1" s="278">
        <v>3</v>
      </c>
      <c r="E1" s="279"/>
      <c r="F1" s="280"/>
      <c r="G1" s="276">
        <v>1</v>
      </c>
      <c r="H1" s="276"/>
      <c r="I1" s="14">
        <v>2</v>
      </c>
      <c r="J1" s="15"/>
      <c r="K1" s="276">
        <v>4</v>
      </c>
      <c r="L1" s="276"/>
      <c r="M1" s="276"/>
      <c r="N1" s="16" t="s">
        <v>7</v>
      </c>
      <c r="O1" s="4"/>
      <c r="P1" s="4"/>
    </row>
    <row r="2" spans="1:16" x14ac:dyDescent="0.25">
      <c r="A2" s="276" t="s">
        <v>2</v>
      </c>
      <c r="B2" s="276"/>
      <c r="C2" s="4" t="s">
        <v>4</v>
      </c>
      <c r="D2" s="7" t="s">
        <v>5</v>
      </c>
      <c r="E2" s="4">
        <v>34</v>
      </c>
      <c r="F2" s="8">
        <v>31</v>
      </c>
      <c r="G2" s="4">
        <v>13</v>
      </c>
      <c r="H2" s="4">
        <v>12</v>
      </c>
      <c r="I2" s="7">
        <v>21</v>
      </c>
      <c r="J2" s="8">
        <v>24</v>
      </c>
      <c r="K2" s="4">
        <v>42</v>
      </c>
      <c r="L2" s="4">
        <v>43</v>
      </c>
      <c r="M2" s="4" t="s">
        <v>6</v>
      </c>
      <c r="N2" s="17" t="s">
        <v>14</v>
      </c>
      <c r="O2" s="4"/>
      <c r="P2" s="4"/>
    </row>
    <row r="3" spans="1:16" x14ac:dyDescent="0.25">
      <c r="A3" s="276" t="s">
        <v>3</v>
      </c>
      <c r="B3" s="276"/>
      <c r="C3" s="2">
        <v>1.1100000000000001</v>
      </c>
      <c r="D3" s="1">
        <v>1.1100000000000001</v>
      </c>
      <c r="E3" s="43">
        <v>2.4</v>
      </c>
      <c r="F3" s="3">
        <v>1.25</v>
      </c>
      <c r="G3" s="2">
        <v>1.25</v>
      </c>
      <c r="H3" s="6">
        <v>1.6</v>
      </c>
      <c r="I3" s="1">
        <v>1.6</v>
      </c>
      <c r="J3" s="3">
        <v>1.25</v>
      </c>
      <c r="K3" s="2">
        <v>1.25</v>
      </c>
      <c r="L3" s="43">
        <v>2.4</v>
      </c>
      <c r="M3" s="2">
        <v>1.1100000000000001</v>
      </c>
      <c r="N3" s="18">
        <v>1.1100000000000001</v>
      </c>
      <c r="O3" s="2"/>
      <c r="P3" s="2"/>
    </row>
    <row r="4" spans="1:16" x14ac:dyDescent="0.25">
      <c r="A4" t="s">
        <v>8</v>
      </c>
      <c r="B4" t="s">
        <v>9</v>
      </c>
      <c r="D4" s="29">
        <v>-0.23300000000000001</v>
      </c>
      <c r="E4" s="43">
        <v>-0.504</v>
      </c>
      <c r="F4" s="31">
        <v>-0.26300000000000001</v>
      </c>
      <c r="G4" s="32">
        <v>-0.438</v>
      </c>
      <c r="H4" s="32">
        <v>-0.56200000000000006</v>
      </c>
      <c r="I4" s="29">
        <v>-0.56200000000000006</v>
      </c>
      <c r="J4" s="31">
        <v>-0.438</v>
      </c>
      <c r="K4" s="32">
        <v>-0.26300000000000001</v>
      </c>
      <c r="L4" s="46">
        <v>-0.504</v>
      </c>
      <c r="M4" s="32">
        <v>-0.23300000000000001</v>
      </c>
      <c r="N4" s="18"/>
    </row>
    <row r="5" spans="1:16" x14ac:dyDescent="0.25">
      <c r="A5" s="277">
        <v>1</v>
      </c>
      <c r="B5" t="s">
        <v>12</v>
      </c>
      <c r="D5" s="1"/>
      <c r="E5" s="43">
        <v>4.3949999999999996</v>
      </c>
      <c r="F5" s="3"/>
      <c r="H5">
        <v>3.4159999999999999</v>
      </c>
      <c r="I5" s="1">
        <v>-3.4159999999999999</v>
      </c>
      <c r="J5" s="3"/>
      <c r="L5" s="46">
        <v>-4.3949999999999996</v>
      </c>
      <c r="N5" s="18"/>
    </row>
    <row r="6" spans="1:16" x14ac:dyDescent="0.25">
      <c r="A6" s="277"/>
      <c r="B6" s="12" t="s">
        <v>10</v>
      </c>
      <c r="C6" s="13"/>
      <c r="D6" s="12">
        <f>E5*D4</f>
        <v>-1.024035</v>
      </c>
      <c r="E6" s="44">
        <f>E5*E4</f>
        <v>-2.2150799999999999</v>
      </c>
      <c r="F6" s="22">
        <f>E5*F4</f>
        <v>-1.1558849999999998</v>
      </c>
      <c r="G6" s="21">
        <f>H5*G4</f>
        <v>-1.496208</v>
      </c>
      <c r="H6" s="21">
        <f>H5*H4</f>
        <v>-1.9197920000000002</v>
      </c>
      <c r="I6" s="23">
        <f>I5*I4</f>
        <v>1.9197920000000002</v>
      </c>
      <c r="J6" s="22">
        <f>I5*J4</f>
        <v>1.496208</v>
      </c>
      <c r="K6" s="21">
        <f>L5*K4</f>
        <v>1.1558849999999998</v>
      </c>
      <c r="L6" s="44">
        <f>L5*L4</f>
        <v>2.2150799999999999</v>
      </c>
      <c r="M6" s="21">
        <f>L5*M4</f>
        <v>1.024035</v>
      </c>
      <c r="N6" s="19"/>
      <c r="O6">
        <f>SUM(D6:N6)</f>
        <v>0</v>
      </c>
    </row>
    <row r="7" spans="1:16" x14ac:dyDescent="0.25">
      <c r="A7" s="277">
        <v>2</v>
      </c>
      <c r="B7" t="s">
        <v>11</v>
      </c>
      <c r="C7">
        <f>0.5*D6</f>
        <v>-0.51201750000000001</v>
      </c>
      <c r="D7" s="1"/>
      <c r="E7" s="45">
        <f>0.5*L6</f>
        <v>1.10754</v>
      </c>
      <c r="F7" s="25">
        <f>0.5*G6</f>
        <v>-0.74810399999999999</v>
      </c>
      <c r="G7" s="26">
        <f>0.5*F6</f>
        <v>-0.57794249999999991</v>
      </c>
      <c r="H7" s="26">
        <f>0.5*I6</f>
        <v>0.95989600000000008</v>
      </c>
      <c r="I7" s="27">
        <f>0.5*H6</f>
        <v>-0.95989600000000008</v>
      </c>
      <c r="J7" s="25">
        <f>0.5*K6</f>
        <v>0.57794249999999991</v>
      </c>
      <c r="K7" s="26">
        <f>0.5*J6</f>
        <v>0.74810399999999999</v>
      </c>
      <c r="L7" s="47">
        <f>0.5*E6</f>
        <v>-1.10754</v>
      </c>
      <c r="M7" s="26"/>
      <c r="N7" s="28">
        <f>0.5*M6</f>
        <v>0.51201750000000001</v>
      </c>
      <c r="O7">
        <f>SUM(C7:N7)</f>
        <v>0</v>
      </c>
    </row>
    <row r="8" spans="1:16" x14ac:dyDescent="0.25">
      <c r="A8" s="277"/>
      <c r="D8" s="34"/>
      <c r="E8" s="45">
        <f>SUM(E7:F7)</f>
        <v>0.35943599999999998</v>
      </c>
      <c r="F8" s="36"/>
      <c r="G8" s="37">
        <f>SUM(G7:H7)</f>
        <v>0.38195350000000017</v>
      </c>
      <c r="H8" s="38"/>
      <c r="I8" s="39">
        <f>SUM(I7:J7)</f>
        <v>-0.38195350000000017</v>
      </c>
      <c r="J8" s="36"/>
      <c r="K8" s="38"/>
      <c r="L8" s="47">
        <f>SUM(K7:L7)</f>
        <v>-0.35943599999999998</v>
      </c>
      <c r="M8" s="38"/>
      <c r="N8" s="40"/>
    </row>
    <row r="9" spans="1:16" x14ac:dyDescent="0.25">
      <c r="A9" s="277"/>
      <c r="B9" s="12" t="s">
        <v>10</v>
      </c>
      <c r="C9" s="13"/>
      <c r="D9" s="23">
        <f>E8*D4</f>
        <v>-8.3748587999999999E-2</v>
      </c>
      <c r="E9" s="44">
        <f>E8*E4</f>
        <v>-0.18115574399999998</v>
      </c>
      <c r="F9" s="22">
        <f>E8*F4</f>
        <v>-9.4531667999999999E-2</v>
      </c>
      <c r="G9" s="21">
        <f>G8*G4</f>
        <v>-0.16729563300000008</v>
      </c>
      <c r="H9" s="21">
        <f>G8*H4</f>
        <v>-0.21465786700000011</v>
      </c>
      <c r="I9" s="23">
        <f>I8*I4</f>
        <v>0.21465786700000011</v>
      </c>
      <c r="J9" s="22">
        <f>I8*J4</f>
        <v>0.16729563300000008</v>
      </c>
      <c r="K9" s="21">
        <f>L8*K4</f>
        <v>9.4531667999999999E-2</v>
      </c>
      <c r="L9" s="44">
        <f>L8*L4</f>
        <v>0.18115574399999998</v>
      </c>
      <c r="M9" s="21">
        <f>L8*M4</f>
        <v>8.3748587999999999E-2</v>
      </c>
      <c r="N9" s="19"/>
      <c r="O9" s="26">
        <f>SUM(D9:N9)</f>
        <v>0</v>
      </c>
    </row>
    <row r="10" spans="1:16" x14ac:dyDescent="0.25">
      <c r="A10" s="277">
        <v>3</v>
      </c>
      <c r="B10" t="s">
        <v>11</v>
      </c>
      <c r="C10" s="26">
        <f>0.5*D9</f>
        <v>-4.1874293999999999E-2</v>
      </c>
      <c r="D10" s="27"/>
      <c r="E10" s="45">
        <f>0.5*L9</f>
        <v>9.057787199999999E-2</v>
      </c>
      <c r="F10" s="25">
        <f>0.5*G9</f>
        <v>-8.3647816500000041E-2</v>
      </c>
      <c r="G10" s="26">
        <f>0.5*F9</f>
        <v>-4.7265834E-2</v>
      </c>
      <c r="H10" s="26">
        <f>0.5*I9</f>
        <v>0.10732893350000006</v>
      </c>
      <c r="I10" s="27">
        <f>0.5*H9</f>
        <v>-0.10732893350000006</v>
      </c>
      <c r="J10" s="25">
        <f>0.5*K9</f>
        <v>4.7265834E-2</v>
      </c>
      <c r="K10" s="26">
        <f>0.5*J9</f>
        <v>8.3647816500000041E-2</v>
      </c>
      <c r="L10" s="47">
        <f>0.5*E9</f>
        <v>-9.057787199999999E-2</v>
      </c>
      <c r="M10" s="26"/>
      <c r="N10" s="28">
        <f>0.5*M9</f>
        <v>4.1874293999999999E-2</v>
      </c>
      <c r="O10" s="26">
        <f>SUM(C10:N10)</f>
        <v>0</v>
      </c>
    </row>
    <row r="11" spans="1:16" x14ac:dyDescent="0.25">
      <c r="A11" s="277"/>
      <c r="D11" s="34"/>
      <c r="E11" s="45">
        <f>SUM(E10:F10)</f>
        <v>6.9300554999999486E-3</v>
      </c>
      <c r="F11" s="36"/>
      <c r="G11" s="37">
        <f>SUM(G10:H10)</f>
        <v>6.0063099500000057E-2</v>
      </c>
      <c r="H11" s="38"/>
      <c r="I11" s="39">
        <f>SUM(I10:J10)</f>
        <v>-6.0063099500000057E-2</v>
      </c>
      <c r="J11" s="36"/>
      <c r="K11" s="38"/>
      <c r="L11" s="47">
        <f>SUM(K10:L10)</f>
        <v>-6.9300554999999486E-3</v>
      </c>
      <c r="M11" s="38"/>
      <c r="N11" s="40"/>
    </row>
    <row r="12" spans="1:16" x14ac:dyDescent="0.25">
      <c r="A12" s="277"/>
      <c r="B12" s="12" t="s">
        <v>10</v>
      </c>
      <c r="C12" s="21">
        <f>0.5*D12</f>
        <v>-8.0735146574999401E-4</v>
      </c>
      <c r="D12" s="23">
        <f>E11*D4</f>
        <v>-1.614702931499988E-3</v>
      </c>
      <c r="E12" s="44">
        <f>E11*E4</f>
        <v>-3.492747971999974E-3</v>
      </c>
      <c r="F12" s="22">
        <f>E11*F4</f>
        <v>-1.8226045964999866E-3</v>
      </c>
      <c r="G12" s="21">
        <f>G11*G4</f>
        <v>-2.6307637581000024E-2</v>
      </c>
      <c r="H12" s="21">
        <f>G11*H4</f>
        <v>-3.3755461919000036E-2</v>
      </c>
      <c r="I12" s="23">
        <f>I11*I4</f>
        <v>3.3755461919000036E-2</v>
      </c>
      <c r="J12" s="22">
        <f>I11*J4</f>
        <v>2.6307637581000024E-2</v>
      </c>
      <c r="K12" s="21">
        <f>L11*K4</f>
        <v>1.8226045964999866E-3</v>
      </c>
      <c r="L12" s="44">
        <f>L11*L4</f>
        <v>3.492747971999974E-3</v>
      </c>
      <c r="M12" s="21">
        <f>L11*M4</f>
        <v>1.614702931499988E-3</v>
      </c>
      <c r="N12" s="33">
        <f>0.5*M12</f>
        <v>8.0735146574999401E-4</v>
      </c>
      <c r="O12" s="26">
        <f>SUM(C12:N12)</f>
        <v>-1.1926223897340549E-18</v>
      </c>
    </row>
    <row r="13" spans="1:16" x14ac:dyDescent="0.25">
      <c r="B13" s="5" t="s">
        <v>13</v>
      </c>
      <c r="C13" s="26">
        <f>SUM(C7,C10,C12)</f>
        <v>-0.55469914546574994</v>
      </c>
      <c r="D13" s="27">
        <f>SUM(D6,D9,D12)</f>
        <v>-1.1093982909314999</v>
      </c>
      <c r="E13" s="45">
        <f>SUM(E5,E6,E7,E9,E10,E12)</f>
        <v>3.1933893800279995</v>
      </c>
      <c r="F13" s="25">
        <f>SUM(F6,F7,F9,F10,F12)</f>
        <v>-2.0839910890964997</v>
      </c>
      <c r="G13" s="26">
        <f>SUM(G6,G7,G9,G10,G12)</f>
        <v>-2.3150196045810003</v>
      </c>
      <c r="H13" s="42">
        <f>SUM(H5,H6,H7,H9,H10,H12)</f>
        <v>2.3150196045809999</v>
      </c>
      <c r="I13" s="41">
        <f>SUM(I5:I7,I9:I10,I12)</f>
        <v>-2.3150196045809999</v>
      </c>
      <c r="J13" s="27">
        <f>SUM(J5:J7,J9:J10,J12)</f>
        <v>2.3150196045810003</v>
      </c>
      <c r="K13" s="27">
        <f t="shared" ref="K13:N13" si="0">SUM(K5:K7,K9:K10,K12)</f>
        <v>2.0839910890964997</v>
      </c>
      <c r="L13" s="48">
        <f t="shared" si="0"/>
        <v>-3.1933893800279995</v>
      </c>
      <c r="M13" s="27">
        <f t="shared" si="0"/>
        <v>1.1093982909314999</v>
      </c>
      <c r="N13" s="27">
        <f t="shared" si="0"/>
        <v>0.55469914546574994</v>
      </c>
      <c r="O13" s="26">
        <f>SUM(C13:N13)</f>
        <v>0</v>
      </c>
    </row>
    <row r="14" spans="1:16" x14ac:dyDescent="0.25">
      <c r="D14" s="1"/>
      <c r="E14" s="45">
        <f>SUM(D13:F13)</f>
        <v>0</v>
      </c>
      <c r="F14" s="3"/>
      <c r="G14" s="26">
        <f>SUM(G13:H13)</f>
        <v>0</v>
      </c>
      <c r="I14" s="27">
        <f>SUM(I13:J13)</f>
        <v>0</v>
      </c>
      <c r="J14" s="3"/>
      <c r="L14" s="47">
        <f>SUM(K13:M13)</f>
        <v>0</v>
      </c>
      <c r="N14" s="18"/>
    </row>
    <row r="15" spans="1:16" x14ac:dyDescent="0.25">
      <c r="D15" s="1"/>
      <c r="E15" s="2"/>
      <c r="F15" s="3"/>
      <c r="I15" s="1"/>
      <c r="J15" s="3"/>
      <c r="N15" s="18"/>
    </row>
    <row r="16" spans="1:16" x14ac:dyDescent="0.25">
      <c r="D16" s="9"/>
      <c r="E16" s="10"/>
      <c r="F16" s="11"/>
      <c r="I16" s="9"/>
      <c r="J16" s="11"/>
      <c r="N16" s="20"/>
    </row>
  </sheetData>
  <mergeCells count="9">
    <mergeCell ref="A3:B3"/>
    <mergeCell ref="K1:M1"/>
    <mergeCell ref="A5:A6"/>
    <mergeCell ref="A7:A9"/>
    <mergeCell ref="A10:A12"/>
    <mergeCell ref="A1:B1"/>
    <mergeCell ref="D1:F1"/>
    <mergeCell ref="G1:H1"/>
    <mergeCell ref="A2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A19" zoomScale="136" workbookViewId="0">
      <selection activeCell="H27" sqref="H27"/>
    </sheetView>
  </sheetViews>
  <sheetFormatPr defaultRowHeight="15" x14ac:dyDescent="0.25"/>
  <sheetData>
    <row r="1" spans="1:28" x14ac:dyDescent="0.25">
      <c r="A1" s="97" t="s">
        <v>57</v>
      </c>
      <c r="B1" s="98"/>
      <c r="C1" s="94"/>
      <c r="D1" s="94"/>
    </row>
    <row r="2" spans="1:28" x14ac:dyDescent="0.25">
      <c r="A2" s="99" t="s">
        <v>58</v>
      </c>
      <c r="B2" s="100">
        <v>1.4</v>
      </c>
      <c r="C2" s="99" t="s">
        <v>65</v>
      </c>
      <c r="D2" s="105">
        <f>B2*B8</f>
        <v>7</v>
      </c>
    </row>
    <row r="3" spans="1:28" x14ac:dyDescent="0.25">
      <c r="A3" s="101" t="s">
        <v>59</v>
      </c>
      <c r="B3" s="102">
        <v>1.6</v>
      </c>
      <c r="C3" s="103" t="s">
        <v>66</v>
      </c>
      <c r="D3" s="106">
        <f>B3*B8</f>
        <v>8</v>
      </c>
    </row>
    <row r="4" spans="1:28" x14ac:dyDescent="0.25">
      <c r="A4" s="101" t="s">
        <v>60</v>
      </c>
      <c r="B4" s="102">
        <v>3.6</v>
      </c>
      <c r="C4" s="101" t="s">
        <v>82</v>
      </c>
      <c r="D4" s="109">
        <v>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01" t="s">
        <v>61</v>
      </c>
      <c r="B5" s="102">
        <v>3.2</v>
      </c>
      <c r="C5" s="101" t="s">
        <v>80</v>
      </c>
      <c r="D5" s="109">
        <v>3</v>
      </c>
      <c r="K5" s="6"/>
      <c r="L5" s="6"/>
      <c r="M5" s="6"/>
      <c r="N5" s="286"/>
      <c r="O5" s="286"/>
      <c r="P5" s="6"/>
      <c r="Q5" s="6"/>
      <c r="R5" s="6"/>
      <c r="S5" s="6"/>
      <c r="T5" s="6"/>
      <c r="U5" s="6"/>
      <c r="V5" s="6"/>
      <c r="W5" s="286"/>
      <c r="X5" s="286"/>
      <c r="Y5" s="6"/>
      <c r="Z5" s="6"/>
      <c r="AA5" s="6"/>
      <c r="AB5" s="6"/>
    </row>
    <row r="6" spans="1:28" x14ac:dyDescent="0.25">
      <c r="A6" s="101" t="s">
        <v>62</v>
      </c>
      <c r="B6" s="102">
        <v>1.7</v>
      </c>
      <c r="C6" s="101" t="s">
        <v>81</v>
      </c>
      <c r="D6" s="109">
        <v>1</v>
      </c>
      <c r="K6" s="6"/>
      <c r="L6" s="6"/>
      <c r="M6" s="6"/>
      <c r="N6" s="201"/>
      <c r="O6" s="201"/>
      <c r="P6" s="6"/>
      <c r="Q6" s="6"/>
      <c r="R6" s="6"/>
      <c r="S6" s="6"/>
      <c r="T6" s="6"/>
      <c r="U6" s="6"/>
      <c r="V6" s="6"/>
      <c r="W6" s="201"/>
      <c r="X6" s="201"/>
      <c r="Y6" s="6"/>
      <c r="Z6" s="6"/>
      <c r="AA6" s="6"/>
      <c r="AB6" s="6"/>
    </row>
    <row r="7" spans="1:28" x14ac:dyDescent="0.25">
      <c r="A7" s="101" t="s">
        <v>63</v>
      </c>
      <c r="B7" s="102">
        <v>1.8</v>
      </c>
      <c r="C7" s="103" t="s">
        <v>83</v>
      </c>
      <c r="D7" s="106">
        <v>1</v>
      </c>
      <c r="K7" s="6"/>
      <c r="L7" s="6"/>
      <c r="M7" s="6"/>
      <c r="N7" s="201"/>
      <c r="O7" s="6"/>
      <c r="P7" s="6"/>
      <c r="Q7" s="6"/>
      <c r="R7" s="6"/>
      <c r="S7" s="6"/>
      <c r="T7" s="6"/>
      <c r="U7" s="6"/>
      <c r="V7" s="6"/>
      <c r="W7" s="6"/>
      <c r="X7" s="201"/>
      <c r="Y7" s="6"/>
      <c r="Z7" s="6"/>
      <c r="AA7" s="6"/>
      <c r="AB7" s="6"/>
    </row>
    <row r="8" spans="1:28" x14ac:dyDescent="0.25">
      <c r="A8" s="103" t="s">
        <v>64</v>
      </c>
      <c r="B8" s="104">
        <v>5</v>
      </c>
      <c r="C8" s="94"/>
      <c r="D8" s="9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25">
      <c r="K9" s="6"/>
      <c r="L9" s="6"/>
      <c r="M9" s="201"/>
      <c r="N9" s="6"/>
      <c r="O9" s="6"/>
      <c r="P9" s="201"/>
      <c r="Q9" s="6"/>
      <c r="R9" s="201"/>
      <c r="S9" s="6"/>
      <c r="T9" s="201"/>
      <c r="U9" s="201"/>
      <c r="V9" s="201"/>
      <c r="W9" s="6"/>
      <c r="X9" s="6"/>
      <c r="Y9" s="6"/>
      <c r="Z9" s="6"/>
      <c r="AA9" s="6"/>
      <c r="AB9" s="6"/>
    </row>
    <row r="10" spans="1:28" x14ac:dyDescent="0.25">
      <c r="A10" s="287" t="s">
        <v>67</v>
      </c>
      <c r="B10" s="288"/>
      <c r="F10" s="12"/>
      <c r="G10" s="107" t="s">
        <v>89</v>
      </c>
      <c r="H10" s="108"/>
      <c r="I10" s="95"/>
      <c r="K10" s="6"/>
      <c r="L10" s="6"/>
      <c r="M10" s="201"/>
      <c r="N10" s="6"/>
      <c r="O10" s="6"/>
      <c r="P10" s="201"/>
      <c r="Q10" s="6"/>
      <c r="R10" s="201"/>
      <c r="S10" s="6"/>
      <c r="T10" s="201"/>
      <c r="U10" s="6"/>
      <c r="V10" s="201"/>
      <c r="W10" s="6"/>
      <c r="X10" s="6"/>
      <c r="Y10" s="6"/>
      <c r="Z10" s="6"/>
      <c r="AA10" s="6"/>
      <c r="AB10" s="6"/>
    </row>
    <row r="11" spans="1:28" x14ac:dyDescent="0.25">
      <c r="A11" s="289" t="s">
        <v>68</v>
      </c>
      <c r="B11" s="289"/>
      <c r="C11" s="26">
        <f>1/12*B2*(B8^2)</f>
        <v>2.9166666666666665</v>
      </c>
      <c r="F11" t="s">
        <v>90</v>
      </c>
      <c r="H11" t="s">
        <v>91</v>
      </c>
      <c r="I11">
        <f>-1.5*(B20/(B20+B20))</f>
        <v>-0.75</v>
      </c>
      <c r="K11" s="6"/>
      <c r="L11" s="6"/>
      <c r="M11" s="201"/>
      <c r="N11" s="6"/>
      <c r="O11" s="6"/>
      <c r="P11" s="201"/>
      <c r="Q11" s="6"/>
      <c r="R11" s="201"/>
      <c r="S11" s="6"/>
      <c r="T11" s="201"/>
      <c r="U11" s="6"/>
      <c r="V11" s="201"/>
      <c r="W11" s="6"/>
      <c r="X11" s="6"/>
      <c r="Y11" s="6"/>
      <c r="Z11" s="6"/>
      <c r="AA11" s="6"/>
      <c r="AB11" s="6"/>
    </row>
    <row r="12" spans="1:28" x14ac:dyDescent="0.25">
      <c r="A12" s="289" t="s">
        <v>69</v>
      </c>
      <c r="B12" s="289"/>
      <c r="C12" s="26">
        <f>1/12*B3*(B8^2)</f>
        <v>3.3333333333333335</v>
      </c>
      <c r="K12" s="6"/>
      <c r="L12" s="6"/>
      <c r="M12" s="201"/>
      <c r="N12" s="6"/>
      <c r="O12" s="6"/>
      <c r="P12" s="201"/>
      <c r="Q12" s="6"/>
      <c r="R12" s="201"/>
      <c r="S12" s="6"/>
      <c r="T12" s="201"/>
      <c r="U12" s="6"/>
      <c r="V12" s="201"/>
      <c r="W12" s="6"/>
      <c r="X12" s="6"/>
      <c r="Y12" s="6"/>
      <c r="Z12" s="6"/>
      <c r="AA12" s="6"/>
      <c r="AB12" s="6"/>
    </row>
    <row r="13" spans="1:28" x14ac:dyDescent="0.25">
      <c r="H13" t="s">
        <v>92</v>
      </c>
      <c r="I13">
        <f>-1.5*(B20/(B20+B20))</f>
        <v>-0.75</v>
      </c>
      <c r="K13" s="6"/>
      <c r="L13" s="6"/>
      <c r="M13" s="201"/>
      <c r="N13" s="6"/>
      <c r="O13" s="6"/>
      <c r="P13" s="201"/>
      <c r="Q13" s="6"/>
      <c r="R13" s="201"/>
      <c r="S13" s="6"/>
      <c r="T13" s="201"/>
      <c r="U13" s="6"/>
      <c r="V13" s="201"/>
      <c r="W13" s="6"/>
      <c r="X13" s="6"/>
      <c r="Y13" s="6"/>
      <c r="Z13" s="6"/>
      <c r="AA13" s="6"/>
      <c r="AB13" s="6"/>
    </row>
    <row r="14" spans="1:28" x14ac:dyDescent="0.25">
      <c r="A14" s="284" t="s">
        <v>70</v>
      </c>
      <c r="B14" s="285"/>
      <c r="K14" s="6"/>
      <c r="L14" s="6"/>
      <c r="M14" s="201"/>
      <c r="N14" s="6"/>
      <c r="O14" s="6"/>
      <c r="P14" s="201"/>
      <c r="Q14" s="6"/>
      <c r="R14" s="201"/>
      <c r="S14" s="6"/>
      <c r="T14" s="201"/>
      <c r="U14" s="6"/>
      <c r="V14" s="201"/>
      <c r="W14" s="6"/>
      <c r="X14" s="6"/>
      <c r="Y14" s="6"/>
      <c r="Z14" s="6"/>
      <c r="AA14" s="6"/>
      <c r="AB14" s="6"/>
    </row>
    <row r="15" spans="1:28" x14ac:dyDescent="0.25">
      <c r="A15" t="s">
        <v>71</v>
      </c>
      <c r="B15" s="26">
        <f>C11*-1</f>
        <v>-2.9166666666666665</v>
      </c>
      <c r="D15" t="s">
        <v>72</v>
      </c>
      <c r="E15" s="26">
        <f>C11</f>
        <v>2.9166666666666665</v>
      </c>
      <c r="F15" t="s">
        <v>93</v>
      </c>
      <c r="H15" t="s">
        <v>94</v>
      </c>
      <c r="I15">
        <f>-1.5*(B19/(B19+B19))</f>
        <v>-0.75</v>
      </c>
      <c r="K15" s="6"/>
      <c r="L15" s="6"/>
      <c r="M15" s="201"/>
      <c r="N15" s="6"/>
      <c r="O15" s="6"/>
      <c r="P15" s="201"/>
      <c r="Q15" s="6"/>
      <c r="R15" s="201"/>
      <c r="S15" s="6"/>
      <c r="T15" s="201"/>
      <c r="U15" s="6"/>
      <c r="V15" s="201"/>
      <c r="W15" s="6"/>
      <c r="X15" s="6"/>
      <c r="Y15" s="6"/>
      <c r="Z15" s="6"/>
      <c r="AA15" s="6"/>
      <c r="AB15" s="6"/>
    </row>
    <row r="16" spans="1:28" x14ac:dyDescent="0.25">
      <c r="A16" t="s">
        <v>73</v>
      </c>
      <c r="B16" s="26">
        <f>C12*-1</f>
        <v>-3.3333333333333335</v>
      </c>
      <c r="D16" t="s">
        <v>74</v>
      </c>
      <c r="E16" s="26">
        <f>C12</f>
        <v>3.3333333333333335</v>
      </c>
      <c r="K16" s="6"/>
      <c r="L16" s="6"/>
      <c r="M16" s="201"/>
      <c r="N16" s="6"/>
      <c r="O16" s="6"/>
      <c r="P16" s="201"/>
      <c r="Q16" s="6"/>
      <c r="R16" s="201"/>
      <c r="S16" s="6"/>
      <c r="T16" s="201"/>
      <c r="U16" s="6"/>
      <c r="V16" s="201"/>
      <c r="W16" s="6"/>
      <c r="X16" s="6"/>
      <c r="Y16" s="6"/>
      <c r="Z16" s="6"/>
      <c r="AA16" s="6"/>
      <c r="AB16" s="6"/>
    </row>
    <row r="17" spans="1:28" x14ac:dyDescent="0.25">
      <c r="H17" t="s">
        <v>95</v>
      </c>
      <c r="I17">
        <f>-1.5*(B19/(B19+B19))</f>
        <v>-0.75</v>
      </c>
      <c r="K17" s="6"/>
      <c r="L17" s="6"/>
      <c r="M17" s="201"/>
      <c r="N17" s="6"/>
      <c r="O17" s="6"/>
      <c r="P17" s="201"/>
      <c r="Q17" s="6"/>
      <c r="R17" s="201"/>
      <c r="S17" s="6"/>
      <c r="T17" s="201"/>
      <c r="U17" s="6"/>
      <c r="V17" s="201"/>
      <c r="W17" s="6"/>
      <c r="X17" s="6"/>
      <c r="Y17" s="6"/>
      <c r="Z17" s="6"/>
      <c r="AA17" s="6"/>
      <c r="AB17" s="6"/>
    </row>
    <row r="18" spans="1:28" x14ac:dyDescent="0.25">
      <c r="A18" s="284" t="s">
        <v>75</v>
      </c>
      <c r="B18" s="285"/>
      <c r="K18" s="6"/>
      <c r="L18" s="6"/>
      <c r="M18" s="201"/>
      <c r="N18" s="6"/>
      <c r="O18" s="6"/>
      <c r="P18" s="201"/>
      <c r="Q18" s="6"/>
      <c r="R18" s="201"/>
      <c r="S18" s="6"/>
      <c r="T18" s="201"/>
      <c r="U18" s="6"/>
      <c r="V18" s="201"/>
      <c r="W18" s="6"/>
      <c r="X18" s="6"/>
      <c r="Y18" s="6"/>
      <c r="Z18" s="6"/>
      <c r="AA18" s="6"/>
      <c r="AB18" s="6"/>
    </row>
    <row r="19" spans="1:28" x14ac:dyDescent="0.25">
      <c r="A19" t="s">
        <v>76</v>
      </c>
      <c r="B19" s="26">
        <f>D6/B4</f>
        <v>0.27777777777777779</v>
      </c>
      <c r="F19" t="s">
        <v>96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5">
      <c r="A20" t="s">
        <v>77</v>
      </c>
      <c r="B20" s="26">
        <f>D7/B5</f>
        <v>0.3125</v>
      </c>
      <c r="F20" t="s">
        <v>90</v>
      </c>
      <c r="H20" t="s">
        <v>97</v>
      </c>
      <c r="I20" s="26">
        <f>(B6*B5)/3</f>
        <v>1.8133333333333335</v>
      </c>
      <c r="K20" s="6"/>
      <c r="L20" s="6"/>
      <c r="M20" s="6"/>
      <c r="N20" s="201"/>
      <c r="O20" s="6"/>
      <c r="P20" s="6"/>
      <c r="Q20" s="6"/>
      <c r="R20" s="6"/>
      <c r="S20" s="6"/>
      <c r="T20" s="6"/>
      <c r="U20" s="6"/>
      <c r="V20" s="6"/>
      <c r="W20" s="6"/>
      <c r="X20" s="201"/>
      <c r="Y20" s="6"/>
      <c r="Z20" s="6"/>
      <c r="AA20" s="6"/>
      <c r="AB20" s="6"/>
    </row>
    <row r="21" spans="1:28" x14ac:dyDescent="0.25">
      <c r="A21" t="s">
        <v>78</v>
      </c>
      <c r="B21">
        <f>D4/B8</f>
        <v>0.4</v>
      </c>
      <c r="K21" s="6"/>
      <c r="L21" s="6"/>
      <c r="M21" s="202"/>
      <c r="N21" s="201"/>
      <c r="O21" s="201"/>
      <c r="P21" s="6"/>
      <c r="Q21" s="6"/>
      <c r="R21" s="6"/>
      <c r="S21" s="6"/>
      <c r="T21" s="6"/>
      <c r="U21" s="6"/>
      <c r="V21" s="6"/>
      <c r="W21" s="201"/>
      <c r="X21" s="201"/>
      <c r="Y21" s="203"/>
      <c r="Z21" s="6"/>
      <c r="AA21" s="6"/>
      <c r="AB21" s="6"/>
    </row>
    <row r="22" spans="1:28" x14ac:dyDescent="0.25">
      <c r="A22" t="s">
        <v>79</v>
      </c>
      <c r="B22">
        <f>D5/B8</f>
        <v>0.6</v>
      </c>
      <c r="F22" t="s">
        <v>93</v>
      </c>
      <c r="H22" t="s">
        <v>98</v>
      </c>
      <c r="I22">
        <f>(G23*B4)/3</f>
        <v>4.2</v>
      </c>
      <c r="K22" s="6"/>
      <c r="L22" s="6"/>
      <c r="M22" s="6"/>
      <c r="N22" s="201"/>
      <c r="O22" s="6"/>
      <c r="P22" s="6"/>
      <c r="Q22" s="6"/>
      <c r="R22" s="6"/>
      <c r="S22" s="6"/>
      <c r="T22" s="6"/>
      <c r="U22" s="6"/>
      <c r="V22" s="6"/>
      <c r="W22" s="6"/>
      <c r="X22" s="201"/>
      <c r="Y22" s="6"/>
      <c r="Z22" s="6"/>
      <c r="AA22" s="6"/>
      <c r="AB22" s="6"/>
    </row>
    <row r="23" spans="1:28" x14ac:dyDescent="0.25">
      <c r="F23" t="s">
        <v>99</v>
      </c>
      <c r="G23">
        <f>B6+B7</f>
        <v>3.5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5">
      <c r="A24" s="284" t="s">
        <v>84</v>
      </c>
      <c r="B24" s="285"/>
      <c r="K24" s="6"/>
      <c r="L24" s="6"/>
      <c r="M24" s="6"/>
      <c r="N24" s="6"/>
      <c r="O24" s="6"/>
      <c r="P24" s="201"/>
      <c r="Q24" s="6"/>
      <c r="R24" s="201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5">
      <c r="A25" t="s">
        <v>85</v>
      </c>
      <c r="B25" t="s">
        <v>40</v>
      </c>
      <c r="C25" s="26">
        <f>-0.5*(B21/(B21+B20))</f>
        <v>-0.2807017543859649</v>
      </c>
      <c r="F25" s="281" t="s">
        <v>108</v>
      </c>
      <c r="G25" s="281"/>
      <c r="H25" s="281"/>
      <c r="K25" s="6"/>
      <c r="L25" s="6"/>
      <c r="M25" s="6"/>
      <c r="N25" s="6"/>
      <c r="O25" s="6"/>
      <c r="P25" s="201"/>
      <c r="Q25" s="6"/>
      <c r="R25" s="201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5">
      <c r="C26" s="26"/>
      <c r="D26" s="26">
        <f>SUM(C25,C27)</f>
        <v>-0.5</v>
      </c>
      <c r="F26" t="s">
        <v>90</v>
      </c>
      <c r="K26" s="6"/>
      <c r="L26" s="6"/>
      <c r="M26" s="6"/>
      <c r="N26" s="6"/>
      <c r="O26" s="6"/>
      <c r="P26" s="201"/>
      <c r="Q26" s="6"/>
      <c r="R26" s="201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5">
      <c r="B27" t="s">
        <v>42</v>
      </c>
      <c r="C27" s="26">
        <f>-0.5*(B20/(B21+B20))</f>
        <v>-0.21929824561403508</v>
      </c>
      <c r="F27" t="s">
        <v>109</v>
      </c>
      <c r="H27">
        <f>I11*(I20+0+0+0+0)</f>
        <v>-1.36</v>
      </c>
      <c r="K27" s="6"/>
      <c r="L27" s="6"/>
      <c r="M27" s="6"/>
      <c r="N27" s="6"/>
      <c r="O27" s="6"/>
      <c r="P27" s="201"/>
      <c r="Q27" s="6"/>
      <c r="R27" s="201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5">
      <c r="C28" s="26"/>
      <c r="K28" s="6"/>
      <c r="L28" s="6"/>
      <c r="M28" s="6"/>
      <c r="N28" s="6"/>
      <c r="O28" s="6"/>
      <c r="P28" s="201"/>
      <c r="Q28" s="6"/>
      <c r="R28" s="201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t="s">
        <v>86</v>
      </c>
      <c r="B29" t="s">
        <v>41</v>
      </c>
      <c r="C29" s="26">
        <f>-0.5*(B21/(B21+B20))</f>
        <v>-0.2807017543859649</v>
      </c>
      <c r="F29" t="s">
        <v>93</v>
      </c>
      <c r="K29" s="6"/>
      <c r="L29" s="6"/>
      <c r="M29" s="6"/>
      <c r="N29" s="6"/>
      <c r="O29" s="6"/>
      <c r="P29" s="201"/>
      <c r="Q29" s="6"/>
      <c r="R29" s="201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C30" s="26"/>
      <c r="D30" s="26">
        <f>SUM(C29,C31)</f>
        <v>-0.5</v>
      </c>
      <c r="F30" t="s">
        <v>110</v>
      </c>
      <c r="H30">
        <f>I15*(I22+0+0+0+0)</f>
        <v>-3.1500000000000004</v>
      </c>
      <c r="K30" s="6"/>
      <c r="L30" s="6"/>
      <c r="M30" s="6"/>
      <c r="N30" s="6"/>
      <c r="O30" s="6"/>
      <c r="P30" s="201"/>
      <c r="Q30" s="6"/>
      <c r="R30" s="201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5">
      <c r="B31" t="s">
        <v>43</v>
      </c>
      <c r="C31" s="26">
        <f>-0.5*(B20/(B21+B20))</f>
        <v>-0.21929824561403508</v>
      </c>
      <c r="K31" s="6"/>
      <c r="L31" s="6"/>
      <c r="M31" s="6"/>
      <c r="N31" s="6"/>
      <c r="O31" s="6"/>
      <c r="P31" s="201"/>
      <c r="Q31" s="6"/>
      <c r="R31" s="201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5">
      <c r="C32" s="26"/>
      <c r="K32" s="6"/>
      <c r="L32" s="6"/>
      <c r="M32" s="6"/>
      <c r="N32" s="6"/>
      <c r="O32" s="6"/>
      <c r="P32" s="201"/>
      <c r="Q32" s="6"/>
      <c r="R32" s="201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5">
      <c r="A33" t="s">
        <v>87</v>
      </c>
      <c r="B33" t="s">
        <v>44</v>
      </c>
      <c r="C33" s="26">
        <f>-0.5*(B20/(B20+B22+B19))</f>
        <v>-0.13127187864644108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5">
      <c r="C34" s="2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25">
      <c r="B35" t="s">
        <v>45</v>
      </c>
      <c r="C35" s="26">
        <f>-0.5*(B22/(B20+B22+B19))</f>
        <v>-0.25204200700116686</v>
      </c>
      <c r="D35" s="26">
        <f>SUM(C33,C35,C37)</f>
        <v>-0.5</v>
      </c>
    </row>
    <row r="36" spans="1:28" x14ac:dyDescent="0.25">
      <c r="C36" s="26"/>
    </row>
    <row r="37" spans="1:28" x14ac:dyDescent="0.25">
      <c r="B37" t="s">
        <v>46</v>
      </c>
      <c r="C37" s="26">
        <f>-0.5*(B19/(B20+B22+B19))</f>
        <v>-0.11668611435239207</v>
      </c>
    </row>
    <row r="38" spans="1:28" x14ac:dyDescent="0.25">
      <c r="C38" s="26"/>
    </row>
    <row r="39" spans="1:28" x14ac:dyDescent="0.25">
      <c r="A39" t="s">
        <v>88</v>
      </c>
      <c r="B39" t="s">
        <v>47</v>
      </c>
      <c r="C39" s="26">
        <f>-0.5*(B20/(B20+B22+B19))</f>
        <v>-0.13127187864644108</v>
      </c>
    </row>
    <row r="40" spans="1:28" x14ac:dyDescent="0.25">
      <c r="C40" s="26"/>
    </row>
    <row r="41" spans="1:28" x14ac:dyDescent="0.25">
      <c r="B41" t="s">
        <v>48</v>
      </c>
      <c r="C41" s="26">
        <f>-0.5*(B22/(B20+B22+B19))</f>
        <v>-0.25204200700116686</v>
      </c>
      <c r="D41" s="26">
        <f>SUM(C39,C41,C43)</f>
        <v>-0.5</v>
      </c>
    </row>
    <row r="42" spans="1:28" x14ac:dyDescent="0.25">
      <c r="C42" s="26"/>
    </row>
    <row r="43" spans="1:28" x14ac:dyDescent="0.25">
      <c r="B43" t="s">
        <v>49</v>
      </c>
      <c r="C43" s="26">
        <f>-0.5*(B19/(B20+B22+B19))</f>
        <v>-0.11668611435239207</v>
      </c>
    </row>
  </sheetData>
  <mergeCells count="9">
    <mergeCell ref="A14:B14"/>
    <mergeCell ref="N5:O5"/>
    <mergeCell ref="W5:X5"/>
    <mergeCell ref="F25:H25"/>
    <mergeCell ref="A10:B10"/>
    <mergeCell ref="A11:B11"/>
    <mergeCell ref="A12:B12"/>
    <mergeCell ref="A18:B18"/>
    <mergeCell ref="A24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42"/>
  <sheetViews>
    <sheetView topLeftCell="A4" zoomScale="74" workbookViewId="0">
      <selection activeCell="F11" sqref="F11"/>
    </sheetView>
  </sheetViews>
  <sheetFormatPr defaultRowHeight="15" x14ac:dyDescent="0.25"/>
  <sheetData>
    <row r="4" spans="1:22" x14ac:dyDescent="0.25">
      <c r="A4" s="193" t="s">
        <v>97</v>
      </c>
      <c r="B4" s="199">
        <f>'TUGAS 4'!I20</f>
        <v>1.8133333333333335</v>
      </c>
      <c r="C4" s="154"/>
      <c r="D4" s="154"/>
      <c r="E4" s="85">
        <v>1</v>
      </c>
      <c r="F4" s="154"/>
      <c r="G4" s="154"/>
      <c r="H4" s="154"/>
      <c r="I4" s="154"/>
      <c r="J4" s="154"/>
      <c r="K4" s="154"/>
      <c r="L4" s="154"/>
      <c r="M4" s="154"/>
      <c r="N4" s="154"/>
      <c r="O4" s="85">
        <v>2</v>
      </c>
      <c r="P4" s="154"/>
      <c r="Q4" s="154"/>
      <c r="R4" s="154"/>
      <c r="S4" s="154"/>
    </row>
    <row r="5" spans="1:22" ht="15.75" thickBot="1" x14ac:dyDescent="0.3">
      <c r="A5" s="193" t="s">
        <v>98</v>
      </c>
      <c r="B5" s="193">
        <f>'TUGAS 4'!I22</f>
        <v>4.2</v>
      </c>
      <c r="C5" s="154"/>
      <c r="D5" s="151"/>
      <c r="E5" s="152"/>
      <c r="F5" s="153"/>
      <c r="G5" s="154"/>
      <c r="H5" s="154"/>
      <c r="I5" s="154"/>
      <c r="J5" s="154"/>
      <c r="K5" s="154"/>
      <c r="L5" s="154"/>
      <c r="M5" s="154"/>
      <c r="N5" s="151"/>
      <c r="O5" s="152"/>
      <c r="P5" s="153"/>
      <c r="Q5" s="154"/>
      <c r="R5" s="154"/>
      <c r="S5" s="154"/>
    </row>
    <row r="6" spans="1:22" ht="15.75" thickBot="1" x14ac:dyDescent="0.3">
      <c r="A6" s="193" t="s">
        <v>129</v>
      </c>
      <c r="B6" s="193">
        <v>-0.75</v>
      </c>
      <c r="C6" s="154"/>
      <c r="D6" s="7"/>
      <c r="E6" s="156">
        <f>'TUGAS 4'!B15</f>
        <v>-2.9166666666666665</v>
      </c>
      <c r="F6" s="157">
        <f>'TUGAS 4'!C25</f>
        <v>-0.2807017543859649</v>
      </c>
      <c r="G6" s="158"/>
      <c r="H6" s="154"/>
      <c r="I6" s="154"/>
      <c r="J6" s="154"/>
      <c r="K6" s="154"/>
      <c r="L6" s="159"/>
      <c r="M6" s="160"/>
      <c r="N6" s="161">
        <f>'TUGAS 4'!C29</f>
        <v>-0.2807017543859649</v>
      </c>
      <c r="O6" s="156">
        <f>'TUGAS 4'!E15</f>
        <v>2.9166666666666665</v>
      </c>
      <c r="P6" s="8"/>
      <c r="Q6" s="154"/>
      <c r="R6" s="154"/>
      <c r="S6" s="154"/>
      <c r="V6" s="26"/>
    </row>
    <row r="7" spans="1:22" x14ac:dyDescent="0.25">
      <c r="A7" s="154"/>
      <c r="B7" s="154"/>
      <c r="C7" s="154"/>
      <c r="D7" s="7"/>
      <c r="E7" s="162">
        <f>'TUGAS 4'!C27</f>
        <v>-0.21929824561403508</v>
      </c>
      <c r="F7" s="163"/>
      <c r="G7" s="164"/>
      <c r="H7" s="152"/>
      <c r="I7" s="152"/>
      <c r="J7" s="152"/>
      <c r="K7" s="152"/>
      <c r="L7" s="154"/>
      <c r="M7" s="165"/>
      <c r="N7" s="166"/>
      <c r="O7" s="167">
        <f>'TUGAS 4'!C31</f>
        <v>-0.21929824561403508</v>
      </c>
      <c r="P7" s="160"/>
      <c r="Q7" s="154"/>
      <c r="R7" s="154"/>
      <c r="S7" s="154"/>
      <c r="V7" s="26"/>
    </row>
    <row r="8" spans="1:22" x14ac:dyDescent="0.25">
      <c r="A8" s="141">
        <v>1</v>
      </c>
      <c r="B8" s="141"/>
      <c r="C8" s="142">
        <v>9</v>
      </c>
      <c r="D8" s="143"/>
      <c r="E8" s="144"/>
      <c r="F8" s="143">
        <v>4</v>
      </c>
      <c r="G8" s="142"/>
      <c r="H8" s="145">
        <v>3</v>
      </c>
      <c r="I8" s="142"/>
      <c r="J8" s="142"/>
      <c r="K8" s="142"/>
      <c r="L8" s="146">
        <v>5</v>
      </c>
      <c r="M8" s="142"/>
      <c r="N8" s="142">
        <v>6</v>
      </c>
      <c r="O8" s="148"/>
      <c r="P8" s="149"/>
      <c r="Q8" s="145">
        <v>12</v>
      </c>
      <c r="R8" s="141"/>
      <c r="S8" s="141">
        <v>2</v>
      </c>
      <c r="V8" s="26"/>
    </row>
    <row r="9" spans="1:22" x14ac:dyDescent="0.25">
      <c r="A9" s="85" t="s">
        <v>101</v>
      </c>
      <c r="B9" s="154"/>
      <c r="C9" s="168" t="s">
        <v>100</v>
      </c>
      <c r="D9" s="150"/>
      <c r="E9" s="17"/>
      <c r="F9" s="169" t="s">
        <v>102</v>
      </c>
      <c r="G9" s="150"/>
      <c r="H9" s="170" t="s">
        <v>103</v>
      </c>
      <c r="I9" s="150"/>
      <c r="J9" s="150"/>
      <c r="K9" s="150"/>
      <c r="L9" s="171" t="s">
        <v>104</v>
      </c>
      <c r="M9" s="150"/>
      <c r="N9" s="169" t="s">
        <v>105</v>
      </c>
      <c r="O9" s="17"/>
      <c r="P9" s="154"/>
      <c r="Q9" s="85" t="s">
        <v>106</v>
      </c>
      <c r="R9" s="154"/>
      <c r="S9" s="85" t="s">
        <v>107</v>
      </c>
      <c r="V9" s="26"/>
    </row>
    <row r="10" spans="1:22" x14ac:dyDescent="0.25">
      <c r="A10" s="178">
        <f>$B$6*($B$4+(0+0+0+0))</f>
        <v>-1.36</v>
      </c>
      <c r="B10" s="154"/>
      <c r="C10" s="172">
        <f>$E$21*($E$22+F10+0+0+C26+A10)</f>
        <v>0.9064937357980718</v>
      </c>
      <c r="D10" s="154"/>
      <c r="E10" s="7"/>
      <c r="F10" s="173">
        <f>$E$7*($E$6+0+0+A10)</f>
        <v>0.93786549707602329</v>
      </c>
      <c r="G10" s="154"/>
      <c r="H10" s="174">
        <f>$F$6*($E$6+0+0+A10)</f>
        <v>1.2004678362573098</v>
      </c>
      <c r="I10" s="154"/>
      <c r="J10" s="154"/>
      <c r="K10" s="154"/>
      <c r="L10" s="175">
        <f>$N$6*($O$6+H10+0+S10)</f>
        <v>-0.7739324920488353</v>
      </c>
      <c r="M10" s="154"/>
      <c r="N10" s="176">
        <f>$O$7*($O$6+H10+0+S10)</f>
        <v>-0.60463475941315259</v>
      </c>
      <c r="O10" s="8"/>
      <c r="P10" s="17"/>
      <c r="Q10" s="177">
        <f>$O$21*($O$22+H26+N10+0+Q26+S10)</f>
        <v>5.3602841325510325E-3</v>
      </c>
      <c r="R10" s="154"/>
      <c r="S10" s="178">
        <f>A10</f>
        <v>-1.36</v>
      </c>
      <c r="V10" s="26"/>
    </row>
    <row r="11" spans="1:22" x14ac:dyDescent="0.25">
      <c r="A11" s="178">
        <f>$B$6*($B$4+(F10+C10+N10+Q10))</f>
        <v>-2.2938135681951199</v>
      </c>
      <c r="B11" s="154"/>
      <c r="C11" s="172">
        <f>$E$21*($E$22+F11+L26+0+C27+A11)</f>
        <v>1.0844605015816624</v>
      </c>
      <c r="D11" s="154"/>
      <c r="E11" s="7"/>
      <c r="F11" s="173">
        <f>$E$7*($E$6+L10+C10+A11)</f>
        <v>1.1135787261211734</v>
      </c>
      <c r="G11" s="154"/>
      <c r="H11" s="174">
        <f>$F$6*($E$6+L10+C10+A11)</f>
        <v>1.4253807694351019</v>
      </c>
      <c r="I11" s="154"/>
      <c r="J11" s="154"/>
      <c r="K11" s="154"/>
      <c r="L11" s="175">
        <f>$N$6*($O$6+H11+Q10+S11)</f>
        <v>-0.57644748127416134</v>
      </c>
      <c r="M11" s="154"/>
      <c r="N11" s="176">
        <f>$O$7*($O$6+H11+Q10+S11)</f>
        <v>-0.45034959474543851</v>
      </c>
      <c r="O11" s="8"/>
      <c r="P11" s="17"/>
      <c r="Q11" s="177">
        <f>$O$21*($O$22+H27+N11+0+Q27+S11)</f>
        <v>0.14263586812598655</v>
      </c>
      <c r="R11" s="154"/>
      <c r="S11" s="178">
        <f>A11</f>
        <v>-2.2938135681951199</v>
      </c>
      <c r="V11" s="26"/>
    </row>
    <row r="12" spans="1:22" x14ac:dyDescent="0.25">
      <c r="A12" s="178">
        <f t="shared" ref="A12:A18" si="0">$B$6*($B$4+(F11+C11+N11+Q11))</f>
        <v>-2.7777441258125375</v>
      </c>
      <c r="B12" s="154"/>
      <c r="C12" s="172">
        <f t="shared" ref="C12:C18" si="1">$E$21*($E$22+F12+L27+0+C28+A12)</f>
        <v>1.1378532111566151</v>
      </c>
      <c r="D12" s="154"/>
      <c r="E12" s="7"/>
      <c r="F12" s="173">
        <f t="shared" ref="F12:F18" si="2">$E$7*($E$6+L11+C11+A12)</f>
        <v>1.1373679324937944</v>
      </c>
      <c r="G12" s="154"/>
      <c r="H12" s="174">
        <f t="shared" ref="H12:H18" si="3">$F$6*($E$6+L11+C11+A12)</f>
        <v>1.4558309535920568</v>
      </c>
      <c r="I12" s="154"/>
      <c r="J12" s="154"/>
      <c r="K12" s="154"/>
      <c r="L12" s="175">
        <f t="shared" ref="L12:L18" si="4">$N$6*($O$6+H12+Q11+S12)</f>
        <v>-0.48768824212552209</v>
      </c>
      <c r="M12" s="154"/>
      <c r="N12" s="176">
        <f t="shared" ref="N12:N18" si="5">$O$7*($O$6+H12+Q11+S12)</f>
        <v>-0.38100643916056415</v>
      </c>
      <c r="O12" s="8"/>
      <c r="P12" s="17"/>
      <c r="Q12" s="177">
        <f t="shared" ref="Q12:Q18" si="6">$O$21*($O$22+H28+N12+0+Q28+S12)</f>
        <v>0.21119063322954335</v>
      </c>
      <c r="R12" s="154"/>
      <c r="S12" s="178">
        <f t="shared" ref="S12:S18" si="7">A12</f>
        <v>-2.7777441258125375</v>
      </c>
      <c r="V12" s="26"/>
    </row>
    <row r="13" spans="1:22" x14ac:dyDescent="0.25">
      <c r="A13" s="178">
        <f t="shared" si="0"/>
        <v>-2.9390540032895416</v>
      </c>
      <c r="B13" s="154"/>
      <c r="C13" s="172">
        <f t="shared" si="1"/>
        <v>1.1518706513971</v>
      </c>
      <c r="D13" s="154"/>
      <c r="E13" s="7"/>
      <c r="F13" s="173">
        <f t="shared" si="2"/>
        <v>1.1415692326590166</v>
      </c>
      <c r="G13" s="154"/>
      <c r="H13" s="174">
        <f t="shared" si="3"/>
        <v>1.4612086178035411</v>
      </c>
      <c r="I13" s="154"/>
      <c r="J13" s="154"/>
      <c r="K13" s="154"/>
      <c r="L13" s="175">
        <f t="shared" si="4"/>
        <v>-0.46316123913269047</v>
      </c>
      <c r="M13" s="154"/>
      <c r="N13" s="176">
        <f t="shared" si="5"/>
        <v>-0.36184471807241442</v>
      </c>
      <c r="O13" s="8"/>
      <c r="P13" s="17"/>
      <c r="Q13" s="177">
        <f t="shared" si="6"/>
        <v>0.23698988772509735</v>
      </c>
      <c r="R13" s="154"/>
      <c r="S13" s="178">
        <f t="shared" si="7"/>
        <v>-2.9390540032895416</v>
      </c>
      <c r="V13" s="26"/>
    </row>
    <row r="14" spans="1:22" x14ac:dyDescent="0.25">
      <c r="A14" s="178">
        <f t="shared" si="0"/>
        <v>-2.9864387902815999</v>
      </c>
      <c r="B14" s="154"/>
      <c r="C14" s="172">
        <f t="shared" si="1"/>
        <v>1.1548184939695814</v>
      </c>
      <c r="D14" s="154"/>
      <c r="E14" s="7"/>
      <c r="F14" s="173">
        <f t="shared" si="2"/>
        <v>1.1435079045359335</v>
      </c>
      <c r="G14" s="154"/>
      <c r="H14" s="174">
        <f t="shared" si="3"/>
        <v>1.4636901178059949</v>
      </c>
      <c r="I14" s="154"/>
      <c r="J14" s="154"/>
      <c r="K14" s="154"/>
      <c r="L14" s="175">
        <f t="shared" si="4"/>
        <v>-0.45779870369576398</v>
      </c>
      <c r="M14" s="154"/>
      <c r="N14" s="176">
        <f t="shared" si="5"/>
        <v>-0.35765523726231563</v>
      </c>
      <c r="O14" s="8"/>
      <c r="P14" s="17"/>
      <c r="Q14" s="177">
        <f t="shared" si="6"/>
        <v>0.24540177810434743</v>
      </c>
      <c r="R14" s="154"/>
      <c r="S14" s="178">
        <f t="shared" si="7"/>
        <v>-2.9864387902815999</v>
      </c>
      <c r="V14" s="26"/>
    </row>
    <row r="15" spans="1:22" x14ac:dyDescent="0.25">
      <c r="A15" s="178">
        <f t="shared" si="0"/>
        <v>-2.9995547045106603</v>
      </c>
      <c r="B15" s="154"/>
      <c r="C15" s="172">
        <f t="shared" si="1"/>
        <v>1.1552758969605186</v>
      </c>
      <c r="D15" s="154"/>
      <c r="E15" s="7"/>
      <c r="F15" s="173">
        <f t="shared" si="2"/>
        <v>1.144561750198138</v>
      </c>
      <c r="G15" s="154"/>
      <c r="H15" s="174">
        <f t="shared" si="3"/>
        <v>1.4650390402536166</v>
      </c>
      <c r="I15" s="154"/>
      <c r="J15" s="154"/>
      <c r="K15" s="154"/>
      <c r="L15" s="175">
        <f t="shared" si="4"/>
        <v>-0.45685692084602675</v>
      </c>
      <c r="M15" s="154"/>
      <c r="N15" s="176">
        <f t="shared" si="5"/>
        <v>-0.35691946941095842</v>
      </c>
      <c r="O15" s="8"/>
      <c r="P15" s="17"/>
      <c r="Q15" s="177">
        <f t="shared" si="6"/>
        <v>0.24790580073308613</v>
      </c>
      <c r="R15" s="154"/>
      <c r="S15" s="178">
        <f t="shared" si="7"/>
        <v>-2.9995547045106603</v>
      </c>
      <c r="V15" s="26"/>
    </row>
    <row r="16" spans="1:22" x14ac:dyDescent="0.25">
      <c r="A16" s="178">
        <f t="shared" si="0"/>
        <v>-3.0031179838605881</v>
      </c>
      <c r="B16" s="154"/>
      <c r="C16" s="172">
        <f t="shared" si="1"/>
        <v>1.1553094051234924</v>
      </c>
      <c r="D16" s="8"/>
      <c r="E16" s="150"/>
      <c r="F16" s="173">
        <f t="shared" si="2"/>
        <v>1.1450363321080619</v>
      </c>
      <c r="G16" s="154"/>
      <c r="H16" s="174">
        <f t="shared" si="3"/>
        <v>1.4656465050983192</v>
      </c>
      <c r="I16" s="154"/>
      <c r="J16" s="154"/>
      <c r="K16" s="154"/>
      <c r="L16" s="175">
        <f t="shared" si="4"/>
        <v>-0.45673010207367976</v>
      </c>
      <c r="M16" s="154"/>
      <c r="N16" s="176">
        <f t="shared" si="5"/>
        <v>-0.35682039224506235</v>
      </c>
      <c r="O16" s="8"/>
      <c r="P16" s="17"/>
      <c r="Q16" s="177">
        <f t="shared" si="6"/>
        <v>0.24861127553352591</v>
      </c>
      <c r="R16" s="154"/>
      <c r="S16" s="178">
        <f t="shared" si="7"/>
        <v>-3.0031179838605881</v>
      </c>
    </row>
    <row r="17" spans="1:23" x14ac:dyDescent="0.25">
      <c r="A17" s="178">
        <f t="shared" si="0"/>
        <v>-3.0041024653900137</v>
      </c>
      <c r="B17" s="154"/>
      <c r="C17" s="172">
        <f t="shared" si="1"/>
        <v>1.1553017768575109</v>
      </c>
      <c r="D17" s="8"/>
      <c r="E17" s="150"/>
      <c r="F17" s="173">
        <f t="shared" si="2"/>
        <v>1.1452170677646638</v>
      </c>
      <c r="G17" s="154"/>
      <c r="H17" s="174">
        <f t="shared" si="3"/>
        <v>1.4658778467387696</v>
      </c>
      <c r="I17" s="154"/>
      <c r="J17" s="154"/>
      <c r="K17" s="154"/>
      <c r="L17" s="175">
        <f t="shared" si="4"/>
        <v>-0.45671672239970496</v>
      </c>
      <c r="M17" s="154"/>
      <c r="N17" s="176">
        <f t="shared" si="5"/>
        <v>-0.35680993937476951</v>
      </c>
      <c r="O17" s="8"/>
      <c r="P17" s="17"/>
      <c r="Q17" s="177">
        <f t="shared" si="6"/>
        <v>0.24880573253686364</v>
      </c>
      <c r="R17" s="154"/>
      <c r="S17" s="178">
        <f t="shared" si="7"/>
        <v>-3.0041024653900137</v>
      </c>
    </row>
    <row r="18" spans="1:23" x14ac:dyDescent="0.25">
      <c r="A18" s="178">
        <f t="shared" si="0"/>
        <v>-3.0043859783382016</v>
      </c>
      <c r="B18" s="154"/>
      <c r="C18" s="172">
        <f t="shared" si="1"/>
        <v>1.1552983369271428</v>
      </c>
      <c r="D18" s="8"/>
      <c r="E18" s="150"/>
      <c r="F18" s="173">
        <f t="shared" si="2"/>
        <v>1.1452779803831274</v>
      </c>
      <c r="G18" s="154"/>
      <c r="H18" s="174">
        <f t="shared" si="3"/>
        <v>1.4659558148904033</v>
      </c>
      <c r="I18" s="154"/>
      <c r="J18" s="154"/>
      <c r="K18" s="154"/>
      <c r="L18" s="175">
        <f t="shared" si="4"/>
        <v>-0.45671361003669658</v>
      </c>
      <c r="M18" s="154"/>
      <c r="N18" s="176">
        <f t="shared" si="5"/>
        <v>-0.35680750784116921</v>
      </c>
      <c r="O18" s="8"/>
      <c r="P18" s="17"/>
      <c r="Q18" s="177">
        <f t="shared" si="6"/>
        <v>0.24885984786872156</v>
      </c>
      <c r="R18" s="154"/>
      <c r="S18" s="178">
        <f t="shared" si="7"/>
        <v>-3.0043859783382016</v>
      </c>
    </row>
    <row r="19" spans="1:23" x14ac:dyDescent="0.25">
      <c r="A19" s="178"/>
      <c r="B19" s="154"/>
      <c r="C19" s="172"/>
      <c r="D19" s="17"/>
      <c r="E19" s="150"/>
      <c r="F19" s="173"/>
      <c r="G19" s="154"/>
      <c r="H19" s="174"/>
      <c r="I19" s="154"/>
      <c r="J19" s="154"/>
      <c r="K19" s="154"/>
      <c r="L19" s="175"/>
      <c r="M19" s="154"/>
      <c r="N19" s="176"/>
      <c r="O19" s="8"/>
      <c r="P19" s="17"/>
      <c r="Q19" s="177"/>
      <c r="R19" s="154"/>
      <c r="S19" s="178"/>
    </row>
    <row r="20" spans="1:23" x14ac:dyDescent="0.25">
      <c r="A20" s="154"/>
      <c r="B20" s="154"/>
      <c r="C20" s="154"/>
      <c r="D20" s="179"/>
      <c r="E20" s="158"/>
      <c r="F20" s="150"/>
      <c r="G20" s="154"/>
      <c r="H20" s="154"/>
      <c r="I20" s="154"/>
      <c r="J20" s="154"/>
      <c r="K20" s="154"/>
      <c r="L20" s="154"/>
      <c r="M20" s="154"/>
      <c r="N20" s="150"/>
      <c r="O20" s="150"/>
      <c r="P20" s="180"/>
      <c r="Q20" s="154"/>
      <c r="R20" s="154"/>
      <c r="S20" s="154"/>
    </row>
    <row r="21" spans="1:23" ht="15.75" thickBot="1" x14ac:dyDescent="0.3">
      <c r="A21" s="154"/>
      <c r="B21" s="154"/>
      <c r="C21" s="154"/>
      <c r="D21" s="151"/>
      <c r="E21" s="181">
        <f>'TUGAS 4'!C33</f>
        <v>-0.13127187864644108</v>
      </c>
      <c r="F21" s="153"/>
      <c r="G21" s="154"/>
      <c r="H21" s="154"/>
      <c r="I21" s="154"/>
      <c r="J21" s="154"/>
      <c r="K21" s="154"/>
      <c r="L21" s="154"/>
      <c r="M21" s="154"/>
      <c r="N21" s="151"/>
      <c r="O21" s="195">
        <f>'TUGAS 4'!C39</f>
        <v>-0.13127187864644108</v>
      </c>
      <c r="P21" s="153"/>
      <c r="Q21" s="154"/>
      <c r="R21" s="154"/>
      <c r="S21" s="154"/>
    </row>
    <row r="22" spans="1:23" ht="15.75" thickBot="1" x14ac:dyDescent="0.3">
      <c r="A22" s="154"/>
      <c r="B22" s="154"/>
      <c r="C22" s="85">
        <v>3</v>
      </c>
      <c r="D22" s="7"/>
      <c r="E22" s="156">
        <f>'TUGAS 4'!B16</f>
        <v>-3.3333333333333335</v>
      </c>
      <c r="F22" s="183">
        <f>'TUGAS 4'!C35</f>
        <v>-0.25204200700116686</v>
      </c>
      <c r="G22" s="164"/>
      <c r="H22" s="152"/>
      <c r="I22" s="152"/>
      <c r="J22" s="152"/>
      <c r="K22" s="152"/>
      <c r="L22" s="152"/>
      <c r="M22" s="165"/>
      <c r="N22" s="196">
        <f>'TUGAS 4'!C41</f>
        <v>-0.25204200700116686</v>
      </c>
      <c r="O22" s="156">
        <f>'TUGAS 4'!E16</f>
        <v>3.3333333333333335</v>
      </c>
      <c r="P22" s="8"/>
      <c r="Q22" s="85">
        <v>4</v>
      </c>
      <c r="R22" s="154"/>
      <c r="S22" s="154"/>
      <c r="T22" s="2"/>
      <c r="U22" s="150"/>
      <c r="V22" s="150"/>
      <c r="W22" s="154"/>
    </row>
    <row r="23" spans="1:23" x14ac:dyDescent="0.25">
      <c r="A23" s="154"/>
      <c r="B23" s="154"/>
      <c r="C23" s="154"/>
      <c r="D23" s="158"/>
      <c r="E23" s="197">
        <f>'TUGAS 4'!C37</f>
        <v>-0.11668611435239207</v>
      </c>
      <c r="F23" s="160"/>
      <c r="G23" s="8"/>
      <c r="H23" s="154"/>
      <c r="I23" s="154"/>
      <c r="J23" s="154"/>
      <c r="K23" s="154"/>
      <c r="L23" s="8"/>
      <c r="M23" s="154"/>
      <c r="N23" s="7"/>
      <c r="O23" s="198">
        <f>'TUGAS 4'!C43</f>
        <v>-0.11668611435239207</v>
      </c>
      <c r="P23" s="160"/>
      <c r="Q23" s="154"/>
      <c r="R23" s="154"/>
      <c r="S23" s="154"/>
    </row>
    <row r="24" spans="1:23" x14ac:dyDescent="0.25">
      <c r="A24" s="154"/>
      <c r="B24" s="154"/>
      <c r="C24" s="142">
        <v>7</v>
      </c>
      <c r="D24" s="147"/>
      <c r="E24" s="144"/>
      <c r="F24" s="142">
        <v>11</v>
      </c>
      <c r="G24" s="146"/>
      <c r="H24" s="142">
        <v>10</v>
      </c>
      <c r="I24" s="142"/>
      <c r="J24" s="142"/>
      <c r="K24" s="142"/>
      <c r="L24" s="146">
        <v>13</v>
      </c>
      <c r="M24" s="142"/>
      <c r="N24" s="143">
        <v>14</v>
      </c>
      <c r="O24" s="165"/>
      <c r="P24" s="7"/>
      <c r="Q24" s="142">
        <v>8</v>
      </c>
      <c r="R24" s="154"/>
      <c r="S24" s="154"/>
    </row>
    <row r="25" spans="1:23" x14ac:dyDescent="0.25">
      <c r="A25" s="154"/>
      <c r="B25" s="154"/>
      <c r="C25" s="169" t="s">
        <v>111</v>
      </c>
      <c r="D25" s="8"/>
      <c r="E25" s="150"/>
      <c r="F25" s="187" t="s">
        <v>112</v>
      </c>
      <c r="G25" s="8"/>
      <c r="H25" s="170" t="s">
        <v>113</v>
      </c>
      <c r="I25" s="150"/>
      <c r="J25" s="150"/>
      <c r="K25" s="150"/>
      <c r="L25" s="188" t="s">
        <v>128</v>
      </c>
      <c r="M25" s="150"/>
      <c r="N25" s="169" t="s">
        <v>114</v>
      </c>
      <c r="O25" s="17"/>
      <c r="P25" s="154"/>
      <c r="Q25" s="85" t="s">
        <v>115</v>
      </c>
      <c r="R25" s="154"/>
      <c r="S25" s="154"/>
    </row>
    <row r="26" spans="1:23" x14ac:dyDescent="0.25">
      <c r="A26" s="154"/>
      <c r="B26" s="154"/>
      <c r="C26" s="178">
        <f>$B$6*($B$5+(0+0+0+0))</f>
        <v>-3.1500000000000004</v>
      </c>
      <c r="D26" s="154"/>
      <c r="E26" s="7"/>
      <c r="F26" s="189">
        <f>$E$23*($E$22+F10+0+0+C26+A10)</f>
        <v>0.80577220959828599</v>
      </c>
      <c r="G26" s="154"/>
      <c r="H26" s="190">
        <f>$F$22*($E$22+F10+0+0+C26+A10)</f>
        <v>1.7404679727322978</v>
      </c>
      <c r="I26" s="154"/>
      <c r="J26" s="154"/>
      <c r="K26" s="154"/>
      <c r="L26" s="191">
        <f>$N$22*($O$22+H26+N10+0+Q26+S10)</f>
        <v>1.0291745534497982E-2</v>
      </c>
      <c r="M26" s="154"/>
      <c r="N26" s="192">
        <f>$O$23*($O$22+H26+N10+0+Q26+S10)</f>
        <v>4.7646970067120285E-3</v>
      </c>
      <c r="O26" s="8"/>
      <c r="P26" s="154"/>
      <c r="Q26" s="178">
        <f>C26</f>
        <v>-3.1500000000000004</v>
      </c>
      <c r="R26" s="154"/>
      <c r="S26" s="154"/>
    </row>
    <row r="27" spans="1:23" x14ac:dyDescent="0.25">
      <c r="A27" s="154"/>
      <c r="B27" s="154"/>
      <c r="C27" s="178">
        <f>$B$6*($B$5+(F26+0+N26+0))</f>
        <v>-3.7579026799537489</v>
      </c>
      <c r="D27" s="154"/>
      <c r="E27" s="7"/>
      <c r="F27" s="189">
        <f>$E$23*($E$22+F11+L26+0+C27+A11)</f>
        <v>0.96396489029481103</v>
      </c>
      <c r="G27" s="154"/>
      <c r="H27" s="190">
        <f>$F$22*($E$22+F11+L26+0+C27+A11)</f>
        <v>2.0821641630367917</v>
      </c>
      <c r="I27" s="154"/>
      <c r="J27" s="154"/>
      <c r="K27" s="154"/>
      <c r="L27" s="191">
        <f>$N$22*($O$22+H27+N11+0+Q27+S11)</f>
        <v>0.2738608668018942</v>
      </c>
      <c r="M27" s="154"/>
      <c r="N27" s="192">
        <f>$O$23*($O$22+H27+N11+0+Q27+S11)</f>
        <v>0.12678743833421027</v>
      </c>
      <c r="O27" s="8"/>
      <c r="P27" s="154"/>
      <c r="Q27" s="178">
        <f>C27</f>
        <v>-3.7579026799537489</v>
      </c>
      <c r="R27" s="154"/>
      <c r="S27" s="154"/>
    </row>
    <row r="28" spans="1:23" x14ac:dyDescent="0.25">
      <c r="A28" s="154"/>
      <c r="B28" s="154"/>
      <c r="C28" s="178">
        <f t="shared" ref="C28:C34" si="8">$B$6*($B$5+(F27+0+N27+0))</f>
        <v>-3.9680642464717657</v>
      </c>
      <c r="D28" s="154"/>
      <c r="E28" s="7"/>
      <c r="F28" s="189">
        <f t="shared" ref="F28:F34" si="9">$E$23*($E$22+F12+L27+0+C28+A12)</f>
        <v>1.0114250765836579</v>
      </c>
      <c r="G28" s="154"/>
      <c r="H28" s="190">
        <f t="shared" ref="H28:H34" si="10">$F$22*($E$22+F12+L27+0+C28+A12)</f>
        <v>2.184678165420701</v>
      </c>
      <c r="I28" s="154"/>
      <c r="J28" s="154"/>
      <c r="K28" s="154"/>
      <c r="L28" s="191">
        <f t="shared" ref="L28:L34" si="11">$N$22*($O$22+H28+N12+0+Q28+S12)</f>
        <v>0.40548601580072319</v>
      </c>
      <c r="M28" s="154"/>
      <c r="N28" s="192">
        <f t="shared" ref="N28:N34" si="12">$O$23*($O$22+H28+N12+0+Q28+S12)</f>
        <v>0.18772500731514963</v>
      </c>
      <c r="O28" s="8"/>
      <c r="P28" s="154"/>
      <c r="Q28" s="178">
        <f t="shared" ref="Q28:Q34" si="13">C28</f>
        <v>-3.9680642464717657</v>
      </c>
      <c r="R28" s="154"/>
      <c r="S28" s="154"/>
    </row>
    <row r="29" spans="1:23" x14ac:dyDescent="0.25">
      <c r="A29" s="154"/>
      <c r="B29" s="154"/>
      <c r="C29" s="178">
        <f t="shared" si="8"/>
        <v>-4.0493625629241059</v>
      </c>
      <c r="D29" s="154"/>
      <c r="E29" s="7"/>
      <c r="F29" s="189">
        <f t="shared" si="9"/>
        <v>1.0238850234640888</v>
      </c>
      <c r="G29" s="154"/>
      <c r="H29" s="190">
        <f t="shared" si="10"/>
        <v>2.2115916506824318</v>
      </c>
      <c r="I29" s="154"/>
      <c r="J29" s="154"/>
      <c r="K29" s="154"/>
      <c r="L29" s="191">
        <f t="shared" si="11"/>
        <v>0.4550205844321869</v>
      </c>
      <c r="M29" s="154"/>
      <c r="N29" s="192">
        <f t="shared" si="12"/>
        <v>0.2106576779778643</v>
      </c>
      <c r="O29" s="8"/>
      <c r="P29" s="154"/>
      <c r="Q29" s="178">
        <f t="shared" si="13"/>
        <v>-4.0493625629241059</v>
      </c>
      <c r="R29" s="154"/>
      <c r="S29" s="154"/>
    </row>
    <row r="30" spans="1:23" x14ac:dyDescent="0.25">
      <c r="A30" s="154"/>
      <c r="B30" s="154"/>
      <c r="C30" s="178">
        <f t="shared" si="8"/>
        <v>-4.0759070260814649</v>
      </c>
      <c r="D30" s="154"/>
      <c r="E30" s="7"/>
      <c r="F30" s="189">
        <f t="shared" si="9"/>
        <v>1.0265053279729612</v>
      </c>
      <c r="G30" s="154"/>
      <c r="H30" s="190">
        <f t="shared" si="10"/>
        <v>2.217251508421596</v>
      </c>
      <c r="I30" s="154"/>
      <c r="J30" s="154"/>
      <c r="K30" s="154"/>
      <c r="L30" s="191">
        <f t="shared" si="11"/>
        <v>0.47117141396034706</v>
      </c>
      <c r="M30" s="154"/>
      <c r="N30" s="192">
        <f t="shared" si="12"/>
        <v>0.21813491387053105</v>
      </c>
      <c r="O30" s="8"/>
      <c r="P30" s="154"/>
      <c r="Q30" s="178">
        <f t="shared" si="13"/>
        <v>-4.0759070260814649</v>
      </c>
      <c r="R30" s="154"/>
      <c r="S30" s="154"/>
    </row>
    <row r="31" spans="1:23" x14ac:dyDescent="0.25">
      <c r="A31" s="154"/>
      <c r="B31" s="154"/>
      <c r="C31" s="178">
        <f t="shared" si="8"/>
        <v>-4.0834801813826189</v>
      </c>
      <c r="D31" s="154"/>
      <c r="E31" s="7"/>
      <c r="F31" s="189">
        <f t="shared" si="9"/>
        <v>1.0269119084093499</v>
      </c>
      <c r="G31" s="154"/>
      <c r="H31" s="190">
        <f t="shared" si="10"/>
        <v>2.2181297221641953</v>
      </c>
      <c r="I31" s="154"/>
      <c r="J31" s="154"/>
      <c r="K31" s="154"/>
      <c r="L31" s="191">
        <f t="shared" si="11"/>
        <v>0.47597913740752534</v>
      </c>
      <c r="M31" s="154"/>
      <c r="N31" s="192">
        <f t="shared" si="12"/>
        <v>0.22036071176274322</v>
      </c>
      <c r="O31" s="8"/>
      <c r="P31" s="154"/>
      <c r="Q31" s="178">
        <f t="shared" si="13"/>
        <v>-4.0834801813826189</v>
      </c>
      <c r="R31" s="154"/>
      <c r="S31" s="154"/>
    </row>
    <row r="32" spans="1:23" x14ac:dyDescent="0.25">
      <c r="A32" s="154"/>
      <c r="B32" s="154"/>
      <c r="C32" s="178">
        <f t="shared" si="8"/>
        <v>-4.0854544651290698</v>
      </c>
      <c r="D32" s="154"/>
      <c r="E32" s="7"/>
      <c r="F32" s="189">
        <f t="shared" si="9"/>
        <v>1.0269416934431044</v>
      </c>
      <c r="G32" s="154"/>
      <c r="H32" s="190">
        <f t="shared" si="10"/>
        <v>2.2181940578371053</v>
      </c>
      <c r="I32" s="154"/>
      <c r="J32" s="154"/>
      <c r="K32" s="154"/>
      <c r="L32" s="191">
        <f t="shared" si="11"/>
        <v>0.4773336490243697</v>
      </c>
      <c r="M32" s="154"/>
      <c r="N32" s="192">
        <f t="shared" si="12"/>
        <v>0.22098780047424524</v>
      </c>
      <c r="O32" s="8"/>
      <c r="P32" s="154"/>
      <c r="Q32" s="178">
        <f t="shared" si="13"/>
        <v>-4.0854544651290698</v>
      </c>
      <c r="R32" s="154"/>
      <c r="S32" s="154"/>
      <c r="W32" s="26"/>
    </row>
    <row r="33" spans="1:19" x14ac:dyDescent="0.25">
      <c r="A33" s="154"/>
      <c r="B33" s="154"/>
      <c r="C33" s="178">
        <f t="shared" si="8"/>
        <v>-4.0859471204380124</v>
      </c>
      <c r="D33" s="154"/>
      <c r="E33" s="7"/>
      <c r="F33" s="189">
        <f t="shared" si="9"/>
        <v>1.0269349127622318</v>
      </c>
      <c r="G33" s="154"/>
      <c r="H33" s="190">
        <f t="shared" si="10"/>
        <v>2.2181794115664206</v>
      </c>
      <c r="I33" s="154"/>
      <c r="J33" s="154"/>
      <c r="K33" s="154"/>
      <c r="L33" s="191">
        <f t="shared" si="11"/>
        <v>0.47770700647077818</v>
      </c>
      <c r="M33" s="154"/>
      <c r="N33" s="192">
        <f t="shared" si="12"/>
        <v>0.22116065114387881</v>
      </c>
      <c r="O33" s="8"/>
      <c r="P33" s="154"/>
      <c r="Q33" s="178">
        <f t="shared" si="13"/>
        <v>-4.0859471204380124</v>
      </c>
      <c r="R33" s="154"/>
      <c r="S33" s="154"/>
    </row>
    <row r="34" spans="1:19" x14ac:dyDescent="0.25">
      <c r="A34" s="154"/>
      <c r="B34" s="154"/>
      <c r="C34" s="178">
        <f t="shared" si="8"/>
        <v>-4.0860716729295827</v>
      </c>
      <c r="D34" s="154"/>
      <c r="E34" s="7"/>
      <c r="F34" s="189">
        <f t="shared" si="9"/>
        <v>1.0269318550463491</v>
      </c>
      <c r="G34" s="154"/>
      <c r="H34" s="190">
        <f t="shared" si="10"/>
        <v>2.2181728069001139</v>
      </c>
      <c r="I34" s="154"/>
      <c r="J34" s="154"/>
      <c r="K34" s="154"/>
      <c r="L34" s="191">
        <f t="shared" si="11"/>
        <v>0.47781090790794539</v>
      </c>
      <c r="M34" s="154"/>
      <c r="N34" s="192">
        <f t="shared" si="12"/>
        <v>0.22120875366108583</v>
      </c>
      <c r="O34" s="8"/>
      <c r="P34" s="154"/>
      <c r="Q34" s="178">
        <f t="shared" si="13"/>
        <v>-4.0860716729295827</v>
      </c>
      <c r="R34" s="154"/>
      <c r="S34" s="154"/>
    </row>
    <row r="35" spans="1:19" x14ac:dyDescent="0.25">
      <c r="A35" s="154"/>
      <c r="B35" s="154"/>
      <c r="C35" s="178"/>
      <c r="D35" s="154"/>
      <c r="E35" s="7"/>
      <c r="F35" s="189"/>
      <c r="G35" s="154"/>
      <c r="H35" s="190"/>
      <c r="I35" s="154"/>
      <c r="J35" s="154"/>
      <c r="K35" s="154"/>
      <c r="L35" s="191"/>
      <c r="M35" s="154"/>
      <c r="N35" s="192"/>
      <c r="O35" s="8"/>
      <c r="P35" s="154"/>
      <c r="Q35" s="178"/>
      <c r="R35" s="154"/>
      <c r="S35" s="154"/>
    </row>
    <row r="36" spans="1:19" x14ac:dyDescent="0.25">
      <c r="A36" s="154"/>
      <c r="B36" s="154"/>
      <c r="C36" s="154"/>
      <c r="D36" s="155"/>
      <c r="E36" s="155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52"/>
      <c r="Q36" s="154"/>
      <c r="R36" s="154"/>
      <c r="S36" s="154"/>
    </row>
    <row r="37" spans="1:19" x14ac:dyDescent="0.25">
      <c r="A37" t="s">
        <v>130</v>
      </c>
    </row>
    <row r="38" spans="1:19" x14ac:dyDescent="0.25">
      <c r="A38" t="s">
        <v>131</v>
      </c>
      <c r="B38" t="s">
        <v>36</v>
      </c>
      <c r="C38" s="26">
        <f>E6+(2*H18)+L18+0</f>
        <v>-0.44146864692255655</v>
      </c>
      <c r="D38" s="290">
        <f>SUM(C38:C39)</f>
        <v>-3.2756736051409163E-7</v>
      </c>
      <c r="E38" t="s">
        <v>133</v>
      </c>
      <c r="F38" t="s">
        <v>121</v>
      </c>
      <c r="G38" s="26">
        <f>0+2*C18+F18+A18</f>
        <v>0.4514886758992116</v>
      </c>
      <c r="H38" s="290">
        <f>SUM(G38:G40)</f>
        <v>1.0390143716687561E-4</v>
      </c>
      <c r="I38" t="s">
        <v>134</v>
      </c>
      <c r="J38" t="s">
        <v>123</v>
      </c>
      <c r="K38" s="26">
        <f>0+2*Q18+N18+S18</f>
        <v>-2.8634737904419278</v>
      </c>
      <c r="L38" s="281">
        <f>SUM(K38:K40)</f>
        <v>0</v>
      </c>
      <c r="M38" t="s">
        <v>135</v>
      </c>
      <c r="N38" t="s">
        <v>126</v>
      </c>
      <c r="O38" s="26">
        <f>0+2*0+F34+C34</f>
        <v>-3.0591398178832336</v>
      </c>
    </row>
    <row r="39" spans="1:19" x14ac:dyDescent="0.25">
      <c r="B39" t="s">
        <v>117</v>
      </c>
      <c r="C39" s="26">
        <f>0+(2*F18)+C18+A18</f>
        <v>0.44146831935519604</v>
      </c>
      <c r="D39" s="290"/>
      <c r="F39" t="s">
        <v>38</v>
      </c>
      <c r="G39" s="200">
        <f>E22+2*H34+L34+0</f>
        <v>1.5808231883748396</v>
      </c>
      <c r="H39" s="290"/>
      <c r="J39" t="s">
        <v>39</v>
      </c>
      <c r="K39" s="26">
        <f>O22+2*L34+H34+0</f>
        <v>6.507127956049338</v>
      </c>
      <c r="L39" s="281"/>
      <c r="O39" s="26"/>
    </row>
    <row r="40" spans="1:19" x14ac:dyDescent="0.25">
      <c r="D40" s="194"/>
      <c r="F40" t="s">
        <v>122</v>
      </c>
      <c r="G40" s="26">
        <f>0+2*F34+0+C34</f>
        <v>-2.0322079628368845</v>
      </c>
      <c r="H40" s="290"/>
      <c r="J40" t="s">
        <v>124</v>
      </c>
      <c r="K40" s="26">
        <f>0+2*N34+0+Q34</f>
        <v>-3.6436541656074111</v>
      </c>
      <c r="L40" s="281"/>
      <c r="M40" t="s">
        <v>136</v>
      </c>
      <c r="N40" t="s">
        <v>127</v>
      </c>
      <c r="O40" s="26">
        <f>0+2*0+N34+Q34</f>
        <v>-3.8648629192684969</v>
      </c>
    </row>
    <row r="41" spans="1:19" x14ac:dyDescent="0.25">
      <c r="A41" t="s">
        <v>132</v>
      </c>
      <c r="B41" t="s">
        <v>37</v>
      </c>
      <c r="C41" s="26">
        <f>O6+(2*L18)+H18+0</f>
        <v>3.4691952614836765</v>
      </c>
      <c r="D41" s="290">
        <f>SUM(C41:C42)</f>
        <v>5.4115331857840232E-5</v>
      </c>
    </row>
    <row r="42" spans="1:19" x14ac:dyDescent="0.25">
      <c r="B42" t="s">
        <v>120</v>
      </c>
      <c r="C42" s="26">
        <f>0+(2*N18)+Q18+S18</f>
        <v>-3.4691411461518187</v>
      </c>
      <c r="D42" s="290"/>
    </row>
  </sheetData>
  <mergeCells count="4">
    <mergeCell ref="D38:D39"/>
    <mergeCell ref="H38:H40"/>
    <mergeCell ref="L38:L40"/>
    <mergeCell ref="D41:D4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42"/>
  <sheetViews>
    <sheetView zoomScale="95" workbookViewId="0">
      <selection activeCell="A11" sqref="A11"/>
    </sheetView>
  </sheetViews>
  <sheetFormatPr defaultRowHeight="15" x14ac:dyDescent="0.25"/>
  <sheetData>
    <row r="4" spans="1:22" x14ac:dyDescent="0.25">
      <c r="A4" s="193" t="s">
        <v>97</v>
      </c>
      <c r="B4" s="193">
        <v>1.8129999999999999</v>
      </c>
      <c r="C4" s="139"/>
      <c r="D4" s="139"/>
      <c r="E4" s="85">
        <v>1</v>
      </c>
      <c r="F4" s="139"/>
      <c r="G4" s="139"/>
      <c r="H4" s="139"/>
      <c r="I4" s="139"/>
      <c r="J4" s="139"/>
      <c r="K4" s="139"/>
      <c r="L4" s="139"/>
      <c r="M4" s="139"/>
      <c r="N4" s="139"/>
      <c r="O4" s="85">
        <v>2</v>
      </c>
      <c r="P4" s="139"/>
      <c r="Q4" s="139"/>
      <c r="R4" s="139"/>
      <c r="S4" s="139"/>
    </row>
    <row r="5" spans="1:22" ht="15.75" thickBot="1" x14ac:dyDescent="0.3">
      <c r="A5" s="193" t="s">
        <v>98</v>
      </c>
      <c r="B5" s="193">
        <v>4.2</v>
      </c>
      <c r="C5" s="139"/>
      <c r="D5" s="136"/>
      <c r="E5" s="137"/>
      <c r="F5" s="138"/>
      <c r="G5" s="139"/>
      <c r="H5" s="139"/>
      <c r="I5" s="139"/>
      <c r="J5" s="139"/>
      <c r="K5" s="139"/>
      <c r="L5" s="139"/>
      <c r="M5" s="139"/>
      <c r="N5" s="136"/>
      <c r="O5" s="137"/>
      <c r="P5" s="138"/>
      <c r="Q5" s="139"/>
      <c r="R5" s="139"/>
      <c r="S5" s="139"/>
    </row>
    <row r="6" spans="1:22" ht="15.75" thickBot="1" x14ac:dyDescent="0.3">
      <c r="A6" s="193" t="s">
        <v>129</v>
      </c>
      <c r="B6" s="193">
        <v>-0.75</v>
      </c>
      <c r="C6" s="139"/>
      <c r="D6" s="7"/>
      <c r="E6" s="156">
        <v>-2.9159999999999999</v>
      </c>
      <c r="F6" s="157">
        <v>-0.28000000000000003</v>
      </c>
      <c r="G6" s="158"/>
      <c r="H6" s="139"/>
      <c r="I6" s="139"/>
      <c r="J6" s="139"/>
      <c r="K6" s="139"/>
      <c r="L6" s="159"/>
      <c r="M6" s="160"/>
      <c r="N6" s="161">
        <v>-0.28000000000000003</v>
      </c>
      <c r="O6" s="156">
        <v>2.9159999999999999</v>
      </c>
      <c r="P6" s="8"/>
      <c r="Q6" s="139"/>
      <c r="R6" s="139"/>
      <c r="S6" s="139"/>
      <c r="V6" s="26"/>
    </row>
    <row r="7" spans="1:22" x14ac:dyDescent="0.25">
      <c r="A7" s="139"/>
      <c r="B7" s="139"/>
      <c r="C7" s="139"/>
      <c r="D7" s="7"/>
      <c r="E7" s="162">
        <v>-0.22</v>
      </c>
      <c r="F7" s="163"/>
      <c r="G7" s="164"/>
      <c r="H7" s="137"/>
      <c r="I7" s="137"/>
      <c r="J7" s="137"/>
      <c r="K7" s="137"/>
      <c r="L7" s="139"/>
      <c r="M7" s="165"/>
      <c r="N7" s="166"/>
      <c r="O7" s="167">
        <v>-0.22</v>
      </c>
      <c r="P7" s="160"/>
      <c r="Q7" s="139"/>
      <c r="R7" s="139"/>
      <c r="S7" s="139"/>
      <c r="V7" s="26"/>
    </row>
    <row r="8" spans="1:22" x14ac:dyDescent="0.25">
      <c r="A8" s="141">
        <v>1</v>
      </c>
      <c r="B8" s="141"/>
      <c r="C8" s="142">
        <v>9</v>
      </c>
      <c r="D8" s="143"/>
      <c r="E8" s="144"/>
      <c r="F8" s="143">
        <v>4</v>
      </c>
      <c r="G8" s="142"/>
      <c r="H8" s="145">
        <v>3</v>
      </c>
      <c r="I8" s="142"/>
      <c r="J8" s="142"/>
      <c r="K8" s="142"/>
      <c r="L8" s="146">
        <v>5</v>
      </c>
      <c r="M8" s="142"/>
      <c r="N8" s="142">
        <v>6</v>
      </c>
      <c r="O8" s="148"/>
      <c r="P8" s="149"/>
      <c r="Q8" s="145">
        <v>12</v>
      </c>
      <c r="R8" s="141"/>
      <c r="S8" s="141">
        <v>2</v>
      </c>
      <c r="V8" s="26"/>
    </row>
    <row r="9" spans="1:22" x14ac:dyDescent="0.25">
      <c r="A9" s="85" t="s">
        <v>101</v>
      </c>
      <c r="B9" s="139"/>
      <c r="C9" s="168" t="s">
        <v>100</v>
      </c>
      <c r="D9" s="135"/>
      <c r="E9" s="17"/>
      <c r="F9" s="169" t="s">
        <v>102</v>
      </c>
      <c r="G9" s="135"/>
      <c r="H9" s="170" t="s">
        <v>103</v>
      </c>
      <c r="I9" s="135"/>
      <c r="J9" s="135"/>
      <c r="K9" s="135"/>
      <c r="L9" s="171" t="s">
        <v>104</v>
      </c>
      <c r="M9" s="135"/>
      <c r="N9" s="169" t="s">
        <v>105</v>
      </c>
      <c r="O9" s="17"/>
      <c r="P9" s="139"/>
      <c r="Q9" s="85" t="s">
        <v>106</v>
      </c>
      <c r="R9" s="139"/>
      <c r="S9" s="85" t="s">
        <v>107</v>
      </c>
      <c r="V9" s="26"/>
    </row>
    <row r="10" spans="1:22" x14ac:dyDescent="0.25">
      <c r="A10" s="178">
        <f>$B$6*($B$4+(0+0+0+0))</f>
        <v>-1.35975</v>
      </c>
      <c r="B10" s="139"/>
      <c r="C10" s="172">
        <f>$E$21*($E$22+F10+0+0+C26+A10)</f>
        <v>0.9037801350000001</v>
      </c>
      <c r="D10" s="139"/>
      <c r="E10" s="7"/>
      <c r="F10" s="173">
        <f>$E$7*($E$6+0+0+A10)</f>
        <v>0.94066500000000008</v>
      </c>
      <c r="G10" s="139"/>
      <c r="H10" s="174">
        <f>$F$6*($E$6+0+0+A10)</f>
        <v>1.1972100000000003</v>
      </c>
      <c r="I10" s="139"/>
      <c r="J10" s="139"/>
      <c r="K10" s="139"/>
      <c r="L10" s="175">
        <f>$N$6*($O$6+H10+0+S10)</f>
        <v>-0.77096880000000023</v>
      </c>
      <c r="M10" s="139"/>
      <c r="N10" s="176">
        <f>$O$7*($O$6+H10+0+S10)</f>
        <v>-0.60576120000000011</v>
      </c>
      <c r="O10" s="8"/>
      <c r="P10" s="17"/>
      <c r="Q10" s="177">
        <f>$O$21*($O$22+H26+N10+0+Q26+S10)</f>
        <v>6.1493731800000059E-3</v>
      </c>
      <c r="R10" s="139"/>
      <c r="S10" s="178">
        <f>A10</f>
        <v>-1.35975</v>
      </c>
      <c r="V10" s="26"/>
    </row>
    <row r="11" spans="1:22" x14ac:dyDescent="0.25">
      <c r="A11" s="178">
        <f>$B$6*($B$4+(F10+C10+N10+Q10))</f>
        <v>-2.2933749811349999</v>
      </c>
      <c r="B11" s="139"/>
      <c r="C11" s="172">
        <f>$E$21*($E$22+F11+L26+0+C27+A11)</f>
        <v>1.0813022305485094</v>
      </c>
      <c r="D11" s="139"/>
      <c r="E11" s="7"/>
      <c r="F11" s="173">
        <f>$E$7*($E$6+L10+C10+A11)</f>
        <v>1.1168440021496999</v>
      </c>
      <c r="G11" s="139"/>
      <c r="H11" s="174">
        <f>$F$6*($E$6+L10+C10+A11)</f>
        <v>1.4214378209178</v>
      </c>
      <c r="I11" s="139"/>
      <c r="J11" s="139"/>
      <c r="K11" s="139"/>
      <c r="L11" s="175">
        <f>$N$6*($O$6+H11+Q10+S11)</f>
        <v>-0.57405941962958418</v>
      </c>
      <c r="M11" s="139"/>
      <c r="N11" s="176">
        <f>$O$7*($O$6+H11+Q10+S11)</f>
        <v>-0.45104668685181609</v>
      </c>
      <c r="O11" s="8"/>
      <c r="P11" s="17"/>
      <c r="Q11" s="177">
        <f>$O$21*($O$22+H27+N11+0+Q27+S11)</f>
        <v>0.1432973907508435</v>
      </c>
      <c r="R11" s="139"/>
      <c r="S11" s="178">
        <f>A11</f>
        <v>-2.2933749811349999</v>
      </c>
      <c r="V11" s="26"/>
    </row>
    <row r="12" spans="1:22" x14ac:dyDescent="0.25">
      <c r="A12" s="178">
        <f t="shared" ref="A12:A18" si="0">$B$6*($B$4+(F11+C11+N11+Q11))</f>
        <v>-2.7775477024479276</v>
      </c>
      <c r="B12" s="139"/>
      <c r="C12" s="172">
        <f t="shared" ref="C12:C18" si="1">$E$21*($E$22+F12+L27+0+C28+A12)</f>
        <v>1.1346171163466183</v>
      </c>
      <c r="D12" s="139"/>
      <c r="E12" s="7"/>
      <c r="F12" s="173">
        <f t="shared" ref="F12:F18" si="2">$E$7*($E$6+L11+C11+A12)</f>
        <v>1.1409870761363805</v>
      </c>
      <c r="G12" s="139"/>
      <c r="H12" s="174">
        <f t="shared" ref="H12:H18" si="3">$F$6*($E$6+L11+C11+A12)</f>
        <v>1.4521653696281209</v>
      </c>
      <c r="I12" s="139"/>
      <c r="J12" s="139"/>
      <c r="K12" s="139"/>
      <c r="L12" s="175">
        <f t="shared" ref="L12:L18" si="4">$N$6*($O$6+H12+Q11+S12)</f>
        <v>-0.4854962162206905</v>
      </c>
      <c r="M12" s="139"/>
      <c r="N12" s="176">
        <f t="shared" ref="N12:N18" si="5">$O$7*($O$6+H12+Q11+S12)</f>
        <v>-0.38146131274482825</v>
      </c>
      <c r="O12" s="8"/>
      <c r="P12" s="17"/>
      <c r="Q12" s="177">
        <f t="shared" ref="Q12:Q18" si="6">$O$21*($O$22+H28+N12+0+Q28+S12)</f>
        <v>0.21178528443992142</v>
      </c>
      <c r="R12" s="139"/>
      <c r="S12" s="178">
        <f t="shared" ref="S12:S18" si="7">A12</f>
        <v>-2.7775477024479276</v>
      </c>
      <c r="V12" s="26"/>
    </row>
    <row r="13" spans="1:22" x14ac:dyDescent="0.25">
      <c r="A13" s="178">
        <f t="shared" si="0"/>
        <v>-2.939196123133569</v>
      </c>
      <c r="B13" s="139"/>
      <c r="C13" s="172">
        <f t="shared" si="1"/>
        <v>1.148652523193576</v>
      </c>
      <c r="D13" s="139"/>
      <c r="E13" s="7"/>
      <c r="F13" s="173">
        <f t="shared" si="2"/>
        <v>1.1453365490616811</v>
      </c>
      <c r="G13" s="139"/>
      <c r="H13" s="174">
        <f t="shared" si="3"/>
        <v>1.4577010624421396</v>
      </c>
      <c r="I13" s="139"/>
      <c r="J13" s="139"/>
      <c r="K13" s="139"/>
      <c r="L13" s="175">
        <f t="shared" si="4"/>
        <v>-0.4609612626495776</v>
      </c>
      <c r="M13" s="139"/>
      <c r="N13" s="176">
        <f t="shared" si="5"/>
        <v>-0.36218384922466812</v>
      </c>
      <c r="O13" s="8"/>
      <c r="P13" s="17"/>
      <c r="Q13" s="177">
        <f t="shared" si="6"/>
        <v>0.23758715120316681</v>
      </c>
      <c r="R13" s="139"/>
      <c r="S13" s="178">
        <f t="shared" si="7"/>
        <v>-2.939196123133569</v>
      </c>
      <c r="V13" s="26"/>
    </row>
    <row r="14" spans="1:22" x14ac:dyDescent="0.25">
      <c r="A14" s="178">
        <f t="shared" si="0"/>
        <v>-2.9867942806753169</v>
      </c>
      <c r="B14" s="139"/>
      <c r="C14" s="172">
        <f t="shared" si="1"/>
        <v>1.1516213510533981</v>
      </c>
      <c r="D14" s="139"/>
      <c r="E14" s="7"/>
      <c r="F14" s="173">
        <f t="shared" si="2"/>
        <v>1.1473226644288899</v>
      </c>
      <c r="G14" s="139"/>
      <c r="H14" s="174">
        <f t="shared" si="3"/>
        <v>1.4602288456367691</v>
      </c>
      <c r="I14" s="139"/>
      <c r="J14" s="139"/>
      <c r="K14" s="139"/>
      <c r="L14" s="175">
        <f t="shared" si="4"/>
        <v>-0.45556608052609332</v>
      </c>
      <c r="M14" s="139"/>
      <c r="N14" s="176">
        <f t="shared" si="5"/>
        <v>-0.35794477755621612</v>
      </c>
      <c r="O14" s="8"/>
      <c r="P14" s="17"/>
      <c r="Q14" s="177">
        <f t="shared" si="6"/>
        <v>0.24601476759118857</v>
      </c>
      <c r="R14" s="139"/>
      <c r="S14" s="178">
        <f t="shared" si="7"/>
        <v>-2.9867942806753169</v>
      </c>
      <c r="V14" s="26"/>
    </row>
    <row r="15" spans="1:22" x14ac:dyDescent="0.25">
      <c r="A15" s="178">
        <f t="shared" si="0"/>
        <v>-3.0000105041379452</v>
      </c>
      <c r="B15" s="139"/>
      <c r="C15" s="172">
        <f t="shared" si="1"/>
        <v>1.1520891141874954</v>
      </c>
      <c r="D15" s="139"/>
      <c r="E15" s="7"/>
      <c r="F15" s="173">
        <f t="shared" si="2"/>
        <v>1.1483901513943409</v>
      </c>
      <c r="G15" s="139"/>
      <c r="H15" s="174">
        <f t="shared" si="3"/>
        <v>1.4615874654109795</v>
      </c>
      <c r="I15" s="139"/>
      <c r="J15" s="139"/>
      <c r="K15" s="139"/>
      <c r="L15" s="175">
        <f t="shared" si="4"/>
        <v>-0.45460568408198238</v>
      </c>
      <c r="M15" s="139"/>
      <c r="N15" s="176">
        <f t="shared" si="5"/>
        <v>-0.35719018035012895</v>
      </c>
      <c r="O15" s="8"/>
      <c r="P15" s="17"/>
      <c r="Q15" s="177">
        <f t="shared" si="6"/>
        <v>0.24852940230375148</v>
      </c>
      <c r="R15" s="139"/>
      <c r="S15" s="178">
        <f t="shared" si="7"/>
        <v>-3.0000105041379452</v>
      </c>
      <c r="V15" s="26"/>
    </row>
    <row r="16" spans="1:22" x14ac:dyDescent="0.25">
      <c r="A16" s="178">
        <f t="shared" si="0"/>
        <v>-3.0036138656515936</v>
      </c>
      <c r="B16" s="139"/>
      <c r="C16" s="172">
        <f t="shared" si="1"/>
        <v>1.1521264826894819</v>
      </c>
      <c r="D16" s="8"/>
      <c r="E16" s="135"/>
      <c r="F16" s="173">
        <f t="shared" si="2"/>
        <v>1.1488686958201377</v>
      </c>
      <c r="G16" s="139"/>
      <c r="H16" s="174">
        <f t="shared" si="3"/>
        <v>1.4621965219529027</v>
      </c>
      <c r="I16" s="139"/>
      <c r="J16" s="139"/>
      <c r="K16" s="139"/>
      <c r="L16" s="175">
        <f t="shared" si="4"/>
        <v>-0.45447137640941715</v>
      </c>
      <c r="M16" s="139"/>
      <c r="N16" s="176">
        <f t="shared" si="5"/>
        <v>-0.35708465289311347</v>
      </c>
      <c r="O16" s="8"/>
      <c r="P16" s="17"/>
      <c r="Q16" s="177">
        <f t="shared" si="6"/>
        <v>0.24923990711371397</v>
      </c>
      <c r="R16" s="139"/>
      <c r="S16" s="178">
        <f t="shared" si="7"/>
        <v>-3.0036138656515936</v>
      </c>
    </row>
    <row r="17" spans="1:23" x14ac:dyDescent="0.25">
      <c r="A17" s="178">
        <f t="shared" si="0"/>
        <v>-3.0046128245476655</v>
      </c>
      <c r="B17" s="139"/>
      <c r="C17" s="172">
        <f t="shared" si="1"/>
        <v>1.1521200826878466</v>
      </c>
      <c r="D17" s="8"/>
      <c r="E17" s="135"/>
      <c r="F17" s="173">
        <f t="shared" si="2"/>
        <v>1.1490506980188722</v>
      </c>
      <c r="G17" s="139"/>
      <c r="H17" s="174">
        <f t="shared" si="3"/>
        <v>1.4624281611149283</v>
      </c>
      <c r="I17" s="139"/>
      <c r="J17" s="139"/>
      <c r="K17" s="139"/>
      <c r="L17" s="175">
        <f t="shared" si="4"/>
        <v>-0.45445546823067351</v>
      </c>
      <c r="M17" s="139"/>
      <c r="N17" s="176">
        <f t="shared" si="5"/>
        <v>-0.35707215360981487</v>
      </c>
      <c r="O17" s="8"/>
      <c r="P17" s="17"/>
      <c r="Q17" s="177">
        <f t="shared" si="6"/>
        <v>0.24943637200652322</v>
      </c>
      <c r="R17" s="139"/>
      <c r="S17" s="178">
        <f t="shared" si="7"/>
        <v>-3.0046128245476655</v>
      </c>
    </row>
    <row r="18" spans="1:23" x14ac:dyDescent="0.25">
      <c r="A18" s="178">
        <f t="shared" si="0"/>
        <v>-3.0049012493275704</v>
      </c>
      <c r="B18" s="139"/>
      <c r="C18" s="172">
        <f t="shared" si="1"/>
        <v>1.1521169969987339</v>
      </c>
      <c r="D18" s="8"/>
      <c r="E18" s="135"/>
      <c r="F18" s="173">
        <f t="shared" si="2"/>
        <v>1.1491120596714874</v>
      </c>
      <c r="G18" s="139"/>
      <c r="H18" s="174">
        <f t="shared" si="3"/>
        <v>1.4625062577637113</v>
      </c>
      <c r="I18" s="139"/>
      <c r="J18" s="139"/>
      <c r="K18" s="139"/>
      <c r="L18" s="175">
        <f t="shared" si="4"/>
        <v>-0.45445158652394613</v>
      </c>
      <c r="M18" s="139"/>
      <c r="N18" s="176">
        <f t="shared" si="5"/>
        <v>-0.3570691036973862</v>
      </c>
      <c r="O18" s="8"/>
      <c r="P18" s="17"/>
      <c r="Q18" s="177">
        <f t="shared" si="6"/>
        <v>0.24949121190201931</v>
      </c>
      <c r="R18" s="139"/>
      <c r="S18" s="178">
        <f t="shared" si="7"/>
        <v>-3.0049012493275704</v>
      </c>
    </row>
    <row r="19" spans="1:23" x14ac:dyDescent="0.25">
      <c r="A19" s="178"/>
      <c r="B19" s="139"/>
      <c r="C19" s="172"/>
      <c r="D19" s="17"/>
      <c r="E19" s="135"/>
      <c r="F19" s="173"/>
      <c r="G19" s="139"/>
      <c r="H19" s="174"/>
      <c r="I19" s="139"/>
      <c r="J19" s="139"/>
      <c r="K19" s="139"/>
      <c r="L19" s="175"/>
      <c r="M19" s="139"/>
      <c r="N19" s="176"/>
      <c r="O19" s="8"/>
      <c r="P19" s="17"/>
      <c r="Q19" s="177"/>
      <c r="R19" s="139"/>
      <c r="S19" s="178"/>
    </row>
    <row r="20" spans="1:23" x14ac:dyDescent="0.25">
      <c r="A20" s="139"/>
      <c r="B20" s="139"/>
      <c r="C20" s="139"/>
      <c r="D20" s="179"/>
      <c r="E20" s="158"/>
      <c r="F20" s="135"/>
      <c r="G20" s="139"/>
      <c r="H20" s="139"/>
      <c r="I20" s="139"/>
      <c r="J20" s="139"/>
      <c r="K20" s="139"/>
      <c r="L20" s="139"/>
      <c r="M20" s="139"/>
      <c r="N20" s="135"/>
      <c r="O20" s="135"/>
      <c r="P20" s="180"/>
      <c r="Q20" s="139"/>
      <c r="R20" s="139"/>
      <c r="S20" s="139"/>
    </row>
    <row r="21" spans="1:23" ht="15.75" thickBot="1" x14ac:dyDescent="0.3">
      <c r="A21" s="139"/>
      <c r="B21" s="139"/>
      <c r="C21" s="139"/>
      <c r="D21" s="136"/>
      <c r="E21" s="181">
        <v>-0.13100000000000001</v>
      </c>
      <c r="F21" s="138"/>
      <c r="G21" s="139"/>
      <c r="H21" s="139"/>
      <c r="I21" s="139"/>
      <c r="J21" s="139"/>
      <c r="K21" s="139"/>
      <c r="L21" s="139"/>
      <c r="M21" s="139"/>
      <c r="N21" s="136"/>
      <c r="O21" s="182">
        <v>-0.13100000000000001</v>
      </c>
      <c r="P21" s="138"/>
      <c r="Q21" s="139"/>
      <c r="R21" s="139"/>
      <c r="S21" s="139"/>
    </row>
    <row r="22" spans="1:23" ht="15.75" thickBot="1" x14ac:dyDescent="0.3">
      <c r="A22" s="139"/>
      <c r="B22" s="139"/>
      <c r="C22" s="85">
        <v>3</v>
      </c>
      <c r="D22" s="7"/>
      <c r="E22" s="156">
        <v>-3.33</v>
      </c>
      <c r="F22" s="183">
        <v>-0.252</v>
      </c>
      <c r="G22" s="164"/>
      <c r="H22" s="137"/>
      <c r="I22" s="137"/>
      <c r="J22" s="137"/>
      <c r="K22" s="137"/>
      <c r="L22" s="137"/>
      <c r="M22" s="165"/>
      <c r="N22" s="184">
        <v>-0.252</v>
      </c>
      <c r="O22" s="156">
        <v>3.33</v>
      </c>
      <c r="P22" s="8"/>
      <c r="Q22" s="85">
        <v>4</v>
      </c>
      <c r="R22" s="139"/>
      <c r="S22" s="139"/>
      <c r="T22" s="2"/>
      <c r="U22" s="135"/>
      <c r="V22" s="135"/>
      <c r="W22" s="139"/>
    </row>
    <row r="23" spans="1:23" x14ac:dyDescent="0.25">
      <c r="A23" s="139"/>
      <c r="B23" s="139"/>
      <c r="C23" s="139"/>
      <c r="D23" s="158"/>
      <c r="E23" s="185">
        <v>-0.11700000000000001</v>
      </c>
      <c r="F23" s="160"/>
      <c r="G23" s="8"/>
      <c r="H23" s="139"/>
      <c r="I23" s="139"/>
      <c r="J23" s="139"/>
      <c r="K23" s="139"/>
      <c r="L23" s="8"/>
      <c r="M23" s="139"/>
      <c r="N23" s="7"/>
      <c r="O23" s="186">
        <v>-0.11700000000000001</v>
      </c>
      <c r="P23" s="160"/>
      <c r="Q23" s="139"/>
      <c r="R23" s="139"/>
      <c r="S23" s="139"/>
    </row>
    <row r="24" spans="1:23" x14ac:dyDescent="0.25">
      <c r="A24" s="139"/>
      <c r="B24" s="139"/>
      <c r="C24" s="142">
        <v>7</v>
      </c>
      <c r="D24" s="147"/>
      <c r="E24" s="144"/>
      <c r="F24" s="142">
        <v>11</v>
      </c>
      <c r="G24" s="146"/>
      <c r="H24" s="142">
        <v>10</v>
      </c>
      <c r="I24" s="142"/>
      <c r="J24" s="142"/>
      <c r="K24" s="142"/>
      <c r="L24" s="146">
        <v>13</v>
      </c>
      <c r="M24" s="142"/>
      <c r="N24" s="143">
        <v>14</v>
      </c>
      <c r="O24" s="165"/>
      <c r="P24" s="7"/>
      <c r="Q24" s="142">
        <v>8</v>
      </c>
      <c r="R24" s="139"/>
      <c r="S24" s="139"/>
    </row>
    <row r="25" spans="1:23" x14ac:dyDescent="0.25">
      <c r="A25" s="139"/>
      <c r="B25" s="139"/>
      <c r="C25" s="169" t="s">
        <v>111</v>
      </c>
      <c r="D25" s="8"/>
      <c r="E25" s="135"/>
      <c r="F25" s="187" t="s">
        <v>112</v>
      </c>
      <c r="G25" s="8"/>
      <c r="H25" s="170" t="s">
        <v>113</v>
      </c>
      <c r="I25" s="135"/>
      <c r="J25" s="135"/>
      <c r="K25" s="135"/>
      <c r="L25" s="188" t="s">
        <v>128</v>
      </c>
      <c r="M25" s="135"/>
      <c r="N25" s="169" t="s">
        <v>114</v>
      </c>
      <c r="O25" s="17"/>
      <c r="P25" s="139"/>
      <c r="Q25" s="85" t="s">
        <v>115</v>
      </c>
      <c r="R25" s="139"/>
      <c r="S25" s="139"/>
    </row>
    <row r="26" spans="1:23" x14ac:dyDescent="0.25">
      <c r="A26" s="139"/>
      <c r="B26" s="139"/>
      <c r="C26" s="178">
        <f>$B$6*($B$5+(0+0+0+0))</f>
        <v>-3.1500000000000004</v>
      </c>
      <c r="D26" s="139"/>
      <c r="E26" s="7"/>
      <c r="F26" s="189">
        <f>$E$23*($E$22+F10+0+0+C26+A10)</f>
        <v>0.80719294500000005</v>
      </c>
      <c r="G26" s="139"/>
      <c r="H26" s="190">
        <f>$F$22*($E$22+F10+0+0+C26+A10)</f>
        <v>1.7385694200000001</v>
      </c>
      <c r="I26" s="139"/>
      <c r="J26" s="139"/>
      <c r="K26" s="139"/>
      <c r="L26" s="191">
        <f>$N$22*($O$22+H26+N10+0+Q26+S10)</f>
        <v>1.1829328560000012E-2</v>
      </c>
      <c r="M26" s="139"/>
      <c r="N26" s="192">
        <f>$O$23*($O$22+H26+N10+0+Q26+S10)</f>
        <v>5.4921882600000053E-3</v>
      </c>
      <c r="O26" s="8"/>
      <c r="P26" s="139"/>
      <c r="Q26" s="178">
        <f>C26</f>
        <v>-3.1500000000000004</v>
      </c>
      <c r="R26" s="139"/>
      <c r="S26" s="139"/>
    </row>
    <row r="27" spans="1:23" x14ac:dyDescent="0.25">
      <c r="A27" s="139"/>
      <c r="B27" s="139"/>
      <c r="C27" s="178">
        <f>$B$6*($B$5+(F26+0+N26+0))</f>
        <v>-3.7595138499449998</v>
      </c>
      <c r="D27" s="139"/>
      <c r="E27" s="7"/>
      <c r="F27" s="189">
        <f>$E$23*($E$22+F11+L26+0+C27+A11)</f>
        <v>0.96574321354332515</v>
      </c>
      <c r="G27" s="139"/>
      <c r="H27" s="190">
        <f>$F$22*($E$22+F11+L26+0+C27+A11)</f>
        <v>2.0800623060933154</v>
      </c>
      <c r="I27" s="139"/>
      <c r="J27" s="139"/>
      <c r="K27" s="139"/>
      <c r="L27" s="191">
        <f>$N$22*($O$22+H27+N11+0+Q27+S11)</f>
        <v>0.27565604938330202</v>
      </c>
      <c r="M27" s="139"/>
      <c r="N27" s="192">
        <f>$O$23*($O$22+H27+N11+0+Q27+S11)</f>
        <v>0.12798316578510449</v>
      </c>
      <c r="O27" s="8"/>
      <c r="P27" s="139"/>
      <c r="Q27" s="178">
        <f>C27</f>
        <v>-3.7595138499449998</v>
      </c>
      <c r="R27" s="139"/>
      <c r="S27" s="139"/>
    </row>
    <row r="28" spans="1:23" x14ac:dyDescent="0.25">
      <c r="A28" s="139"/>
      <c r="B28" s="139"/>
      <c r="C28" s="178">
        <f t="shared" ref="C28:C34" si="8">$B$6*($B$5+(F27+0+N27+0))</f>
        <v>-3.9702947844963221</v>
      </c>
      <c r="D28" s="139"/>
      <c r="E28" s="7"/>
      <c r="F28" s="189">
        <f t="shared" ref="F28:F34" si="9">$E$23*($E$22+F12+L27+0+C28+A12)</f>
        <v>1.0133603252866743</v>
      </c>
      <c r="G28" s="139"/>
      <c r="H28" s="190">
        <f t="shared" ref="H28:H34" si="10">$F$22*($E$22+F12+L27+0+C28+A12)</f>
        <v>2.1826222390789907</v>
      </c>
      <c r="I28" s="139"/>
      <c r="J28" s="139"/>
      <c r="K28" s="139"/>
      <c r="L28" s="191">
        <f t="shared" ref="L28:L34" si="11">$N$22*($O$22+H28+N12+0+Q28+S12)</f>
        <v>0.40740375327374195</v>
      </c>
      <c r="M28" s="139"/>
      <c r="N28" s="192">
        <f t="shared" ref="N28:N34" si="12">$O$23*($O$22+H28+N12+0+Q28+S12)</f>
        <v>0.18915174259138021</v>
      </c>
      <c r="O28" s="8"/>
      <c r="P28" s="139"/>
      <c r="Q28" s="178">
        <f t="shared" ref="Q28:Q34" si="13">C28</f>
        <v>-3.9702947844963221</v>
      </c>
      <c r="R28" s="139"/>
      <c r="S28" s="139"/>
    </row>
    <row r="29" spans="1:23" x14ac:dyDescent="0.25">
      <c r="A29" s="139"/>
      <c r="B29" s="139"/>
      <c r="C29" s="178">
        <f t="shared" si="8"/>
        <v>-4.0518840509085408</v>
      </c>
      <c r="D29" s="139"/>
      <c r="E29" s="7"/>
      <c r="F29" s="189">
        <f t="shared" si="9"/>
        <v>1.0258957649896823</v>
      </c>
      <c r="G29" s="139"/>
      <c r="H29" s="190">
        <f t="shared" si="10"/>
        <v>2.209621647670085</v>
      </c>
      <c r="I29" s="139"/>
      <c r="J29" s="139"/>
      <c r="K29" s="139"/>
      <c r="L29" s="191">
        <f t="shared" si="11"/>
        <v>0.45703787865036666</v>
      </c>
      <c r="M29" s="139"/>
      <c r="N29" s="192">
        <f t="shared" si="12"/>
        <v>0.21219615794481311</v>
      </c>
      <c r="O29" s="8"/>
      <c r="P29" s="139"/>
      <c r="Q29" s="178">
        <f t="shared" si="13"/>
        <v>-4.0518840509085408</v>
      </c>
      <c r="R29" s="139"/>
      <c r="S29" s="139"/>
    </row>
    <row r="30" spans="1:23" x14ac:dyDescent="0.25">
      <c r="A30" s="139"/>
      <c r="B30" s="139"/>
      <c r="C30" s="178">
        <f t="shared" si="8"/>
        <v>-4.0785689422008709</v>
      </c>
      <c r="D30" s="139"/>
      <c r="E30" s="7"/>
      <c r="F30" s="189">
        <f t="shared" si="9"/>
        <v>1.0285473135362411</v>
      </c>
      <c r="G30" s="139"/>
      <c r="H30" s="190">
        <f t="shared" si="10"/>
        <v>2.2153326753088272</v>
      </c>
      <c r="I30" s="139"/>
      <c r="J30" s="139"/>
      <c r="K30" s="139"/>
      <c r="L30" s="191">
        <f t="shared" si="11"/>
        <v>0.47324978193114131</v>
      </c>
      <c r="M30" s="139"/>
      <c r="N30" s="192">
        <f t="shared" si="12"/>
        <v>0.21972311303945849</v>
      </c>
      <c r="O30" s="8"/>
      <c r="P30" s="139"/>
      <c r="Q30" s="178">
        <f t="shared" si="13"/>
        <v>-4.0785689422008709</v>
      </c>
      <c r="R30" s="139"/>
      <c r="S30" s="139"/>
    </row>
    <row r="31" spans="1:23" x14ac:dyDescent="0.25">
      <c r="A31" s="139"/>
      <c r="B31" s="139"/>
      <c r="C31" s="178">
        <f t="shared" si="8"/>
        <v>-4.086202819931775</v>
      </c>
      <c r="D31" s="139"/>
      <c r="E31" s="7"/>
      <c r="F31" s="189">
        <f t="shared" si="9"/>
        <v>1.0289650867170759</v>
      </c>
      <c r="G31" s="139"/>
      <c r="H31" s="190">
        <f t="shared" si="10"/>
        <v>2.216232494467548</v>
      </c>
      <c r="I31" s="139"/>
      <c r="J31" s="139"/>
      <c r="K31" s="139"/>
      <c r="L31" s="191">
        <f t="shared" si="11"/>
        <v>0.47808709450797993</v>
      </c>
      <c r="M31" s="139"/>
      <c r="N31" s="192">
        <f t="shared" si="12"/>
        <v>0.22196900816441928</v>
      </c>
      <c r="O31" s="8"/>
      <c r="P31" s="139"/>
      <c r="Q31" s="178">
        <f t="shared" si="13"/>
        <v>-4.086202819931775</v>
      </c>
      <c r="R31" s="139"/>
      <c r="S31" s="139"/>
    </row>
    <row r="32" spans="1:23" x14ac:dyDescent="0.25">
      <c r="A32" s="139"/>
      <c r="B32" s="139"/>
      <c r="C32" s="178">
        <f t="shared" si="8"/>
        <v>-4.0882005711611207</v>
      </c>
      <c r="D32" s="139"/>
      <c r="E32" s="7"/>
      <c r="F32" s="189">
        <f t="shared" si="9"/>
        <v>1.0289984616386978</v>
      </c>
      <c r="G32" s="139"/>
      <c r="H32" s="190">
        <f t="shared" si="10"/>
        <v>2.2163043789141179</v>
      </c>
      <c r="I32" s="139"/>
      <c r="J32" s="139"/>
      <c r="K32" s="139"/>
      <c r="L32" s="191">
        <f t="shared" si="11"/>
        <v>0.47945386711951082</v>
      </c>
      <c r="M32" s="139"/>
      <c r="N32" s="192">
        <f t="shared" si="12"/>
        <v>0.22260358116263004</v>
      </c>
      <c r="O32" s="8"/>
      <c r="P32" s="139"/>
      <c r="Q32" s="178">
        <f t="shared" si="13"/>
        <v>-4.0882005711611207</v>
      </c>
      <c r="R32" s="139"/>
      <c r="S32" s="139"/>
      <c r="W32" s="26"/>
    </row>
    <row r="33" spans="1:19" x14ac:dyDescent="0.25">
      <c r="A33" s="139"/>
      <c r="B33" s="139"/>
      <c r="C33" s="178">
        <f t="shared" si="8"/>
        <v>-4.0887015321009965</v>
      </c>
      <c r="D33" s="139"/>
      <c r="E33" s="7"/>
      <c r="F33" s="189">
        <f t="shared" si="9"/>
        <v>1.0289927456067027</v>
      </c>
      <c r="G33" s="139"/>
      <c r="H33" s="190">
        <f t="shared" si="10"/>
        <v>2.2162920674605902</v>
      </c>
      <c r="I33" s="139"/>
      <c r="J33" s="139"/>
      <c r="K33" s="139"/>
      <c r="L33" s="191">
        <f t="shared" si="11"/>
        <v>0.4798317995850675</v>
      </c>
      <c r="M33" s="139"/>
      <c r="N33" s="192">
        <f t="shared" si="12"/>
        <v>0.2227790498073528</v>
      </c>
      <c r="O33" s="8"/>
      <c r="P33" s="139"/>
      <c r="Q33" s="178">
        <f t="shared" si="13"/>
        <v>-4.0887015321009965</v>
      </c>
      <c r="R33" s="139"/>
      <c r="S33" s="139"/>
    </row>
    <row r="34" spans="1:19" x14ac:dyDescent="0.25">
      <c r="A34" s="139"/>
      <c r="B34" s="139"/>
      <c r="C34" s="178">
        <f t="shared" si="8"/>
        <v>-4.088828846560542</v>
      </c>
      <c r="D34" s="139"/>
      <c r="E34" s="7"/>
      <c r="F34" s="189">
        <f t="shared" si="9"/>
        <v>1.0289899896858923</v>
      </c>
      <c r="G34" s="139"/>
      <c r="H34" s="190">
        <f t="shared" si="10"/>
        <v>2.2162861316311524</v>
      </c>
      <c r="I34" s="139"/>
      <c r="J34" s="139"/>
      <c r="K34" s="139"/>
      <c r="L34" s="191">
        <f t="shared" si="11"/>
        <v>0.47993729312449518</v>
      </c>
      <c r="M34" s="139"/>
      <c r="N34" s="192">
        <f t="shared" si="12"/>
        <v>0.22282802895065848</v>
      </c>
      <c r="O34" s="8"/>
      <c r="P34" s="139"/>
      <c r="Q34" s="178">
        <f t="shared" si="13"/>
        <v>-4.088828846560542</v>
      </c>
      <c r="R34" s="139"/>
      <c r="S34" s="139"/>
    </row>
    <row r="35" spans="1:19" x14ac:dyDescent="0.25">
      <c r="A35" s="139"/>
      <c r="B35" s="139"/>
      <c r="C35" s="178"/>
      <c r="D35" s="139"/>
      <c r="E35" s="7"/>
      <c r="F35" s="189"/>
      <c r="G35" s="139"/>
      <c r="H35" s="190"/>
      <c r="I35" s="139"/>
      <c r="J35" s="139"/>
      <c r="K35" s="139"/>
      <c r="L35" s="191"/>
      <c r="M35" s="139"/>
      <c r="N35" s="192"/>
      <c r="O35" s="8"/>
      <c r="P35" s="139"/>
      <c r="Q35" s="178"/>
      <c r="R35" s="139"/>
      <c r="S35" s="139"/>
    </row>
    <row r="36" spans="1:19" x14ac:dyDescent="0.25">
      <c r="A36" s="139"/>
      <c r="B36" s="139"/>
      <c r="C36" s="139"/>
      <c r="D36" s="140"/>
      <c r="E36" s="140"/>
      <c r="F36" s="139"/>
      <c r="G36" s="139"/>
      <c r="H36" s="139"/>
      <c r="I36" s="139"/>
      <c r="J36" s="139"/>
      <c r="K36" s="139"/>
      <c r="L36" s="139"/>
      <c r="M36" s="139"/>
      <c r="N36" s="139"/>
      <c r="O36" s="140"/>
      <c r="P36" s="137"/>
      <c r="Q36" s="139"/>
      <c r="R36" s="139"/>
      <c r="S36" s="139"/>
    </row>
    <row r="37" spans="1:19" x14ac:dyDescent="0.25">
      <c r="A37" t="s">
        <v>130</v>
      </c>
    </row>
    <row r="38" spans="1:19" x14ac:dyDescent="0.25">
      <c r="A38" t="s">
        <v>131</v>
      </c>
      <c r="B38" t="s">
        <v>36</v>
      </c>
      <c r="C38" s="26">
        <f>E6+(2*H18)+L18+0</f>
        <v>-0.44543907099652336</v>
      </c>
      <c r="D38" s="290">
        <f>SUM(C38:C39)</f>
        <v>7.9601761482361866E-7</v>
      </c>
      <c r="E38" t="s">
        <v>133</v>
      </c>
      <c r="F38" t="s">
        <v>121</v>
      </c>
      <c r="G38" s="26">
        <f>0+2*C18+F18+A18</f>
        <v>0.44844480434138489</v>
      </c>
      <c r="H38" s="290">
        <f>SUM(G38:G40)</f>
        <v>1.0549353942712614E-4</v>
      </c>
      <c r="I38" t="s">
        <v>134</v>
      </c>
      <c r="J38" t="s">
        <v>123</v>
      </c>
      <c r="K38" s="26">
        <f>O22+2*L34+H34+0</f>
        <v>6.5061607178801424</v>
      </c>
      <c r="L38" s="281">
        <f>SUM(K38:K40)</f>
        <v>0</v>
      </c>
      <c r="M38" t="s">
        <v>135</v>
      </c>
      <c r="N38" t="s">
        <v>126</v>
      </c>
      <c r="O38" s="26">
        <f>0+2*0+F34+C34</f>
        <v>-3.0598388568746495</v>
      </c>
    </row>
    <row r="39" spans="1:19" x14ac:dyDescent="0.25">
      <c r="B39" t="s">
        <v>117</v>
      </c>
      <c r="C39" s="26">
        <f>0+(2*F18)+C18+A18</f>
        <v>0.44543986701413818</v>
      </c>
      <c r="D39" s="290"/>
      <c r="F39" t="s">
        <v>38</v>
      </c>
      <c r="G39" s="26">
        <f>E22+2*H34+L34+0</f>
        <v>1.5825095563867999</v>
      </c>
      <c r="H39" s="290"/>
      <c r="J39" t="s">
        <v>39</v>
      </c>
      <c r="K39" s="26">
        <f>0+2*Q18+N18+S18</f>
        <v>-2.8629879292209179</v>
      </c>
      <c r="L39" s="281"/>
      <c r="O39" s="26"/>
    </row>
    <row r="40" spans="1:19" x14ac:dyDescent="0.25">
      <c r="D40" s="194"/>
      <c r="F40" t="s">
        <v>122</v>
      </c>
      <c r="G40" s="26">
        <f>0+2*F34+0+C34</f>
        <v>-2.0308488671887575</v>
      </c>
      <c r="H40" s="290"/>
      <c r="J40" t="s">
        <v>124</v>
      </c>
      <c r="K40" s="26">
        <f>0+2*N34+0+Q34</f>
        <v>-3.6431727886592249</v>
      </c>
      <c r="L40" s="281"/>
      <c r="M40" t="s">
        <v>136</v>
      </c>
      <c r="N40" t="s">
        <v>127</v>
      </c>
      <c r="O40" s="26">
        <f>0+2*0+N34+Q34</f>
        <v>-3.8660008176098835</v>
      </c>
    </row>
    <row r="41" spans="1:19" x14ac:dyDescent="0.25">
      <c r="A41" t="s">
        <v>132</v>
      </c>
      <c r="B41" t="s">
        <v>37</v>
      </c>
      <c r="C41" s="26">
        <f>O6+(2*L18)+H18+0</f>
        <v>3.4696030847158186</v>
      </c>
      <c r="D41" s="290">
        <f>SUM(C41:C42)</f>
        <v>5.4839895494929181E-5</v>
      </c>
    </row>
    <row r="42" spans="1:19" x14ac:dyDescent="0.25">
      <c r="B42" t="s">
        <v>120</v>
      </c>
      <c r="C42" s="26">
        <f>0+(2*N18)+Q18+S18</f>
        <v>-3.4695482448203236</v>
      </c>
      <c r="D42" s="290"/>
    </row>
  </sheetData>
  <mergeCells count="4">
    <mergeCell ref="D38:D39"/>
    <mergeCell ref="D41:D42"/>
    <mergeCell ref="H38:H40"/>
    <mergeCell ref="L38:L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topLeftCell="A40" zoomScale="112" zoomScaleNormal="130" workbookViewId="0">
      <selection activeCell="F27" sqref="F27"/>
    </sheetView>
  </sheetViews>
  <sheetFormatPr defaultRowHeight="15" x14ac:dyDescent="0.25"/>
  <cols>
    <col min="6" max="6" width="11.7109375" customWidth="1"/>
  </cols>
  <sheetData>
    <row r="1" spans="1:28" ht="15.75" thickBot="1" x14ac:dyDescent="0.3">
      <c r="A1" s="273" t="s">
        <v>57</v>
      </c>
      <c r="B1" s="209"/>
      <c r="C1" s="210"/>
      <c r="D1" s="210"/>
      <c r="E1" s="211"/>
      <c r="F1" s="212" t="s">
        <v>84</v>
      </c>
      <c r="G1" s="213"/>
      <c r="H1" s="211"/>
      <c r="I1" s="211"/>
      <c r="J1" s="211"/>
      <c r="K1" s="212" t="s">
        <v>89</v>
      </c>
      <c r="L1" s="214"/>
      <c r="M1" s="215"/>
    </row>
    <row r="2" spans="1:28" x14ac:dyDescent="0.25">
      <c r="A2" s="272" t="s">
        <v>58</v>
      </c>
      <c r="B2" s="205">
        <v>2.2000000000000002</v>
      </c>
      <c r="C2" s="205" t="s">
        <v>65</v>
      </c>
      <c r="D2" s="205">
        <f>B2*B6</f>
        <v>11</v>
      </c>
      <c r="E2" s="2"/>
      <c r="F2" s="2" t="s">
        <v>85</v>
      </c>
      <c r="G2" s="2" t="s">
        <v>144</v>
      </c>
      <c r="H2" s="24">
        <f>-0.5*(B15/(B15+B16))</f>
        <v>-0.19841269841269837</v>
      </c>
      <c r="I2" s="2"/>
      <c r="J2" s="2"/>
      <c r="K2" s="208" t="s">
        <v>149</v>
      </c>
      <c r="L2" s="2">
        <f>-1.5*(B15/(B15+B15+B15))</f>
        <v>-0.5</v>
      </c>
      <c r="M2" s="217"/>
    </row>
    <row r="3" spans="1:28" x14ac:dyDescent="0.25">
      <c r="A3" s="216" t="s">
        <v>137</v>
      </c>
      <c r="B3" s="205">
        <v>0.8</v>
      </c>
      <c r="C3" s="205" t="s">
        <v>82</v>
      </c>
      <c r="D3" s="205">
        <v>2</v>
      </c>
      <c r="E3" s="2"/>
      <c r="F3" s="2"/>
      <c r="G3" s="2"/>
      <c r="H3" s="24"/>
      <c r="I3" s="24">
        <f>SUM(H2,H4)</f>
        <v>-0.49999999999999994</v>
      </c>
      <c r="J3" s="2"/>
      <c r="K3" s="2"/>
      <c r="L3" s="2"/>
      <c r="M3" s="110"/>
    </row>
    <row r="4" spans="1:28" x14ac:dyDescent="0.25">
      <c r="A4" s="216" t="s">
        <v>60</v>
      </c>
      <c r="B4" s="205">
        <v>3.8</v>
      </c>
      <c r="C4" s="205" t="s">
        <v>138</v>
      </c>
      <c r="D4" s="205">
        <v>2</v>
      </c>
      <c r="E4" s="2"/>
      <c r="F4" s="2"/>
      <c r="G4" s="2" t="s">
        <v>40</v>
      </c>
      <c r="H4" s="24">
        <f>-0.5*(B16/(B16+B15))</f>
        <v>-0.30158730158730157</v>
      </c>
      <c r="I4" s="2"/>
      <c r="J4" s="2"/>
      <c r="K4" s="206" t="s">
        <v>70</v>
      </c>
      <c r="L4" s="207"/>
      <c r="M4" s="110"/>
    </row>
    <row r="5" spans="1:28" x14ac:dyDescent="0.25">
      <c r="A5" s="216" t="s">
        <v>62</v>
      </c>
      <c r="B5" s="205">
        <v>0.8</v>
      </c>
      <c r="C5" s="205" t="s">
        <v>139</v>
      </c>
      <c r="D5" s="205">
        <v>1</v>
      </c>
      <c r="E5" s="2"/>
      <c r="F5" s="2"/>
      <c r="G5" s="2"/>
      <c r="H5" s="24"/>
      <c r="I5" s="2"/>
      <c r="J5" s="2"/>
      <c r="K5" s="218" t="s">
        <v>152</v>
      </c>
      <c r="L5" s="24">
        <f>C11*-1</f>
        <v>-4.5833333333333339</v>
      </c>
      <c r="M5" s="110"/>
      <c r="N5" s="286"/>
      <c r="O5" s="286"/>
      <c r="P5" s="6"/>
      <c r="Q5" s="6"/>
      <c r="R5" s="6"/>
      <c r="S5" s="6"/>
      <c r="T5" s="6"/>
      <c r="U5" s="6"/>
      <c r="V5" s="6"/>
      <c r="W5" s="286"/>
      <c r="X5" s="286"/>
      <c r="Y5" s="6"/>
      <c r="Z5" s="6"/>
      <c r="AA5" s="6"/>
      <c r="AB5" s="6"/>
    </row>
    <row r="6" spans="1:28" x14ac:dyDescent="0.25">
      <c r="A6" s="216" t="s">
        <v>141</v>
      </c>
      <c r="B6" s="205">
        <v>5</v>
      </c>
      <c r="C6" s="2"/>
      <c r="D6" s="2"/>
      <c r="E6" s="2"/>
      <c r="F6" s="2" t="s">
        <v>86</v>
      </c>
      <c r="G6" s="2" t="s">
        <v>41</v>
      </c>
      <c r="H6" s="24">
        <f>-0.5*(B16/(B16+B15+B17))</f>
        <v>-0.20070422535211269</v>
      </c>
      <c r="I6" s="2"/>
      <c r="J6" s="2"/>
      <c r="K6" s="219" t="s">
        <v>153</v>
      </c>
      <c r="L6" s="24">
        <f>C11-C12</f>
        <v>3.9833333333333338</v>
      </c>
      <c r="M6" s="110"/>
      <c r="N6" s="201"/>
      <c r="O6" s="201"/>
      <c r="P6" s="6"/>
      <c r="Q6" s="6"/>
      <c r="R6" s="6"/>
      <c r="S6" s="6"/>
      <c r="T6" s="6"/>
      <c r="U6" s="6"/>
      <c r="V6" s="6"/>
      <c r="W6" s="201"/>
      <c r="X6" s="201"/>
      <c r="Y6" s="6"/>
      <c r="Z6" s="6"/>
      <c r="AA6" s="6"/>
      <c r="AB6" s="6"/>
    </row>
    <row r="7" spans="1:28" x14ac:dyDescent="0.25">
      <c r="A7" s="216" t="s">
        <v>142</v>
      </c>
      <c r="B7" s="205">
        <v>6</v>
      </c>
      <c r="C7" s="204"/>
      <c r="D7" s="204"/>
      <c r="E7" s="2"/>
      <c r="F7" s="2"/>
      <c r="G7" s="2"/>
      <c r="H7" s="24"/>
      <c r="I7" s="2"/>
      <c r="J7" s="2"/>
      <c r="K7" s="2" t="s">
        <v>73</v>
      </c>
      <c r="L7" s="24">
        <f>C12</f>
        <v>0.60000000000000009</v>
      </c>
      <c r="M7" s="110"/>
      <c r="N7" s="201"/>
      <c r="O7" s="6"/>
      <c r="P7" s="6"/>
      <c r="Q7" s="6"/>
      <c r="R7" s="6"/>
      <c r="S7" s="6"/>
      <c r="T7" s="6"/>
      <c r="U7" s="6"/>
      <c r="V7" s="6"/>
      <c r="W7" s="6"/>
      <c r="X7" s="201"/>
      <c r="Y7" s="6"/>
      <c r="Z7" s="6"/>
      <c r="AA7" s="6"/>
      <c r="AB7" s="6"/>
    </row>
    <row r="8" spans="1:28" x14ac:dyDescent="0.25">
      <c r="A8" s="220"/>
      <c r="B8" s="2"/>
      <c r="C8" s="204"/>
      <c r="D8" s="204"/>
      <c r="E8" s="2"/>
      <c r="F8" s="2"/>
      <c r="G8" s="2" t="s">
        <v>145</v>
      </c>
      <c r="H8" s="24">
        <f>-0.5*(B15/(B16+B15+B17))</f>
        <v>-0.13204225352112675</v>
      </c>
      <c r="I8" s="24">
        <f>SUM(H6,H8,H10)</f>
        <v>-0.5</v>
      </c>
      <c r="J8" s="2"/>
      <c r="K8" s="6"/>
      <c r="L8" s="6"/>
      <c r="M8" s="22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25">
      <c r="A9" s="220"/>
      <c r="B9" s="2"/>
      <c r="C9" s="2"/>
      <c r="D9" s="2"/>
      <c r="E9" s="2"/>
      <c r="F9" s="2"/>
      <c r="G9" s="2"/>
      <c r="H9" s="24"/>
      <c r="I9" s="2"/>
      <c r="J9" s="2"/>
      <c r="K9" s="258" t="s">
        <v>96</v>
      </c>
      <c r="L9" s="259"/>
      <c r="M9" s="222"/>
      <c r="N9" s="6"/>
      <c r="O9" s="6"/>
      <c r="P9" s="201"/>
      <c r="Q9" s="6"/>
      <c r="R9" s="201"/>
      <c r="S9" s="6"/>
      <c r="T9" s="201"/>
      <c r="U9" s="201"/>
      <c r="V9" s="201"/>
      <c r="W9" s="6"/>
      <c r="X9" s="6"/>
      <c r="Y9" s="6"/>
      <c r="Z9" s="6"/>
      <c r="AA9" s="6"/>
      <c r="AB9" s="6"/>
    </row>
    <row r="10" spans="1:28" x14ac:dyDescent="0.25">
      <c r="A10" s="291" t="s">
        <v>67</v>
      </c>
      <c r="B10" s="288"/>
      <c r="C10" s="2"/>
      <c r="D10" s="2"/>
      <c r="E10" s="2"/>
      <c r="F10" s="2"/>
      <c r="G10" s="2" t="s">
        <v>146</v>
      </c>
      <c r="H10" s="24">
        <f>-0.5*(B17/(B16+B15+B17))</f>
        <v>-0.16725352112676056</v>
      </c>
      <c r="I10" s="2"/>
      <c r="J10" s="2"/>
      <c r="K10" s="6" t="s">
        <v>163</v>
      </c>
      <c r="L10" s="6">
        <f>B5</f>
        <v>0.8</v>
      </c>
      <c r="M10" s="222"/>
      <c r="N10" s="6"/>
      <c r="O10" s="6"/>
      <c r="P10" s="201"/>
      <c r="Q10" s="6"/>
      <c r="R10" s="201"/>
      <c r="S10" s="6"/>
      <c r="T10" s="201"/>
      <c r="U10" s="6"/>
      <c r="V10" s="201"/>
      <c r="W10" s="6"/>
      <c r="X10" s="6"/>
      <c r="Y10" s="6"/>
      <c r="Z10" s="6"/>
      <c r="AA10" s="6"/>
      <c r="AB10" s="6"/>
    </row>
    <row r="11" spans="1:28" x14ac:dyDescent="0.25">
      <c r="A11" s="292" t="s">
        <v>150</v>
      </c>
      <c r="B11" s="289"/>
      <c r="C11" s="24">
        <f>1/12*B2*(B6^2)</f>
        <v>4.5833333333333339</v>
      </c>
      <c r="D11" s="2"/>
      <c r="E11" s="2"/>
      <c r="F11" s="2"/>
      <c r="G11" s="2"/>
      <c r="H11" s="2"/>
      <c r="I11" s="2"/>
      <c r="J11" s="2"/>
      <c r="K11" s="6" t="s">
        <v>164</v>
      </c>
      <c r="L11" s="201">
        <f>(B4*L10)/3</f>
        <v>1.0133333333333334</v>
      </c>
      <c r="M11" s="222"/>
      <c r="N11" s="6"/>
      <c r="O11" s="6"/>
      <c r="P11" s="201"/>
      <c r="Q11" s="6"/>
      <c r="R11" s="201"/>
      <c r="S11" s="6"/>
      <c r="T11" s="201"/>
      <c r="U11" s="6"/>
      <c r="V11" s="201"/>
      <c r="W11" s="6"/>
      <c r="X11" s="6"/>
      <c r="Y11" s="6"/>
      <c r="Z11" s="6"/>
      <c r="AA11" s="6"/>
      <c r="AB11" s="6"/>
    </row>
    <row r="12" spans="1:28" x14ac:dyDescent="0.25">
      <c r="A12" s="292" t="s">
        <v>151</v>
      </c>
      <c r="B12" s="289"/>
      <c r="C12" s="24">
        <f>1/8*B3*(B7)</f>
        <v>0.60000000000000009</v>
      </c>
      <c r="D12" s="2"/>
      <c r="E12" s="2"/>
      <c r="F12" s="2" t="s">
        <v>87</v>
      </c>
      <c r="G12" s="2" t="s">
        <v>147</v>
      </c>
      <c r="H12" s="24">
        <f>-0.5*(B17/(B17+B15))</f>
        <v>-0.27941176470588236</v>
      </c>
      <c r="I12" s="2"/>
      <c r="J12" s="2"/>
      <c r="K12" s="6"/>
      <c r="L12" s="6"/>
      <c r="M12" s="222"/>
      <c r="N12" s="6"/>
      <c r="O12" s="6"/>
      <c r="P12" s="201"/>
      <c r="Q12" s="6"/>
      <c r="R12" s="201"/>
      <c r="S12" s="6"/>
      <c r="T12" s="201"/>
      <c r="U12" s="6"/>
      <c r="V12" s="201"/>
      <c r="W12" s="6"/>
      <c r="X12" s="6"/>
      <c r="Y12" s="6"/>
      <c r="Z12" s="6"/>
      <c r="AA12" s="6"/>
      <c r="AB12" s="6"/>
    </row>
    <row r="13" spans="1:28" x14ac:dyDescent="0.25">
      <c r="A13" s="220"/>
      <c r="B13" s="2"/>
      <c r="C13" s="2"/>
      <c r="D13" s="2"/>
      <c r="E13" s="2"/>
      <c r="F13" s="2"/>
      <c r="G13" s="2"/>
      <c r="H13" s="24"/>
      <c r="I13" s="24">
        <f>SUM(H12,H14)</f>
        <v>-0.5</v>
      </c>
      <c r="J13" s="2"/>
      <c r="K13" s="6"/>
      <c r="L13" s="6"/>
      <c r="M13" s="222"/>
      <c r="N13" s="6"/>
      <c r="O13" s="6"/>
      <c r="P13" s="201"/>
      <c r="Q13" s="6"/>
      <c r="R13" s="201"/>
      <c r="S13" s="6"/>
      <c r="T13" s="201"/>
      <c r="U13" s="6"/>
      <c r="V13" s="201"/>
      <c r="W13" s="6"/>
      <c r="X13" s="6"/>
      <c r="Y13" s="6"/>
      <c r="Z13" s="6"/>
      <c r="AA13" s="6"/>
      <c r="AB13" s="6"/>
    </row>
    <row r="14" spans="1:28" x14ac:dyDescent="0.25">
      <c r="A14" s="223" t="s">
        <v>75</v>
      </c>
      <c r="B14" s="207"/>
      <c r="C14" s="2"/>
      <c r="D14" s="2"/>
      <c r="E14" s="2"/>
      <c r="F14" s="2"/>
      <c r="G14" s="2" t="s">
        <v>148</v>
      </c>
      <c r="H14" s="24">
        <f>-0.5*(B15/(B17+B15))</f>
        <v>-0.22058823529411764</v>
      </c>
      <c r="I14" s="2"/>
      <c r="J14" s="24"/>
      <c r="K14" s="6"/>
      <c r="L14" s="6"/>
      <c r="M14" s="222"/>
      <c r="N14" s="6"/>
      <c r="O14" s="6"/>
      <c r="P14" s="201"/>
      <c r="Q14" s="6"/>
      <c r="R14" s="201"/>
      <c r="S14" s="6"/>
      <c r="T14" s="201"/>
      <c r="U14" s="6"/>
      <c r="V14" s="201"/>
      <c r="W14" s="6"/>
      <c r="X14" s="6"/>
      <c r="Y14" s="6"/>
      <c r="Z14" s="6"/>
      <c r="AA14" s="6"/>
      <c r="AB14" s="6"/>
    </row>
    <row r="15" spans="1:28" x14ac:dyDescent="0.25">
      <c r="A15" s="220" t="s">
        <v>140</v>
      </c>
      <c r="B15" s="24">
        <f>D5/B4</f>
        <v>0.26315789473684209</v>
      </c>
      <c r="C15" s="2"/>
      <c r="D15" s="2"/>
      <c r="E15" s="2"/>
      <c r="F15" s="2"/>
      <c r="G15" s="2"/>
      <c r="H15" s="2"/>
      <c r="I15" s="2"/>
      <c r="J15" s="24"/>
      <c r="K15" s="6"/>
      <c r="L15" s="6"/>
      <c r="M15" s="222"/>
      <c r="N15" s="6"/>
      <c r="O15" s="6"/>
      <c r="P15" s="201"/>
      <c r="Q15" s="6"/>
      <c r="R15" s="201"/>
      <c r="S15" s="6"/>
      <c r="T15" s="201"/>
      <c r="U15" s="6"/>
      <c r="V15" s="201"/>
      <c r="W15" s="6"/>
      <c r="X15" s="6"/>
      <c r="Y15" s="6"/>
      <c r="Z15" s="6"/>
      <c r="AA15" s="6"/>
      <c r="AB15" s="6"/>
    </row>
    <row r="16" spans="1:28" x14ac:dyDescent="0.25">
      <c r="A16" s="220" t="s">
        <v>78</v>
      </c>
      <c r="B16" s="24">
        <f>D3/B6</f>
        <v>0.4</v>
      </c>
      <c r="C16" s="2"/>
      <c r="D16" s="2"/>
      <c r="E16" s="2"/>
      <c r="F16" s="2"/>
      <c r="G16" s="2"/>
      <c r="H16" s="2"/>
      <c r="I16" s="2"/>
      <c r="J16" s="2"/>
      <c r="K16" s="6"/>
      <c r="L16" s="6"/>
      <c r="M16" s="222"/>
      <c r="N16" s="6"/>
      <c r="O16" s="6"/>
      <c r="P16" s="201"/>
      <c r="Q16" s="6"/>
      <c r="R16" s="201"/>
      <c r="S16" s="6"/>
      <c r="T16" s="201"/>
      <c r="U16" s="6"/>
      <c r="V16" s="201"/>
      <c r="W16" s="6"/>
      <c r="X16" s="6"/>
      <c r="Y16" s="6"/>
      <c r="Z16" s="6"/>
      <c r="AA16" s="6"/>
      <c r="AB16" s="6"/>
    </row>
    <row r="17" spans="1:28" ht="15.75" thickBot="1" x14ac:dyDescent="0.3">
      <c r="A17" s="114" t="s">
        <v>143</v>
      </c>
      <c r="B17" s="275">
        <f>D4/B7</f>
        <v>0.33333333333333331</v>
      </c>
      <c r="C17" s="224"/>
      <c r="D17" s="224"/>
      <c r="E17" s="224"/>
      <c r="F17" s="224"/>
      <c r="G17" s="224"/>
      <c r="H17" s="224"/>
      <c r="I17" s="224"/>
      <c r="J17" s="224"/>
      <c r="K17" s="225"/>
      <c r="L17" s="225"/>
      <c r="M17" s="226"/>
      <c r="N17" s="6"/>
      <c r="O17" s="6"/>
      <c r="P17" s="201"/>
      <c r="Q17" s="6"/>
      <c r="R17" s="201"/>
      <c r="S17" s="6"/>
      <c r="T17" s="201"/>
      <c r="U17" s="6"/>
      <c r="V17" s="201"/>
      <c r="W17" s="6"/>
      <c r="X17" s="6"/>
      <c r="Y17" s="6"/>
      <c r="Z17" s="6"/>
      <c r="AA17" s="6"/>
      <c r="AB17" s="6"/>
    </row>
    <row r="18" spans="1:28" ht="15.75" thickBot="1" x14ac:dyDescent="0.3">
      <c r="K18" s="6"/>
      <c r="L18" s="6"/>
      <c r="M18" s="201"/>
      <c r="N18" s="6"/>
      <c r="O18" s="6"/>
      <c r="P18" s="201"/>
      <c r="Q18" s="6"/>
      <c r="R18" s="201"/>
      <c r="S18" s="6"/>
      <c r="T18" s="201"/>
      <c r="U18" s="6"/>
      <c r="V18" s="201"/>
      <c r="W18" s="6"/>
      <c r="X18" s="6"/>
      <c r="Y18" s="6"/>
      <c r="Z18" s="6"/>
      <c r="AA18" s="6"/>
      <c r="AB18" s="6"/>
    </row>
    <row r="19" spans="1:28" ht="15.75" thickBot="1" x14ac:dyDescent="0.3">
      <c r="A19" s="269" t="s">
        <v>154</v>
      </c>
      <c r="B19" s="270"/>
      <c r="C19" s="270"/>
      <c r="D19" s="271"/>
      <c r="E19" s="211"/>
      <c r="F19" s="211"/>
      <c r="G19" s="211"/>
      <c r="H19" s="211"/>
      <c r="I19" s="211"/>
      <c r="J19" s="211"/>
      <c r="K19" s="262"/>
      <c r="L19" s="262"/>
      <c r="M19" s="262"/>
      <c r="N19" s="262"/>
      <c r="O19" s="262"/>
      <c r="P19" s="262"/>
      <c r="Q19" s="263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thickBot="1" x14ac:dyDescent="0.3">
      <c r="A20" s="220"/>
      <c r="B20" s="2"/>
      <c r="C20" s="2">
        <v>1</v>
      </c>
      <c r="D20" s="2"/>
      <c r="E20" s="2"/>
      <c r="F20" s="2"/>
      <c r="G20" s="2"/>
      <c r="H20" s="24"/>
      <c r="I20" s="2">
        <v>2</v>
      </c>
      <c r="J20" s="6"/>
      <c r="K20" s="6"/>
      <c r="L20" s="6"/>
      <c r="M20" s="201"/>
      <c r="N20" s="6"/>
      <c r="O20" s="6">
        <v>3</v>
      </c>
      <c r="P20" s="6"/>
      <c r="Q20" s="110"/>
      <c r="R20" s="6"/>
      <c r="S20" s="6"/>
      <c r="T20" s="6"/>
      <c r="U20" s="6"/>
      <c r="V20" s="6"/>
      <c r="W20" s="6"/>
      <c r="X20" s="201"/>
      <c r="Y20" s="6"/>
      <c r="Z20" s="6"/>
      <c r="AA20" s="6"/>
      <c r="AB20" s="6"/>
    </row>
    <row r="21" spans="1:28" ht="16.5" thickTop="1" thickBot="1" x14ac:dyDescent="0.3">
      <c r="A21" s="220"/>
      <c r="B21" s="2"/>
      <c r="C21" s="227"/>
      <c r="D21" s="233"/>
      <c r="E21" s="2"/>
      <c r="F21" s="2"/>
      <c r="G21" s="2"/>
      <c r="H21" s="227"/>
      <c r="I21" s="228"/>
      <c r="J21" s="229"/>
      <c r="K21" s="6"/>
      <c r="L21" s="202"/>
      <c r="M21" s="201"/>
      <c r="N21" s="201"/>
      <c r="O21" s="239"/>
      <c r="P21" s="229"/>
      <c r="Q21" s="110"/>
      <c r="R21" s="6"/>
      <c r="S21" s="6"/>
      <c r="T21" s="6"/>
      <c r="U21" s="6"/>
      <c r="V21" s="6"/>
      <c r="W21" s="201"/>
      <c r="X21" s="201"/>
      <c r="Y21" s="203"/>
      <c r="Z21" s="6"/>
      <c r="AA21" s="6"/>
      <c r="AB21" s="6"/>
    </row>
    <row r="22" spans="1:28" ht="15.75" thickBot="1" x14ac:dyDescent="0.3">
      <c r="A22" s="220"/>
      <c r="B22" s="2"/>
      <c r="C22" s="115">
        <f>L5</f>
        <v>-4.5833333333333339</v>
      </c>
      <c r="D22" s="241">
        <f>H4</f>
        <v>-0.30158730158730157</v>
      </c>
      <c r="E22" s="274">
        <f>C22</f>
        <v>-4.5833333333333339</v>
      </c>
      <c r="F22" s="112"/>
      <c r="G22" s="274">
        <f>C11</f>
        <v>4.5833333333333339</v>
      </c>
      <c r="H22" s="242">
        <f>H6</f>
        <v>-0.20070422535211269</v>
      </c>
      <c r="I22" s="115">
        <f>L6</f>
        <v>3.9833333333333338</v>
      </c>
      <c r="J22" s="240">
        <f>H10</f>
        <v>-0.16725352112676056</v>
      </c>
      <c r="K22" s="234">
        <f>-1*C12</f>
        <v>-0.60000000000000009</v>
      </c>
      <c r="L22" s="235"/>
      <c r="M22" s="236"/>
      <c r="N22" s="236">
        <f>P22</f>
        <v>0.60000000000000009</v>
      </c>
      <c r="O22" s="244">
        <f>H12</f>
        <v>-0.27941176470588236</v>
      </c>
      <c r="P22" s="252">
        <f>L7</f>
        <v>0.60000000000000009</v>
      </c>
      <c r="Q22" s="110"/>
      <c r="R22" s="6"/>
      <c r="S22" s="6"/>
      <c r="T22" s="6"/>
      <c r="U22" s="6"/>
      <c r="V22" s="6"/>
      <c r="W22" s="6"/>
      <c r="X22" s="201"/>
      <c r="Y22" s="6"/>
      <c r="Z22" s="6"/>
      <c r="AA22" s="6"/>
      <c r="AB22" s="6"/>
    </row>
    <row r="23" spans="1:28" ht="16.5" thickTop="1" thickBot="1" x14ac:dyDescent="0.3">
      <c r="A23" s="220"/>
      <c r="B23" s="2"/>
      <c r="C23" s="246">
        <f>H2</f>
        <v>-0.19841269841269837</v>
      </c>
      <c r="D23" s="238"/>
      <c r="E23" s="2"/>
      <c r="F23" s="2"/>
      <c r="G23" s="2"/>
      <c r="H23" s="113"/>
      <c r="I23" s="243">
        <f>H8</f>
        <v>-0.13204225352112675</v>
      </c>
      <c r="J23" s="231"/>
      <c r="K23" s="250"/>
      <c r="L23" s="6"/>
      <c r="M23" s="6"/>
      <c r="N23" s="6"/>
      <c r="O23" s="234"/>
      <c r="P23" s="245">
        <f>H14</f>
        <v>-0.22058823529411764</v>
      </c>
      <c r="Q23" s="110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6.5" thickTop="1" thickBot="1" x14ac:dyDescent="0.3">
      <c r="A24" s="220"/>
      <c r="B24" s="2" t="s">
        <v>155</v>
      </c>
      <c r="C24" s="248"/>
      <c r="D24" s="249"/>
      <c r="E24" s="2" t="s">
        <v>103</v>
      </c>
      <c r="F24" s="2"/>
      <c r="G24" s="2" t="s">
        <v>104</v>
      </c>
      <c r="H24" s="248"/>
      <c r="I24" s="249"/>
      <c r="J24" s="6" t="s">
        <v>156</v>
      </c>
      <c r="K24" s="230"/>
      <c r="L24" s="234" t="s">
        <v>157</v>
      </c>
      <c r="M24" s="6"/>
      <c r="N24" s="235" t="s">
        <v>158</v>
      </c>
      <c r="O24" s="251"/>
      <c r="P24" s="250"/>
      <c r="Q24" s="264" t="s">
        <v>159</v>
      </c>
      <c r="R24" s="201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6.5" thickTop="1" thickBot="1" x14ac:dyDescent="0.3">
      <c r="A25" s="220"/>
      <c r="B25" s="254">
        <f>$C$23*($C$22+0+0)</f>
        <v>0.90939153439153431</v>
      </c>
      <c r="C25" s="111"/>
      <c r="D25" s="2"/>
      <c r="E25" s="255">
        <f>$D$22*($C$22+0+0)</f>
        <v>1.3822751322751323</v>
      </c>
      <c r="F25" s="2"/>
      <c r="G25" s="256">
        <f>$H$22*($I$22+E25+0+0)</f>
        <v>-1.0769002906326852</v>
      </c>
      <c r="H25" s="111"/>
      <c r="I25" s="2"/>
      <c r="J25" s="257">
        <f>$I$23*($I$22+E25+0+0)</f>
        <v>-0.70848703331097707</v>
      </c>
      <c r="K25" s="6"/>
      <c r="L25" s="120">
        <f>$J$22*($I$22+E25+0+0)</f>
        <v>-0.89741690886057091</v>
      </c>
      <c r="M25" s="6"/>
      <c r="N25" s="253">
        <f>$O$22*($P$22+L25+0)</f>
        <v>8.3101783358100673E-2</v>
      </c>
      <c r="O25" s="232"/>
      <c r="P25" s="6"/>
      <c r="Q25" s="265">
        <f>$P$23*($P$22+L25+0)</f>
        <v>6.5606671072184736E-2</v>
      </c>
      <c r="R25" s="201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6.5" thickTop="1" thickBot="1" x14ac:dyDescent="0.3">
      <c r="A26" s="220"/>
      <c r="B26" s="254">
        <f>$H$2*($C$22+0+G25+E36)</f>
        <v>1.2500309279184634</v>
      </c>
      <c r="C26" s="111"/>
      <c r="D26" s="2"/>
      <c r="E26" s="255">
        <f>$H$4*($C$22+0+G25+E36)</f>
        <v>1.9000470104360645</v>
      </c>
      <c r="F26" s="2"/>
      <c r="G26" s="256">
        <f>$H$22*($I$22+E26+0+N25+J36)</f>
        <v>-1.06906307337998</v>
      </c>
      <c r="H26" s="111"/>
      <c r="I26" s="2"/>
      <c r="J26" s="257">
        <f>$I$23*($I$22+E26+0+N25+J36)</f>
        <v>-0.70333096932893413</v>
      </c>
      <c r="K26" s="6"/>
      <c r="L26" s="120">
        <f>$J$22*($I$22+E26+0+N25+J36)</f>
        <v>-0.89088589448331656</v>
      </c>
      <c r="M26" s="6"/>
      <c r="N26" s="261">
        <f>$O$22*($P$22+L26+0+Q36)</f>
        <v>0.26007874701912836</v>
      </c>
      <c r="O26" s="232"/>
      <c r="P26" s="6"/>
      <c r="Q26" s="265">
        <f>$P$23*($P$22+L26+0+Q36)</f>
        <v>0.2053253265940487</v>
      </c>
      <c r="R26" s="201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6.5" thickTop="1" thickBot="1" x14ac:dyDescent="0.3">
      <c r="A27" s="220"/>
      <c r="B27" s="254">
        <f t="shared" ref="B27:B30" si="0">$H$2*($C$22+0+G26+E37)</f>
        <v>1.2966420071372557</v>
      </c>
      <c r="C27" s="111"/>
      <c r="D27" s="2"/>
      <c r="E27" s="255">
        <f t="shared" ref="E27:E30" si="1">$H$4*($C$22+0+G26+E37)</f>
        <v>1.9708958508486289</v>
      </c>
      <c r="F27" s="2"/>
      <c r="G27" s="256">
        <f t="shared" ref="G27:G30" si="2">$H$22*($I$22+E27+0+N26+J37)</f>
        <v>-1.0700803924321487</v>
      </c>
      <c r="H27" s="111"/>
      <c r="I27" s="2"/>
      <c r="J27" s="257">
        <f t="shared" ref="J27:J30" si="3">$I$23*($I$22+E27+0+N26+J37)</f>
        <v>-0.7040002581790451</v>
      </c>
      <c r="K27" s="6"/>
      <c r="L27" s="120">
        <f t="shared" ref="L27:L30" si="4">$J$22*($I$22+E27+0+N26+J37)</f>
        <v>-0.89173366036012391</v>
      </c>
      <c r="M27" s="6"/>
      <c r="N27" s="261">
        <f t="shared" ref="N27:N30" si="5">$O$22*($P$22+L27+0+Q37)</f>
        <v>0.32814480033460308</v>
      </c>
      <c r="O27" s="232"/>
      <c r="P27" s="6"/>
      <c r="Q27" s="265">
        <f t="shared" ref="Q27:Q30" si="6">$P$23*($P$22+L27+0+Q37)</f>
        <v>0.25906168447468664</v>
      </c>
      <c r="R27" s="201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6.5" thickTop="1" thickBot="1" x14ac:dyDescent="0.3">
      <c r="A28" s="220"/>
      <c r="B28" s="254">
        <f t="shared" si="0"/>
        <v>1.3067325613390073</v>
      </c>
      <c r="C28" s="111"/>
      <c r="D28" s="2"/>
      <c r="E28" s="255">
        <f t="shared" si="1"/>
        <v>1.9862334932352914</v>
      </c>
      <c r="F28" s="2"/>
      <c r="G28" s="256">
        <f t="shared" si="2"/>
        <v>-1.0768169538050931</v>
      </c>
      <c r="H28" s="111"/>
      <c r="I28" s="2"/>
      <c r="J28" s="257">
        <f t="shared" si="3"/>
        <v>-0.70843220645071914</v>
      </c>
      <c r="K28" s="6"/>
      <c r="L28" s="120">
        <f t="shared" si="4"/>
        <v>-0.89734746150424427</v>
      </c>
      <c r="M28" s="6"/>
      <c r="N28" s="261">
        <f t="shared" si="5"/>
        <v>0.34363898607146809</v>
      </c>
      <c r="O28" s="232"/>
      <c r="P28" s="6"/>
      <c r="Q28" s="265">
        <f t="shared" si="6"/>
        <v>0.27129393637221161</v>
      </c>
      <c r="R28" s="201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6.5" thickTop="1" thickBot="1" x14ac:dyDescent="0.3">
      <c r="A29" s="220"/>
      <c r="B29" s="254">
        <f t="shared" si="0"/>
        <v>1.3098440673482821</v>
      </c>
      <c r="C29" s="111"/>
      <c r="D29" s="2"/>
      <c r="E29" s="255">
        <f t="shared" si="1"/>
        <v>1.9909629823693891</v>
      </c>
      <c r="F29" s="2"/>
      <c r="G29" s="256">
        <f t="shared" si="2"/>
        <v>-1.0790805454232559</v>
      </c>
      <c r="H29" s="111"/>
      <c r="I29" s="2"/>
      <c r="J29" s="257">
        <f t="shared" si="3"/>
        <v>-0.70992141146266829</v>
      </c>
      <c r="K29" s="6"/>
      <c r="L29" s="120">
        <f t="shared" si="4"/>
        <v>-0.89923378785271324</v>
      </c>
      <c r="M29" s="6"/>
      <c r="N29" s="261">
        <f t="shared" si="5"/>
        <v>0.34666550592416123</v>
      </c>
      <c r="O29" s="232"/>
      <c r="P29" s="6"/>
      <c r="Q29" s="265">
        <f t="shared" si="6"/>
        <v>0.27368329415065362</v>
      </c>
      <c r="R29" s="201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.75" thickTop="1" x14ac:dyDescent="0.25">
      <c r="A30" s="220"/>
      <c r="B30" s="254">
        <f t="shared" si="0"/>
        <v>1.3106911746907519</v>
      </c>
      <c r="C30" s="111"/>
      <c r="D30" s="2"/>
      <c r="E30" s="255">
        <f t="shared" si="1"/>
        <v>1.9922505855299431</v>
      </c>
      <c r="F30" s="2"/>
      <c r="G30" s="256">
        <f t="shared" si="2"/>
        <v>-1.0795438297072195</v>
      </c>
      <c r="H30" s="111"/>
      <c r="I30" s="2"/>
      <c r="J30" s="257">
        <f t="shared" si="3"/>
        <v>-0.71022620375474965</v>
      </c>
      <c r="K30" s="6"/>
      <c r="L30" s="120">
        <f t="shared" si="4"/>
        <v>-0.89961985808934963</v>
      </c>
      <c r="M30" s="6"/>
      <c r="N30" s="261">
        <f t="shared" si="5"/>
        <v>0.34733383081924779</v>
      </c>
      <c r="O30" s="232"/>
      <c r="P30" s="6"/>
      <c r="Q30" s="265">
        <f t="shared" si="6"/>
        <v>0.27421091906782719</v>
      </c>
      <c r="R30" s="201">
        <f>SUM(B30,E30,G30,J30,L30,N30,Q30)</f>
        <v>1.2350966185564514</v>
      </c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5">
      <c r="A31" s="220"/>
      <c r="B31" s="2"/>
      <c r="C31" s="111"/>
      <c r="D31" s="2"/>
      <c r="E31" s="2"/>
      <c r="F31" s="2"/>
      <c r="G31" s="2"/>
      <c r="H31" s="111"/>
      <c r="I31" s="2"/>
      <c r="J31" s="2"/>
      <c r="K31" s="6"/>
      <c r="L31" s="2"/>
      <c r="M31" s="6"/>
      <c r="N31" s="2"/>
      <c r="O31" s="232"/>
      <c r="P31" s="6"/>
      <c r="Q31" s="110"/>
      <c r="R31" s="201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5">
      <c r="A32" s="220"/>
      <c r="B32" s="2"/>
      <c r="C32" s="111"/>
      <c r="D32" s="2"/>
      <c r="E32" s="2"/>
      <c r="F32" s="2"/>
      <c r="G32" s="2"/>
      <c r="H32" s="111"/>
      <c r="I32" s="2"/>
      <c r="J32" s="6"/>
      <c r="K32" s="6"/>
      <c r="L32" s="6"/>
      <c r="M32" s="6"/>
      <c r="N32" s="6"/>
      <c r="O32" s="232"/>
      <c r="P32" s="6"/>
      <c r="Q32" s="110"/>
      <c r="R32" s="201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.75" thickBot="1" x14ac:dyDescent="0.3">
      <c r="A33" s="220"/>
      <c r="B33" s="2"/>
      <c r="C33" s="111"/>
      <c r="D33" s="2"/>
      <c r="E33" s="2"/>
      <c r="F33" s="2"/>
      <c r="G33" s="2"/>
      <c r="H33" s="111"/>
      <c r="I33" s="2"/>
      <c r="J33" s="6"/>
      <c r="K33" s="6"/>
      <c r="L33" s="6"/>
      <c r="M33" s="6"/>
      <c r="N33" s="6"/>
      <c r="O33" s="230"/>
      <c r="P33" s="6"/>
      <c r="Q33" s="110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6.5" thickTop="1" thickBot="1" x14ac:dyDescent="0.3">
      <c r="A34" s="220"/>
      <c r="B34" s="24"/>
      <c r="C34" s="294">
        <f>L2</f>
        <v>-0.5</v>
      </c>
      <c r="D34" s="295"/>
      <c r="E34" s="2"/>
      <c r="F34" s="2"/>
      <c r="G34" s="2"/>
      <c r="H34" s="294">
        <f>L2</f>
        <v>-0.5</v>
      </c>
      <c r="I34" s="295"/>
      <c r="J34" s="6"/>
      <c r="K34" s="6"/>
      <c r="L34" s="6"/>
      <c r="M34" s="6"/>
      <c r="N34" s="6"/>
      <c r="O34" s="296">
        <f>L2</f>
        <v>-0.5</v>
      </c>
      <c r="P34" s="297"/>
      <c r="Q34" s="110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6.5" thickTop="1" thickBot="1" x14ac:dyDescent="0.3">
      <c r="A35" s="220"/>
      <c r="B35" s="2"/>
      <c r="C35" s="111"/>
      <c r="D35" s="249"/>
      <c r="E35" s="112" t="s">
        <v>160</v>
      </c>
      <c r="F35" s="2"/>
      <c r="G35" s="2"/>
      <c r="H35" s="233"/>
      <c r="I35" s="249"/>
      <c r="J35" s="6" t="s">
        <v>161</v>
      </c>
      <c r="K35" s="6"/>
      <c r="L35" s="6"/>
      <c r="M35" s="6"/>
      <c r="N35" s="6"/>
      <c r="O35" s="229"/>
      <c r="P35" s="250"/>
      <c r="Q35" s="264" t="s">
        <v>162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6.5" thickTop="1" thickBot="1" x14ac:dyDescent="0.3">
      <c r="A36" s="220"/>
      <c r="B36" s="2"/>
      <c r="C36" s="111"/>
      <c r="D36" s="2"/>
      <c r="E36" s="266">
        <f>$L$2*($L$11+(B25+0+J25+0+Q25+0))</f>
        <v>-0.63992225274303771</v>
      </c>
      <c r="F36" s="2"/>
      <c r="G36" s="2"/>
      <c r="H36" s="111"/>
      <c r="I36" s="2"/>
      <c r="J36" s="260">
        <f>E36</f>
        <v>-0.63992225274303771</v>
      </c>
      <c r="K36" s="6"/>
      <c r="L36" s="6"/>
      <c r="M36" s="6"/>
      <c r="N36" s="6"/>
      <c r="O36" s="230"/>
      <c r="P36" s="6"/>
      <c r="Q36" s="267">
        <f>E36</f>
        <v>-0.63992225274303771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6.5" thickTop="1" thickBot="1" x14ac:dyDescent="0.3">
      <c r="A37" s="220"/>
      <c r="B37" s="2"/>
      <c r="C37" s="111"/>
      <c r="D37" s="2"/>
      <c r="E37" s="266">
        <f t="shared" ref="E37:E41" si="7">$L$2*($L$11+(B26+0+J26+0+Q26+0))</f>
        <v>-0.88267930925845572</v>
      </c>
      <c r="F37" s="2"/>
      <c r="G37" s="2"/>
      <c r="H37" s="111"/>
      <c r="I37" s="2"/>
      <c r="J37" s="260">
        <f t="shared" ref="J37:J41" si="8">E37</f>
        <v>-0.88267930925845572</v>
      </c>
      <c r="K37" s="6"/>
      <c r="L37" s="6"/>
      <c r="M37" s="6"/>
      <c r="N37" s="6"/>
      <c r="O37" s="230"/>
      <c r="P37" s="6"/>
      <c r="Q37" s="267">
        <f t="shared" ref="Q37:Q41" si="9">E37</f>
        <v>-0.88267930925845572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6.5" thickTop="1" thickBot="1" x14ac:dyDescent="0.3">
      <c r="A38" s="220"/>
      <c r="B38" s="2"/>
      <c r="C38" s="111"/>
      <c r="D38" s="2"/>
      <c r="E38" s="266">
        <f t="shared" si="7"/>
        <v>-0.93251838338311532</v>
      </c>
      <c r="F38" s="2"/>
      <c r="G38" s="2"/>
      <c r="H38" s="111"/>
      <c r="I38" s="2"/>
      <c r="J38" s="260">
        <f t="shared" si="8"/>
        <v>-0.93251838338311532</v>
      </c>
      <c r="K38" s="2"/>
      <c r="L38" s="2"/>
      <c r="M38" s="2"/>
      <c r="N38" s="2"/>
      <c r="O38" s="111"/>
      <c r="P38" s="2"/>
      <c r="Q38" s="267">
        <f t="shared" si="9"/>
        <v>-0.93251838338311532</v>
      </c>
    </row>
    <row r="39" spans="1:28" ht="16.5" thickTop="1" thickBot="1" x14ac:dyDescent="0.3">
      <c r="A39" s="220"/>
      <c r="B39" s="2"/>
      <c r="C39" s="237"/>
      <c r="D39" s="2"/>
      <c r="E39" s="266">
        <f t="shared" si="7"/>
        <v>-0.94146381229691656</v>
      </c>
      <c r="F39" s="2"/>
      <c r="G39" s="2"/>
      <c r="H39" s="111"/>
      <c r="I39" s="2"/>
      <c r="J39" s="260">
        <f t="shared" si="8"/>
        <v>-0.94146381229691656</v>
      </c>
      <c r="K39" s="2"/>
      <c r="L39" s="2"/>
      <c r="M39" s="2"/>
      <c r="N39" s="2"/>
      <c r="O39" s="111"/>
      <c r="P39" s="2"/>
      <c r="Q39" s="267">
        <f t="shared" si="9"/>
        <v>-0.94146381229691656</v>
      </c>
    </row>
    <row r="40" spans="1:28" ht="16.5" thickTop="1" thickBot="1" x14ac:dyDescent="0.3">
      <c r="A40" s="220"/>
      <c r="B40" s="2"/>
      <c r="C40" s="237"/>
      <c r="D40" s="2"/>
      <c r="E40" s="266">
        <f t="shared" si="7"/>
        <v>-0.94346964168480041</v>
      </c>
      <c r="F40" s="2"/>
      <c r="G40" s="2"/>
      <c r="H40" s="111"/>
      <c r="I40" s="2"/>
      <c r="J40" s="260">
        <f t="shared" si="8"/>
        <v>-0.94346964168480041</v>
      </c>
      <c r="K40" s="2"/>
      <c r="L40" s="2"/>
      <c r="M40" s="2"/>
      <c r="N40" s="2"/>
      <c r="O40" s="111"/>
      <c r="P40" s="2"/>
      <c r="Q40" s="267">
        <f t="shared" si="9"/>
        <v>-0.94346964168480041</v>
      </c>
    </row>
    <row r="41" spans="1:28" ht="15.75" thickTop="1" x14ac:dyDescent="0.25">
      <c r="A41" s="220"/>
      <c r="B41" s="2"/>
      <c r="C41" s="237"/>
      <c r="D41" s="2"/>
      <c r="E41" s="266">
        <f t="shared" si="7"/>
        <v>-0.94400461166858141</v>
      </c>
      <c r="F41" s="2"/>
      <c r="G41" s="2"/>
      <c r="H41" s="111"/>
      <c r="I41" s="2"/>
      <c r="J41" s="260">
        <f t="shared" si="8"/>
        <v>-0.94400461166858141</v>
      </c>
      <c r="K41" s="2"/>
      <c r="L41" s="2"/>
      <c r="M41" s="2"/>
      <c r="N41" s="2"/>
      <c r="O41" s="111"/>
      <c r="P41" s="2"/>
      <c r="Q41" s="267">
        <f t="shared" si="9"/>
        <v>-0.94400461166858141</v>
      </c>
    </row>
    <row r="42" spans="1:28" x14ac:dyDescent="0.25">
      <c r="A42" s="220"/>
      <c r="B42" s="2"/>
      <c r="C42" s="237"/>
      <c r="D42" s="2"/>
      <c r="E42" s="2"/>
      <c r="F42" s="2"/>
      <c r="G42" s="2"/>
      <c r="H42" s="111"/>
      <c r="I42" s="2"/>
      <c r="J42" s="2"/>
      <c r="K42" s="2"/>
      <c r="L42" s="2"/>
      <c r="M42" s="2"/>
      <c r="N42" s="2"/>
      <c r="O42" s="111"/>
      <c r="P42" s="2"/>
      <c r="Q42" s="110"/>
    </row>
    <row r="43" spans="1:28" x14ac:dyDescent="0.25">
      <c r="A43" s="220"/>
      <c r="B43" s="2"/>
      <c r="C43" s="237"/>
      <c r="D43" s="24"/>
      <c r="E43" s="2"/>
      <c r="F43" s="2"/>
      <c r="G43" s="2"/>
      <c r="H43" s="111"/>
      <c r="I43" s="2"/>
      <c r="J43" s="2"/>
      <c r="K43" s="2"/>
      <c r="L43" s="2"/>
      <c r="M43" s="2"/>
      <c r="N43" s="2"/>
      <c r="O43" s="111"/>
      <c r="P43" s="2"/>
      <c r="Q43" s="110"/>
    </row>
    <row r="44" spans="1:28" x14ac:dyDescent="0.25">
      <c r="A44" s="220"/>
      <c r="B44" s="2"/>
      <c r="C44" s="237"/>
      <c r="D44" s="2"/>
      <c r="E44" s="2"/>
      <c r="F44" s="2"/>
      <c r="G44" s="2"/>
      <c r="H44" s="111"/>
      <c r="I44" s="2"/>
      <c r="J44" s="2"/>
      <c r="K44" s="2"/>
      <c r="L44" s="2"/>
      <c r="M44" s="2"/>
      <c r="N44" s="2"/>
      <c r="O44" s="111"/>
      <c r="P44" s="2"/>
      <c r="Q44" s="110"/>
    </row>
    <row r="45" spans="1:28" ht="15.75" thickBot="1" x14ac:dyDescent="0.3">
      <c r="A45" s="220"/>
      <c r="B45" s="2"/>
      <c r="C45" s="247"/>
      <c r="D45" s="112"/>
      <c r="E45" s="2"/>
      <c r="F45" s="2"/>
      <c r="G45" s="2"/>
      <c r="H45" s="238"/>
      <c r="I45" s="112"/>
      <c r="J45" s="2"/>
      <c r="K45" s="2"/>
      <c r="L45" s="2"/>
      <c r="M45" s="2"/>
      <c r="N45" s="2"/>
      <c r="O45" s="238"/>
      <c r="P45" s="112"/>
      <c r="Q45" s="110"/>
    </row>
    <row r="46" spans="1:28" ht="15.75" thickTop="1" x14ac:dyDescent="0.25">
      <c r="A46" s="220"/>
      <c r="B46" s="2"/>
      <c r="C46" s="293" t="s">
        <v>1</v>
      </c>
      <c r="D46" s="293"/>
      <c r="E46" s="2"/>
      <c r="F46" s="2"/>
      <c r="G46" s="2"/>
      <c r="H46" s="293" t="s">
        <v>7</v>
      </c>
      <c r="I46" s="293"/>
      <c r="J46" s="2"/>
      <c r="K46" s="2"/>
      <c r="L46" s="2"/>
      <c r="M46" s="2"/>
      <c r="N46" s="2"/>
      <c r="O46" s="293" t="s">
        <v>22</v>
      </c>
      <c r="P46" s="293"/>
      <c r="Q46" s="110"/>
    </row>
    <row r="47" spans="1:28" ht="15.75" thickBot="1" x14ac:dyDescent="0.3">
      <c r="A47" s="114"/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68"/>
    </row>
    <row r="49" spans="1:11" x14ac:dyDescent="0.25">
      <c r="A49" t="s">
        <v>165</v>
      </c>
    </row>
    <row r="50" spans="1:11" x14ac:dyDescent="0.25">
      <c r="A50" t="s">
        <v>85</v>
      </c>
      <c r="D50" t="s">
        <v>86</v>
      </c>
      <c r="G50" t="s">
        <v>87</v>
      </c>
      <c r="J50" t="s">
        <v>171</v>
      </c>
      <c r="K50" s="26">
        <f>0+(2*0)+B30+E41</f>
        <v>0.36668656302217051</v>
      </c>
    </row>
    <row r="51" spans="1:11" x14ac:dyDescent="0.25">
      <c r="A51" t="s">
        <v>36</v>
      </c>
      <c r="B51" s="26">
        <f>C22+(2*E30)+G30+0</f>
        <v>-1.6783759919806673</v>
      </c>
      <c r="C51" s="290">
        <f>SUM(B51:B52)</f>
        <v>-9.9825426774491355E-4</v>
      </c>
      <c r="D51" t="s">
        <v>37</v>
      </c>
      <c r="E51" s="26">
        <f>C11+(2*G30)+E30+0</f>
        <v>4.4164962594488379</v>
      </c>
      <c r="F51" s="282">
        <f>SUM(E51:E53)</f>
        <v>1.3335491130606059E-4</v>
      </c>
      <c r="G51" t="s">
        <v>169</v>
      </c>
      <c r="H51" s="26">
        <f>P22+(2*N30)+L30+0</f>
        <v>0.39504780354914593</v>
      </c>
      <c r="I51" s="282">
        <f>SUM(H51:H52)</f>
        <v>-5.3496998378110838E-4</v>
      </c>
      <c r="J51" t="s">
        <v>172</v>
      </c>
      <c r="K51" s="26">
        <f>0+(2*0)+J30+J41</f>
        <v>-1.6542308154233312</v>
      </c>
    </row>
    <row r="52" spans="1:11" x14ac:dyDescent="0.25">
      <c r="A52" t="s">
        <v>166</v>
      </c>
      <c r="B52" s="26">
        <f>0+(2*B30)+0+E41</f>
        <v>1.6773777377129224</v>
      </c>
      <c r="C52" s="290"/>
      <c r="D52" t="s">
        <v>167</v>
      </c>
      <c r="E52" s="26">
        <f>0+(2*J30)+0+J41</f>
        <v>-2.3644570191780807</v>
      </c>
      <c r="F52" s="282"/>
      <c r="G52" t="s">
        <v>170</v>
      </c>
      <c r="H52" s="26">
        <f>0+(2*Q30)+0+Q41</f>
        <v>-0.39558277353292703</v>
      </c>
      <c r="I52" s="282"/>
      <c r="J52" t="s">
        <v>173</v>
      </c>
      <c r="K52" s="26">
        <f>0+(2*0)+Q30+Q41</f>
        <v>-0.66979369260075416</v>
      </c>
    </row>
    <row r="53" spans="1:11" x14ac:dyDescent="0.25">
      <c r="D53" t="s">
        <v>168</v>
      </c>
      <c r="E53" s="26">
        <f>K22+(2*L30)+N30+0</f>
        <v>-2.0519058853594512</v>
      </c>
      <c r="F53" s="282"/>
    </row>
  </sheetData>
  <mergeCells count="14">
    <mergeCell ref="N5:O5"/>
    <mergeCell ref="W5:X5"/>
    <mergeCell ref="O46:P46"/>
    <mergeCell ref="C51:C52"/>
    <mergeCell ref="F51:F53"/>
    <mergeCell ref="I51:I52"/>
    <mergeCell ref="O34:P34"/>
    <mergeCell ref="A10:B10"/>
    <mergeCell ref="A11:B11"/>
    <mergeCell ref="A12:B12"/>
    <mergeCell ref="C46:D46"/>
    <mergeCell ref="H46:I46"/>
    <mergeCell ref="C34:D34"/>
    <mergeCell ref="H34:I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F1" zoomScale="114" workbookViewId="0">
      <selection activeCell="O13" sqref="O13"/>
    </sheetView>
  </sheetViews>
  <sheetFormatPr defaultRowHeight="15" x14ac:dyDescent="0.25"/>
  <sheetData>
    <row r="1" spans="1:16" x14ac:dyDescent="0.25">
      <c r="A1" s="276" t="s">
        <v>0</v>
      </c>
      <c r="B1" s="276"/>
      <c r="C1" s="4" t="s">
        <v>1</v>
      </c>
      <c r="D1" s="278">
        <v>3</v>
      </c>
      <c r="E1" s="279"/>
      <c r="F1" s="280"/>
      <c r="G1" s="276">
        <v>1</v>
      </c>
      <c r="H1" s="276"/>
      <c r="I1" s="14">
        <v>2</v>
      </c>
      <c r="J1" s="15"/>
      <c r="K1" s="276">
        <v>4</v>
      </c>
      <c r="L1" s="276"/>
      <c r="M1" s="276"/>
      <c r="N1" s="16" t="s">
        <v>7</v>
      </c>
      <c r="O1" s="4"/>
      <c r="P1" s="4"/>
    </row>
    <row r="2" spans="1:16" x14ac:dyDescent="0.25">
      <c r="A2" s="276" t="s">
        <v>2</v>
      </c>
      <c r="B2" s="276"/>
      <c r="C2" s="4" t="s">
        <v>4</v>
      </c>
      <c r="D2" s="7" t="s">
        <v>5</v>
      </c>
      <c r="E2" s="50">
        <v>34</v>
      </c>
      <c r="F2" s="8">
        <v>31</v>
      </c>
      <c r="G2" s="4">
        <v>13</v>
      </c>
      <c r="H2" s="4">
        <v>12</v>
      </c>
      <c r="I2" s="7">
        <v>21</v>
      </c>
      <c r="J2" s="8">
        <v>24</v>
      </c>
      <c r="K2" s="4">
        <v>42</v>
      </c>
      <c r="L2" s="50">
        <v>43</v>
      </c>
      <c r="M2" s="4" t="s">
        <v>6</v>
      </c>
      <c r="N2" s="17" t="s">
        <v>14</v>
      </c>
      <c r="O2" s="4"/>
      <c r="P2" s="4"/>
    </row>
    <row r="3" spans="1:16" x14ac:dyDescent="0.25">
      <c r="A3" s="276" t="s">
        <v>3</v>
      </c>
      <c r="B3" s="276"/>
      <c r="C3" s="2">
        <v>1.1100000000000001</v>
      </c>
      <c r="D3" s="1">
        <v>1.1100000000000001</v>
      </c>
      <c r="E3" s="51">
        <v>2.4</v>
      </c>
      <c r="F3" s="3">
        <v>1.25</v>
      </c>
      <c r="G3" s="2">
        <v>1.25</v>
      </c>
      <c r="H3" s="6">
        <v>1.6</v>
      </c>
      <c r="I3" s="1">
        <v>1.6</v>
      </c>
      <c r="J3" s="3">
        <v>1.25</v>
      </c>
      <c r="K3" s="2">
        <v>1.25</v>
      </c>
      <c r="L3" s="51">
        <v>2.4</v>
      </c>
      <c r="M3" s="2">
        <v>1.1100000000000001</v>
      </c>
      <c r="N3" s="18">
        <v>1.1100000000000001</v>
      </c>
      <c r="O3" s="2"/>
      <c r="P3" s="2"/>
    </row>
    <row r="4" spans="1:16" x14ac:dyDescent="0.25">
      <c r="A4" t="s">
        <v>8</v>
      </c>
      <c r="B4" t="s">
        <v>9</v>
      </c>
      <c r="D4" s="29">
        <v>-0.23300000000000001</v>
      </c>
      <c r="E4" s="51">
        <v>-0.504</v>
      </c>
      <c r="F4" s="31">
        <v>-0.26300000000000001</v>
      </c>
      <c r="G4" s="32">
        <v>-0.438</v>
      </c>
      <c r="H4" s="32">
        <v>-0.56200000000000006</v>
      </c>
      <c r="I4" s="29">
        <v>-0.56200000000000006</v>
      </c>
      <c r="J4" s="31">
        <v>-0.438</v>
      </c>
      <c r="K4" s="32">
        <v>-0.26300000000000001</v>
      </c>
      <c r="L4" s="54">
        <v>-0.504</v>
      </c>
      <c r="M4" s="32">
        <v>-0.23300000000000001</v>
      </c>
      <c r="N4" s="18"/>
    </row>
    <row r="5" spans="1:16" x14ac:dyDescent="0.25">
      <c r="A5" s="277">
        <v>1</v>
      </c>
      <c r="B5" t="s">
        <v>12</v>
      </c>
      <c r="D5" s="1"/>
      <c r="E5" s="51">
        <v>3.3330000000000002</v>
      </c>
      <c r="F5" s="3"/>
      <c r="H5">
        <v>2.9159999999999999</v>
      </c>
      <c r="I5" s="1">
        <v>-2.9159999999999999</v>
      </c>
      <c r="J5" s="3"/>
      <c r="L5" s="54">
        <v>-3.3330000000000002</v>
      </c>
      <c r="N5" s="18"/>
    </row>
    <row r="6" spans="1:16" x14ac:dyDescent="0.25">
      <c r="A6" s="277"/>
      <c r="B6" s="12" t="s">
        <v>10</v>
      </c>
      <c r="C6" s="13"/>
      <c r="D6" s="23">
        <f>E5*D4</f>
        <v>-0.77658900000000008</v>
      </c>
      <c r="E6" s="52">
        <f>E5*E4</f>
        <v>-1.6798320000000002</v>
      </c>
      <c r="F6" s="22">
        <f>E5*F4</f>
        <v>-0.87657900000000011</v>
      </c>
      <c r="G6" s="21">
        <f>H5*G4</f>
        <v>-1.2772079999999999</v>
      </c>
      <c r="H6" s="21">
        <f>H5*H4</f>
        <v>-1.638792</v>
      </c>
      <c r="I6" s="23">
        <f>I5*I4</f>
        <v>1.638792</v>
      </c>
      <c r="J6" s="22">
        <f>I5*J4</f>
        <v>1.2772079999999999</v>
      </c>
      <c r="K6" s="21">
        <f>L5*K4</f>
        <v>0.87657900000000011</v>
      </c>
      <c r="L6" s="52">
        <f>L5*L4</f>
        <v>1.6798320000000002</v>
      </c>
      <c r="M6" s="21">
        <f>L5*M4</f>
        <v>0.77658900000000008</v>
      </c>
      <c r="N6" s="19"/>
      <c r="O6">
        <f>SUM(D6:N6)</f>
        <v>0</v>
      </c>
    </row>
    <row r="7" spans="1:16" x14ac:dyDescent="0.25">
      <c r="A7" s="277">
        <v>2</v>
      </c>
      <c r="B7" t="s">
        <v>11</v>
      </c>
      <c r="C7" s="26">
        <f>0.5*D6</f>
        <v>-0.38829450000000004</v>
      </c>
      <c r="D7" s="1"/>
      <c r="E7" s="53">
        <f>0.5*L6</f>
        <v>0.83991600000000011</v>
      </c>
      <c r="F7" s="25">
        <f>0.5*G6</f>
        <v>-0.63860399999999995</v>
      </c>
      <c r="G7" s="26">
        <f>0.5*F6</f>
        <v>-0.43828950000000005</v>
      </c>
      <c r="H7" s="26">
        <f>0.5*I6</f>
        <v>0.81939600000000001</v>
      </c>
      <c r="I7" s="27">
        <f>0.5*H6</f>
        <v>-0.81939600000000001</v>
      </c>
      <c r="J7" s="25">
        <f>0.5*K6</f>
        <v>0.43828950000000005</v>
      </c>
      <c r="K7" s="26">
        <f>0.5*J6</f>
        <v>0.63860399999999995</v>
      </c>
      <c r="L7" s="55">
        <f>0.5*E6</f>
        <v>-0.83991600000000011</v>
      </c>
      <c r="M7" s="26"/>
      <c r="N7" s="28">
        <f>0.5*M6</f>
        <v>0.38829450000000004</v>
      </c>
      <c r="O7">
        <f>SUM(C7:N7)</f>
        <v>0</v>
      </c>
    </row>
    <row r="8" spans="1:16" x14ac:dyDescent="0.25">
      <c r="A8" s="277"/>
      <c r="D8" s="34"/>
      <c r="E8" s="53">
        <f>SUM(E7:F7)</f>
        <v>0.20131200000000016</v>
      </c>
      <c r="F8" s="36"/>
      <c r="G8" s="37">
        <f>SUM(G7:H7)</f>
        <v>0.38110649999999996</v>
      </c>
      <c r="H8" s="38"/>
      <c r="I8" s="39">
        <f>SUM(I7:J7)</f>
        <v>-0.38110649999999996</v>
      </c>
      <c r="J8" s="36"/>
      <c r="K8" s="38"/>
      <c r="L8" s="55">
        <f>SUM(K7:L7)</f>
        <v>-0.20131200000000016</v>
      </c>
      <c r="M8" s="38"/>
      <c r="N8" s="40"/>
    </row>
    <row r="9" spans="1:16" x14ac:dyDescent="0.25">
      <c r="A9" s="277"/>
      <c r="B9" s="12" t="s">
        <v>10</v>
      </c>
      <c r="C9" s="13"/>
      <c r="D9" s="23">
        <f>E8*D4</f>
        <v>-4.6905696000000038E-2</v>
      </c>
      <c r="E9" s="52">
        <f>E8*E4</f>
        <v>-0.10146124800000007</v>
      </c>
      <c r="F9" s="22">
        <f>E8*F4</f>
        <v>-5.2945056000000046E-2</v>
      </c>
      <c r="G9" s="21">
        <f>G8*G4</f>
        <v>-0.16692464699999998</v>
      </c>
      <c r="H9" s="21">
        <f>G8*H4</f>
        <v>-0.21418185300000001</v>
      </c>
      <c r="I9" s="23">
        <f>I8*I4</f>
        <v>0.21418185300000001</v>
      </c>
      <c r="J9" s="22">
        <f>I8*J4</f>
        <v>0.16692464699999998</v>
      </c>
      <c r="K9" s="21">
        <f>L8*K4</f>
        <v>5.2945056000000046E-2</v>
      </c>
      <c r="L9" s="52">
        <f>L8*L4</f>
        <v>0.10146124800000007</v>
      </c>
      <c r="M9" s="21">
        <f>L8*M4</f>
        <v>4.6905696000000038E-2</v>
      </c>
      <c r="N9" s="19"/>
      <c r="O9" s="26">
        <f>SUM(D9:N9)</f>
        <v>0</v>
      </c>
    </row>
    <row r="10" spans="1:16" x14ac:dyDescent="0.25">
      <c r="A10" s="277">
        <v>3</v>
      </c>
      <c r="B10" t="s">
        <v>11</v>
      </c>
      <c r="C10" s="26">
        <f>0.5*D9</f>
        <v>-2.3452848000000019E-2</v>
      </c>
      <c r="D10" s="27"/>
      <c r="E10" s="53">
        <f>0.5*L9</f>
        <v>5.0730624000000037E-2</v>
      </c>
      <c r="F10" s="25">
        <f>0.5*G9</f>
        <v>-8.3462323499999991E-2</v>
      </c>
      <c r="G10" s="26">
        <f>0.5*F9</f>
        <v>-2.6472528000000023E-2</v>
      </c>
      <c r="H10" s="26">
        <f>0.5*I9</f>
        <v>0.1070909265</v>
      </c>
      <c r="I10" s="27">
        <f>0.5*H9</f>
        <v>-0.1070909265</v>
      </c>
      <c r="J10" s="25">
        <f>0.5*K9</f>
        <v>2.6472528000000023E-2</v>
      </c>
      <c r="K10" s="26">
        <f>0.5*J9</f>
        <v>8.3462323499999991E-2</v>
      </c>
      <c r="L10" s="55">
        <f>0.5*E9</f>
        <v>-5.0730624000000037E-2</v>
      </c>
      <c r="M10" s="26"/>
      <c r="N10" s="28">
        <f>0.5*M9</f>
        <v>2.3452848000000019E-2</v>
      </c>
      <c r="O10" s="26">
        <f>SUM(C10:N10)</f>
        <v>0</v>
      </c>
    </row>
    <row r="11" spans="1:16" x14ac:dyDescent="0.25">
      <c r="A11" s="277"/>
      <c r="D11" s="34"/>
      <c r="E11" s="53">
        <f>SUM(E10:F10)</f>
        <v>-3.2731699499999954E-2</v>
      </c>
      <c r="F11" s="36"/>
      <c r="G11" s="37">
        <f>SUM(G10:H10)</f>
        <v>8.061839849999998E-2</v>
      </c>
      <c r="H11" s="38"/>
      <c r="I11" s="39">
        <f>SUM(I10:J10)</f>
        <v>-8.061839849999998E-2</v>
      </c>
      <c r="J11" s="36"/>
      <c r="K11" s="38"/>
      <c r="L11" s="55">
        <f>SUM(K10:L10)</f>
        <v>3.2731699499999954E-2</v>
      </c>
      <c r="M11" s="38"/>
      <c r="N11" s="40"/>
    </row>
    <row r="12" spans="1:16" x14ac:dyDescent="0.25">
      <c r="A12" s="277"/>
      <c r="B12" s="12" t="s">
        <v>10</v>
      </c>
      <c r="C12" s="21">
        <f>0.5*D12</f>
        <v>3.8132429917499947E-3</v>
      </c>
      <c r="D12" s="23">
        <f>E11*D4</f>
        <v>7.6264859834999895E-3</v>
      </c>
      <c r="E12" s="52">
        <f>E11*E4</f>
        <v>1.6496776547999976E-2</v>
      </c>
      <c r="F12" s="22">
        <f>E11*F4</f>
        <v>8.6084369684999891E-3</v>
      </c>
      <c r="G12" s="21">
        <f>G11*G4</f>
        <v>-3.5310858542999993E-2</v>
      </c>
      <c r="H12" s="21">
        <f>G11*H4</f>
        <v>-4.5307539956999994E-2</v>
      </c>
      <c r="I12" s="23">
        <f>I11*I4</f>
        <v>4.5307539956999994E-2</v>
      </c>
      <c r="J12" s="22">
        <f>I11*J4</f>
        <v>3.5310858542999993E-2</v>
      </c>
      <c r="K12" s="21">
        <f>L11*K4</f>
        <v>-8.6084369684999891E-3</v>
      </c>
      <c r="L12" s="52">
        <f>L11*L4</f>
        <v>-1.6496776547999976E-2</v>
      </c>
      <c r="M12" s="21">
        <f>L11*M4</f>
        <v>-7.6264859834999895E-3</v>
      </c>
      <c r="N12" s="33">
        <f>0.5*M12</f>
        <v>-3.8132429917499947E-3</v>
      </c>
      <c r="O12" s="26">
        <f>SUM(C12:N12)</f>
        <v>0</v>
      </c>
    </row>
    <row r="13" spans="1:16" x14ac:dyDescent="0.25">
      <c r="B13" s="5" t="s">
        <v>13</v>
      </c>
      <c r="C13" s="26">
        <f>SUM(C7,C10,C12)</f>
        <v>-0.40793410500825006</v>
      </c>
      <c r="D13" s="27">
        <f>SUM(D6,D9,D12)</f>
        <v>-0.81586821001650012</v>
      </c>
      <c r="E13" s="53">
        <f>SUM(E5,E6,E7,E9,E10,E12)</f>
        <v>2.458850152548</v>
      </c>
      <c r="F13" s="25">
        <f>SUM(F6,F7,F9,F10,F12)</f>
        <v>-1.6429819425315</v>
      </c>
      <c r="G13" s="26">
        <f>SUM(G6,G7,G9,G10,G12)</f>
        <v>-1.9442055335429997</v>
      </c>
      <c r="H13" s="42">
        <f>SUM(H5,H6,H7,H9,H10,H12)</f>
        <v>1.9442055335430002</v>
      </c>
      <c r="I13" s="41">
        <f>SUM(I5:I7,I9:I10,I12)</f>
        <v>-1.9442055335430002</v>
      </c>
      <c r="J13" s="27">
        <f>SUM(J5:J7,J9:J10,J12)</f>
        <v>1.9442055335429997</v>
      </c>
      <c r="K13" s="27">
        <f t="shared" ref="K13:N13" si="0">SUM(K5:K7,K9:K10,K12)</f>
        <v>1.6429819425315</v>
      </c>
      <c r="L13" s="56">
        <f t="shared" si="0"/>
        <v>-2.458850152548</v>
      </c>
      <c r="M13" s="27">
        <f t="shared" si="0"/>
        <v>0.81586821001650012</v>
      </c>
      <c r="N13" s="27">
        <f t="shared" si="0"/>
        <v>0.40793410500825006</v>
      </c>
      <c r="O13" s="26">
        <f>SUM(C13:N13)</f>
        <v>0</v>
      </c>
    </row>
    <row r="14" spans="1:16" x14ac:dyDescent="0.25">
      <c r="D14" s="1"/>
      <c r="E14" s="53">
        <f>SUM(D13:F13)</f>
        <v>0</v>
      </c>
      <c r="F14" s="3"/>
      <c r="G14" s="26">
        <f>SUM(G13:H13)</f>
        <v>0</v>
      </c>
      <c r="I14" s="27">
        <f>SUM(I13:J13)</f>
        <v>0</v>
      </c>
      <c r="J14" s="3"/>
      <c r="L14" s="55">
        <f>SUM(K13:M13)</f>
        <v>0</v>
      </c>
      <c r="N14" s="18"/>
    </row>
    <row r="15" spans="1:16" x14ac:dyDescent="0.25">
      <c r="D15" s="1"/>
      <c r="E15" s="2"/>
      <c r="F15" s="3"/>
      <c r="I15" s="1"/>
      <c r="J15" s="3"/>
      <c r="N15" s="18"/>
    </row>
    <row r="16" spans="1:16" x14ac:dyDescent="0.25">
      <c r="D16" s="9"/>
      <c r="E16" s="10"/>
      <c r="F16" s="11"/>
      <c r="I16" s="9"/>
      <c r="J16" s="11"/>
      <c r="N16" s="20"/>
    </row>
  </sheetData>
  <mergeCells count="9">
    <mergeCell ref="A10:A12"/>
    <mergeCell ref="A1:B1"/>
    <mergeCell ref="D1:F1"/>
    <mergeCell ref="G1:H1"/>
    <mergeCell ref="K1:M1"/>
    <mergeCell ref="A2:B2"/>
    <mergeCell ref="A3:B3"/>
    <mergeCell ref="A5:A6"/>
    <mergeCell ref="A7:A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13" workbookViewId="0">
      <selection activeCell="O14" sqref="O14"/>
    </sheetView>
  </sheetViews>
  <sheetFormatPr defaultRowHeight="15" x14ac:dyDescent="0.25"/>
  <sheetData>
    <row r="1" spans="1:16" x14ac:dyDescent="0.25">
      <c r="A1" s="276" t="s">
        <v>0</v>
      </c>
      <c r="B1" s="276"/>
      <c r="C1" s="49" t="s">
        <v>1</v>
      </c>
      <c r="D1" s="278">
        <v>3</v>
      </c>
      <c r="E1" s="279"/>
      <c r="F1" s="280"/>
      <c r="G1" s="276">
        <v>1</v>
      </c>
      <c r="H1" s="276"/>
      <c r="I1" s="14">
        <v>2</v>
      </c>
      <c r="J1" s="15"/>
      <c r="K1" s="276">
        <v>4</v>
      </c>
      <c r="L1" s="276"/>
      <c r="M1" s="276"/>
      <c r="N1" s="16" t="s">
        <v>7</v>
      </c>
      <c r="O1" s="49"/>
      <c r="P1" s="49"/>
    </row>
    <row r="2" spans="1:16" x14ac:dyDescent="0.25">
      <c r="A2" s="276" t="s">
        <v>2</v>
      </c>
      <c r="B2" s="276"/>
      <c r="C2" s="49" t="s">
        <v>4</v>
      </c>
      <c r="D2" s="7" t="s">
        <v>5</v>
      </c>
      <c r="E2" s="49">
        <v>34</v>
      </c>
      <c r="F2" s="8">
        <v>31</v>
      </c>
      <c r="G2" s="49">
        <v>13</v>
      </c>
      <c r="H2" s="49">
        <v>12</v>
      </c>
      <c r="I2" s="7">
        <v>21</v>
      </c>
      <c r="J2" s="8">
        <v>24</v>
      </c>
      <c r="K2" s="49">
        <v>42</v>
      </c>
      <c r="L2" s="49">
        <v>43</v>
      </c>
      <c r="M2" s="49" t="s">
        <v>6</v>
      </c>
      <c r="N2" s="17" t="s">
        <v>14</v>
      </c>
      <c r="O2" s="49"/>
      <c r="P2" s="49"/>
    </row>
    <row r="3" spans="1:16" x14ac:dyDescent="0.25">
      <c r="A3" s="276" t="s">
        <v>3</v>
      </c>
      <c r="B3" s="276"/>
      <c r="C3" s="2">
        <v>1.1100000000000001</v>
      </c>
      <c r="D3" s="1">
        <v>1.1100000000000001</v>
      </c>
      <c r="E3" s="2">
        <v>2.4</v>
      </c>
      <c r="F3" s="3">
        <v>1.25</v>
      </c>
      <c r="G3" s="2">
        <v>1.25</v>
      </c>
      <c r="H3" s="6">
        <v>1.6</v>
      </c>
      <c r="I3" s="1">
        <v>1.6</v>
      </c>
      <c r="J3" s="3">
        <v>1.25</v>
      </c>
      <c r="K3" s="2">
        <v>1.25</v>
      </c>
      <c r="L3" s="2">
        <v>2.4</v>
      </c>
      <c r="M3" s="2">
        <v>1.1100000000000001</v>
      </c>
      <c r="N3" s="18">
        <v>1.1100000000000001</v>
      </c>
      <c r="O3" s="2"/>
      <c r="P3" s="2"/>
    </row>
    <row r="4" spans="1:16" x14ac:dyDescent="0.25">
      <c r="A4" t="s">
        <v>8</v>
      </c>
      <c r="B4" t="s">
        <v>9</v>
      </c>
      <c r="D4" s="29">
        <v>-0.23300000000000001</v>
      </c>
      <c r="E4" s="30">
        <v>-0.504</v>
      </c>
      <c r="F4" s="31">
        <v>-0.26300000000000001</v>
      </c>
      <c r="G4" s="32">
        <v>-0.438</v>
      </c>
      <c r="H4" s="32">
        <v>-0.56200000000000006</v>
      </c>
      <c r="I4" s="29">
        <v>-0.56200000000000006</v>
      </c>
      <c r="J4" s="31">
        <v>-0.438</v>
      </c>
      <c r="K4" s="32">
        <v>-0.26300000000000001</v>
      </c>
      <c r="L4" s="32">
        <v>-0.504</v>
      </c>
      <c r="M4" s="32">
        <v>-0.23300000000000001</v>
      </c>
      <c r="N4" s="18"/>
    </row>
    <row r="5" spans="1:16" x14ac:dyDescent="0.25">
      <c r="A5" s="277">
        <v>1</v>
      </c>
      <c r="B5" t="s">
        <v>12</v>
      </c>
      <c r="D5" s="1"/>
      <c r="E5" s="2">
        <v>585</v>
      </c>
      <c r="F5" s="3"/>
      <c r="H5">
        <v>585</v>
      </c>
      <c r="I5" s="1">
        <v>585</v>
      </c>
      <c r="J5" s="3"/>
      <c r="L5">
        <v>585</v>
      </c>
      <c r="N5" s="18"/>
    </row>
    <row r="6" spans="1:16" x14ac:dyDescent="0.25">
      <c r="A6" s="277"/>
      <c r="B6" s="12" t="s">
        <v>10</v>
      </c>
      <c r="C6" s="13"/>
      <c r="D6" s="23">
        <f>E5*D4</f>
        <v>-136.30500000000001</v>
      </c>
      <c r="E6" s="21">
        <f>E5*E4</f>
        <v>-294.83999999999997</v>
      </c>
      <c r="F6" s="22">
        <f>E5*F4</f>
        <v>-153.85500000000002</v>
      </c>
      <c r="G6" s="21">
        <f>H5*G4</f>
        <v>-256.23</v>
      </c>
      <c r="H6" s="21">
        <f>H5*H4</f>
        <v>-328.77000000000004</v>
      </c>
      <c r="I6" s="23">
        <f>I5*I4</f>
        <v>-328.77000000000004</v>
      </c>
      <c r="J6" s="22">
        <f>I5*J4</f>
        <v>-256.23</v>
      </c>
      <c r="K6" s="21">
        <f>L5*K4</f>
        <v>-153.85500000000002</v>
      </c>
      <c r="L6" s="21">
        <f>L5*L4</f>
        <v>-294.83999999999997</v>
      </c>
      <c r="M6" s="21">
        <f>L5*M4</f>
        <v>-136.30500000000001</v>
      </c>
      <c r="N6" s="19"/>
    </row>
    <row r="7" spans="1:16" x14ac:dyDescent="0.25">
      <c r="A7" s="277">
        <v>2</v>
      </c>
      <c r="B7" t="s">
        <v>11</v>
      </c>
      <c r="C7" s="26">
        <f>0.5*D6</f>
        <v>-68.152500000000003</v>
      </c>
      <c r="D7" s="1"/>
      <c r="E7" s="24">
        <f>0.5*L6</f>
        <v>-147.41999999999999</v>
      </c>
      <c r="F7" s="25">
        <f>0.5*G6</f>
        <v>-128.11500000000001</v>
      </c>
      <c r="G7" s="26">
        <f>0.5*F6</f>
        <v>-76.927500000000009</v>
      </c>
      <c r="H7" s="26">
        <f>0.5*I6</f>
        <v>-164.38500000000002</v>
      </c>
      <c r="I7" s="27">
        <f>0.5*H6</f>
        <v>-164.38500000000002</v>
      </c>
      <c r="J7" s="25">
        <f>0.5*K6</f>
        <v>-76.927500000000009</v>
      </c>
      <c r="K7" s="26">
        <f>0.5*J6</f>
        <v>-128.11500000000001</v>
      </c>
      <c r="L7" s="26">
        <f>0.5*E6</f>
        <v>-147.41999999999999</v>
      </c>
      <c r="M7" s="26"/>
      <c r="N7" s="28">
        <f>0.5*M6</f>
        <v>-68.152500000000003</v>
      </c>
    </row>
    <row r="8" spans="1:16" x14ac:dyDescent="0.25">
      <c r="A8" s="277"/>
      <c r="D8" s="34"/>
      <c r="E8" s="35">
        <f>SUM(E7:F7)</f>
        <v>-275.53499999999997</v>
      </c>
      <c r="F8" s="36"/>
      <c r="G8" s="37">
        <f>SUM(G7:H7)</f>
        <v>-241.31250000000003</v>
      </c>
      <c r="H8" s="38"/>
      <c r="I8" s="39">
        <f>SUM(I7:J7)</f>
        <v>-241.31250000000003</v>
      </c>
      <c r="J8" s="36"/>
      <c r="K8" s="38"/>
      <c r="L8" s="37">
        <f>SUM(K7:L7)</f>
        <v>-275.53499999999997</v>
      </c>
      <c r="M8" s="38"/>
      <c r="N8" s="40"/>
    </row>
    <row r="9" spans="1:16" x14ac:dyDescent="0.25">
      <c r="A9" s="277"/>
      <c r="B9" s="12" t="s">
        <v>10</v>
      </c>
      <c r="C9" s="13"/>
      <c r="D9" s="23">
        <f>E8*D4</f>
        <v>64.199654999999993</v>
      </c>
      <c r="E9" s="21">
        <f>E8*E4</f>
        <v>138.86963999999998</v>
      </c>
      <c r="F9" s="22">
        <f>E8*F4</f>
        <v>72.465705</v>
      </c>
      <c r="G9" s="21">
        <f>G8*G4</f>
        <v>105.69487500000001</v>
      </c>
      <c r="H9" s="21">
        <f>G8*H4</f>
        <v>135.61762500000003</v>
      </c>
      <c r="I9" s="23">
        <f>I8*I4</f>
        <v>135.61762500000003</v>
      </c>
      <c r="J9" s="22">
        <f>I8*J4</f>
        <v>105.69487500000001</v>
      </c>
      <c r="K9" s="21">
        <f>L8*K4</f>
        <v>72.465705</v>
      </c>
      <c r="L9" s="21">
        <f>L8*L4</f>
        <v>138.86963999999998</v>
      </c>
      <c r="M9" s="21">
        <f>L8*M4</f>
        <v>64.199654999999993</v>
      </c>
      <c r="N9" s="19"/>
      <c r="O9" s="26"/>
    </row>
    <row r="10" spans="1:16" x14ac:dyDescent="0.25">
      <c r="A10" s="277">
        <v>3</v>
      </c>
      <c r="B10" t="s">
        <v>11</v>
      </c>
      <c r="C10" s="26">
        <f>0.5*D9</f>
        <v>32.099827499999996</v>
      </c>
      <c r="D10" s="27"/>
      <c r="E10" s="24">
        <f>0.5*L9</f>
        <v>69.434819999999988</v>
      </c>
      <c r="F10" s="25">
        <f>0.5*G9</f>
        <v>52.847437500000005</v>
      </c>
      <c r="G10" s="26">
        <f>0.5*F9</f>
        <v>36.2328525</v>
      </c>
      <c r="H10" s="26">
        <f>0.5*I9</f>
        <v>67.808812500000016</v>
      </c>
      <c r="I10" s="27">
        <f>0.5*H9</f>
        <v>67.808812500000016</v>
      </c>
      <c r="J10" s="25">
        <f>0.5*K9</f>
        <v>36.2328525</v>
      </c>
      <c r="K10" s="26">
        <f>0.5*J9</f>
        <v>52.847437500000005</v>
      </c>
      <c r="L10" s="26">
        <f>0.5*E9</f>
        <v>69.434819999999988</v>
      </c>
      <c r="M10" s="26"/>
      <c r="N10" s="28">
        <f>0.5*M9</f>
        <v>32.099827499999996</v>
      </c>
      <c r="O10" s="26"/>
    </row>
    <row r="11" spans="1:16" x14ac:dyDescent="0.25">
      <c r="A11" s="277"/>
      <c r="D11" s="34"/>
      <c r="E11" s="35">
        <f>SUM(E10:F10)</f>
        <v>122.28225749999999</v>
      </c>
      <c r="F11" s="36"/>
      <c r="G11" s="37">
        <f>SUM(G10:H10)</f>
        <v>104.04166500000002</v>
      </c>
      <c r="H11" s="38"/>
      <c r="I11" s="39">
        <f>SUM(I10:J10)</f>
        <v>104.04166500000002</v>
      </c>
      <c r="J11" s="36"/>
      <c r="K11" s="38"/>
      <c r="L11" s="37">
        <f>SUM(K10:L10)</f>
        <v>122.28225749999999</v>
      </c>
      <c r="M11" s="38"/>
      <c r="N11" s="40"/>
    </row>
    <row r="12" spans="1:16" x14ac:dyDescent="0.25">
      <c r="A12" s="277"/>
      <c r="B12" s="12" t="s">
        <v>10</v>
      </c>
      <c r="C12" s="21">
        <f>0.5*D12</f>
        <v>-14.24588299875</v>
      </c>
      <c r="D12" s="23">
        <f>E11*D4</f>
        <v>-28.4917659975</v>
      </c>
      <c r="E12" s="21">
        <f>E11*E4</f>
        <v>-61.630257779999994</v>
      </c>
      <c r="F12" s="22">
        <f>E11*F4</f>
        <v>-32.160233722499996</v>
      </c>
      <c r="G12" s="21">
        <f>G11*G4</f>
        <v>-45.570249270000012</v>
      </c>
      <c r="H12" s="21">
        <f>G11*H4</f>
        <v>-58.471415730000018</v>
      </c>
      <c r="I12" s="23">
        <f>I11*I4</f>
        <v>-58.471415730000018</v>
      </c>
      <c r="J12" s="22">
        <f>I11*J4</f>
        <v>-45.570249270000012</v>
      </c>
      <c r="K12" s="21">
        <f>L11*K4</f>
        <v>-32.160233722499996</v>
      </c>
      <c r="L12" s="21">
        <f>L11*L4</f>
        <v>-61.630257779999994</v>
      </c>
      <c r="M12" s="21">
        <f>L11*M4</f>
        <v>-28.4917659975</v>
      </c>
      <c r="N12" s="33">
        <f>0.5*M12</f>
        <v>-14.24588299875</v>
      </c>
      <c r="O12" s="26"/>
    </row>
    <row r="13" spans="1:16" x14ac:dyDescent="0.25">
      <c r="B13" s="5" t="s">
        <v>13</v>
      </c>
      <c r="C13" s="26">
        <f>SUM(C7,C10,C12)</f>
        <v>-50.298555498750005</v>
      </c>
      <c r="D13" s="27">
        <f>SUM(D6,D9,D12)</f>
        <v>-100.59711099750001</v>
      </c>
      <c r="E13" s="57">
        <f>SUM(E6,E7,E9,E10,E12)</f>
        <v>-295.58579778000001</v>
      </c>
      <c r="F13" s="60">
        <f>SUM(E5,F6,F7,F9,F10,F12)</f>
        <v>396.18290877750002</v>
      </c>
      <c r="G13" s="55">
        <f>SUM(H5,G6,G7,G9,G10,G12)</f>
        <v>348.19997822999994</v>
      </c>
      <c r="H13" s="58">
        <f>SUM(H6,H7,H9,H10,H12)</f>
        <v>-348.19997823000006</v>
      </c>
      <c r="I13" s="59">
        <f>SUM(I6,I7,I9:I10,I12)</f>
        <v>-348.19997823000006</v>
      </c>
      <c r="J13" s="56">
        <f>SUM(I5,J5:J7,J9:J10,J12)</f>
        <v>348.19997822999994</v>
      </c>
      <c r="K13" s="56">
        <f>SUM(K6,L5,K7,K9:K10,K12)</f>
        <v>396.18290877750002</v>
      </c>
      <c r="L13" s="59">
        <f>SUM(L6,L7,L9:L10,L12)</f>
        <v>-295.58579778000001</v>
      </c>
      <c r="M13" s="27">
        <f t="shared" ref="M13:N13" si="0">SUM(M5:M7,M9:M10,M12)</f>
        <v>-100.59711099750001</v>
      </c>
      <c r="N13" s="27">
        <f t="shared" si="0"/>
        <v>-50.298555498750005</v>
      </c>
      <c r="O13" s="26">
        <f>SUM(C13:N13)</f>
        <v>-100.59711099750021</v>
      </c>
    </row>
    <row r="14" spans="1:16" x14ac:dyDescent="0.25">
      <c r="D14" s="1"/>
      <c r="E14" s="24">
        <f>SUM(D13:F13)</f>
        <v>0</v>
      </c>
      <c r="F14" s="3"/>
      <c r="G14" s="26">
        <f>SUM(G13:H13)</f>
        <v>0</v>
      </c>
      <c r="I14" s="27">
        <f>SUM(I13:J13)</f>
        <v>0</v>
      </c>
      <c r="J14" s="3"/>
      <c r="L14" s="26">
        <f>SUM(K13:M13)</f>
        <v>0</v>
      </c>
      <c r="N14" s="18"/>
    </row>
    <row r="15" spans="1:16" x14ac:dyDescent="0.25">
      <c r="D15" s="1"/>
      <c r="E15" s="2"/>
      <c r="F15" s="3"/>
      <c r="I15" s="1"/>
      <c r="J15" s="3"/>
      <c r="N15" s="18"/>
    </row>
    <row r="16" spans="1:16" x14ac:dyDescent="0.25">
      <c r="D16" s="9"/>
      <c r="E16" s="10"/>
      <c r="F16" s="11"/>
      <c r="I16" s="9"/>
      <c r="J16" s="11"/>
      <c r="N16" s="20"/>
    </row>
  </sheetData>
  <mergeCells count="9">
    <mergeCell ref="A10:A12"/>
    <mergeCell ref="A1:B1"/>
    <mergeCell ref="D1:F1"/>
    <mergeCell ref="G1:H1"/>
    <mergeCell ref="K1:M1"/>
    <mergeCell ref="A2:B2"/>
    <mergeCell ref="A3:B3"/>
    <mergeCell ref="A5:A6"/>
    <mergeCell ref="A7:A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13" workbookViewId="0">
      <selection sqref="A1:B14"/>
    </sheetView>
  </sheetViews>
  <sheetFormatPr defaultRowHeight="15" x14ac:dyDescent="0.25"/>
  <sheetData>
    <row r="1" spans="1:16" x14ac:dyDescent="0.25">
      <c r="A1" s="276" t="s">
        <v>0</v>
      </c>
      <c r="B1" s="276"/>
      <c r="C1" s="61" t="s">
        <v>1</v>
      </c>
      <c r="D1" s="278">
        <v>3</v>
      </c>
      <c r="E1" s="279"/>
      <c r="F1" s="280"/>
      <c r="G1" s="276">
        <v>1</v>
      </c>
      <c r="H1" s="276"/>
      <c r="I1" s="278">
        <v>2</v>
      </c>
      <c r="J1" s="280"/>
      <c r="K1" s="276">
        <v>4</v>
      </c>
      <c r="L1" s="276"/>
      <c r="M1" s="276"/>
      <c r="N1" s="16" t="s">
        <v>7</v>
      </c>
      <c r="O1" s="61"/>
      <c r="P1" s="61"/>
    </row>
    <row r="2" spans="1:16" x14ac:dyDescent="0.25">
      <c r="A2" s="276" t="s">
        <v>2</v>
      </c>
      <c r="B2" s="276"/>
      <c r="C2" s="61" t="s">
        <v>4</v>
      </c>
      <c r="D2" s="7" t="s">
        <v>5</v>
      </c>
      <c r="E2" s="61">
        <v>34</v>
      </c>
      <c r="F2" s="8">
        <v>31</v>
      </c>
      <c r="G2" s="61">
        <v>13</v>
      </c>
      <c r="H2" s="61">
        <v>12</v>
      </c>
      <c r="I2" s="7">
        <v>21</v>
      </c>
      <c r="J2" s="8">
        <v>24</v>
      </c>
      <c r="K2" s="61">
        <v>42</v>
      </c>
      <c r="L2" s="61">
        <v>43</v>
      </c>
      <c r="M2" s="61" t="s">
        <v>6</v>
      </c>
      <c r="N2" s="17" t="s">
        <v>14</v>
      </c>
      <c r="O2" s="61"/>
      <c r="P2" s="61"/>
    </row>
    <row r="3" spans="1:16" x14ac:dyDescent="0.25">
      <c r="A3" s="276" t="s">
        <v>3</v>
      </c>
      <c r="B3" s="276"/>
      <c r="C3" s="2">
        <v>1.1100000000000001</v>
      </c>
      <c r="D3" s="1">
        <v>1.1100000000000001</v>
      </c>
      <c r="E3" s="2">
        <v>2.4</v>
      </c>
      <c r="F3" s="3">
        <v>1.25</v>
      </c>
      <c r="G3" s="2">
        <v>1.25</v>
      </c>
      <c r="H3" s="6">
        <v>1.6</v>
      </c>
      <c r="I3" s="1">
        <v>1.6</v>
      </c>
      <c r="J3" s="3">
        <v>1.25</v>
      </c>
      <c r="K3" s="2">
        <v>1.25</v>
      </c>
      <c r="L3" s="2">
        <v>2.4</v>
      </c>
      <c r="M3" s="2">
        <v>1.1100000000000001</v>
      </c>
      <c r="N3" s="18">
        <v>1.1100000000000001</v>
      </c>
      <c r="O3" s="2"/>
      <c r="P3" s="2"/>
    </row>
    <row r="4" spans="1:16" x14ac:dyDescent="0.25">
      <c r="A4" t="s">
        <v>8</v>
      </c>
      <c r="B4" t="s">
        <v>9</v>
      </c>
      <c r="D4" s="29">
        <v>-0.23300000000000001</v>
      </c>
      <c r="E4" s="30">
        <v>-0.504</v>
      </c>
      <c r="F4" s="31">
        <v>-0.26300000000000001</v>
      </c>
      <c r="G4" s="32">
        <v>-0.438</v>
      </c>
      <c r="H4" s="32">
        <v>-0.56200000000000006</v>
      </c>
      <c r="I4" s="29">
        <v>-0.56200000000000006</v>
      </c>
      <c r="J4" s="31">
        <v>-0.438</v>
      </c>
      <c r="K4" s="32">
        <v>-0.26300000000000001</v>
      </c>
      <c r="L4" s="32">
        <v>-0.504</v>
      </c>
      <c r="M4" s="32">
        <v>-0.23300000000000001</v>
      </c>
      <c r="N4" s="18"/>
    </row>
    <row r="5" spans="1:16" x14ac:dyDescent="0.25">
      <c r="A5" s="277">
        <v>1</v>
      </c>
      <c r="B5" t="s">
        <v>12</v>
      </c>
      <c r="C5">
        <v>462</v>
      </c>
      <c r="D5">
        <v>462</v>
      </c>
      <c r="E5" s="2"/>
      <c r="F5" s="3">
        <v>-585</v>
      </c>
      <c r="G5" s="3">
        <v>-585</v>
      </c>
      <c r="I5" s="1"/>
      <c r="J5" s="3">
        <v>-585</v>
      </c>
      <c r="K5" s="6">
        <v>-585</v>
      </c>
      <c r="M5">
        <v>462</v>
      </c>
      <c r="N5">
        <v>462</v>
      </c>
    </row>
    <row r="6" spans="1:16" x14ac:dyDescent="0.25">
      <c r="A6" s="277"/>
      <c r="D6" s="1"/>
      <c r="E6" s="2">
        <f>SUM(D5:F5)</f>
        <v>-123</v>
      </c>
      <c r="F6" s="3"/>
      <c r="G6" s="3">
        <v>-585</v>
      </c>
      <c r="I6" s="1"/>
      <c r="J6" s="3">
        <v>-585</v>
      </c>
      <c r="L6">
        <f>SUM(K5:M5)</f>
        <v>-123</v>
      </c>
      <c r="N6" s="18"/>
    </row>
    <row r="7" spans="1:16" x14ac:dyDescent="0.25">
      <c r="A7" s="277"/>
      <c r="B7" s="12" t="s">
        <v>10</v>
      </c>
      <c r="C7" s="13"/>
      <c r="D7" s="23">
        <f>E6*D4</f>
        <v>28.659000000000002</v>
      </c>
      <c r="E7" s="21">
        <f>E6*E4</f>
        <v>61.991999999999997</v>
      </c>
      <c r="F7" s="22">
        <f>E6*F4</f>
        <v>32.349000000000004</v>
      </c>
      <c r="G7" s="21">
        <f>G6*G4</f>
        <v>256.23</v>
      </c>
      <c r="H7" s="21">
        <f>G6*H4</f>
        <v>328.77000000000004</v>
      </c>
      <c r="I7" s="23">
        <f>J6*I4</f>
        <v>328.77000000000004</v>
      </c>
      <c r="J7" s="22">
        <f>J6*J4</f>
        <v>256.23</v>
      </c>
      <c r="K7" s="21">
        <f>L6*K4</f>
        <v>32.349000000000004</v>
      </c>
      <c r="L7" s="21">
        <f>L6*L4</f>
        <v>61.991999999999997</v>
      </c>
      <c r="M7" s="21">
        <f>L6*M4</f>
        <v>28.659000000000002</v>
      </c>
      <c r="N7" s="19"/>
    </row>
    <row r="8" spans="1:16" x14ac:dyDescent="0.25">
      <c r="A8" s="277">
        <v>2</v>
      </c>
      <c r="B8" t="s">
        <v>11</v>
      </c>
      <c r="C8" s="26">
        <f>0.5*D7</f>
        <v>14.329500000000001</v>
      </c>
      <c r="D8" s="1"/>
      <c r="E8" s="24">
        <f>0.5*L7</f>
        <v>30.995999999999999</v>
      </c>
      <c r="F8" s="25">
        <f>0.5*G7</f>
        <v>128.11500000000001</v>
      </c>
      <c r="G8" s="26">
        <f>0.5*F7</f>
        <v>16.174500000000002</v>
      </c>
      <c r="H8" s="26">
        <f>0.5*I7</f>
        <v>164.38500000000002</v>
      </c>
      <c r="I8" s="27">
        <f>0.5*H7</f>
        <v>164.38500000000002</v>
      </c>
      <c r="J8" s="25">
        <f>0.5*K7</f>
        <v>16.174500000000002</v>
      </c>
      <c r="K8" s="26">
        <f>0.5*J7</f>
        <v>128.11500000000001</v>
      </c>
      <c r="L8" s="26">
        <f>0.5*E7</f>
        <v>30.995999999999999</v>
      </c>
      <c r="M8" s="26"/>
      <c r="N8" s="28">
        <f>0.5*M7</f>
        <v>14.329500000000001</v>
      </c>
    </row>
    <row r="9" spans="1:16" x14ac:dyDescent="0.25">
      <c r="A9" s="277"/>
      <c r="D9" s="34"/>
      <c r="E9" s="35">
        <f>SUM(E8:F8)</f>
        <v>159.11100000000002</v>
      </c>
      <c r="F9" s="36"/>
      <c r="G9" s="37">
        <f>SUM(G8:H8)</f>
        <v>180.55950000000001</v>
      </c>
      <c r="H9" s="38"/>
      <c r="I9" s="39">
        <f>SUM(I8:J8)</f>
        <v>180.55950000000001</v>
      </c>
      <c r="J9" s="36"/>
      <c r="K9" s="38"/>
      <c r="L9" s="37">
        <f>SUM(K8:L8)</f>
        <v>159.11100000000002</v>
      </c>
      <c r="M9" s="38"/>
      <c r="N9" s="40"/>
      <c r="O9" s="26"/>
    </row>
    <row r="10" spans="1:16" x14ac:dyDescent="0.25">
      <c r="A10" s="277"/>
      <c r="B10" s="12" t="s">
        <v>10</v>
      </c>
      <c r="C10" s="13"/>
      <c r="D10" s="23">
        <f>E9*D4</f>
        <v>-37.072863000000005</v>
      </c>
      <c r="E10" s="21">
        <f>E9*E4</f>
        <v>-80.191944000000007</v>
      </c>
      <c r="F10" s="22">
        <f>E9*F4</f>
        <v>-41.846193000000007</v>
      </c>
      <c r="G10" s="21">
        <f>G9*G4</f>
        <v>-79.08506100000001</v>
      </c>
      <c r="H10" s="21">
        <f>G9*H4</f>
        <v>-101.47443900000002</v>
      </c>
      <c r="I10" s="23">
        <f>I9*I4</f>
        <v>-101.47443900000002</v>
      </c>
      <c r="J10" s="22">
        <f>I9*J4</f>
        <v>-79.08506100000001</v>
      </c>
      <c r="K10" s="21">
        <f>L9*K4</f>
        <v>-41.846193000000007</v>
      </c>
      <c r="L10" s="21">
        <f>L9*L4</f>
        <v>-80.191944000000007</v>
      </c>
      <c r="M10" s="21">
        <f>L9*M4</f>
        <v>-37.072863000000005</v>
      </c>
      <c r="N10" s="19"/>
      <c r="O10" s="26"/>
    </row>
    <row r="11" spans="1:16" x14ac:dyDescent="0.25">
      <c r="A11" s="277">
        <v>3</v>
      </c>
      <c r="B11" t="s">
        <v>11</v>
      </c>
      <c r="C11" s="26">
        <f>0.5*D10</f>
        <v>-18.536431500000003</v>
      </c>
      <c r="D11" s="27"/>
      <c r="E11" s="24">
        <f>0.5*L10</f>
        <v>-40.095972000000003</v>
      </c>
      <c r="F11" s="25">
        <f>0.5*G10</f>
        <v>-39.542530500000005</v>
      </c>
      <c r="G11" s="26">
        <f>0.5*F10</f>
        <v>-20.923096500000003</v>
      </c>
      <c r="H11" s="26">
        <f>0.5*I10</f>
        <v>-50.737219500000009</v>
      </c>
      <c r="I11" s="27">
        <f>0.5*H10</f>
        <v>-50.737219500000009</v>
      </c>
      <c r="J11" s="25">
        <f>0.5*K10</f>
        <v>-20.923096500000003</v>
      </c>
      <c r="K11" s="26">
        <f>0.5*J10</f>
        <v>-39.542530500000005</v>
      </c>
      <c r="L11" s="26">
        <f>0.5*E10</f>
        <v>-40.095972000000003</v>
      </c>
      <c r="M11" s="26"/>
      <c r="N11" s="28">
        <f>0.5*M10</f>
        <v>-18.536431500000003</v>
      </c>
    </row>
    <row r="12" spans="1:16" x14ac:dyDescent="0.25">
      <c r="A12" s="277"/>
      <c r="D12" s="34"/>
      <c r="E12" s="35">
        <f>SUM(E11:F11)</f>
        <v>-79.638502500000016</v>
      </c>
      <c r="F12" s="36"/>
      <c r="G12" s="37">
        <f>SUM(G11:H11)</f>
        <v>-71.660316000000009</v>
      </c>
      <c r="H12" s="38"/>
      <c r="I12" s="39">
        <f>SUM(I11:J11)</f>
        <v>-71.660316000000009</v>
      </c>
      <c r="J12" s="36"/>
      <c r="K12" s="38"/>
      <c r="L12" s="37">
        <f>SUM(K11:L11)</f>
        <v>-79.638502500000016</v>
      </c>
      <c r="M12" s="38"/>
      <c r="N12" s="40"/>
      <c r="O12" s="26"/>
    </row>
    <row r="13" spans="1:16" x14ac:dyDescent="0.25">
      <c r="A13" s="277"/>
      <c r="B13" s="12" t="s">
        <v>10</v>
      </c>
      <c r="C13" s="21">
        <f>0.5*D13</f>
        <v>9.2778855412500025</v>
      </c>
      <c r="D13" s="23">
        <f>E12*D4</f>
        <v>18.555771082500005</v>
      </c>
      <c r="E13" s="21">
        <f>E12*E4</f>
        <v>40.137805260000007</v>
      </c>
      <c r="F13" s="22">
        <f>E12*F4</f>
        <v>20.944926157500007</v>
      </c>
      <c r="G13" s="21">
        <f>G12*G4</f>
        <v>31.387218408000003</v>
      </c>
      <c r="H13" s="21">
        <f>G12*H4</f>
        <v>40.273097592000006</v>
      </c>
      <c r="I13" s="23">
        <f>I12*I4</f>
        <v>40.273097592000006</v>
      </c>
      <c r="J13" s="22">
        <f>I12*J4</f>
        <v>31.387218408000003</v>
      </c>
      <c r="K13" s="21">
        <f>L12*K4</f>
        <v>20.944926157500007</v>
      </c>
      <c r="L13" s="21">
        <f>L12*L4</f>
        <v>40.137805260000007</v>
      </c>
      <c r="M13" s="21">
        <f>L12*M4</f>
        <v>18.555771082500005</v>
      </c>
      <c r="N13" s="33">
        <f>0.5*M13</f>
        <v>9.2778855412500025</v>
      </c>
      <c r="O13" s="26"/>
    </row>
    <row r="14" spans="1:16" x14ac:dyDescent="0.25">
      <c r="B14" s="5" t="s">
        <v>13</v>
      </c>
      <c r="C14" s="26">
        <f>SUM(C5,C8,C11,C13)</f>
        <v>467.07095404124999</v>
      </c>
      <c r="D14" s="27">
        <f>SUM(D5,D7,D10,D13)</f>
        <v>472.14190808250004</v>
      </c>
      <c r="E14" s="57">
        <f>SUM(E7,E8,E10,E11,E13)</f>
        <v>12.837889259999997</v>
      </c>
      <c r="F14" s="60">
        <f>SUM(F5,F7,F8,F10,F11,F13)</f>
        <v>-484.97979734249998</v>
      </c>
      <c r="G14" s="55">
        <f>SUM(G5,G7,G8,G10,G11,G13)</f>
        <v>-381.21643909199992</v>
      </c>
      <c r="H14" s="58">
        <f>SUM(H7,H8,H10,H11,H13)</f>
        <v>381.21643909200009</v>
      </c>
      <c r="I14" s="59">
        <f>SUM(I7,I8,I10:I11,I13)</f>
        <v>381.21643909200009</v>
      </c>
      <c r="J14" s="63">
        <f>SUM(J5,J8,J7,J10:J11,J13)</f>
        <v>-381.21643909199997</v>
      </c>
      <c r="K14" s="53">
        <f>SUM(K5,K7,K8,K10:K11,K13)</f>
        <v>-484.97979734249998</v>
      </c>
      <c r="L14" s="59">
        <f>SUM(L7,L8,L10:L11,L13)</f>
        <v>12.837889259999997</v>
      </c>
      <c r="M14" s="27">
        <f>SUM(M5,M7,M10,M13)</f>
        <v>472.14190808250004</v>
      </c>
      <c r="N14" s="28">
        <f>SUM(N5,N8,N11,N13)</f>
        <v>467.07095404124999</v>
      </c>
      <c r="O14" s="26">
        <f>SUM(C14:N14)</f>
        <v>934.14190808250044</v>
      </c>
    </row>
    <row r="15" spans="1:16" x14ac:dyDescent="0.25">
      <c r="D15" s="1"/>
      <c r="E15" s="24">
        <f>SUM(D14:F14)</f>
        <v>0</v>
      </c>
      <c r="F15" s="3"/>
      <c r="G15" s="26">
        <f>SUM(G14:H14)</f>
        <v>0</v>
      </c>
      <c r="I15" s="27">
        <f>SUM(I14:J14)</f>
        <v>0</v>
      </c>
      <c r="J15" s="3"/>
      <c r="L15" s="26">
        <f>SUM(K14:M14)</f>
        <v>0</v>
      </c>
      <c r="N15" s="18"/>
    </row>
    <row r="16" spans="1:16" x14ac:dyDescent="0.25">
      <c r="D16" s="9"/>
      <c r="E16" s="10"/>
      <c r="F16" s="11"/>
      <c r="I16" s="9"/>
      <c r="J16" s="11"/>
      <c r="N16" s="20"/>
    </row>
  </sheetData>
  <mergeCells count="10">
    <mergeCell ref="G1:H1"/>
    <mergeCell ref="K1:M1"/>
    <mergeCell ref="A2:B2"/>
    <mergeCell ref="A3:B3"/>
    <mergeCell ref="I1:J1"/>
    <mergeCell ref="A5:A7"/>
    <mergeCell ref="A8:A10"/>
    <mergeCell ref="A11:A13"/>
    <mergeCell ref="A1:B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G1" zoomScale="124" workbookViewId="0">
      <selection activeCell="F3" sqref="F3"/>
    </sheetView>
  </sheetViews>
  <sheetFormatPr defaultRowHeight="15" x14ac:dyDescent="0.25"/>
  <cols>
    <col min="2" max="2" width="10.7109375" customWidth="1"/>
    <col min="3" max="3" width="18.5703125" customWidth="1"/>
    <col min="4" max="4" width="20.140625" customWidth="1"/>
    <col min="5" max="5" width="14.28515625" customWidth="1"/>
    <col min="6" max="6" width="26.140625" customWidth="1"/>
    <col min="7" max="7" width="15.42578125" customWidth="1"/>
    <col min="8" max="8" width="27.7109375" customWidth="1"/>
  </cols>
  <sheetData>
    <row r="1" spans="1:10" x14ac:dyDescent="0.25">
      <c r="A1" s="65">
        <v>8.8999999999999999E-3</v>
      </c>
      <c r="B1" s="54">
        <v>1.4E-2</v>
      </c>
    </row>
    <row r="2" spans="1:10" x14ac:dyDescent="0.25">
      <c r="A2" t="s">
        <v>0</v>
      </c>
      <c r="B2" t="s">
        <v>15</v>
      </c>
      <c r="C2" t="s">
        <v>16</v>
      </c>
      <c r="D2" t="s">
        <v>17</v>
      </c>
      <c r="E2" s="65" t="s">
        <v>20</v>
      </c>
      <c r="F2" t="s">
        <v>18</v>
      </c>
      <c r="G2" s="54" t="s">
        <v>21</v>
      </c>
      <c r="H2" t="s">
        <v>19</v>
      </c>
      <c r="J2" s="26"/>
    </row>
    <row r="3" spans="1:10" x14ac:dyDescent="0.25">
      <c r="A3" s="62" t="s">
        <v>1</v>
      </c>
      <c r="B3" s="64" t="s">
        <v>4</v>
      </c>
      <c r="C3">
        <v>-0.40799999999999997</v>
      </c>
      <c r="D3">
        <v>467.07100000000003</v>
      </c>
      <c r="E3" s="66">
        <f>$A$1*D3</f>
        <v>4.1569319</v>
      </c>
      <c r="F3">
        <v>-50.298999999999999</v>
      </c>
      <c r="G3" s="55">
        <f>$B$1*F3</f>
        <v>-0.70418599999999998</v>
      </c>
      <c r="H3" s="26">
        <f>SUM(C3,E3,G3)</f>
        <v>3.0447459000000001</v>
      </c>
      <c r="I3" s="26"/>
      <c r="J3" s="26"/>
    </row>
    <row r="4" spans="1:10" x14ac:dyDescent="0.25">
      <c r="A4" s="277">
        <v>3</v>
      </c>
      <c r="B4" s="64" t="s">
        <v>5</v>
      </c>
      <c r="C4">
        <v>-0.81599999999999995</v>
      </c>
      <c r="D4">
        <v>472.142</v>
      </c>
      <c r="E4" s="66">
        <f>$A$1*D4</f>
        <v>4.2020638000000003</v>
      </c>
      <c r="F4">
        <v>-100.59699999999999</v>
      </c>
      <c r="G4" s="55">
        <f t="shared" ref="G4:G14" si="0">$B$1*F4</f>
        <v>-1.408358</v>
      </c>
      <c r="H4" s="26">
        <f t="shared" ref="H4:H14" si="1">SUM(C4,E4,G4)</f>
        <v>1.9777058000000005</v>
      </c>
      <c r="I4" s="26"/>
      <c r="J4" s="26"/>
    </row>
    <row r="5" spans="1:10" x14ac:dyDescent="0.25">
      <c r="A5" s="277"/>
      <c r="B5" s="67">
        <v>34</v>
      </c>
      <c r="C5" s="68">
        <v>2.4590000000000001</v>
      </c>
      <c r="D5" s="68">
        <v>12.837999999999999</v>
      </c>
      <c r="E5" s="69">
        <f>0.25*D5</f>
        <v>3.2094999999999998</v>
      </c>
      <c r="F5" s="68">
        <v>-295.58600000000001</v>
      </c>
      <c r="G5" s="69">
        <f t="shared" si="0"/>
        <v>-4.138204</v>
      </c>
      <c r="H5" s="69">
        <f t="shared" si="1"/>
        <v>1.5302959999999999</v>
      </c>
      <c r="I5" s="26"/>
      <c r="J5" s="26"/>
    </row>
    <row r="6" spans="1:10" x14ac:dyDescent="0.25">
      <c r="A6" s="277"/>
      <c r="B6" s="64">
        <v>31</v>
      </c>
      <c r="C6">
        <v>-1.643</v>
      </c>
      <c r="D6" s="26">
        <v>-484.98</v>
      </c>
      <c r="E6" s="66">
        <f>$A$1*D6</f>
        <v>-4.3163220000000004</v>
      </c>
      <c r="F6">
        <v>396.18299999999999</v>
      </c>
      <c r="G6" s="55">
        <f t="shared" si="0"/>
        <v>5.5465619999999998</v>
      </c>
      <c r="H6" s="26">
        <f t="shared" si="1"/>
        <v>-0.41276000000000046</v>
      </c>
      <c r="I6" s="26"/>
      <c r="J6" s="26"/>
    </row>
    <row r="7" spans="1:10" x14ac:dyDescent="0.25">
      <c r="A7" s="277">
        <v>1</v>
      </c>
      <c r="B7" s="64">
        <v>13</v>
      </c>
      <c r="C7">
        <v>-1.944</v>
      </c>
      <c r="D7">
        <v>-381.21600000000001</v>
      </c>
      <c r="E7" s="66">
        <f t="shared" ref="E7:E14" si="2">$A$1*D7</f>
        <v>-3.3928224</v>
      </c>
      <c r="F7" s="26">
        <v>348.2</v>
      </c>
      <c r="G7" s="55">
        <f t="shared" si="0"/>
        <v>4.8747999999999996</v>
      </c>
      <c r="H7" s="26">
        <f t="shared" si="1"/>
        <v>-0.46202240000000039</v>
      </c>
      <c r="I7" s="26"/>
      <c r="J7" s="26"/>
    </row>
    <row r="8" spans="1:10" x14ac:dyDescent="0.25">
      <c r="A8" s="277"/>
      <c r="B8" s="64">
        <v>12</v>
      </c>
      <c r="C8">
        <v>1.944</v>
      </c>
      <c r="D8">
        <v>381.21600000000001</v>
      </c>
      <c r="E8" s="66">
        <f t="shared" si="2"/>
        <v>3.3928224</v>
      </c>
      <c r="F8" s="26">
        <v>-348.2</v>
      </c>
      <c r="G8" s="55">
        <f t="shared" si="0"/>
        <v>-4.8747999999999996</v>
      </c>
      <c r="H8" s="26">
        <f t="shared" si="1"/>
        <v>0.46202240000000039</v>
      </c>
      <c r="I8" s="26"/>
      <c r="J8" s="26"/>
    </row>
    <row r="9" spans="1:10" x14ac:dyDescent="0.25">
      <c r="A9" s="277">
        <v>2</v>
      </c>
      <c r="B9" s="64">
        <v>21</v>
      </c>
      <c r="C9">
        <v>-1.944</v>
      </c>
      <c r="D9">
        <v>381.21600000000001</v>
      </c>
      <c r="E9" s="66">
        <f t="shared" si="2"/>
        <v>3.3928224</v>
      </c>
      <c r="F9" s="26">
        <v>-348.2</v>
      </c>
      <c r="G9" s="55">
        <f t="shared" si="0"/>
        <v>-4.8747999999999996</v>
      </c>
      <c r="H9" s="26">
        <f t="shared" si="1"/>
        <v>-3.4259775999999995</v>
      </c>
      <c r="I9" s="26"/>
      <c r="J9" s="26"/>
    </row>
    <row r="10" spans="1:10" x14ac:dyDescent="0.25">
      <c r="A10" s="277"/>
      <c r="B10" s="64">
        <v>24</v>
      </c>
      <c r="C10">
        <v>1.944</v>
      </c>
      <c r="D10">
        <v>-381.21600000000001</v>
      </c>
      <c r="E10" s="66">
        <f>$A$1*D10</f>
        <v>-3.3928224</v>
      </c>
      <c r="F10" s="26">
        <v>348.2</v>
      </c>
      <c r="G10" s="55">
        <f t="shared" si="0"/>
        <v>4.8747999999999996</v>
      </c>
      <c r="H10" s="26">
        <f t="shared" si="1"/>
        <v>3.4259775999999995</v>
      </c>
      <c r="I10" s="26"/>
      <c r="J10" s="26"/>
    </row>
    <row r="11" spans="1:10" x14ac:dyDescent="0.25">
      <c r="A11" s="277">
        <v>4</v>
      </c>
      <c r="B11" s="64">
        <v>42</v>
      </c>
      <c r="C11">
        <v>1.643</v>
      </c>
      <c r="D11" s="26">
        <v>-484.98</v>
      </c>
      <c r="E11" s="66">
        <f t="shared" si="2"/>
        <v>-4.3163220000000004</v>
      </c>
      <c r="F11">
        <v>396.18299999999999</v>
      </c>
      <c r="G11" s="55">
        <f t="shared" si="0"/>
        <v>5.5465619999999998</v>
      </c>
      <c r="H11" s="26">
        <f t="shared" si="1"/>
        <v>2.8732399999999991</v>
      </c>
      <c r="I11" s="26"/>
      <c r="J11" s="26"/>
    </row>
    <row r="12" spans="1:10" x14ac:dyDescent="0.25">
      <c r="A12" s="277"/>
      <c r="B12" s="67">
        <v>43</v>
      </c>
      <c r="C12" s="68">
        <v>-2.4590000000000001</v>
      </c>
      <c r="D12" s="68">
        <v>12.837999999999999</v>
      </c>
      <c r="E12" s="69">
        <f>0.25*D12</f>
        <v>3.2094999999999998</v>
      </c>
      <c r="F12" s="68">
        <v>-295.58600000000001</v>
      </c>
      <c r="G12" s="69">
        <f t="shared" si="0"/>
        <v>-4.138204</v>
      </c>
      <c r="H12" s="69">
        <f t="shared" si="1"/>
        <v>-3.3877040000000003</v>
      </c>
      <c r="I12" s="26"/>
      <c r="J12" s="26"/>
    </row>
    <row r="13" spans="1:10" x14ac:dyDescent="0.25">
      <c r="A13" s="277"/>
      <c r="B13" s="64" t="s">
        <v>6</v>
      </c>
      <c r="C13">
        <v>0.81599999999999995</v>
      </c>
      <c r="D13">
        <v>472.142</v>
      </c>
      <c r="E13" s="66">
        <f t="shared" si="2"/>
        <v>4.2020638000000003</v>
      </c>
      <c r="F13">
        <v>-100.59699999999999</v>
      </c>
      <c r="G13" s="55">
        <f t="shared" si="0"/>
        <v>-1.408358</v>
      </c>
      <c r="H13" s="26">
        <f t="shared" si="1"/>
        <v>3.6097058000000004</v>
      </c>
      <c r="I13" s="26"/>
      <c r="J13" s="26"/>
    </row>
    <row r="14" spans="1:10" x14ac:dyDescent="0.25">
      <c r="A14" s="64" t="s">
        <v>7</v>
      </c>
      <c r="B14" s="64" t="s">
        <v>14</v>
      </c>
      <c r="C14">
        <v>0.40799999999999997</v>
      </c>
      <c r="D14">
        <v>467.07100000000003</v>
      </c>
      <c r="E14" s="66">
        <f t="shared" si="2"/>
        <v>4.1569319</v>
      </c>
      <c r="F14">
        <v>-50.298999999999999</v>
      </c>
      <c r="G14" s="55">
        <f t="shared" si="0"/>
        <v>-0.70418599999999998</v>
      </c>
      <c r="H14" s="26">
        <f t="shared" si="1"/>
        <v>3.8607459000000004</v>
      </c>
      <c r="I14" s="26"/>
      <c r="J14" s="26"/>
    </row>
    <row r="15" spans="1:10" x14ac:dyDescent="0.25">
      <c r="C15">
        <f>SUM(C3:C14)</f>
        <v>0</v>
      </c>
      <c r="D15">
        <f>SUM(D3:D14)</f>
        <v>934.14199999999994</v>
      </c>
      <c r="F15">
        <f>SUM(F3:F14)</f>
        <v>-100.59799999999998</v>
      </c>
    </row>
    <row r="18" spans="4:4" x14ac:dyDescent="0.25">
      <c r="D18">
        <v>0.25</v>
      </c>
    </row>
  </sheetData>
  <mergeCells count="4">
    <mergeCell ref="A4:A6"/>
    <mergeCell ref="A7:A8"/>
    <mergeCell ref="A9:A10"/>
    <mergeCell ref="A11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L13" sqref="L13"/>
    </sheetView>
  </sheetViews>
  <sheetFormatPr defaultRowHeight="15" x14ac:dyDescent="0.25"/>
  <sheetData>
    <row r="1" spans="1:13" x14ac:dyDescent="0.25">
      <c r="A1" s="276" t="s">
        <v>0</v>
      </c>
      <c r="B1" s="276"/>
      <c r="C1" s="16" t="s">
        <v>1</v>
      </c>
      <c r="D1" s="281">
        <v>1</v>
      </c>
      <c r="E1" s="281"/>
      <c r="F1" s="278">
        <v>2</v>
      </c>
      <c r="G1" s="279"/>
      <c r="H1" s="280"/>
      <c r="I1" s="281">
        <v>3</v>
      </c>
      <c r="J1" s="281"/>
      <c r="K1" s="16" t="s">
        <v>22</v>
      </c>
      <c r="L1" s="64" t="s">
        <v>7</v>
      </c>
    </row>
    <row r="2" spans="1:13" x14ac:dyDescent="0.25">
      <c r="A2" s="276" t="s">
        <v>2</v>
      </c>
      <c r="B2" s="276"/>
      <c r="C2" s="17" t="s">
        <v>23</v>
      </c>
      <c r="D2" s="64" t="s">
        <v>24</v>
      </c>
      <c r="E2" s="64">
        <v>12</v>
      </c>
      <c r="F2" s="7">
        <v>21</v>
      </c>
      <c r="G2" s="70" t="s">
        <v>25</v>
      </c>
      <c r="H2" s="8">
        <v>23</v>
      </c>
      <c r="I2" s="64">
        <v>32</v>
      </c>
      <c r="J2" s="64" t="s">
        <v>26</v>
      </c>
      <c r="K2" s="17" t="s">
        <v>27</v>
      </c>
      <c r="L2" s="64" t="s">
        <v>28</v>
      </c>
    </row>
    <row r="3" spans="1:13" x14ac:dyDescent="0.25">
      <c r="A3" s="276" t="s">
        <v>3</v>
      </c>
      <c r="B3" s="276"/>
      <c r="C3" s="18">
        <v>0.95199999999999996</v>
      </c>
      <c r="D3">
        <v>0.95199999999999996</v>
      </c>
      <c r="E3">
        <v>1.6</v>
      </c>
      <c r="F3" s="1">
        <v>1.6</v>
      </c>
      <c r="G3" s="2">
        <v>0.95199999999999996</v>
      </c>
      <c r="H3" s="3">
        <v>1</v>
      </c>
      <c r="I3">
        <v>1</v>
      </c>
      <c r="J3">
        <v>0.95199999999999996</v>
      </c>
      <c r="K3" s="18">
        <v>0.95199999999999996</v>
      </c>
      <c r="L3">
        <v>0.95199999999999996</v>
      </c>
    </row>
    <row r="4" spans="1:13" x14ac:dyDescent="0.25">
      <c r="A4" t="s">
        <v>8</v>
      </c>
      <c r="B4" t="s">
        <v>9</v>
      </c>
      <c r="C4" s="18"/>
      <c r="D4" s="32">
        <v>-0.373</v>
      </c>
      <c r="E4" s="32">
        <v>-0.627</v>
      </c>
      <c r="F4" s="29">
        <v>-0.45</v>
      </c>
      <c r="G4" s="30">
        <v>-0.26800000000000002</v>
      </c>
      <c r="H4" s="31">
        <v>-0.28199999999999997</v>
      </c>
      <c r="I4" s="32">
        <v>-0.51300000000000001</v>
      </c>
      <c r="J4" s="32">
        <v>-0.48699999999999999</v>
      </c>
      <c r="K4" s="73"/>
      <c r="L4" s="32"/>
    </row>
    <row r="5" spans="1:13" x14ac:dyDescent="0.25">
      <c r="A5" s="277">
        <v>1</v>
      </c>
      <c r="B5" t="s">
        <v>12</v>
      </c>
      <c r="C5" s="18"/>
      <c r="E5">
        <v>2.9169999999999998</v>
      </c>
      <c r="F5" s="1">
        <v>-2.9169999999999998</v>
      </c>
      <c r="G5" s="2"/>
      <c r="H5" s="3">
        <v>3.0219999999999998</v>
      </c>
      <c r="I5">
        <v>-1.5109999999999999</v>
      </c>
      <c r="K5" s="18"/>
    </row>
    <row r="6" spans="1:13" x14ac:dyDescent="0.25">
      <c r="A6" s="277"/>
      <c r="B6" s="38"/>
      <c r="C6" s="40"/>
      <c r="D6" s="38"/>
      <c r="E6" s="38">
        <v>2.9169999999999998</v>
      </c>
      <c r="F6" s="34"/>
      <c r="G6" s="76">
        <f>SUM(F5:H5)</f>
        <v>0.10499999999999998</v>
      </c>
      <c r="H6" s="36"/>
      <c r="I6" s="38">
        <v>-1.5109999999999999</v>
      </c>
      <c r="J6" s="38"/>
      <c r="K6" s="40"/>
      <c r="L6" s="38"/>
    </row>
    <row r="7" spans="1:13" x14ac:dyDescent="0.25">
      <c r="A7" s="277"/>
      <c r="B7" s="2" t="s">
        <v>10</v>
      </c>
      <c r="C7" s="18"/>
      <c r="D7" s="26">
        <f>$E$6*D4</f>
        <v>-1.088041</v>
      </c>
      <c r="E7" s="26">
        <f>$E$6*E4</f>
        <v>-1.8289589999999998</v>
      </c>
      <c r="F7" s="27">
        <f>$G$6*F4</f>
        <v>-4.7249999999999993E-2</v>
      </c>
      <c r="G7" s="24">
        <f t="shared" ref="G7:H7" si="0">$G$6*G4</f>
        <v>-2.8139999999999998E-2</v>
      </c>
      <c r="H7" s="25">
        <f t="shared" si="0"/>
        <v>-2.960999999999999E-2</v>
      </c>
      <c r="I7" s="26">
        <f>$I$6*I4</f>
        <v>0.77514299999999992</v>
      </c>
      <c r="J7" s="26">
        <f>$I$6*J4</f>
        <v>0.73585699999999998</v>
      </c>
      <c r="K7" s="18"/>
      <c r="M7" s="26">
        <f>SUM(D7:J7)</f>
        <v>-1.5109999999999999</v>
      </c>
    </row>
    <row r="8" spans="1:13" x14ac:dyDescent="0.25">
      <c r="A8" s="277">
        <v>2</v>
      </c>
      <c r="B8" s="2" t="s">
        <v>11</v>
      </c>
      <c r="C8" s="28">
        <f>0.5*D7</f>
        <v>-0.54402050000000002</v>
      </c>
      <c r="D8" s="26"/>
      <c r="E8" s="26">
        <f>0.5*F7</f>
        <v>-2.3624999999999997E-2</v>
      </c>
      <c r="F8" s="27">
        <f>0.5*E7</f>
        <v>-0.91447949999999989</v>
      </c>
      <c r="G8" s="24"/>
      <c r="H8" s="25">
        <f>0.5*I7</f>
        <v>0.38757149999999996</v>
      </c>
      <c r="I8" s="26">
        <f>0.5*H7</f>
        <v>-1.4804999999999995E-2</v>
      </c>
      <c r="J8" s="26"/>
      <c r="K8" s="28">
        <f>0.5*J7</f>
        <v>0.36792849999999999</v>
      </c>
      <c r="L8" s="26">
        <f>0.5*G7</f>
        <v>-1.4069999999999999E-2</v>
      </c>
    </row>
    <row r="9" spans="1:13" x14ac:dyDescent="0.25">
      <c r="A9" s="277"/>
      <c r="B9" s="76"/>
      <c r="C9" s="77"/>
      <c r="D9" s="37"/>
      <c r="E9" s="37">
        <f>SUM(D8:E8)</f>
        <v>-2.3624999999999997E-2</v>
      </c>
      <c r="F9" s="39"/>
      <c r="G9" s="35">
        <f>SUM(F8:H8)</f>
        <v>-0.52690799999999993</v>
      </c>
      <c r="H9" s="78"/>
      <c r="I9" s="37">
        <f>SUM(I8:J8)</f>
        <v>-1.4804999999999995E-2</v>
      </c>
      <c r="J9" s="37"/>
      <c r="K9" s="77"/>
      <c r="L9" s="37"/>
    </row>
    <row r="10" spans="1:13" x14ac:dyDescent="0.25">
      <c r="A10" s="277"/>
      <c r="B10" s="2" t="s">
        <v>10</v>
      </c>
      <c r="C10" s="18"/>
      <c r="D10" s="26">
        <f>$E$9*D4</f>
        <v>8.8121249999999988E-3</v>
      </c>
      <c r="E10" s="26">
        <f>$E$9*E4</f>
        <v>1.4812874999999998E-2</v>
      </c>
      <c r="F10" s="27">
        <f>$G$9*F4</f>
        <v>0.23710859999999997</v>
      </c>
      <c r="G10" s="27">
        <f t="shared" ref="G10:H10" si="1">$G$9*G4</f>
        <v>0.14121134399999999</v>
      </c>
      <c r="H10" s="27">
        <f t="shared" si="1"/>
        <v>0.14858805599999997</v>
      </c>
      <c r="I10" s="26">
        <f>$I$9*I4</f>
        <v>7.5949649999999978E-3</v>
      </c>
      <c r="J10" s="26">
        <f>$I$9*J4</f>
        <v>7.2100349999999975E-3</v>
      </c>
      <c r="K10" s="18"/>
    </row>
    <row r="11" spans="1:13" x14ac:dyDescent="0.25">
      <c r="A11" s="277">
        <v>3</v>
      </c>
      <c r="B11" s="2" t="s">
        <v>11</v>
      </c>
      <c r="C11" s="28">
        <f>0.5*D10</f>
        <v>4.4060624999999994E-3</v>
      </c>
      <c r="D11" s="26"/>
      <c r="E11" s="26">
        <f>0.5*F10</f>
        <v>0.11855429999999999</v>
      </c>
      <c r="F11" s="27">
        <f>0.5*E10</f>
        <v>7.406437499999999E-3</v>
      </c>
      <c r="G11" s="24"/>
      <c r="H11" s="25">
        <f>0.5*I10</f>
        <v>3.7974824999999989E-3</v>
      </c>
      <c r="I11" s="26">
        <f>0.5*H10</f>
        <v>7.4294027999999984E-2</v>
      </c>
      <c r="J11" s="26"/>
      <c r="K11" s="28">
        <f>0.5*J10</f>
        <v>3.6050174999999987E-3</v>
      </c>
      <c r="L11" s="26">
        <f>0.5*G10</f>
        <v>7.0605671999999994E-2</v>
      </c>
    </row>
    <row r="12" spans="1:13" x14ac:dyDescent="0.25">
      <c r="A12" s="277"/>
      <c r="B12" s="76"/>
      <c r="C12" s="40"/>
      <c r="D12" s="38"/>
      <c r="E12" s="37">
        <f>SUM(D11:E11)</f>
        <v>0.11855429999999999</v>
      </c>
      <c r="F12" s="34"/>
      <c r="G12" s="35">
        <f>SUM(F11:H11)</f>
        <v>1.1203919999999997E-2</v>
      </c>
      <c r="H12" s="36"/>
      <c r="I12" s="37">
        <f>SUM(I11:J11)</f>
        <v>7.4294027999999984E-2</v>
      </c>
      <c r="J12" s="38"/>
      <c r="K12" s="40"/>
      <c r="L12" s="38"/>
    </row>
    <row r="13" spans="1:13" x14ac:dyDescent="0.25">
      <c r="A13" s="277"/>
      <c r="B13" s="2" t="s">
        <v>10</v>
      </c>
      <c r="C13" s="28">
        <f>0.5*D13</f>
        <v>-2.2110376949999996E-2</v>
      </c>
      <c r="D13" s="26">
        <f>$E$12*D4</f>
        <v>-4.4220753899999993E-2</v>
      </c>
      <c r="E13" s="26">
        <f>$E$12*E4</f>
        <v>-7.4333546099999995E-2</v>
      </c>
      <c r="F13" s="27">
        <f>$G$12*F4</f>
        <v>-5.0417639999999989E-3</v>
      </c>
      <c r="G13" s="27">
        <f t="shared" ref="G13:H13" si="2">$G$12*G4</f>
        <v>-3.0026505599999994E-3</v>
      </c>
      <c r="H13" s="27">
        <f t="shared" si="2"/>
        <v>-3.1595054399999991E-3</v>
      </c>
      <c r="I13" s="26">
        <f>$I$12*I4</f>
        <v>-3.8112836363999994E-2</v>
      </c>
      <c r="J13" s="26">
        <f>$I$12*J4</f>
        <v>-3.618119163599999E-2</v>
      </c>
      <c r="K13" s="28">
        <f>0.5*J13</f>
        <v>-1.8090595817999995E-2</v>
      </c>
      <c r="L13" s="26">
        <f>0.5*G13</f>
        <v>-1.5013252799999997E-3</v>
      </c>
    </row>
    <row r="14" spans="1:13" x14ac:dyDescent="0.25">
      <c r="B14" s="5" t="s">
        <v>13</v>
      </c>
      <c r="C14" s="28">
        <f>SUM(C8:C13)</f>
        <v>-0.56172481445</v>
      </c>
      <c r="D14" s="26">
        <f>SUM(D5,D7,D8,D10,D11,D13)</f>
        <v>-1.1234496289</v>
      </c>
      <c r="E14" s="26">
        <f>SUM(E5,E7,E8,E10,E11,E13)</f>
        <v>1.1234496289</v>
      </c>
      <c r="F14" s="26">
        <f t="shared" ref="F14:H14" si="3">SUM(F5,F7,F8,F10,F11,F13)</f>
        <v>-3.6392562264999997</v>
      </c>
      <c r="G14" s="26">
        <f t="shared" si="3"/>
        <v>0.11006869343999999</v>
      </c>
      <c r="H14" s="26">
        <f t="shared" si="3"/>
        <v>3.5291875330599995</v>
      </c>
      <c r="I14" s="26">
        <f t="shared" ref="I14" si="4">SUM(I5,I7,I8,I10,I11,I13)</f>
        <v>-0.70688584336399996</v>
      </c>
      <c r="J14" s="26">
        <f t="shared" ref="J14" si="5">SUM(J5,J7,J8,J10,J11,J13)</f>
        <v>0.70688584336399996</v>
      </c>
      <c r="K14" s="26">
        <f t="shared" ref="K14" si="6">SUM(K5,K7,K8,K10,K11,K13)</f>
        <v>0.35344292168199998</v>
      </c>
      <c r="L14" s="26">
        <f t="shared" ref="L14" si="7">SUM(L5,L7,L8,L10,L11,L13)</f>
        <v>5.5034346719999995E-2</v>
      </c>
      <c r="M14" s="26">
        <f>SUM(C14:L14)</f>
        <v>-0.15324754604800025</v>
      </c>
    </row>
    <row r="15" spans="1:13" x14ac:dyDescent="0.25">
      <c r="C15" s="20"/>
      <c r="E15" s="26">
        <f>SUM(D14:E14)</f>
        <v>0</v>
      </c>
      <c r="F15" s="9"/>
      <c r="G15" s="74">
        <f>SUM(F14:H14)</f>
        <v>0</v>
      </c>
      <c r="H15" s="11"/>
      <c r="I15" s="26">
        <f>SUM(I14:J14)</f>
        <v>0</v>
      </c>
      <c r="K15" s="20"/>
    </row>
  </sheetData>
  <mergeCells count="9">
    <mergeCell ref="A8:A10"/>
    <mergeCell ref="A11:A13"/>
    <mergeCell ref="D1:E1"/>
    <mergeCell ref="F1:H1"/>
    <mergeCell ref="I1:J1"/>
    <mergeCell ref="A1:B1"/>
    <mergeCell ref="A2:B2"/>
    <mergeCell ref="A3:B3"/>
    <mergeCell ref="A5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90" zoomScaleNormal="90" workbookViewId="0">
      <selection activeCell="I8" sqref="I8"/>
    </sheetView>
  </sheetViews>
  <sheetFormatPr defaultRowHeight="15" x14ac:dyDescent="0.25"/>
  <sheetData>
    <row r="1" spans="1:13" x14ac:dyDescent="0.25">
      <c r="A1" s="276" t="s">
        <v>0</v>
      </c>
      <c r="B1" s="276"/>
      <c r="C1" s="16" t="s">
        <v>1</v>
      </c>
      <c r="D1" s="281">
        <v>1</v>
      </c>
      <c r="E1" s="281"/>
      <c r="F1" s="278">
        <v>2</v>
      </c>
      <c r="G1" s="279"/>
      <c r="H1" s="280"/>
      <c r="I1" s="281">
        <v>3</v>
      </c>
      <c r="J1" s="281"/>
      <c r="K1" s="16" t="s">
        <v>22</v>
      </c>
      <c r="L1" s="72" t="s">
        <v>7</v>
      </c>
    </row>
    <row r="2" spans="1:13" x14ac:dyDescent="0.25">
      <c r="A2" s="276" t="s">
        <v>2</v>
      </c>
      <c r="B2" s="276"/>
      <c r="C2" s="17" t="s">
        <v>23</v>
      </c>
      <c r="D2" s="72" t="s">
        <v>24</v>
      </c>
      <c r="E2" s="72">
        <v>12</v>
      </c>
      <c r="F2" s="7">
        <v>21</v>
      </c>
      <c r="G2" s="71" t="s">
        <v>25</v>
      </c>
      <c r="H2" s="8">
        <v>23</v>
      </c>
      <c r="I2" s="72">
        <v>32</v>
      </c>
      <c r="J2" s="72" t="s">
        <v>26</v>
      </c>
      <c r="K2" s="17" t="s">
        <v>27</v>
      </c>
      <c r="L2" s="72" t="s">
        <v>28</v>
      </c>
    </row>
    <row r="3" spans="1:13" x14ac:dyDescent="0.25">
      <c r="A3" s="276" t="s">
        <v>3</v>
      </c>
      <c r="B3" s="276"/>
      <c r="C3" s="18">
        <v>0.95199999999999996</v>
      </c>
      <c r="D3">
        <v>0.95199999999999996</v>
      </c>
      <c r="E3">
        <v>1.6</v>
      </c>
      <c r="F3" s="1">
        <v>1.6</v>
      </c>
      <c r="G3" s="2">
        <v>0.95199999999999996</v>
      </c>
      <c r="H3" s="3">
        <v>1</v>
      </c>
      <c r="I3">
        <v>1</v>
      </c>
      <c r="J3">
        <v>0.95199999999999996</v>
      </c>
      <c r="K3" s="18">
        <v>0.95199999999999996</v>
      </c>
      <c r="L3">
        <v>0.95199999999999996</v>
      </c>
    </row>
    <row r="4" spans="1:13" x14ac:dyDescent="0.25">
      <c r="A4" t="s">
        <v>8</v>
      </c>
      <c r="B4" t="s">
        <v>9</v>
      </c>
      <c r="C4" s="18"/>
      <c r="D4" s="32">
        <v>-0.373</v>
      </c>
      <c r="E4" s="32">
        <v>-0.627</v>
      </c>
      <c r="F4" s="29">
        <v>-0.45</v>
      </c>
      <c r="G4" s="30">
        <v>-0.26800000000000002</v>
      </c>
      <c r="H4" s="31">
        <v>-0.28199999999999997</v>
      </c>
      <c r="I4" s="32">
        <v>-0.51300000000000001</v>
      </c>
      <c r="J4" s="32">
        <v>-0.48699999999999999</v>
      </c>
      <c r="K4" s="73"/>
      <c r="L4" s="32"/>
    </row>
    <row r="5" spans="1:13" x14ac:dyDescent="0.25">
      <c r="A5" s="277">
        <v>1</v>
      </c>
      <c r="B5" t="s">
        <v>12</v>
      </c>
      <c r="C5" s="18">
        <v>340</v>
      </c>
      <c r="D5">
        <v>340</v>
      </c>
      <c r="F5" s="1"/>
      <c r="G5" s="2">
        <v>340</v>
      </c>
      <c r="H5" s="3"/>
      <c r="J5">
        <v>340</v>
      </c>
      <c r="K5" s="18">
        <v>340</v>
      </c>
      <c r="L5" s="6">
        <v>340</v>
      </c>
    </row>
    <row r="6" spans="1:13" x14ac:dyDescent="0.25">
      <c r="A6" s="277"/>
      <c r="B6" s="38"/>
      <c r="C6" s="40"/>
      <c r="D6" s="38">
        <f>SUM(D5:E5)</f>
        <v>340</v>
      </c>
      <c r="E6" s="38"/>
      <c r="F6" s="34"/>
      <c r="G6" s="76">
        <f>SUM(F5:H5)</f>
        <v>340</v>
      </c>
      <c r="H6" s="36"/>
      <c r="I6" s="38">
        <f>SUM(I5:J5)</f>
        <v>340</v>
      </c>
      <c r="J6" s="38"/>
      <c r="K6" s="40"/>
      <c r="L6" s="38"/>
    </row>
    <row r="7" spans="1:13" x14ac:dyDescent="0.25">
      <c r="A7" s="277"/>
      <c r="B7" s="2" t="s">
        <v>10</v>
      </c>
      <c r="C7" s="18"/>
      <c r="D7" s="26">
        <f>$D$6*D4</f>
        <v>-126.82</v>
      </c>
      <c r="E7" s="26">
        <f>$D$6*E4</f>
        <v>-213.18</v>
      </c>
      <c r="F7" s="27">
        <f>$G$6*F4</f>
        <v>-153</v>
      </c>
      <c r="G7" s="24">
        <f t="shared" ref="G7:H7" si="0">$G$6*G4</f>
        <v>-91.12</v>
      </c>
      <c r="H7" s="25">
        <f t="shared" si="0"/>
        <v>-95.88</v>
      </c>
      <c r="I7" s="26">
        <f>$I$6*I4</f>
        <v>-174.42000000000002</v>
      </c>
      <c r="J7" s="26">
        <f>$I$6*J4</f>
        <v>-165.57999999999998</v>
      </c>
      <c r="K7" s="18"/>
      <c r="M7" s="26"/>
    </row>
    <row r="8" spans="1:13" x14ac:dyDescent="0.25">
      <c r="A8" s="277">
        <v>2</v>
      </c>
      <c r="B8" s="2" t="s">
        <v>11</v>
      </c>
      <c r="C8" s="28">
        <f>0.5*D7</f>
        <v>-63.41</v>
      </c>
      <c r="D8" s="26"/>
      <c r="E8" s="26">
        <f>0.5*F7</f>
        <v>-76.5</v>
      </c>
      <c r="F8" s="27">
        <f>0.5*E7</f>
        <v>-106.59</v>
      </c>
      <c r="G8" s="24"/>
      <c r="H8" s="25">
        <f>0.5*I7</f>
        <v>-87.210000000000008</v>
      </c>
      <c r="I8" s="26">
        <f>0.5*H7</f>
        <v>-47.94</v>
      </c>
      <c r="J8" s="26"/>
      <c r="K8" s="28">
        <f>0.5*J7</f>
        <v>-82.789999999999992</v>
      </c>
      <c r="L8" s="26">
        <f>0.5*G7</f>
        <v>-45.56</v>
      </c>
    </row>
    <row r="9" spans="1:13" x14ac:dyDescent="0.25">
      <c r="A9" s="277"/>
      <c r="B9" s="76"/>
      <c r="C9" s="77"/>
      <c r="D9" s="37"/>
      <c r="E9" s="37">
        <f>SUM(D8:E8)</f>
        <v>-76.5</v>
      </c>
      <c r="F9" s="39"/>
      <c r="G9" s="35">
        <f>SUM(F8:H8)</f>
        <v>-193.8</v>
      </c>
      <c r="H9" s="78"/>
      <c r="I9" s="37">
        <f>SUM(I8:J8)</f>
        <v>-47.94</v>
      </c>
      <c r="J9" s="37"/>
      <c r="K9" s="77"/>
      <c r="L9" s="37"/>
    </row>
    <row r="10" spans="1:13" x14ac:dyDescent="0.25">
      <c r="A10" s="277"/>
      <c r="B10" s="2" t="s">
        <v>10</v>
      </c>
      <c r="C10" s="18"/>
      <c r="D10" s="26">
        <f>$E$9*D4</f>
        <v>28.534500000000001</v>
      </c>
      <c r="E10" s="26">
        <f>$E$9*E4</f>
        <v>47.965499999999999</v>
      </c>
      <c r="F10" s="27">
        <f>$G$9*F4</f>
        <v>87.210000000000008</v>
      </c>
      <c r="G10" s="27">
        <f t="shared" ref="G10:H10" si="1">$G$9*G4</f>
        <v>51.938400000000009</v>
      </c>
      <c r="H10" s="27">
        <f t="shared" si="1"/>
        <v>54.651599999999995</v>
      </c>
      <c r="I10" s="26">
        <f>$I$9*I4</f>
        <v>24.593219999999999</v>
      </c>
      <c r="J10" s="26">
        <f>$I$9*J4</f>
        <v>23.346779999999999</v>
      </c>
      <c r="K10" s="18"/>
    </row>
    <row r="11" spans="1:13" x14ac:dyDescent="0.25">
      <c r="A11" s="277">
        <v>3</v>
      </c>
      <c r="B11" s="2" t="s">
        <v>11</v>
      </c>
      <c r="C11" s="28">
        <f>0.5*D10</f>
        <v>14.267250000000001</v>
      </c>
      <c r="D11" s="26"/>
      <c r="E11" s="26">
        <f>0.5*F10</f>
        <v>43.605000000000004</v>
      </c>
      <c r="F11" s="27">
        <f>0.5*E10</f>
        <v>23.982749999999999</v>
      </c>
      <c r="G11" s="24"/>
      <c r="H11" s="25">
        <f>0.5*I10</f>
        <v>12.296609999999999</v>
      </c>
      <c r="I11" s="26">
        <f>0.5*H10</f>
        <v>27.325799999999997</v>
      </c>
      <c r="J11" s="26"/>
      <c r="K11" s="28">
        <f>0.5*J10</f>
        <v>11.673389999999999</v>
      </c>
      <c r="L11" s="26">
        <f>0.5*G10</f>
        <v>25.969200000000004</v>
      </c>
    </row>
    <row r="12" spans="1:13" x14ac:dyDescent="0.25">
      <c r="A12" s="277"/>
      <c r="B12" s="76"/>
      <c r="C12" s="40"/>
      <c r="D12" s="38"/>
      <c r="E12" s="37">
        <f>SUM(D11:E11)</f>
        <v>43.605000000000004</v>
      </c>
      <c r="F12" s="34"/>
      <c r="G12" s="35">
        <f>SUM(F11:H11)</f>
        <v>36.279359999999997</v>
      </c>
      <c r="H12" s="36"/>
      <c r="I12" s="37">
        <f>SUM(I11:J11)</f>
        <v>27.325799999999997</v>
      </c>
      <c r="J12" s="38"/>
      <c r="K12" s="40"/>
      <c r="L12" s="38"/>
    </row>
    <row r="13" spans="1:13" x14ac:dyDescent="0.25">
      <c r="A13" s="277"/>
      <c r="B13" s="2" t="s">
        <v>10</v>
      </c>
      <c r="C13" s="28">
        <f>0.5*D13</f>
        <v>-8.1323325000000004</v>
      </c>
      <c r="D13" s="26">
        <f>$E$12*D4</f>
        <v>-16.264665000000001</v>
      </c>
      <c r="E13" s="26">
        <f>$E$12*E4</f>
        <v>-27.340335000000003</v>
      </c>
      <c r="F13" s="27">
        <f>$G$12*F4</f>
        <v>-16.325711999999999</v>
      </c>
      <c r="G13" s="27">
        <f t="shared" ref="G13:H13" si="2">$G$12*G4</f>
        <v>-9.7228684799999989</v>
      </c>
      <c r="H13" s="27">
        <f t="shared" si="2"/>
        <v>-10.230779519999999</v>
      </c>
      <c r="I13" s="26">
        <f>$I$12*I4</f>
        <v>-14.018135399999998</v>
      </c>
      <c r="J13" s="26">
        <f>$I$12*J4</f>
        <v>-13.307664599999999</v>
      </c>
      <c r="K13" s="28">
        <f>0.5*J13</f>
        <v>-6.6538322999999995</v>
      </c>
      <c r="L13" s="26">
        <f>0.5*G13</f>
        <v>-4.8614342399999995</v>
      </c>
    </row>
    <row r="14" spans="1:13" x14ac:dyDescent="0.25">
      <c r="B14" s="5" t="s">
        <v>13</v>
      </c>
      <c r="C14" s="28">
        <f>SUM(C5,C7,C8,C10,C11,C13)</f>
        <v>282.7249175</v>
      </c>
      <c r="D14" s="26">
        <f>SUM(D5,D7,D8,D10,D11,D13)</f>
        <v>225.44983500000001</v>
      </c>
      <c r="E14" s="26">
        <f>SUM(E5,E7,E8,E10,E11,E13)</f>
        <v>-225.44983500000004</v>
      </c>
      <c r="F14" s="26">
        <f t="shared" ref="F14:L14" si="3">SUM(F5,F7,F8,F10,F11,F13)</f>
        <v>-164.72296200000002</v>
      </c>
      <c r="G14" s="26">
        <f t="shared" si="3"/>
        <v>291.09553152000001</v>
      </c>
      <c r="H14" s="26">
        <f t="shared" si="3"/>
        <v>-126.37256952</v>
      </c>
      <c r="I14" s="26">
        <f t="shared" si="3"/>
        <v>-184.45911540000003</v>
      </c>
      <c r="J14" s="26">
        <f t="shared" si="3"/>
        <v>184.4591154</v>
      </c>
      <c r="K14" s="26">
        <f t="shared" si="3"/>
        <v>262.22955770000004</v>
      </c>
      <c r="L14" s="26">
        <f t="shared" si="3"/>
        <v>315.54776576</v>
      </c>
      <c r="M14" s="26">
        <f>SUM(C14:L14)</f>
        <v>860.50224095999988</v>
      </c>
    </row>
    <row r="15" spans="1:13" x14ac:dyDescent="0.25">
      <c r="C15" s="20"/>
      <c r="E15" s="26">
        <f>SUM(D14:E14)</f>
        <v>0</v>
      </c>
      <c r="F15" s="9"/>
      <c r="G15" s="74">
        <f>SUM(F14:H14)</f>
        <v>0</v>
      </c>
      <c r="H15" s="11"/>
      <c r="I15" s="26">
        <f>SUM(I14:J14)</f>
        <v>0</v>
      </c>
      <c r="K15" s="20"/>
    </row>
  </sheetData>
  <mergeCells count="9">
    <mergeCell ref="A11:A13"/>
    <mergeCell ref="A1:B1"/>
    <mergeCell ref="D1:E1"/>
    <mergeCell ref="F1:H1"/>
    <mergeCell ref="I1:J1"/>
    <mergeCell ref="A2:B2"/>
    <mergeCell ref="A3:B3"/>
    <mergeCell ref="A5:A7"/>
    <mergeCell ref="A8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7" sqref="F17"/>
    </sheetView>
  </sheetViews>
  <sheetFormatPr defaultRowHeight="15" x14ac:dyDescent="0.25"/>
  <cols>
    <col min="1" max="1" width="21.140625" customWidth="1"/>
  </cols>
  <sheetData>
    <row r="1" spans="1:11" x14ac:dyDescent="0.25">
      <c r="B1" s="65">
        <v>2.9500000000000001E-4</v>
      </c>
    </row>
    <row r="2" spans="1:11" x14ac:dyDescent="0.25">
      <c r="A2" s="75" t="s">
        <v>0</v>
      </c>
      <c r="B2" s="75" t="s">
        <v>1</v>
      </c>
      <c r="C2" s="281">
        <v>1</v>
      </c>
      <c r="D2" s="281"/>
      <c r="E2" s="281">
        <v>2</v>
      </c>
      <c r="F2" s="281"/>
      <c r="G2" s="281"/>
      <c r="H2" s="281"/>
      <c r="I2" s="281"/>
      <c r="J2" s="75" t="s">
        <v>22</v>
      </c>
      <c r="K2" s="75" t="s">
        <v>7</v>
      </c>
    </row>
    <row r="3" spans="1:11" x14ac:dyDescent="0.25">
      <c r="A3" s="75" t="s">
        <v>2</v>
      </c>
      <c r="B3" s="75" t="s">
        <v>23</v>
      </c>
      <c r="C3" s="75" t="s">
        <v>24</v>
      </c>
      <c r="D3" s="75">
        <v>12</v>
      </c>
      <c r="E3" s="75">
        <v>21</v>
      </c>
      <c r="F3" s="75" t="s">
        <v>25</v>
      </c>
      <c r="G3" s="75">
        <v>23</v>
      </c>
      <c r="H3" s="75">
        <v>32</v>
      </c>
      <c r="I3" s="75" t="s">
        <v>26</v>
      </c>
      <c r="J3" s="75" t="s">
        <v>27</v>
      </c>
      <c r="K3" s="75" t="s">
        <v>28</v>
      </c>
    </row>
    <row r="4" spans="1:11" x14ac:dyDescent="0.25">
      <c r="A4" s="75" t="s">
        <v>29</v>
      </c>
      <c r="B4" s="75">
        <v>-0.56200000000000006</v>
      </c>
      <c r="C4" s="75">
        <v>-1.123</v>
      </c>
      <c r="D4" s="75">
        <v>1.123</v>
      </c>
      <c r="E4" s="75">
        <v>-3.6389999999999998</v>
      </c>
      <c r="F4" s="75">
        <v>0.11</v>
      </c>
      <c r="G4" s="75">
        <v>3.5289999999999999</v>
      </c>
      <c r="H4" s="75">
        <v>-0.70699999999999996</v>
      </c>
      <c r="I4" s="75">
        <v>0.70699999999999996</v>
      </c>
      <c r="J4" s="75">
        <v>0.35299999999999998</v>
      </c>
      <c r="K4" s="75">
        <v>5.5E-2</v>
      </c>
    </row>
    <row r="5" spans="1:11" x14ac:dyDescent="0.25">
      <c r="A5" s="75" t="s">
        <v>30</v>
      </c>
      <c r="B5" s="75">
        <v>282.72500000000002</v>
      </c>
      <c r="C5" s="75">
        <v>225.45</v>
      </c>
      <c r="D5" s="75">
        <v>-225.45</v>
      </c>
      <c r="E5" s="75">
        <v>164.72300000000001</v>
      </c>
      <c r="F5" s="75">
        <v>291.096</v>
      </c>
      <c r="G5" s="75">
        <v>-123.373</v>
      </c>
      <c r="H5" s="75">
        <v>-184.459</v>
      </c>
      <c r="I5" s="75">
        <v>184.459</v>
      </c>
      <c r="J5" s="75">
        <v>262.23</v>
      </c>
      <c r="K5" s="75">
        <v>315.548</v>
      </c>
    </row>
    <row r="6" spans="1:11" x14ac:dyDescent="0.25">
      <c r="A6" s="75" t="s">
        <v>20</v>
      </c>
      <c r="B6" s="80">
        <f>$B$1*B5</f>
        <v>8.3403875000000016E-2</v>
      </c>
      <c r="C6" s="80">
        <f t="shared" ref="C6:J6" si="0">$B$1*C5</f>
        <v>6.6507750000000004E-2</v>
      </c>
      <c r="D6" s="80">
        <f t="shared" si="0"/>
        <v>-6.6507750000000004E-2</v>
      </c>
      <c r="E6" s="80">
        <f t="shared" si="0"/>
        <v>4.8593285000000007E-2</v>
      </c>
      <c r="F6" s="80">
        <f t="shared" si="0"/>
        <v>8.5873320000000003E-2</v>
      </c>
      <c r="G6" s="80">
        <f t="shared" si="0"/>
        <v>-3.6395035000000006E-2</v>
      </c>
      <c r="H6" s="80">
        <f t="shared" si="0"/>
        <v>-5.4415405000000007E-2</v>
      </c>
      <c r="I6" s="80">
        <f t="shared" si="0"/>
        <v>5.4415405000000007E-2</v>
      </c>
      <c r="J6" s="80">
        <f t="shared" si="0"/>
        <v>7.7357850000000006E-2</v>
      </c>
      <c r="K6" s="80">
        <f>$B$1*K5</f>
        <v>9.3086660000000002E-2</v>
      </c>
    </row>
    <row r="7" spans="1:11" x14ac:dyDescent="0.25">
      <c r="A7" s="75" t="s">
        <v>31</v>
      </c>
      <c r="B7" s="79">
        <f>SUM(B4,B6)</f>
        <v>-0.47859612500000004</v>
      </c>
      <c r="C7" s="79">
        <f t="shared" ref="C7:K7" si="1">SUM(C4,C6)</f>
        <v>-1.05649225</v>
      </c>
      <c r="D7" s="79">
        <f t="shared" si="1"/>
        <v>1.05649225</v>
      </c>
      <c r="E7" s="79">
        <f t="shared" si="1"/>
        <v>-3.5904067149999999</v>
      </c>
      <c r="F7" s="79">
        <f t="shared" si="1"/>
        <v>0.19587332000000002</v>
      </c>
      <c r="G7" s="79">
        <f t="shared" si="1"/>
        <v>3.492604965</v>
      </c>
      <c r="H7" s="79">
        <f t="shared" si="1"/>
        <v>-0.76141540499999993</v>
      </c>
      <c r="I7" s="79">
        <f t="shared" si="1"/>
        <v>0.76141540499999993</v>
      </c>
      <c r="J7" s="79">
        <f t="shared" si="1"/>
        <v>0.43035784999999999</v>
      </c>
      <c r="K7" s="79">
        <f t="shared" si="1"/>
        <v>0.14808666000000001</v>
      </c>
    </row>
  </sheetData>
  <mergeCells count="3">
    <mergeCell ref="C2:D2"/>
    <mergeCell ref="E2:G2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C3" sqref="C3"/>
    </sheetView>
  </sheetViews>
  <sheetFormatPr defaultRowHeight="15" x14ac:dyDescent="0.25"/>
  <sheetData>
    <row r="1" spans="1:15" x14ac:dyDescent="0.25">
      <c r="C1" s="85">
        <v>1</v>
      </c>
      <c r="I1" s="84">
        <v>2</v>
      </c>
    </row>
    <row r="2" spans="1:15" ht="15.75" thickBot="1" x14ac:dyDescent="0.3">
      <c r="B2" s="81"/>
      <c r="C2" s="82"/>
      <c r="D2" s="83"/>
      <c r="H2" s="81"/>
      <c r="I2" s="82"/>
      <c r="J2" s="83"/>
      <c r="M2" t="s">
        <v>35</v>
      </c>
    </row>
    <row r="3" spans="1:15" ht="15.75" thickBot="1" x14ac:dyDescent="0.3">
      <c r="B3" s="1"/>
      <c r="C3" s="87">
        <f>N3</f>
        <v>-3.4159999999999999</v>
      </c>
      <c r="D3" s="36">
        <f>N7</f>
        <v>-0.28000000000000003</v>
      </c>
      <c r="E3" s="9">
        <f>SUM(D3,C4)</f>
        <v>-0.5</v>
      </c>
      <c r="F3" s="10"/>
      <c r="G3" s="11">
        <f>SUM(H3,I4)</f>
        <v>-0.5</v>
      </c>
      <c r="H3" s="119">
        <f>N9</f>
        <v>-0.28000000000000003</v>
      </c>
      <c r="I3" s="87">
        <f>N4</f>
        <v>3.4159999999999999</v>
      </c>
      <c r="J3" s="3"/>
      <c r="M3" t="s">
        <v>36</v>
      </c>
      <c r="N3">
        <v>-3.4159999999999999</v>
      </c>
    </row>
    <row r="4" spans="1:15" x14ac:dyDescent="0.25">
      <c r="B4" s="9"/>
      <c r="C4" s="117">
        <f>N8</f>
        <v>-0.22</v>
      </c>
      <c r="D4" s="11"/>
      <c r="H4" s="9"/>
      <c r="I4" s="116">
        <f>N10</f>
        <v>-0.22</v>
      </c>
      <c r="J4" s="11"/>
      <c r="M4" t="s">
        <v>37</v>
      </c>
      <c r="N4">
        <v>3.4159999999999999</v>
      </c>
    </row>
    <row r="5" spans="1:15" x14ac:dyDescent="0.25">
      <c r="A5" s="3"/>
      <c r="C5" s="81"/>
      <c r="E5" s="1"/>
      <c r="G5" s="88"/>
      <c r="I5" s="83"/>
      <c r="J5" s="89"/>
      <c r="K5" s="1"/>
      <c r="M5" t="s">
        <v>38</v>
      </c>
      <c r="N5">
        <v>-4.3949999999999996</v>
      </c>
    </row>
    <row r="6" spans="1:15" x14ac:dyDescent="0.25">
      <c r="A6" s="128" t="s">
        <v>50</v>
      </c>
      <c r="C6" s="1"/>
      <c r="E6" s="129" t="s">
        <v>32</v>
      </c>
      <c r="G6" s="128" t="s">
        <v>33</v>
      </c>
      <c r="I6" s="3"/>
      <c r="K6" s="129" t="s">
        <v>34</v>
      </c>
      <c r="M6" t="s">
        <v>39</v>
      </c>
      <c r="N6">
        <v>4.3949999999999996</v>
      </c>
    </row>
    <row r="7" spans="1:15" x14ac:dyDescent="0.25">
      <c r="A7" s="91">
        <f>$C$4*($C$3+0+0)</f>
        <v>0.75151999999999997</v>
      </c>
      <c r="C7" s="1"/>
      <c r="E7" s="118">
        <f>$D$3*($C$3+0+0)</f>
        <v>0.95648000000000011</v>
      </c>
      <c r="G7" s="131">
        <f>$H$3*($I$3+E7+0)</f>
        <v>-1.2242944000000002</v>
      </c>
      <c r="I7" s="3"/>
      <c r="K7" s="132">
        <f>$I$4*($I$3+E7+0)</f>
        <v>-0.96194560000000007</v>
      </c>
      <c r="M7" t="s">
        <v>40</v>
      </c>
      <c r="N7">
        <v>-0.28000000000000003</v>
      </c>
      <c r="O7" s="277">
        <f>SUM(N7:N8)</f>
        <v>-0.5</v>
      </c>
    </row>
    <row r="8" spans="1:15" x14ac:dyDescent="0.25">
      <c r="A8" s="53">
        <f>$C$4*($C$3+G7+D13)</f>
        <v>0.89092663619238399</v>
      </c>
      <c r="C8" s="1"/>
      <c r="E8" s="35">
        <f>$D$3*($C$3+G7+D13)</f>
        <v>1.133906627881216</v>
      </c>
      <c r="G8" s="131">
        <f>$H$3*($I$3+E8+H13)</f>
        <v>-1.1480494204147402</v>
      </c>
      <c r="I8" s="3"/>
      <c r="K8" s="132">
        <f>$I$4*($I$3+E8+H13)</f>
        <v>-0.90203883032586729</v>
      </c>
      <c r="M8" t="s">
        <v>42</v>
      </c>
      <c r="N8">
        <v>-0.22</v>
      </c>
      <c r="O8" s="277"/>
    </row>
    <row r="9" spans="1:15" x14ac:dyDescent="0.25">
      <c r="A9" s="53">
        <f t="shared" ref="A9:A12" si="0">$C$4*($C$3+G8+D14)</f>
        <v>0.86948376751467438</v>
      </c>
      <c r="C9" s="1"/>
      <c r="E9" s="35">
        <f t="shared" ref="E9:E12" si="1">$D$3*($C$3+G8+D14)</f>
        <v>1.1066157041095857</v>
      </c>
      <c r="G9" s="131">
        <f t="shared" ref="G9:G12" si="2">$H$3*($I$3+E9+H14)</f>
        <v>-1.0965358788091033</v>
      </c>
      <c r="I9" s="3"/>
      <c r="K9" s="132">
        <f t="shared" ref="K9:K12" si="3">$I$4*($I$3+E9+H14)</f>
        <v>-0.86156390477858114</v>
      </c>
      <c r="M9" t="s">
        <v>41</v>
      </c>
      <c r="N9">
        <v>-0.28000000000000003</v>
      </c>
      <c r="O9" s="277">
        <f>SUM(N9:N10)</f>
        <v>-0.5</v>
      </c>
    </row>
    <row r="10" spans="1:15" x14ac:dyDescent="0.25">
      <c r="A10" s="53">
        <f t="shared" si="0"/>
        <v>0.85694235160074472</v>
      </c>
      <c r="C10" s="1"/>
      <c r="E10" s="35">
        <f t="shared" si="1"/>
        <v>1.0906539020373116</v>
      </c>
      <c r="G10" s="131">
        <f t="shared" si="2"/>
        <v>-1.0890844869288772</v>
      </c>
      <c r="I10" s="3"/>
      <c r="K10" s="132">
        <f t="shared" si="3"/>
        <v>-0.85570923972983204</v>
      </c>
      <c r="M10" t="s">
        <v>43</v>
      </c>
      <c r="N10">
        <v>-0.22</v>
      </c>
      <c r="O10" s="277"/>
    </row>
    <row r="11" spans="1:15" x14ac:dyDescent="0.25">
      <c r="A11" s="53">
        <f t="shared" si="0"/>
        <v>0.85482234088783504</v>
      </c>
      <c r="C11" s="1"/>
      <c r="E11" s="35">
        <f t="shared" si="1"/>
        <v>1.0879557065845173</v>
      </c>
      <c r="G11" s="131">
        <f t="shared" si="2"/>
        <v>-1.0877266644615873</v>
      </c>
      <c r="I11" s="3"/>
      <c r="K11" s="132">
        <f t="shared" si="3"/>
        <v>-0.85464237921981856</v>
      </c>
      <c r="M11" t="s">
        <v>44</v>
      </c>
      <c r="N11">
        <v>-0.13100000000000001</v>
      </c>
      <c r="O11" s="277">
        <f>SUM(N11:N13)</f>
        <v>-0.5</v>
      </c>
    </row>
    <row r="12" spans="1:15" x14ac:dyDescent="0.25">
      <c r="A12" s="53">
        <f t="shared" si="0"/>
        <v>0.85442424635394976</v>
      </c>
      <c r="C12" s="1"/>
      <c r="E12" s="35">
        <f t="shared" si="1"/>
        <v>1.087449040814118</v>
      </c>
      <c r="G12" s="131">
        <f t="shared" si="2"/>
        <v>-1.0873914905593329</v>
      </c>
      <c r="I12" s="3"/>
      <c r="K12" s="132">
        <f t="shared" si="3"/>
        <v>-0.85437902829661871</v>
      </c>
      <c r="M12" t="s">
        <v>45</v>
      </c>
      <c r="N12">
        <v>-0.252</v>
      </c>
      <c r="O12" s="277"/>
    </row>
    <row r="13" spans="1:15" x14ac:dyDescent="0.25">
      <c r="C13" s="1"/>
      <c r="D13" s="130">
        <f>$C$21*($C$22+A7+G26+0)</f>
        <v>0.59062787185279986</v>
      </c>
      <c r="H13" s="120">
        <f>$I$21*($I$22+K7+0+0)</f>
        <v>-0.44973012639999999</v>
      </c>
      <c r="I13" s="3"/>
      <c r="M13" t="s">
        <v>46</v>
      </c>
      <c r="N13">
        <v>-0.11700000000000001</v>
      </c>
      <c r="O13" s="277"/>
    </row>
    <row r="14" spans="1:15" x14ac:dyDescent="0.25">
      <c r="C14" s="1"/>
      <c r="D14" s="130">
        <f t="shared" ref="D14:D18" si="4">$C$21*($C$22+A8+G27+0)</f>
        <v>0.61185047716622032</v>
      </c>
      <c r="H14" s="120">
        <f>$I$21*($I$22+K8+E26+0)</f>
        <v>-0.60641613693421692</v>
      </c>
      <c r="I14" s="3"/>
      <c r="M14" t="s">
        <v>47</v>
      </c>
      <c r="N14">
        <v>-0.13100000000000001</v>
      </c>
      <c r="O14" s="277">
        <f>SUM(N14:N16)</f>
        <v>-0.5</v>
      </c>
    </row>
    <row r="15" spans="1:15" x14ac:dyDescent="0.25">
      <c r="C15" s="1"/>
      <c r="D15" s="130">
        <f t="shared" si="4"/>
        <v>0.61734337153299079</v>
      </c>
      <c r="H15" s="120">
        <f t="shared" ref="H15:H18" si="5">$I$21*($I$22+K9+E27+0)</f>
        <v>-0.61706644871989325</v>
      </c>
      <c r="I15" s="3"/>
      <c r="M15" t="s">
        <v>48</v>
      </c>
      <c r="N15">
        <v>-0.252</v>
      </c>
      <c r="O15" s="277"/>
    </row>
    <row r="16" spans="1:15" x14ac:dyDescent="0.25">
      <c r="C16" s="1"/>
      <c r="D16" s="130">
        <f t="shared" si="4"/>
        <v>0.61952839198417231</v>
      </c>
      <c r="H16" s="120">
        <f t="shared" si="5"/>
        <v>-0.61921761922170571</v>
      </c>
      <c r="I16" s="3"/>
      <c r="M16" t="s">
        <v>49</v>
      </c>
      <c r="N16">
        <v>-0.11700000000000001</v>
      </c>
      <c r="O16" s="277"/>
    </row>
    <row r="17" spans="1:11" x14ac:dyDescent="0.25">
      <c r="C17" s="1"/>
      <c r="D17" s="130">
        <f t="shared" si="4"/>
        <v>0.61998009012545185</v>
      </c>
      <c r="H17" s="120">
        <f t="shared" si="5"/>
        <v>-0.61990800310221517</v>
      </c>
      <c r="I17" s="3"/>
    </row>
    <row r="18" spans="1:11" x14ac:dyDescent="0.25">
      <c r="C18" s="1"/>
      <c r="D18" s="130">
        <f t="shared" si="4"/>
        <v>0.62006961888883128</v>
      </c>
      <c r="H18" s="120">
        <f t="shared" si="5"/>
        <v>-0.62005633000475679</v>
      </c>
      <c r="I18" s="3"/>
    </row>
    <row r="19" spans="1:11" x14ac:dyDescent="0.25">
      <c r="C19" s="1"/>
      <c r="D19" s="92" t="s">
        <v>51</v>
      </c>
      <c r="H19" s="93" t="s">
        <v>55</v>
      </c>
      <c r="I19" s="3"/>
    </row>
    <row r="20" spans="1:11" x14ac:dyDescent="0.25">
      <c r="C20" s="9"/>
      <c r="D20" s="1"/>
      <c r="H20" s="11"/>
      <c r="I20" s="3"/>
    </row>
    <row r="21" spans="1:11" ht="15.75" thickBot="1" x14ac:dyDescent="0.3">
      <c r="B21" s="81"/>
      <c r="C21" s="121">
        <f>N11</f>
        <v>-0.13100000000000001</v>
      </c>
      <c r="D21" s="83"/>
      <c r="H21" s="81"/>
      <c r="I21" s="122">
        <f>N14</f>
        <v>-0.13100000000000001</v>
      </c>
      <c r="J21" s="83"/>
    </row>
    <row r="22" spans="1:11" ht="15.75" thickBot="1" x14ac:dyDescent="0.3">
      <c r="A22" s="84">
        <v>3</v>
      </c>
      <c r="B22" s="1"/>
      <c r="C22" s="87">
        <f>N5</f>
        <v>-4.3949999999999996</v>
      </c>
      <c r="D22" s="123">
        <f>N12</f>
        <v>-0.252</v>
      </c>
      <c r="E22" s="81">
        <f>SUM(C21,D22,C23)</f>
        <v>-0.5</v>
      </c>
      <c r="F22" s="82"/>
      <c r="G22" s="83">
        <f>SUM(I21,H22,I23)</f>
        <v>-0.5</v>
      </c>
      <c r="H22" s="126">
        <f>N15</f>
        <v>-0.252</v>
      </c>
      <c r="I22" s="87">
        <f>N6</f>
        <v>4.3949999999999996</v>
      </c>
      <c r="J22" s="3"/>
      <c r="K22" s="84">
        <v>4</v>
      </c>
    </row>
    <row r="23" spans="1:11" x14ac:dyDescent="0.25">
      <c r="B23" s="9"/>
      <c r="C23" s="124">
        <f>N13</f>
        <v>-0.11700000000000001</v>
      </c>
      <c r="D23" s="11"/>
      <c r="H23" s="1"/>
      <c r="I23" s="127">
        <f>N16</f>
        <v>-0.11700000000000001</v>
      </c>
      <c r="J23" s="11"/>
    </row>
    <row r="24" spans="1:11" x14ac:dyDescent="0.25">
      <c r="A24" s="3"/>
      <c r="C24" s="81"/>
      <c r="E24" s="1"/>
      <c r="G24" s="3"/>
      <c r="H24" s="82"/>
      <c r="I24" s="83"/>
      <c r="K24" s="1"/>
    </row>
    <row r="25" spans="1:11" x14ac:dyDescent="0.25">
      <c r="A25" s="86" t="s">
        <v>52</v>
      </c>
      <c r="C25" s="1"/>
      <c r="E25" s="90" t="s">
        <v>53</v>
      </c>
      <c r="G25" s="128" t="s">
        <v>54</v>
      </c>
      <c r="H25" s="2"/>
      <c r="I25" s="3"/>
      <c r="K25" s="129" t="s">
        <v>56</v>
      </c>
    </row>
    <row r="26" spans="1:11" x14ac:dyDescent="0.25">
      <c r="A26" s="47">
        <f>$C$23*($C$22+A7+G26+0)</f>
        <v>0.52750733592959986</v>
      </c>
      <c r="C26" s="1"/>
      <c r="E26" s="96">
        <f>$D$22*($C$22+A7+G26+0)</f>
        <v>1.1361696466175997</v>
      </c>
      <c r="G26" s="133">
        <f>$H$22*($I$22+K7+0+0)</f>
        <v>-0.86512970879999995</v>
      </c>
      <c r="I26" s="3"/>
      <c r="K26" s="134">
        <f>$I$23*($I$22+K7+0+0)</f>
        <v>-0.40166736479999998</v>
      </c>
    </row>
    <row r="27" spans="1:11" x14ac:dyDescent="0.25">
      <c r="A27" s="47">
        <f>$C$23*($C$22+A8+G27+0)</f>
        <v>0.54646187655303646</v>
      </c>
      <c r="C27" s="1"/>
      <c r="E27" s="96">
        <f>$D$22*($C$22+A8+G27)</f>
        <v>1.1769948110373092</v>
      </c>
      <c r="G27" s="133">
        <f>$H$22*($I$22+K8+E26+0)</f>
        <v>-1.1665409657055164</v>
      </c>
      <c r="I27" s="3"/>
      <c r="K27" s="134">
        <f>$I$23*($I$22+K8+E26+0)</f>
        <v>-0.5416083055061327</v>
      </c>
    </row>
    <row r="28" spans="1:11" x14ac:dyDescent="0.25">
      <c r="A28" s="47">
        <f t="shared" ref="A28:A31" si="6">$C$23*($C$22+A9+G28+0)</f>
        <v>0.55136774404091549</v>
      </c>
      <c r="C28" s="1"/>
      <c r="E28" s="96">
        <f t="shared" ref="E28:E31" si="7">$D$22*($C$22+A9+G28)</f>
        <v>1.1875612948573562</v>
      </c>
      <c r="G28" s="125">
        <f>$H$22*($I$22+K9+E27+0)</f>
        <v>-1.1870285883771994</v>
      </c>
      <c r="I28" s="3"/>
      <c r="K28" s="134">
        <f t="shared" ref="K28:K31" si="8">$I$23*($I$22+K9+E27+0)</f>
        <v>-0.55112041603227113</v>
      </c>
    </row>
    <row r="29" spans="1:11" x14ac:dyDescent="0.25">
      <c r="A29" s="47">
        <f t="shared" si="6"/>
        <v>0.55331925085609279</v>
      </c>
      <c r="C29" s="1"/>
      <c r="E29" s="96">
        <f t="shared" si="7"/>
        <v>1.1917645403054307</v>
      </c>
      <c r="G29" s="125">
        <f t="shared" ref="G29:G31" si="9">$H$22*($I$22+K10+E28+0)</f>
        <v>-1.1911667178921361</v>
      </c>
      <c r="I29" s="3"/>
      <c r="K29" s="134">
        <f t="shared" si="8"/>
        <v>-0.55304169044992035</v>
      </c>
    </row>
    <row r="30" spans="1:11" x14ac:dyDescent="0.25">
      <c r="A30" s="47">
        <f t="shared" si="6"/>
        <v>0.55372267591357149</v>
      </c>
      <c r="C30" s="1"/>
      <c r="E30" s="96">
        <f>$D$22*($C$22+A11+G30)</f>
        <v>1.1926334558138463</v>
      </c>
      <c r="G30" s="125">
        <f t="shared" si="9"/>
        <v>-1.1924947845935743</v>
      </c>
      <c r="I30" s="3"/>
      <c r="K30" s="134">
        <f t="shared" si="8"/>
        <v>-0.55365829284701662</v>
      </c>
    </row>
    <row r="31" spans="1:11" x14ac:dyDescent="0.25">
      <c r="A31" s="47">
        <f t="shared" si="6"/>
        <v>0.55380263671750585</v>
      </c>
      <c r="C31" s="1"/>
      <c r="E31" s="96">
        <f t="shared" si="7"/>
        <v>1.1928056790838586</v>
      </c>
      <c r="G31" s="125">
        <f t="shared" si="9"/>
        <v>-1.1927801157343414</v>
      </c>
      <c r="I31" s="3"/>
      <c r="K31" s="134">
        <f t="shared" si="8"/>
        <v>-0.55379076801951566</v>
      </c>
    </row>
    <row r="32" spans="1:11" x14ac:dyDescent="0.25">
      <c r="C32" s="1"/>
      <c r="I32" s="3"/>
    </row>
    <row r="33" spans="1:11" x14ac:dyDescent="0.25">
      <c r="C33" s="1"/>
      <c r="I33" s="3"/>
    </row>
    <row r="34" spans="1:11" x14ac:dyDescent="0.25">
      <c r="C34" s="1"/>
      <c r="I34" s="3"/>
    </row>
    <row r="35" spans="1:11" x14ac:dyDescent="0.25">
      <c r="C35" s="1"/>
      <c r="I35" s="3"/>
    </row>
    <row r="36" spans="1:11" x14ac:dyDescent="0.25">
      <c r="B36" s="283" t="s">
        <v>1</v>
      </c>
      <c r="C36" s="283"/>
      <c r="I36" s="283" t="s">
        <v>7</v>
      </c>
      <c r="J36" s="279"/>
    </row>
    <row r="38" spans="1:11" x14ac:dyDescent="0.25">
      <c r="A38" t="s">
        <v>116</v>
      </c>
      <c r="E38" t="s">
        <v>87</v>
      </c>
      <c r="I38" t="s">
        <v>88</v>
      </c>
    </row>
    <row r="39" spans="1:11" x14ac:dyDescent="0.25">
      <c r="A39" t="s">
        <v>36</v>
      </c>
      <c r="B39" s="26">
        <f>C3+(2*E12)+G12</f>
        <v>-2.3284934089310969</v>
      </c>
      <c r="C39" s="282">
        <f>SUM(B39:B40)</f>
        <v>4.2470266563388037E-4</v>
      </c>
      <c r="E39" t="s">
        <v>121</v>
      </c>
      <c r="F39" s="26">
        <f>0+(2*D18)+A12</f>
        <v>2.0945634841316121</v>
      </c>
      <c r="G39" s="277">
        <f>SUM(F39:F41)</f>
        <v>0</v>
      </c>
      <c r="I39" t="s">
        <v>123</v>
      </c>
      <c r="J39" s="26">
        <f>0+(2*H18)+K12</f>
        <v>-2.0944916883061322</v>
      </c>
      <c r="K39" s="282">
        <f>SUM(J39:J41)</f>
        <v>1.7222327001209514E-4</v>
      </c>
    </row>
    <row r="40" spans="1:11" x14ac:dyDescent="0.25">
      <c r="A40" t="s">
        <v>117</v>
      </c>
      <c r="B40" s="26">
        <f>0+(2*A12)+D18</f>
        <v>2.3289181115967308</v>
      </c>
      <c r="C40" s="282"/>
      <c r="E40" t="s">
        <v>38</v>
      </c>
      <c r="F40" s="26">
        <f>C22+(2*E31)+G31</f>
        <v>-3.202168757566624</v>
      </c>
      <c r="G40" s="277"/>
      <c r="I40" t="s">
        <v>39</v>
      </c>
      <c r="J40" s="26">
        <f>I22+(2*G31)+E31</f>
        <v>3.2022454476151756</v>
      </c>
      <c r="K40" s="282"/>
    </row>
    <row r="41" spans="1:11" x14ac:dyDescent="0.25">
      <c r="E41" t="s">
        <v>122</v>
      </c>
      <c r="F41" s="26">
        <f>0+(2*A31)+0</f>
        <v>1.1076052734350117</v>
      </c>
      <c r="G41" s="277"/>
      <c r="I41" t="s">
        <v>124</v>
      </c>
      <c r="J41" s="26">
        <f>0+(2*K31)+0</f>
        <v>-1.1075815360390313</v>
      </c>
      <c r="K41" s="282"/>
    </row>
    <row r="42" spans="1:11" x14ac:dyDescent="0.25">
      <c r="A42" t="s">
        <v>118</v>
      </c>
    </row>
    <row r="43" spans="1:11" x14ac:dyDescent="0.25">
      <c r="A43" t="s">
        <v>119</v>
      </c>
      <c r="B43" s="26">
        <f>I3+(2*G12)+E12</f>
        <v>2.3286660596954523</v>
      </c>
      <c r="C43" s="282">
        <f>SUM(B43:B44)</f>
        <v>-1.4832690254173997E-4</v>
      </c>
    </row>
    <row r="44" spans="1:11" x14ac:dyDescent="0.25">
      <c r="A44" t="s">
        <v>120</v>
      </c>
      <c r="B44" s="26">
        <f>0+(2*K12)+H18</f>
        <v>-2.328814386597994</v>
      </c>
      <c r="C44" s="282"/>
    </row>
    <row r="46" spans="1:11" x14ac:dyDescent="0.25">
      <c r="A46" t="s">
        <v>125</v>
      </c>
    </row>
    <row r="47" spans="1:11" x14ac:dyDescent="0.25">
      <c r="A47" t="s">
        <v>126</v>
      </c>
      <c r="B47" s="26">
        <f>0+(2*0)+A31</f>
        <v>0.55380263671750585</v>
      </c>
      <c r="C47" s="282">
        <f>SUM(B47:B48)</f>
        <v>1.1868697990191635E-5</v>
      </c>
    </row>
    <row r="48" spans="1:11" x14ac:dyDescent="0.25">
      <c r="A48" t="s">
        <v>127</v>
      </c>
      <c r="B48" s="26">
        <f>0+(2*0)+K31</f>
        <v>-0.55379076801951566</v>
      </c>
      <c r="C48" s="282"/>
    </row>
  </sheetData>
  <mergeCells count="11">
    <mergeCell ref="B36:C36"/>
    <mergeCell ref="I36:J36"/>
    <mergeCell ref="O7:O8"/>
    <mergeCell ref="O9:O10"/>
    <mergeCell ref="O11:O13"/>
    <mergeCell ref="O14:O16"/>
    <mergeCell ref="C39:C40"/>
    <mergeCell ref="C43:C44"/>
    <mergeCell ref="G39:G41"/>
    <mergeCell ref="K39:K41"/>
    <mergeCell ref="C47:C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TUGAS 1</vt:lpstr>
      <vt:lpstr>I.4</vt:lpstr>
      <vt:lpstr>II.2</vt:lpstr>
      <vt:lpstr>III.2</vt:lpstr>
      <vt:lpstr>VI</vt:lpstr>
      <vt:lpstr>UTS</vt:lpstr>
      <vt:lpstr>UTS 2.2</vt:lpstr>
      <vt:lpstr>UTS 4</vt:lpstr>
      <vt:lpstr>TUGAS 3</vt:lpstr>
      <vt:lpstr>TUGAS 4</vt:lpstr>
      <vt:lpstr>TUGAS 4 modul (2)</vt:lpstr>
      <vt:lpstr>TUGAS 4.1</vt:lpstr>
      <vt:lpstr>UAS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2020-03-31T07:49:18Z</dcterms:created>
  <dcterms:modified xsi:type="dcterms:W3CDTF">2020-06-09T10:04:36Z</dcterms:modified>
</cp:coreProperties>
</file>