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EMESTER 5\ANSTRUK 3\"/>
    </mc:Choice>
  </mc:AlternateContent>
  <xr:revisionPtr revIDLastSave="0" documentId="13_ncr:1_{609E7BED-BC7B-469A-AD80-DD2F2B3566C5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TUGAS 3" sheetId="1" r:id="rId1"/>
    <sheet name="TUGAS 3 (1)" sheetId="2" r:id="rId2"/>
    <sheet name="TUGAS 4" sheetId="3" r:id="rId3"/>
    <sheet name="TUGAS 4 REVISI" sheetId="5" r:id="rId4"/>
    <sheet name="UA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4" l="1"/>
  <c r="D22" i="5" l="1"/>
  <c r="H12" i="5"/>
  <c r="B12" i="5"/>
  <c r="K77" i="5" l="1"/>
  <c r="K75" i="5"/>
  <c r="K74" i="5"/>
  <c r="K73" i="5"/>
  <c r="B66" i="5"/>
  <c r="H29" i="5"/>
  <c r="G12" i="5"/>
  <c r="B6" i="5"/>
  <c r="G24" i="5" s="1"/>
  <c r="F25" i="5" s="1"/>
  <c r="D3" i="5"/>
  <c r="C20" i="5" s="1"/>
  <c r="B21" i="5" s="1"/>
  <c r="B3" i="5"/>
  <c r="F86" i="5" s="1"/>
  <c r="K76" i="5" s="1"/>
  <c r="F24" i="5" l="1"/>
  <c r="G25" i="5" s="1"/>
  <c r="B20" i="5"/>
  <c r="C21" i="5" s="1"/>
  <c r="D2" i="5"/>
  <c r="E22" i="5" s="1"/>
  <c r="D23" i="5" s="1"/>
  <c r="F92" i="5"/>
  <c r="K78" i="5" s="1"/>
  <c r="F3" i="5"/>
  <c r="H15" i="5"/>
  <c r="L12" i="5" s="1" a="1"/>
  <c r="H16" i="5"/>
  <c r="G17" i="5"/>
  <c r="H17" i="5"/>
  <c r="F2" i="5"/>
  <c r="K7" i="1"/>
  <c r="K6" i="1"/>
  <c r="E23" i="5" l="1"/>
  <c r="O14" i="5"/>
  <c r="M13" i="5"/>
  <c r="M14" i="5"/>
  <c r="Q12" i="5"/>
  <c r="P14" i="5"/>
  <c r="L12" i="5"/>
  <c r="N14" i="5"/>
  <c r="L13" i="5"/>
  <c r="L14" i="5"/>
  <c r="P12" i="5"/>
  <c r="Q13" i="5"/>
  <c r="O12" i="5"/>
  <c r="Q14" i="5"/>
  <c r="O13" i="5"/>
  <c r="M12" i="5"/>
  <c r="P13" i="5"/>
  <c r="N12" i="5"/>
  <c r="N13" i="5"/>
  <c r="L70" i="4"/>
  <c r="M68" i="4"/>
  <c r="K68" i="4"/>
  <c r="L65" i="4"/>
  <c r="L59" i="4"/>
  <c r="L52" i="4" a="1"/>
  <c r="L52" i="4" s="1"/>
  <c r="C21" i="4"/>
  <c r="B43" i="4"/>
  <c r="G29" i="4"/>
  <c r="F30" i="4" s="1"/>
  <c r="F29" i="4"/>
  <c r="G30" i="4" s="1"/>
  <c r="D28" i="4"/>
  <c r="E27" i="4"/>
  <c r="D27" i="4"/>
  <c r="E28" i="4" s="1"/>
  <c r="H2" i="4"/>
  <c r="B25" i="4" s="1"/>
  <c r="D2" i="4"/>
  <c r="B7" i="4" s="1"/>
  <c r="B9" i="4" s="1"/>
  <c r="B19" i="4" s="1"/>
  <c r="B8" i="4" l="1"/>
  <c r="B10" i="4" s="1"/>
  <c r="B20" i="4" s="1"/>
  <c r="B13" i="4"/>
  <c r="B15" i="4" s="1"/>
  <c r="C19" i="4" s="1"/>
  <c r="B52" i="4" s="1" a="1"/>
  <c r="B14" i="4"/>
  <c r="B16" i="4" s="1"/>
  <c r="C20" i="4" s="1"/>
  <c r="F18" i="4" s="1" a="1"/>
  <c r="F18" i="4" s="1"/>
  <c r="B29" i="5" a="1"/>
  <c r="C26" i="4"/>
  <c r="H3" i="4"/>
  <c r="C25" i="4"/>
  <c r="B26" i="4" s="1"/>
  <c r="H4" i="4"/>
  <c r="L55" i="4"/>
  <c r="L54" i="4"/>
  <c r="L57" i="4"/>
  <c r="L53" i="4"/>
  <c r="L56" i="4"/>
  <c r="E7" i="4"/>
  <c r="K77" i="3"/>
  <c r="K75" i="3"/>
  <c r="K74" i="3"/>
  <c r="K73" i="3"/>
  <c r="B52" i="4" l="1"/>
  <c r="E52" i="4" s="1"/>
  <c r="B57" i="4"/>
  <c r="E55" i="4" s="1"/>
  <c r="B53" i="4"/>
  <c r="B54" i="4"/>
  <c r="E53" i="4" s="1"/>
  <c r="B56" i="4"/>
  <c r="B55" i="4"/>
  <c r="E54" i="4" s="1"/>
  <c r="B31" i="5"/>
  <c r="F29" i="5"/>
  <c r="G30" i="5"/>
  <c r="E29" i="5"/>
  <c r="F30" i="5"/>
  <c r="D29" i="5"/>
  <c r="C31" i="5"/>
  <c r="G31" i="5"/>
  <c r="E30" i="5"/>
  <c r="C29" i="5"/>
  <c r="F31" i="5"/>
  <c r="D30" i="5"/>
  <c r="B29" i="5"/>
  <c r="D31" i="5"/>
  <c r="B30" i="5"/>
  <c r="E31" i="5"/>
  <c r="C30" i="5"/>
  <c r="G29" i="5"/>
  <c r="K19" i="4"/>
  <c r="J18" i="4"/>
  <c r="H19" i="4"/>
  <c r="I19" i="4"/>
  <c r="H60" i="4"/>
  <c r="H67" i="4"/>
  <c r="H66" i="4"/>
  <c r="H61" i="4"/>
  <c r="G18" i="4"/>
  <c r="F19" i="4"/>
  <c r="B35" i="4" a="1"/>
  <c r="I18" i="4"/>
  <c r="J19" i="4"/>
  <c r="H18" i="4"/>
  <c r="G19" i="4"/>
  <c r="K18" i="4"/>
  <c r="I29" i="5" l="1" a="1"/>
  <c r="B34" i="5" a="1"/>
  <c r="K62" i="4"/>
  <c r="M62" i="4" s="1"/>
  <c r="M60" i="4"/>
  <c r="K61" i="4"/>
  <c r="M61" i="4" s="1"/>
  <c r="H62" i="4"/>
  <c r="K60" i="4"/>
  <c r="M66" i="4"/>
  <c r="K67" i="4"/>
  <c r="M67" i="4" s="1"/>
  <c r="M73" i="4"/>
  <c r="K66" i="4"/>
  <c r="K73" i="4"/>
  <c r="C36" i="4"/>
  <c r="B40" i="4"/>
  <c r="B39" i="4"/>
  <c r="B38" i="4"/>
  <c r="B37" i="4"/>
  <c r="B36" i="4"/>
  <c r="B35" i="4"/>
  <c r="C39" i="4"/>
  <c r="C37" i="4"/>
  <c r="C38" i="4"/>
  <c r="C35" i="4"/>
  <c r="C40" i="4"/>
  <c r="B66" i="3"/>
  <c r="G12" i="3"/>
  <c r="B3" i="3"/>
  <c r="F86" i="3" s="1"/>
  <c r="K76" i="3" s="1"/>
  <c r="I29" i="5" l="1"/>
  <c r="I30" i="5"/>
  <c r="J31" i="5"/>
  <c r="I31" i="5"/>
  <c r="J30" i="5"/>
  <c r="J29" i="5"/>
  <c r="C34" i="5"/>
  <c r="D36" i="5"/>
  <c r="B34" i="5"/>
  <c r="C36" i="5"/>
  <c r="D34" i="5"/>
  <c r="B36" i="5"/>
  <c r="D35" i="5"/>
  <c r="B35" i="5"/>
  <c r="C35" i="5"/>
  <c r="H15" i="3"/>
  <c r="F35" i="4" a="1"/>
  <c r="H29" i="3"/>
  <c r="B6" i="3"/>
  <c r="D2" i="3"/>
  <c r="D22" i="3" s="1"/>
  <c r="E23" i="3" s="1"/>
  <c r="D3" i="3"/>
  <c r="E22" i="3" l="1"/>
  <c r="D23" i="3" s="1"/>
  <c r="B38" i="5" a="1"/>
  <c r="M44" i="5" a="1"/>
  <c r="B12" i="3"/>
  <c r="F92" i="3"/>
  <c r="K78" i="3" s="1"/>
  <c r="H17" i="3"/>
  <c r="G17" i="3"/>
  <c r="H16" i="3"/>
  <c r="H12" i="3"/>
  <c r="C21" i="3"/>
  <c r="F2" i="3"/>
  <c r="F3" i="3"/>
  <c r="B20" i="3"/>
  <c r="G36" i="4"/>
  <c r="F36" i="4"/>
  <c r="G35" i="4"/>
  <c r="F35" i="4"/>
  <c r="C20" i="3"/>
  <c r="B21" i="3" s="1"/>
  <c r="G24" i="3"/>
  <c r="F25" i="3" s="1"/>
  <c r="F24" i="3"/>
  <c r="G25" i="3" s="1"/>
  <c r="B104" i="2"/>
  <c r="B84" i="2"/>
  <c r="S6" i="2" s="1"/>
  <c r="B83" i="2"/>
  <c r="B106" i="2" s="1"/>
  <c r="R6" i="2" s="1"/>
  <c r="N79" i="2"/>
  <c r="N78" i="2"/>
  <c r="N77" i="2"/>
  <c r="N76" i="2"/>
  <c r="N75" i="2"/>
  <c r="N74" i="2"/>
  <c r="N73" i="2"/>
  <c r="N72" i="2"/>
  <c r="N71" i="2"/>
  <c r="B63" i="2"/>
  <c r="B62" i="2"/>
  <c r="T5" i="2" s="1"/>
  <c r="B42" i="2"/>
  <c r="B41" i="2"/>
  <c r="Q5" i="2" s="1"/>
  <c r="B16" i="2"/>
  <c r="O6" i="2" s="1"/>
  <c r="B15" i="2"/>
  <c r="O5" i="2" s="1"/>
  <c r="K7" i="2"/>
  <c r="T6" i="2"/>
  <c r="Q6" i="2"/>
  <c r="K6" i="2"/>
  <c r="K5" i="2" s="1"/>
  <c r="B34" i="2" s="1"/>
  <c r="R5" i="2"/>
  <c r="K3" i="2"/>
  <c r="L3" i="2" s="1"/>
  <c r="O31" i="2" s="1"/>
  <c r="P32" i="2" s="1"/>
  <c r="Q33" i="2" s="1"/>
  <c r="R34" i="2" s="1"/>
  <c r="S35" i="2" s="1"/>
  <c r="T36" i="2" s="1"/>
  <c r="U37" i="2" s="1"/>
  <c r="V38" i="2" s="1"/>
  <c r="W39" i="2" s="1"/>
  <c r="S5" i="2" l="1"/>
  <c r="N46" i="5"/>
  <c r="M46" i="5"/>
  <c r="N45" i="5"/>
  <c r="M45" i="5"/>
  <c r="N44" i="5"/>
  <c r="M44" i="5"/>
  <c r="C40" i="5"/>
  <c r="B40" i="5"/>
  <c r="D39" i="5"/>
  <c r="B38" i="5"/>
  <c r="C39" i="5"/>
  <c r="B39" i="5"/>
  <c r="C38" i="5"/>
  <c r="D38" i="5"/>
  <c r="D40" i="5"/>
  <c r="B46" i="4" a="1"/>
  <c r="L12" i="3" a="1"/>
  <c r="B25" i="2"/>
  <c r="B26" i="2" s="1"/>
  <c r="E21" i="2"/>
  <c r="O10" i="2"/>
  <c r="E84" i="2"/>
  <c r="E42" i="2"/>
  <c r="E105" i="2"/>
  <c r="E63" i="2"/>
  <c r="B17" i="2"/>
  <c r="B21" i="2"/>
  <c r="E104" i="2"/>
  <c r="B112" i="2" s="1"/>
  <c r="E83" i="2"/>
  <c r="B91" i="2" s="1"/>
  <c r="E41" i="2"/>
  <c r="B45" i="2" s="1"/>
  <c r="C34" i="2"/>
  <c r="E37" i="2" s="1"/>
  <c r="E38" i="2" s="1"/>
  <c r="E62" i="2"/>
  <c r="B70" i="2" s="1"/>
  <c r="N72" i="1"/>
  <c r="N73" i="1"/>
  <c r="N74" i="1"/>
  <c r="N75" i="1"/>
  <c r="N76" i="1"/>
  <c r="N77" i="1"/>
  <c r="N78" i="1"/>
  <c r="N79" i="1"/>
  <c r="N71" i="1"/>
  <c r="P44" i="5" l="1" a="1"/>
  <c r="Q47" i="5" s="1"/>
  <c r="B87" i="2"/>
  <c r="E36" i="2"/>
  <c r="H25" i="2"/>
  <c r="B37" i="2"/>
  <c r="B44" i="5" a="1"/>
  <c r="D45" i="5" s="1"/>
  <c r="B49" i="2"/>
  <c r="L12" i="3"/>
  <c r="M13" i="3"/>
  <c r="Q12" i="3"/>
  <c r="Q14" i="3"/>
  <c r="O12" i="3"/>
  <c r="M12" i="3"/>
  <c r="P14" i="3"/>
  <c r="N14" i="3"/>
  <c r="L14" i="3"/>
  <c r="P13" i="3"/>
  <c r="N13" i="3"/>
  <c r="L13" i="3"/>
  <c r="P12" i="3"/>
  <c r="N12" i="3"/>
  <c r="O14" i="3"/>
  <c r="M14" i="3"/>
  <c r="Q13" i="3"/>
  <c r="O13" i="3"/>
  <c r="B46" i="4"/>
  <c r="B47" i="4"/>
  <c r="R10" i="2"/>
  <c r="O23" i="2" s="1"/>
  <c r="B113" i="2"/>
  <c r="R9" i="2" s="1"/>
  <c r="O22" i="2" s="1"/>
  <c r="I24" i="2"/>
  <c r="O9" i="2"/>
  <c r="B108" i="2"/>
  <c r="B66" i="2"/>
  <c r="D56" i="2"/>
  <c r="D77" i="2"/>
  <c r="B22" i="2"/>
  <c r="O12" i="2" s="1"/>
  <c r="I22" i="2"/>
  <c r="B29" i="2"/>
  <c r="O7" i="2"/>
  <c r="B92" i="2"/>
  <c r="S9" i="2" s="1"/>
  <c r="P22" i="2" s="1"/>
  <c r="S10" i="2"/>
  <c r="P23" i="2" s="1"/>
  <c r="E87" i="2"/>
  <c r="B71" i="2"/>
  <c r="T9" i="2" s="1"/>
  <c r="Q22" i="2" s="1"/>
  <c r="E66" i="2"/>
  <c r="T10" i="2"/>
  <c r="Q23" i="2" s="1"/>
  <c r="E45" i="2"/>
  <c r="B50" i="2"/>
  <c r="Q9" i="2" s="1"/>
  <c r="N22" i="2" s="1"/>
  <c r="Q10" i="2"/>
  <c r="N23" i="2" s="1"/>
  <c r="C36" i="2"/>
  <c r="C38" i="2" s="1"/>
  <c r="B57" i="2"/>
  <c r="E25" i="2"/>
  <c r="O15" i="2"/>
  <c r="I30" i="2"/>
  <c r="E22" i="2"/>
  <c r="B53" i="2"/>
  <c r="B54" i="2" s="1"/>
  <c r="B46" i="2"/>
  <c r="Q12" i="2" s="1"/>
  <c r="N25" i="2" s="1"/>
  <c r="Q7" i="2"/>
  <c r="N20" i="2" s="1"/>
  <c r="B95" i="2"/>
  <c r="S13" i="2" s="1"/>
  <c r="P26" i="2" s="1"/>
  <c r="B88" i="2"/>
  <c r="S12" i="2" s="1"/>
  <c r="P25" i="2" s="1"/>
  <c r="S7" i="2"/>
  <c r="P20" i="2" s="1"/>
  <c r="Q48" i="5" l="1"/>
  <c r="P47" i="5"/>
  <c r="P48" i="5"/>
  <c r="P49" i="5"/>
  <c r="Q44" i="5"/>
  <c r="Q45" i="5"/>
  <c r="Q46" i="5"/>
  <c r="P45" i="5"/>
  <c r="Q49" i="5"/>
  <c r="P46" i="5"/>
  <c r="P44" i="5"/>
  <c r="B44" i="5"/>
  <c r="B46" i="5"/>
  <c r="D46" i="5"/>
  <c r="B45" i="5"/>
  <c r="C48" i="5"/>
  <c r="B49" i="5"/>
  <c r="C49" i="5"/>
  <c r="B47" i="5"/>
  <c r="B48" i="5"/>
  <c r="C46" i="5"/>
  <c r="D44" i="5"/>
  <c r="C47" i="5"/>
  <c r="D47" i="5"/>
  <c r="C44" i="5"/>
  <c r="C45" i="5"/>
  <c r="D48" i="5"/>
  <c r="D49" i="5"/>
  <c r="B29" i="3" a="1"/>
  <c r="C54" i="2"/>
  <c r="C57" i="2"/>
  <c r="B59" i="2" s="1"/>
  <c r="Q8" i="2"/>
  <c r="N21" i="2" s="1"/>
  <c r="E49" i="2"/>
  <c r="Q15" i="2"/>
  <c r="N28" i="2" s="1"/>
  <c r="E88" i="2"/>
  <c r="S11" i="2" s="1"/>
  <c r="P24" i="2" s="1"/>
  <c r="E91" i="2"/>
  <c r="S14" i="2" s="1"/>
  <c r="P27" i="2" s="1"/>
  <c r="S15" i="2"/>
  <c r="P28" i="2" s="1"/>
  <c r="I28" i="2"/>
  <c r="O13" i="2"/>
  <c r="E29" i="2"/>
  <c r="H27" i="2" s="1"/>
  <c r="D98" i="2"/>
  <c r="B78" i="2"/>
  <c r="B80" i="2" s="1"/>
  <c r="E78" i="2"/>
  <c r="B79" i="2"/>
  <c r="E79" i="2"/>
  <c r="E80" i="2" s="1"/>
  <c r="B96" i="2"/>
  <c r="S8" i="2" s="1"/>
  <c r="P21" i="2" s="1"/>
  <c r="E58" i="2"/>
  <c r="E59" i="2" s="1"/>
  <c r="B58" i="2"/>
  <c r="E57" i="2"/>
  <c r="Q13" i="2"/>
  <c r="N26" i="2" s="1"/>
  <c r="C53" i="2"/>
  <c r="O14" i="2"/>
  <c r="I29" i="2"/>
  <c r="E26" i="2"/>
  <c r="E67" i="2"/>
  <c r="T11" i="2" s="1"/>
  <c r="Q24" i="2" s="1"/>
  <c r="E70" i="2"/>
  <c r="T14" i="2" s="1"/>
  <c r="Q27" i="2" s="1"/>
  <c r="T15" i="2"/>
  <c r="Q28" i="2" s="1"/>
  <c r="B75" i="2"/>
  <c r="T8" i="2" s="1"/>
  <c r="Q21" i="2" s="1"/>
  <c r="B67" i="2"/>
  <c r="T12" i="2" s="1"/>
  <c r="Q25" i="2" s="1"/>
  <c r="B74" i="2"/>
  <c r="T13" i="2" s="1"/>
  <c r="Q26" i="2" s="1"/>
  <c r="T7" i="2"/>
  <c r="Q20" i="2" s="1"/>
  <c r="H26" i="2"/>
  <c r="O11" i="2"/>
  <c r="E46" i="2"/>
  <c r="Q11" i="2" s="1"/>
  <c r="N24" i="2" s="1"/>
  <c r="B30" i="2"/>
  <c r="B109" i="2"/>
  <c r="B116" i="2"/>
  <c r="R7" i="2"/>
  <c r="O20" i="2" s="1"/>
  <c r="F44" i="5" l="1" a="1"/>
  <c r="F45" i="5" s="1"/>
  <c r="B29" i="3"/>
  <c r="D31" i="3"/>
  <c r="E29" i="3"/>
  <c r="F30" i="3"/>
  <c r="E31" i="3"/>
  <c r="C31" i="3"/>
  <c r="F31" i="3"/>
  <c r="C30" i="3"/>
  <c r="B31" i="3"/>
  <c r="B30" i="3"/>
  <c r="D30" i="3"/>
  <c r="G31" i="3"/>
  <c r="F29" i="3"/>
  <c r="D29" i="3"/>
  <c r="G29" i="3"/>
  <c r="C29" i="3"/>
  <c r="E30" i="3"/>
  <c r="G30" i="3"/>
  <c r="H23" i="2"/>
  <c r="B36" i="2" s="1"/>
  <c r="B38" i="2" s="1"/>
  <c r="O8" i="2"/>
  <c r="E116" i="2"/>
  <c r="R13" i="2"/>
  <c r="O26" i="2" s="1"/>
  <c r="R12" i="2"/>
  <c r="O25" i="2" s="1"/>
  <c r="B117" i="2"/>
  <c r="R8" i="2" s="1"/>
  <c r="O21" i="2" s="1"/>
  <c r="D119" i="2"/>
  <c r="B100" i="2"/>
  <c r="B99" i="2"/>
  <c r="B101" i="2" s="1"/>
  <c r="E100" i="2"/>
  <c r="E101" i="2" s="1"/>
  <c r="E99" i="2"/>
  <c r="E50" i="2"/>
  <c r="Q14" i="2"/>
  <c r="N27" i="2" s="1"/>
  <c r="R5" i="1"/>
  <c r="B104" i="1"/>
  <c r="E105" i="1"/>
  <c r="E104" i="1"/>
  <c r="B108" i="1" s="1"/>
  <c r="F47" i="5" l="1"/>
  <c r="G45" i="5"/>
  <c r="F44" i="5"/>
  <c r="F48" i="5"/>
  <c r="G47" i="5"/>
  <c r="G44" i="5"/>
  <c r="F46" i="5"/>
  <c r="G48" i="5"/>
  <c r="F49" i="5"/>
  <c r="G49" i="5"/>
  <c r="G46" i="5"/>
  <c r="B34" i="3" a="1"/>
  <c r="I29" i="3" a="1"/>
  <c r="B116" i="1"/>
  <c r="B117" i="1" s="1"/>
  <c r="R8" i="1" s="1"/>
  <c r="O21" i="1" s="1"/>
  <c r="B109" i="1"/>
  <c r="R7" i="1"/>
  <c r="O20" i="1" s="1"/>
  <c r="E108" i="2"/>
  <c r="R15" i="2" s="1"/>
  <c r="O28" i="2" s="1"/>
  <c r="R14" i="2"/>
  <c r="O27" i="2" s="1"/>
  <c r="E117" i="2"/>
  <c r="R11" i="2" s="1"/>
  <c r="O24" i="2" s="1"/>
  <c r="O42" i="2" s="1" a="1"/>
  <c r="E120" i="2"/>
  <c r="B120" i="2"/>
  <c r="B122" i="2" s="1"/>
  <c r="E121" i="2"/>
  <c r="E122" i="2" s="1"/>
  <c r="B121" i="2"/>
  <c r="B84" i="1"/>
  <c r="S6" i="1" s="1"/>
  <c r="B83" i="1"/>
  <c r="E84" i="1"/>
  <c r="E83" i="1"/>
  <c r="B51" i="5" l="1" a="1"/>
  <c r="C55" i="5" s="1"/>
  <c r="S5" i="1"/>
  <c r="B106" i="1"/>
  <c r="I29" i="3"/>
  <c r="I31" i="3"/>
  <c r="I30" i="3"/>
  <c r="J31" i="3"/>
  <c r="J29" i="3"/>
  <c r="J30" i="3"/>
  <c r="C34" i="3"/>
  <c r="B34" i="3"/>
  <c r="C35" i="3"/>
  <c r="B36" i="3"/>
  <c r="D35" i="3"/>
  <c r="C36" i="3"/>
  <c r="D36" i="3"/>
  <c r="D34" i="3"/>
  <c r="B35" i="3"/>
  <c r="B87" i="1"/>
  <c r="B91" i="1"/>
  <c r="R12" i="1"/>
  <c r="O25" i="1" s="1"/>
  <c r="E116" i="1"/>
  <c r="E117" i="1" s="1"/>
  <c r="R11" i="1" s="1"/>
  <c r="O24" i="1" s="1"/>
  <c r="R13" i="1"/>
  <c r="O26" i="1" s="1"/>
  <c r="Q50" i="2"/>
  <c r="Q49" i="2"/>
  <c r="Q48" i="2"/>
  <c r="Q47" i="2"/>
  <c r="Q46" i="2"/>
  <c r="Q45" i="2"/>
  <c r="Q44" i="2"/>
  <c r="Q43" i="2"/>
  <c r="Q42" i="2"/>
  <c r="P50" i="2"/>
  <c r="P49" i="2"/>
  <c r="P48" i="2"/>
  <c r="P47" i="2"/>
  <c r="P46" i="2"/>
  <c r="P45" i="2"/>
  <c r="P44" i="2"/>
  <c r="P43" i="2"/>
  <c r="P42" i="2"/>
  <c r="O50" i="2"/>
  <c r="O49" i="2"/>
  <c r="O48" i="2"/>
  <c r="O47" i="2"/>
  <c r="O46" i="2"/>
  <c r="O45" i="2"/>
  <c r="O44" i="2"/>
  <c r="O43" i="2"/>
  <c r="O42" i="2"/>
  <c r="R50" i="2"/>
  <c r="R49" i="2"/>
  <c r="R48" i="2"/>
  <c r="R47" i="2"/>
  <c r="R46" i="2"/>
  <c r="R45" i="2"/>
  <c r="R44" i="2"/>
  <c r="R43" i="2"/>
  <c r="R42" i="2"/>
  <c r="T20" i="2" a="1"/>
  <c r="O71" i="2" a="1"/>
  <c r="E63" i="1"/>
  <c r="E62" i="1"/>
  <c r="B66" i="1" s="1"/>
  <c r="B63" i="1"/>
  <c r="T6" i="1" s="1"/>
  <c r="B62" i="1"/>
  <c r="T5" i="1" s="1"/>
  <c r="E42" i="1"/>
  <c r="E41" i="1"/>
  <c r="B42" i="1"/>
  <c r="Q6" i="1" s="1"/>
  <c r="B41" i="1"/>
  <c r="Q5" i="1" s="1"/>
  <c r="C53" i="5" l="1"/>
  <c r="B52" i="5"/>
  <c r="C56" i="5"/>
  <c r="B55" i="5"/>
  <c r="C52" i="5"/>
  <c r="B51" i="5"/>
  <c r="C54" i="5"/>
  <c r="B56" i="5"/>
  <c r="B54" i="5"/>
  <c r="C51" i="5"/>
  <c r="B53" i="5"/>
  <c r="B45" i="1"/>
  <c r="Q7" i="1" s="1"/>
  <c r="N20" i="1" s="1"/>
  <c r="B49" i="1"/>
  <c r="Q10" i="1" s="1"/>
  <c r="N23" i="1" s="1"/>
  <c r="B38" i="3" a="1"/>
  <c r="M44" i="3" a="1"/>
  <c r="B112" i="1"/>
  <c r="R6" i="1"/>
  <c r="E45" i="1"/>
  <c r="E46" i="1" s="1"/>
  <c r="Q11" i="1" s="1"/>
  <c r="N24" i="1" s="1"/>
  <c r="T7" i="1"/>
  <c r="Q20" i="1" s="1"/>
  <c r="B67" i="1"/>
  <c r="T12" i="1" s="1"/>
  <c r="Q25" i="1" s="1"/>
  <c r="B74" i="1"/>
  <c r="T13" i="1" s="1"/>
  <c r="Q26" i="1" s="1"/>
  <c r="B70" i="1"/>
  <c r="B92" i="1"/>
  <c r="S9" i="1" s="1"/>
  <c r="P22" i="1" s="1"/>
  <c r="S10" i="1"/>
  <c r="P23" i="1" s="1"/>
  <c r="E87" i="1"/>
  <c r="B53" i="1"/>
  <c r="R14" i="1"/>
  <c r="O27" i="1" s="1"/>
  <c r="E108" i="1"/>
  <c r="R15" i="1" s="1"/>
  <c r="O28" i="1" s="1"/>
  <c r="B95" i="1"/>
  <c r="S13" i="1" s="1"/>
  <c r="P26" i="1" s="1"/>
  <c r="B88" i="1"/>
  <c r="S12" i="1" s="1"/>
  <c r="P25" i="1" s="1"/>
  <c r="S7" i="1"/>
  <c r="P20" i="1" s="1"/>
  <c r="O77" i="2"/>
  <c r="O73" i="2"/>
  <c r="O76" i="2"/>
  <c r="O72" i="2"/>
  <c r="P72" i="2" s="1"/>
  <c r="O79" i="2"/>
  <c r="O75" i="2"/>
  <c r="O71" i="2"/>
  <c r="O78" i="2"/>
  <c r="O74" i="2"/>
  <c r="AA23" i="2"/>
  <c r="W23" i="2"/>
  <c r="AB22" i="2"/>
  <c r="X22" i="2"/>
  <c r="T22" i="2"/>
  <c r="Y21" i="2"/>
  <c r="U21" i="2"/>
  <c r="Z20" i="2"/>
  <c r="V20" i="2"/>
  <c r="Z23" i="2"/>
  <c r="V23" i="2"/>
  <c r="AA22" i="2"/>
  <c r="W22" i="2"/>
  <c r="AB21" i="2"/>
  <c r="X21" i="2"/>
  <c r="T21" i="2"/>
  <c r="Y20" i="2"/>
  <c r="U20" i="2"/>
  <c r="Y23" i="2"/>
  <c r="U23" i="2"/>
  <c r="Z22" i="2"/>
  <c r="V22" i="2"/>
  <c r="AA21" i="2"/>
  <c r="W21" i="2"/>
  <c r="AB20" i="2"/>
  <c r="X20" i="2"/>
  <c r="T20" i="2"/>
  <c r="Y22" i="2"/>
  <c r="AA20" i="2"/>
  <c r="AB23" i="2"/>
  <c r="U22" i="2"/>
  <c r="W20" i="2"/>
  <c r="X23" i="2"/>
  <c r="Z21" i="2"/>
  <c r="T23" i="2"/>
  <c r="V21" i="2"/>
  <c r="B34" i="1"/>
  <c r="B50" i="1" l="1"/>
  <c r="Q9" i="1" s="1"/>
  <c r="N22" i="1" s="1"/>
  <c r="B73" i="5" a="1"/>
  <c r="F52" i="5" a="1"/>
  <c r="B46" i="1"/>
  <c r="Q12" i="1" s="1"/>
  <c r="N25" i="1" s="1"/>
  <c r="R10" i="1"/>
  <c r="O23" i="1" s="1"/>
  <c r="B113" i="1"/>
  <c r="R9" i="1" s="1"/>
  <c r="O22" i="1" s="1"/>
  <c r="N45" i="3"/>
  <c r="M46" i="3"/>
  <c r="M44" i="3"/>
  <c r="N46" i="3"/>
  <c r="M45" i="3"/>
  <c r="N44" i="3"/>
  <c r="P44" i="3" s="1" a="1"/>
  <c r="B38" i="3"/>
  <c r="D38" i="3"/>
  <c r="C40" i="3"/>
  <c r="B39" i="3"/>
  <c r="B40" i="3"/>
  <c r="D39" i="3"/>
  <c r="C39" i="3"/>
  <c r="D40" i="3"/>
  <c r="C38" i="3"/>
  <c r="B96" i="1"/>
  <c r="S8" i="1" s="1"/>
  <c r="P21" i="1" s="1"/>
  <c r="B75" i="1"/>
  <c r="T8" i="1" s="1"/>
  <c r="Q21" i="1" s="1"/>
  <c r="Q15" i="1"/>
  <c r="N28" i="1" s="1"/>
  <c r="E49" i="1"/>
  <c r="Q13" i="1"/>
  <c r="N26" i="1" s="1"/>
  <c r="C53" i="1"/>
  <c r="B54" i="1"/>
  <c r="E91" i="1"/>
  <c r="S14" i="1" s="1"/>
  <c r="P27" i="1" s="1"/>
  <c r="E88" i="1"/>
  <c r="S11" i="1" s="1"/>
  <c r="P24" i="1" s="1"/>
  <c r="S15" i="1"/>
  <c r="P28" i="1" s="1"/>
  <c r="T10" i="1"/>
  <c r="Q23" i="1" s="1"/>
  <c r="B71" i="1"/>
  <c r="T9" i="1" s="1"/>
  <c r="Q22" i="1" s="1"/>
  <c r="E66" i="1"/>
  <c r="T44" i="2" a="1"/>
  <c r="O81" i="2"/>
  <c r="I53" i="5" l="1"/>
  <c r="G52" i="5"/>
  <c r="H53" i="5"/>
  <c r="K53" i="5"/>
  <c r="K52" i="5"/>
  <c r="J52" i="5"/>
  <c r="F52" i="5"/>
  <c r="I52" i="5"/>
  <c r="G53" i="5"/>
  <c r="J53" i="5"/>
  <c r="F53" i="5"/>
  <c r="H52" i="5"/>
  <c r="B73" i="5"/>
  <c r="D73" i="5" s="1"/>
  <c r="G73" i="5" s="1"/>
  <c r="B75" i="5"/>
  <c r="D75" i="5" s="1"/>
  <c r="G75" i="5" s="1"/>
  <c r="B78" i="5"/>
  <c r="D78" i="5" s="1"/>
  <c r="G78" i="5" s="1"/>
  <c r="B76" i="5"/>
  <c r="B77" i="5"/>
  <c r="D77" i="5" s="1"/>
  <c r="B74" i="5"/>
  <c r="D74" i="5" s="1"/>
  <c r="G74" i="5" s="1"/>
  <c r="Q45" i="3"/>
  <c r="P49" i="3"/>
  <c r="Q48" i="3"/>
  <c r="P44" i="3"/>
  <c r="P46" i="3"/>
  <c r="P45" i="3"/>
  <c r="Q47" i="3"/>
  <c r="Q46" i="3"/>
  <c r="P48" i="3"/>
  <c r="Q44" i="3"/>
  <c r="P47" i="3"/>
  <c r="Q49" i="3"/>
  <c r="B44" i="3" a="1"/>
  <c r="T15" i="1"/>
  <c r="Q28" i="1" s="1"/>
  <c r="E70" i="1"/>
  <c r="T14" i="1" s="1"/>
  <c r="Q27" i="1" s="1"/>
  <c r="E67" i="1"/>
  <c r="T11" i="1" s="1"/>
  <c r="Q24" i="1" s="1"/>
  <c r="Q8" i="1"/>
  <c r="N21" i="1" s="1"/>
  <c r="C57" i="1"/>
  <c r="C54" i="1"/>
  <c r="Q14" i="1"/>
  <c r="N27" i="1" s="1"/>
  <c r="E50" i="1"/>
  <c r="Z47" i="2"/>
  <c r="V47" i="2"/>
  <c r="AA46" i="2"/>
  <c r="W46" i="2"/>
  <c r="AB45" i="2"/>
  <c r="X45" i="2"/>
  <c r="T45" i="2"/>
  <c r="Y44" i="2"/>
  <c r="U44" i="2"/>
  <c r="Y47" i="2"/>
  <c r="U47" i="2"/>
  <c r="Z46" i="2"/>
  <c r="V46" i="2"/>
  <c r="AA45" i="2"/>
  <c r="W45" i="2"/>
  <c r="AB44" i="2"/>
  <c r="X44" i="2"/>
  <c r="T44" i="2"/>
  <c r="AB47" i="2"/>
  <c r="X47" i="2"/>
  <c r="T47" i="2"/>
  <c r="Y46" i="2"/>
  <c r="U46" i="2"/>
  <c r="Z45" i="2"/>
  <c r="V45" i="2"/>
  <c r="AA44" i="2"/>
  <c r="W44" i="2"/>
  <c r="AA47" i="2"/>
  <c r="W47" i="2"/>
  <c r="AB46" i="2"/>
  <c r="X46" i="2"/>
  <c r="T46" i="2"/>
  <c r="Y45" i="2"/>
  <c r="U45" i="2"/>
  <c r="Z44" i="2"/>
  <c r="V44" i="2"/>
  <c r="B16" i="1"/>
  <c r="O6" i="1" s="1"/>
  <c r="B15" i="1"/>
  <c r="K3" i="1"/>
  <c r="B60" i="5" l="1" a="1"/>
  <c r="B82" i="5"/>
  <c r="B83" i="5"/>
  <c r="O52" i="2" a="1"/>
  <c r="O55" i="2" s="1"/>
  <c r="D76" i="5"/>
  <c r="G76" i="5" s="1"/>
  <c r="G77" i="5"/>
  <c r="L3" i="1"/>
  <c r="O31" i="1" s="1"/>
  <c r="P32" i="1" s="1"/>
  <c r="Q33" i="1" s="1"/>
  <c r="R34" i="1" s="1"/>
  <c r="S35" i="1" s="1"/>
  <c r="T36" i="1" s="1"/>
  <c r="U37" i="1" s="1"/>
  <c r="V38" i="1" s="1"/>
  <c r="W39" i="1" s="1"/>
  <c r="C34" i="1"/>
  <c r="E36" i="1" s="1"/>
  <c r="D48" i="3"/>
  <c r="B49" i="3"/>
  <c r="C48" i="3"/>
  <c r="B47" i="3"/>
  <c r="B45" i="3"/>
  <c r="D47" i="3"/>
  <c r="B46" i="3"/>
  <c r="D49" i="3"/>
  <c r="D44" i="3"/>
  <c r="C46" i="3"/>
  <c r="C45" i="3"/>
  <c r="B48" i="3"/>
  <c r="D45" i="3"/>
  <c r="B44" i="3"/>
  <c r="C49" i="3"/>
  <c r="D46" i="3"/>
  <c r="C47" i="3"/>
  <c r="C44" i="3"/>
  <c r="O5" i="1"/>
  <c r="B37" i="1"/>
  <c r="C36" i="1"/>
  <c r="C38" i="1" s="1"/>
  <c r="B17" i="1"/>
  <c r="T20" i="1" a="1"/>
  <c r="O71" i="1" a="1"/>
  <c r="R53" i="2"/>
  <c r="R52" i="2"/>
  <c r="Q55" i="2"/>
  <c r="P53" i="2"/>
  <c r="P52" i="2"/>
  <c r="B25" i="1"/>
  <c r="E21" i="1" s="1"/>
  <c r="O15" i="1" s="1"/>
  <c r="B21" i="1"/>
  <c r="O42" i="1" l="1" a="1"/>
  <c r="Q42" i="1" s="1"/>
  <c r="B94" i="5"/>
  <c r="E89" i="5" s="1"/>
  <c r="B87" i="5"/>
  <c r="E95" i="5" s="1"/>
  <c r="B88" i="5"/>
  <c r="B93" i="5"/>
  <c r="P54" i="2"/>
  <c r="R54" i="2"/>
  <c r="P55" i="2"/>
  <c r="R55" i="2"/>
  <c r="H25" i="1"/>
  <c r="O52" i="2"/>
  <c r="Q53" i="2"/>
  <c r="O53" i="2"/>
  <c r="E37" i="1"/>
  <c r="E38" i="1" s="1"/>
  <c r="Q52" i="2"/>
  <c r="O64" i="2" s="1" a="1"/>
  <c r="F44" i="3" a="1"/>
  <c r="F47" i="3" s="1"/>
  <c r="Q54" i="2"/>
  <c r="O54" i="2"/>
  <c r="G82" i="5"/>
  <c r="L74" i="5" s="1"/>
  <c r="E82" i="5"/>
  <c r="L73" i="5" s="1"/>
  <c r="E84" i="5"/>
  <c r="E83" i="5"/>
  <c r="E60" i="5"/>
  <c r="F61" i="5"/>
  <c r="C61" i="5"/>
  <c r="D60" i="5"/>
  <c r="B61" i="5"/>
  <c r="E61" i="5"/>
  <c r="G60" i="5"/>
  <c r="C60" i="5"/>
  <c r="F60" i="5"/>
  <c r="B60" i="5"/>
  <c r="D61" i="5"/>
  <c r="G61" i="5"/>
  <c r="F44" i="3"/>
  <c r="G45" i="3"/>
  <c r="F48" i="3"/>
  <c r="D77" i="1"/>
  <c r="D56" i="1"/>
  <c r="B57" i="1"/>
  <c r="P49" i="1"/>
  <c r="R49" i="1"/>
  <c r="O45" i="1"/>
  <c r="O48" i="1"/>
  <c r="P47" i="1"/>
  <c r="R46" i="1"/>
  <c r="O43" i="1"/>
  <c r="O47" i="1"/>
  <c r="P46" i="1"/>
  <c r="B26" i="1"/>
  <c r="O10" i="1"/>
  <c r="O71" i="1"/>
  <c r="O74" i="1"/>
  <c r="O77" i="1"/>
  <c r="O79" i="1"/>
  <c r="O73" i="1"/>
  <c r="O75" i="1"/>
  <c r="O72" i="1"/>
  <c r="O78" i="1"/>
  <c r="O76" i="1"/>
  <c r="U20" i="1"/>
  <c r="Y20" i="1"/>
  <c r="T21" i="1"/>
  <c r="X21" i="1"/>
  <c r="AB21" i="1"/>
  <c r="W22" i="1"/>
  <c r="AA22" i="1"/>
  <c r="V23" i="1"/>
  <c r="Z23" i="1"/>
  <c r="AB20" i="1"/>
  <c r="AA21" i="1"/>
  <c r="U23" i="1"/>
  <c r="V20" i="1"/>
  <c r="Z20" i="1"/>
  <c r="U21" i="1"/>
  <c r="Y21" i="1"/>
  <c r="T22" i="1"/>
  <c r="X22" i="1"/>
  <c r="AB22" i="1"/>
  <c r="W23" i="1"/>
  <c r="AA23" i="1"/>
  <c r="W20" i="1"/>
  <c r="AA20" i="1"/>
  <c r="V21" i="1"/>
  <c r="Z21" i="1"/>
  <c r="U22" i="1"/>
  <c r="Y22" i="1"/>
  <c r="T23" i="1"/>
  <c r="X23" i="1"/>
  <c r="AB23" i="1"/>
  <c r="T20" i="1"/>
  <c r="X20" i="1"/>
  <c r="W21" i="1"/>
  <c r="V22" i="1"/>
  <c r="Z22" i="1"/>
  <c r="Y23" i="1"/>
  <c r="B22" i="1"/>
  <c r="O12" i="1" s="1"/>
  <c r="O7" i="1"/>
  <c r="B29" i="1"/>
  <c r="I22" i="1"/>
  <c r="E22" i="1"/>
  <c r="I30" i="1"/>
  <c r="E25" i="1"/>
  <c r="I60" i="5" l="1" a="1"/>
  <c r="O44" i="1"/>
  <c r="Q50" i="1"/>
  <c r="O42" i="1"/>
  <c r="R43" i="1"/>
  <c r="G49" i="3"/>
  <c r="G83" i="5"/>
  <c r="M74" i="5" s="1"/>
  <c r="M73" i="5"/>
  <c r="P44" i="1"/>
  <c r="R47" i="1"/>
  <c r="R42" i="1"/>
  <c r="P45" i="1"/>
  <c r="R44" i="1"/>
  <c r="G46" i="3"/>
  <c r="G44" i="3"/>
  <c r="G84" i="5"/>
  <c r="N74" i="5" s="1"/>
  <c r="N73" i="5"/>
  <c r="E94" i="5"/>
  <c r="G93" i="5"/>
  <c r="L78" i="5" s="1"/>
  <c r="E93" i="5"/>
  <c r="L77" i="5" s="1"/>
  <c r="Q43" i="1"/>
  <c r="R48" i="1"/>
  <c r="Q45" i="1"/>
  <c r="P42" i="1"/>
  <c r="Q46" i="1"/>
  <c r="G48" i="3"/>
  <c r="F49" i="3"/>
  <c r="E88" i="5"/>
  <c r="G87" i="5"/>
  <c r="L76" i="5" s="1"/>
  <c r="E87" i="5"/>
  <c r="L75" i="5" s="1"/>
  <c r="P43" i="1"/>
  <c r="R50" i="1"/>
  <c r="P50" i="1"/>
  <c r="O49" i="1"/>
  <c r="Q44" i="1"/>
  <c r="R45" i="1"/>
  <c r="Q47" i="1"/>
  <c r="F46" i="3"/>
  <c r="G47" i="3"/>
  <c r="G95" i="5"/>
  <c r="N78" i="5" s="1"/>
  <c r="N77" i="5"/>
  <c r="Q49" i="1"/>
  <c r="O50" i="1"/>
  <c r="O46" i="1"/>
  <c r="P48" i="1"/>
  <c r="Q48" i="1"/>
  <c r="F45" i="3"/>
  <c r="N75" i="5"/>
  <c r="G89" i="5"/>
  <c r="N76" i="5" s="1"/>
  <c r="B58" i="1"/>
  <c r="E57" i="1"/>
  <c r="B59" i="1"/>
  <c r="E58" i="1"/>
  <c r="E59" i="1" s="1"/>
  <c r="B51" i="3" a="1"/>
  <c r="B54" i="3" s="1"/>
  <c r="E78" i="1"/>
  <c r="D98" i="1"/>
  <c r="B79" i="1"/>
  <c r="E79" i="1"/>
  <c r="E80" i="1" s="1"/>
  <c r="B78" i="1"/>
  <c r="B80" i="1" s="1"/>
  <c r="T44" i="1" a="1"/>
  <c r="AB47" i="1" s="1"/>
  <c r="O81" i="1"/>
  <c r="H26" i="1"/>
  <c r="O11" i="1"/>
  <c r="I29" i="1"/>
  <c r="O14" i="1"/>
  <c r="E26" i="1"/>
  <c r="I28" i="1"/>
  <c r="O13" i="1"/>
  <c r="I24" i="1"/>
  <c r="O9" i="1"/>
  <c r="O67" i="2"/>
  <c r="O66" i="2"/>
  <c r="O65" i="2"/>
  <c r="O64" i="2"/>
  <c r="B30" i="1"/>
  <c r="E29" i="1"/>
  <c r="H27" i="1" s="1"/>
  <c r="M75" i="5" l="1"/>
  <c r="G88" i="5"/>
  <c r="M76" i="5" s="1"/>
  <c r="G94" i="5"/>
  <c r="M78" i="5" s="1"/>
  <c r="M77" i="5"/>
  <c r="I61" i="5"/>
  <c r="I60" i="5"/>
  <c r="J60" i="5"/>
  <c r="J61" i="5"/>
  <c r="W47" i="1"/>
  <c r="U45" i="1"/>
  <c r="AA44" i="1"/>
  <c r="V45" i="1"/>
  <c r="Z45" i="1"/>
  <c r="V46" i="1"/>
  <c r="AA45" i="1"/>
  <c r="B51" i="3"/>
  <c r="T47" i="1"/>
  <c r="X44" i="1"/>
  <c r="W45" i="1"/>
  <c r="C56" i="3"/>
  <c r="AB46" i="1"/>
  <c r="Y47" i="1"/>
  <c r="Y45" i="1"/>
  <c r="Y46" i="1"/>
  <c r="B55" i="3"/>
  <c r="X47" i="1"/>
  <c r="B56" i="3"/>
  <c r="C53" i="3"/>
  <c r="Z46" i="1"/>
  <c r="W46" i="1"/>
  <c r="T46" i="1"/>
  <c r="AA47" i="1"/>
  <c r="C54" i="3"/>
  <c r="Y44" i="1"/>
  <c r="C52" i="3"/>
  <c r="Z44" i="1"/>
  <c r="T45" i="1"/>
  <c r="B52" i="3"/>
  <c r="B53" i="3"/>
  <c r="U44" i="1"/>
  <c r="AB44" i="1"/>
  <c r="E100" i="1"/>
  <c r="E101" i="1" s="1"/>
  <c r="B100" i="1"/>
  <c r="D119" i="1"/>
  <c r="B99" i="1"/>
  <c r="B101" i="1" s="1"/>
  <c r="E99" i="1"/>
  <c r="AB45" i="1"/>
  <c r="X45" i="1"/>
  <c r="W44" i="1"/>
  <c r="U46" i="1"/>
  <c r="T44" i="1"/>
  <c r="C51" i="3"/>
  <c r="C55" i="3"/>
  <c r="AA46" i="1"/>
  <c r="V47" i="1"/>
  <c r="Z47" i="1"/>
  <c r="X46" i="1"/>
  <c r="V44" i="1"/>
  <c r="U47" i="1"/>
  <c r="H23" i="1"/>
  <c r="B36" i="1" s="1"/>
  <c r="B38" i="1" s="1"/>
  <c r="O8" i="1"/>
  <c r="B69" i="5" l="1" a="1"/>
  <c r="B73" i="3" a="1"/>
  <c r="F52" i="3" a="1"/>
  <c r="E120" i="1"/>
  <c r="B121" i="1"/>
  <c r="B120" i="1"/>
  <c r="B122" i="1" s="1"/>
  <c r="E121" i="1"/>
  <c r="E122" i="1" s="1"/>
  <c r="O52" i="1" a="1"/>
  <c r="B70" i="5" l="1"/>
  <c r="B69" i="5"/>
  <c r="R52" i="1"/>
  <c r="R54" i="1"/>
  <c r="O52" i="1"/>
  <c r="O54" i="1"/>
  <c r="P54" i="1"/>
  <c r="Q55" i="1"/>
  <c r="P52" i="1"/>
  <c r="Q53" i="1"/>
  <c r="R55" i="1"/>
  <c r="P55" i="1"/>
  <c r="R53" i="1"/>
  <c r="O55" i="1"/>
  <c r="O53" i="1"/>
  <c r="P53" i="1"/>
  <c r="Q54" i="1"/>
  <c r="Q52" i="1"/>
  <c r="G53" i="3"/>
  <c r="F52" i="3"/>
  <c r="J53" i="3"/>
  <c r="I52" i="3"/>
  <c r="G52" i="3"/>
  <c r="F53" i="3"/>
  <c r="H52" i="3"/>
  <c r="J52" i="3"/>
  <c r="K52" i="3"/>
  <c r="K53" i="3"/>
  <c r="H53" i="3"/>
  <c r="I53" i="3"/>
  <c r="B77" i="3"/>
  <c r="D77" i="3" s="1"/>
  <c r="B75" i="3"/>
  <c r="D75" i="3" s="1"/>
  <c r="G75" i="3" s="1"/>
  <c r="B76" i="3"/>
  <c r="B73" i="3"/>
  <c r="D73" i="3" s="1"/>
  <c r="G73" i="3" s="1"/>
  <c r="B78" i="3"/>
  <c r="D78" i="3" s="1"/>
  <c r="G78" i="3" s="1"/>
  <c r="B74" i="3"/>
  <c r="D74" i="3" s="1"/>
  <c r="G74" i="3" s="1"/>
  <c r="B83" i="3" l="1"/>
  <c r="B82" i="3"/>
  <c r="G77" i="3"/>
  <c r="B93" i="3" s="1"/>
  <c r="D76" i="3"/>
  <c r="G76" i="3" s="1"/>
  <c r="O64" i="1" a="1"/>
  <c r="B60" i="3" a="1"/>
  <c r="E94" i="3" l="1"/>
  <c r="E93" i="3"/>
  <c r="L77" i="3" s="1"/>
  <c r="G93" i="3"/>
  <c r="L78" i="3" s="1"/>
  <c r="O65" i="1"/>
  <c r="O64" i="1"/>
  <c r="O67" i="1"/>
  <c r="O66" i="1"/>
  <c r="B87" i="3"/>
  <c r="E95" i="3" s="1"/>
  <c r="B88" i="3"/>
  <c r="E60" i="3"/>
  <c r="C61" i="3"/>
  <c r="E61" i="3"/>
  <c r="C60" i="3"/>
  <c r="F61" i="3"/>
  <c r="D61" i="3"/>
  <c r="B61" i="3"/>
  <c r="F60" i="3"/>
  <c r="G61" i="3"/>
  <c r="G60" i="3"/>
  <c r="B60" i="3"/>
  <c r="D60" i="3"/>
  <c r="B94" i="3"/>
  <c r="E89" i="3" s="1"/>
  <c r="E84" i="3"/>
  <c r="E82" i="3"/>
  <c r="L73" i="3" s="1"/>
  <c r="E83" i="3"/>
  <c r="G82" i="3"/>
  <c r="L74" i="3" s="1"/>
  <c r="G95" i="3" l="1"/>
  <c r="N78" i="3" s="1"/>
  <c r="N77" i="3"/>
  <c r="G84" i="3"/>
  <c r="N74" i="3" s="1"/>
  <c r="N73" i="3"/>
  <c r="I60" i="3" a="1"/>
  <c r="N75" i="3"/>
  <c r="G89" i="3"/>
  <c r="N76" i="3" s="1"/>
  <c r="M73" i="3"/>
  <c r="G83" i="3"/>
  <c r="M74" i="3" s="1"/>
  <c r="G87" i="3"/>
  <c r="L76" i="3" s="1"/>
  <c r="E88" i="3"/>
  <c r="E87" i="3"/>
  <c r="L75" i="3" s="1"/>
  <c r="G94" i="3"/>
  <c r="M78" i="3" s="1"/>
  <c r="M77" i="3"/>
  <c r="J61" i="3" l="1"/>
  <c r="J60" i="3"/>
  <c r="I60" i="3"/>
  <c r="I61" i="3"/>
  <c r="G88" i="3"/>
  <c r="M76" i="3" s="1"/>
  <c r="M75" i="3"/>
  <c r="B69" i="3" l="1" a="1"/>
  <c r="B69" i="3" s="1"/>
  <c r="B70" i="3" l="1"/>
</calcChain>
</file>

<file path=xl/sharedStrings.xml><?xml version="1.0" encoding="utf-8"?>
<sst xmlns="http://schemas.openxmlformats.org/spreadsheetml/2006/main" count="642" uniqueCount="164">
  <si>
    <t>∑Mb = 0</t>
  </si>
  <si>
    <t>a</t>
  </si>
  <si>
    <t>b</t>
  </si>
  <si>
    <t>P</t>
  </si>
  <si>
    <t>∑Ma= 0</t>
  </si>
  <si>
    <t>∑y =</t>
  </si>
  <si>
    <t>TITIK A</t>
  </si>
  <si>
    <t>S1</t>
  </si>
  <si>
    <t>SIN 60</t>
  </si>
  <si>
    <t>cos 60</t>
  </si>
  <si>
    <t>S6</t>
  </si>
  <si>
    <t>TITIK B</t>
  </si>
  <si>
    <t>S4</t>
  </si>
  <si>
    <t>S3</t>
  </si>
  <si>
    <t>TITIK C</t>
  </si>
  <si>
    <t>S7</t>
  </si>
  <si>
    <t>S2</t>
  </si>
  <si>
    <t>TITIK F</t>
  </si>
  <si>
    <t>S9</t>
  </si>
  <si>
    <t>S5</t>
  </si>
  <si>
    <t>TITIK D</t>
  </si>
  <si>
    <t>S8</t>
  </si>
  <si>
    <t>TITIK E</t>
  </si>
  <si>
    <t>BATANG</t>
  </si>
  <si>
    <t>GAYA BATANG</t>
  </si>
  <si>
    <t>Tarik (+)</t>
  </si>
  <si>
    <t>Tekan (-)</t>
  </si>
  <si>
    <t>METODE RITTER</t>
  </si>
  <si>
    <t>ds</t>
  </si>
  <si>
    <t>h</t>
  </si>
  <si>
    <t>1 satuan di titik C</t>
  </si>
  <si>
    <t>Va</t>
  </si>
  <si>
    <t>Vb</t>
  </si>
  <si>
    <t>Titik A</t>
  </si>
  <si>
    <t>COS 60</t>
  </si>
  <si>
    <t>Titik B</t>
  </si>
  <si>
    <t>Titik C</t>
  </si>
  <si>
    <t>meotde ritter</t>
  </si>
  <si>
    <t>1 SATUAN DI TITIK F</t>
  </si>
  <si>
    <t>1 SATUAN DI TITIK E</t>
  </si>
  <si>
    <t>1 SATUAN DI TITIK D</t>
  </si>
  <si>
    <t>Titik D</t>
  </si>
  <si>
    <t>REKAPITULASI BESARNYA GAYA BATANG AKIBAT BEBAN LUAR DAN PEMBERIAN GAYA P=1 PADA TIAP TITIK BUHUL</t>
  </si>
  <si>
    <t>No.</t>
  </si>
  <si>
    <t>Beban Luar</t>
  </si>
  <si>
    <t>Batang</t>
  </si>
  <si>
    <t>A</t>
  </si>
  <si>
    <t>P=1 di Titik</t>
  </si>
  <si>
    <t>C</t>
  </si>
  <si>
    <t>D</t>
  </si>
  <si>
    <t>E</t>
  </si>
  <si>
    <t>F</t>
  </si>
  <si>
    <t>B</t>
  </si>
  <si>
    <t>Gaya batang disusun dalam bentuk matrix statis P</t>
  </si>
  <si>
    <t>Pt</t>
  </si>
  <si>
    <t>M</t>
  </si>
  <si>
    <t>M x P</t>
  </si>
  <si>
    <t>X</t>
  </si>
  <si>
    <t>M x P x Pt</t>
  </si>
  <si>
    <t>F =</t>
  </si>
  <si>
    <t>Menghitung Lendutan</t>
  </si>
  <si>
    <t>D = F x Q</t>
  </si>
  <si>
    <t>Q</t>
  </si>
  <si>
    <t>Menghitung Gaya Batang</t>
  </si>
  <si>
    <t>H = P x Q</t>
  </si>
  <si>
    <t>H</t>
  </si>
  <si>
    <t>P'</t>
  </si>
  <si>
    <t>P' T</t>
  </si>
  <si>
    <t>Menyusun matrix bahan</t>
  </si>
  <si>
    <t>Dik</t>
  </si>
  <si>
    <t>h1</t>
  </si>
  <si>
    <t>h2</t>
  </si>
  <si>
    <t>pytagoras</t>
  </si>
  <si>
    <t>EI Kolom</t>
  </si>
  <si>
    <t>EI Balok</t>
  </si>
  <si>
    <t>l</t>
  </si>
  <si>
    <t>P◦</t>
  </si>
  <si>
    <r>
      <t>F</t>
    </r>
    <r>
      <rPr>
        <sz val="11"/>
        <color theme="1"/>
        <rFont val="Calibri"/>
        <family val="2"/>
      </rPr>
      <t>◦ = P' T x M x P◦</t>
    </r>
  </si>
  <si>
    <t>F◦</t>
  </si>
  <si>
    <t>F' = P'T x M P'</t>
  </si>
  <si>
    <t>F-1</t>
  </si>
  <si>
    <t>MATRIX STATIS</t>
  </si>
  <si>
    <t>P = P◦ - P' x F'-1 x F◦</t>
  </si>
  <si>
    <t>P t</t>
  </si>
  <si>
    <t>Matrix fleksibilitas</t>
  </si>
  <si>
    <t>F = PT x M x P</t>
  </si>
  <si>
    <t>Lendutan di titik 1 dan 2</t>
  </si>
  <si>
    <t>Q =</t>
  </si>
  <si>
    <t>D =</t>
  </si>
  <si>
    <t>Gaya dalam elemen</t>
  </si>
  <si>
    <t>H = Px Q</t>
  </si>
  <si>
    <t>Reaksi perletakan</t>
  </si>
  <si>
    <t>Batang A-1</t>
  </si>
  <si>
    <t>MA</t>
  </si>
  <si>
    <t>M1A</t>
  </si>
  <si>
    <t>M12</t>
  </si>
  <si>
    <t>M21</t>
  </si>
  <si>
    <t>M2B</t>
  </si>
  <si>
    <t>MB2</t>
  </si>
  <si>
    <t>V1a</t>
  </si>
  <si>
    <t>Gaya Dalam</t>
  </si>
  <si>
    <t>M0</t>
  </si>
  <si>
    <t>L0</t>
  </si>
  <si>
    <t>N0</t>
  </si>
  <si>
    <t>M1.7</t>
  </si>
  <si>
    <t>L1.7</t>
  </si>
  <si>
    <t>N1.7</t>
  </si>
  <si>
    <t>x</t>
  </si>
  <si>
    <t>sin alfa</t>
  </si>
  <si>
    <t>cos alfa</t>
  </si>
  <si>
    <t>Batang 1-2</t>
  </si>
  <si>
    <t>V21</t>
  </si>
  <si>
    <t>M1</t>
  </si>
  <si>
    <t>M2</t>
  </si>
  <si>
    <t>V12</t>
  </si>
  <si>
    <t>M3.4</t>
  </si>
  <si>
    <t>L3.4</t>
  </si>
  <si>
    <t>N3.4</t>
  </si>
  <si>
    <t>Batang B-2</t>
  </si>
  <si>
    <t>Hb2</t>
  </si>
  <si>
    <t>H2b</t>
  </si>
  <si>
    <t>M5.3</t>
  </si>
  <si>
    <t>L5.3</t>
  </si>
  <si>
    <t>N5.3</t>
  </si>
  <si>
    <t>REKAPITULASI GAYA DALAM</t>
  </si>
  <si>
    <t>X/Y</t>
  </si>
  <si>
    <t>Mx/My</t>
  </si>
  <si>
    <t>Lx/Ly</t>
  </si>
  <si>
    <t>Nx/Ny</t>
  </si>
  <si>
    <t>A-1</t>
  </si>
  <si>
    <t>2 - B</t>
  </si>
  <si>
    <t>EI kalom</t>
  </si>
  <si>
    <t>Diagram Momen bila Gaya Vertikal 1(satu) satuan dikerjakan di Titik 1 sesuai gambar 1b.</t>
  </si>
  <si>
    <t>Ra</t>
  </si>
  <si>
    <t>Rb</t>
  </si>
  <si>
    <t>kontrol</t>
  </si>
  <si>
    <t>M1 = Ra.a</t>
  </si>
  <si>
    <t>M1 = Rb.b</t>
  </si>
  <si>
    <t>Diagram Momen bila Gaya Momen 1(satu) satuan dikerjakan di Titik 2 sesuai gambar 1b</t>
  </si>
  <si>
    <t>Pythagoras</t>
  </si>
  <si>
    <t>Menghitung Matrix Flexibilitas [ F] :</t>
  </si>
  <si>
    <t>[ F] = [ P T] .[ M ].[ P ]</t>
  </si>
  <si>
    <t>M . P</t>
  </si>
  <si>
    <t>MenghitungLendutan: {D} [ F] . {Q}</t>
  </si>
  <si>
    <t>Menghitung Gaya Dalam ( Momen Lentur ) pada Elemen Portal :</t>
  </si>
  <si>
    <t>H = P . Q</t>
  </si>
  <si>
    <t>M titik 1</t>
  </si>
  <si>
    <t>MB</t>
  </si>
  <si>
    <t>M titik 2</t>
  </si>
  <si>
    <t>BATANG A-1</t>
  </si>
  <si>
    <t>Kontrol</t>
  </si>
  <si>
    <t>M5</t>
  </si>
  <si>
    <t>L5</t>
  </si>
  <si>
    <t>N5</t>
  </si>
  <si>
    <t>BATANG 1-2</t>
  </si>
  <si>
    <t>M4</t>
  </si>
  <si>
    <t>L4</t>
  </si>
  <si>
    <t>N4</t>
  </si>
  <si>
    <t>KOLOM 2-B</t>
  </si>
  <si>
    <t>HB2</t>
  </si>
  <si>
    <t>H2B</t>
  </si>
  <si>
    <t>y</t>
  </si>
  <si>
    <t>SIN 52</t>
  </si>
  <si>
    <t>cos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</si>
</sst>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0" borderId="2" xfId="0" applyBorder="1"/>
    <xf numFmtId="164" fontId="0" fillId="0" borderId="3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4" fontId="0" fillId="6" borderId="0" xfId="0" applyNumberFormat="1" applyFill="1" applyBorder="1"/>
    <xf numFmtId="164" fontId="0" fillId="0" borderId="0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0" fontId="0" fillId="2" borderId="0" xfId="0" applyFill="1"/>
    <xf numFmtId="164" fontId="0" fillId="0" borderId="9" xfId="0" applyNumberFormat="1" applyBorder="1"/>
    <xf numFmtId="164" fontId="0" fillId="7" borderId="0" xfId="0" applyNumberFormat="1" applyFill="1" applyBorder="1"/>
    <xf numFmtId="16" fontId="0" fillId="0" borderId="0" xfId="0" applyNumberFormat="1"/>
    <xf numFmtId="0" fontId="0" fillId="0" borderId="0" xfId="0" applyFill="1" applyBorder="1"/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2" borderId="0" xfId="0" applyNumberFormat="1" applyFill="1"/>
    <xf numFmtId="164" fontId="0" fillId="8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9" borderId="0" xfId="0" applyNumberFormat="1" applyFill="1"/>
    <xf numFmtId="17" fontId="0" fillId="0" borderId="0" xfId="0" applyNumberFormat="1"/>
    <xf numFmtId="164" fontId="0" fillId="9" borderId="0" xfId="0" applyNumberFormat="1" applyFill="1"/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/>
    <xf numFmtId="0" fontId="0" fillId="8" borderId="0" xfId="0" applyFill="1"/>
    <xf numFmtId="166" fontId="0" fillId="0" borderId="0" xfId="0" applyNumberFormat="1"/>
    <xf numFmtId="0" fontId="0" fillId="10" borderId="0" xfId="0" applyFill="1"/>
    <xf numFmtId="1" fontId="0" fillId="0" borderId="0" xfId="0" applyNumberFormat="1"/>
    <xf numFmtId="164" fontId="0" fillId="10" borderId="0" xfId="0" applyNumberFormat="1" applyFill="1"/>
    <xf numFmtId="0" fontId="0" fillId="2" borderId="0" xfId="0" applyFill="1" applyAlignment="1">
      <alignment horizontal="center"/>
    </xf>
    <xf numFmtId="165" fontId="0" fillId="0" borderId="1" xfId="0" applyNumberFormat="1" applyBorder="1"/>
    <xf numFmtId="2" fontId="0" fillId="0" borderId="1" xfId="0" applyNumberFormat="1" applyBorder="1"/>
    <xf numFmtId="0" fontId="0" fillId="0" borderId="10" xfId="0" applyBorder="1"/>
    <xf numFmtId="0" fontId="0" fillId="0" borderId="0" xfId="0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/>
    <xf numFmtId="164" fontId="0" fillId="11" borderId="0" xfId="0" applyNumberFormat="1" applyFill="1"/>
    <xf numFmtId="164" fontId="0" fillId="11" borderId="1" xfId="0" applyNumberFormat="1" applyFill="1" applyBorder="1"/>
    <xf numFmtId="0" fontId="2" fillId="0" borderId="1" xfId="0" applyFont="1" applyBorder="1" applyAlignment="1">
      <alignment horizontal="right"/>
    </xf>
    <xf numFmtId="164" fontId="2" fillId="11" borderId="1" xfId="0" applyNumberFormat="1" applyFont="1" applyFill="1" applyBorder="1"/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2" fontId="0" fillId="0" borderId="0" xfId="0" applyNumberFormat="1"/>
    <xf numFmtId="1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0" fillId="10" borderId="1" xfId="0" applyFill="1" applyBorder="1" applyAlignment="1">
      <alignment horizontal="center" vertical="center"/>
    </xf>
    <xf numFmtId="0" fontId="0" fillId="0" borderId="0" xfId="0" applyFill="1"/>
    <xf numFmtId="164" fontId="0" fillId="12" borderId="0" xfId="0" applyNumberFormat="1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12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42" t="39979" r="48163" b="38664"/>
        <a:stretch/>
      </xdr:blipFill>
      <xdr:spPr>
        <a:xfrm>
          <a:off x="0" y="0"/>
          <a:ext cx="489585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12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42" t="39979" r="48163" b="38664"/>
        <a:stretch/>
      </xdr:blipFill>
      <xdr:spPr>
        <a:xfrm>
          <a:off x="0" y="0"/>
          <a:ext cx="4895850" cy="2457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</xdr:colOff>
      <xdr:row>0</xdr:row>
      <xdr:rowOff>0</xdr:rowOff>
    </xdr:from>
    <xdr:to>
      <xdr:col>11</xdr:col>
      <xdr:colOff>355600</xdr:colOff>
      <xdr:row>10</xdr:row>
      <xdr:rowOff>11684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2712B6-B956-4F06-A20A-183788708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1800" y="0"/>
          <a:ext cx="2844800" cy="18531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57</xdr:row>
      <xdr:rowOff>180975</xdr:rowOff>
    </xdr:from>
    <xdr:to>
      <xdr:col>5</xdr:col>
      <xdr:colOff>104776</xdr:colOff>
      <xdr:row>69</xdr:row>
      <xdr:rowOff>73449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06" t="25914" r="10458" b="25642"/>
        <a:stretch/>
      </xdr:blipFill>
      <xdr:spPr>
        <a:xfrm>
          <a:off x="57151" y="11039475"/>
          <a:ext cx="3162300" cy="2178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2"/>
  <sheetViews>
    <sheetView zoomScale="82" zoomScaleNormal="130" workbookViewId="0">
      <selection activeCell="O42" sqref="O42"/>
    </sheetView>
  </sheetViews>
  <sheetFormatPr defaultRowHeight="14.5" x14ac:dyDescent="0.35"/>
  <sheetData>
    <row r="1" spans="1:21" x14ac:dyDescent="0.35">
      <c r="M1" s="78" t="s">
        <v>42</v>
      </c>
      <c r="N1" s="78"/>
      <c r="O1" s="78"/>
      <c r="P1" s="78"/>
      <c r="Q1" s="78"/>
      <c r="R1" s="78"/>
      <c r="S1" s="78"/>
      <c r="T1" s="78"/>
      <c r="U1" s="78"/>
    </row>
    <row r="2" spans="1:21" x14ac:dyDescent="0.35">
      <c r="J2" t="s">
        <v>1</v>
      </c>
      <c r="K2">
        <v>1.7</v>
      </c>
      <c r="M2" s="78"/>
      <c r="N2" s="78"/>
      <c r="O2" s="78"/>
      <c r="P2" s="78"/>
      <c r="Q2" s="78"/>
      <c r="R2" s="78"/>
      <c r="S2" s="78"/>
      <c r="T2" s="78"/>
      <c r="U2" s="78"/>
    </row>
    <row r="3" spans="1:21" x14ac:dyDescent="0.35">
      <c r="J3" t="s">
        <v>2</v>
      </c>
      <c r="K3">
        <f>2*K2</f>
        <v>3.4</v>
      </c>
      <c r="L3">
        <f>K3*100</f>
        <v>340</v>
      </c>
      <c r="M3" s="77" t="s">
        <v>43</v>
      </c>
      <c r="N3" s="77" t="s">
        <v>45</v>
      </c>
      <c r="O3" s="79" t="s">
        <v>44</v>
      </c>
      <c r="P3" s="77" t="s">
        <v>46</v>
      </c>
      <c r="Q3" s="77" t="s">
        <v>47</v>
      </c>
      <c r="R3" s="77"/>
      <c r="S3" s="77"/>
      <c r="T3" s="77"/>
      <c r="U3" s="77" t="s">
        <v>52</v>
      </c>
    </row>
    <row r="4" spans="1:21" x14ac:dyDescent="0.35">
      <c r="J4" t="s">
        <v>3</v>
      </c>
      <c r="K4">
        <v>1.2</v>
      </c>
      <c r="M4" s="77"/>
      <c r="N4" s="77"/>
      <c r="O4" s="79"/>
      <c r="P4" s="77"/>
      <c r="Q4" s="28" t="s">
        <v>48</v>
      </c>
      <c r="R4" s="28" t="s">
        <v>49</v>
      </c>
      <c r="S4" s="28" t="s">
        <v>50</v>
      </c>
      <c r="T4" s="28" t="s">
        <v>51</v>
      </c>
      <c r="U4" s="77"/>
    </row>
    <row r="5" spans="1:21" x14ac:dyDescent="0.35">
      <c r="J5" t="s">
        <v>29</v>
      </c>
      <c r="K5">
        <v>2.2000000000000002</v>
      </c>
      <c r="M5" s="3">
        <v>1</v>
      </c>
      <c r="N5" s="3" t="s">
        <v>31</v>
      </c>
      <c r="O5" s="3">
        <f>B15</f>
        <v>2.4</v>
      </c>
      <c r="P5" s="3"/>
      <c r="Q5" s="3">
        <f>B41</f>
        <v>0.8</v>
      </c>
      <c r="R5" s="74">
        <f>B104</f>
        <v>0.6</v>
      </c>
      <c r="S5" s="3">
        <f>B83</f>
        <v>0.4</v>
      </c>
      <c r="T5" s="3">
        <f>B62</f>
        <v>0.2</v>
      </c>
      <c r="U5" s="3"/>
    </row>
    <row r="6" spans="1:21" x14ac:dyDescent="0.35">
      <c r="J6" t="s">
        <v>162</v>
      </c>
      <c r="K6" s="61">
        <f>SIN(RADIANS(52))</f>
        <v>0.78801075360672201</v>
      </c>
      <c r="M6" s="3">
        <v>2</v>
      </c>
      <c r="N6" s="3" t="s">
        <v>32</v>
      </c>
      <c r="O6" s="3">
        <f>B16</f>
        <v>2.4</v>
      </c>
      <c r="P6" s="3"/>
      <c r="Q6" s="3">
        <f>B42</f>
        <v>0.2</v>
      </c>
      <c r="R6" s="74">
        <f>B106</f>
        <v>0.4</v>
      </c>
      <c r="S6" s="3">
        <f>B84</f>
        <v>0.6</v>
      </c>
      <c r="T6" s="3">
        <f>B63</f>
        <v>0.8</v>
      </c>
      <c r="U6" s="3"/>
    </row>
    <row r="7" spans="1:21" x14ac:dyDescent="0.35">
      <c r="J7" t="s">
        <v>163</v>
      </c>
      <c r="K7" s="61">
        <f>COS(RADIANS(52))</f>
        <v>0.61566147532565829</v>
      </c>
      <c r="M7" s="3">
        <v>3</v>
      </c>
      <c r="N7" s="3" t="s">
        <v>7</v>
      </c>
      <c r="O7" s="29">
        <f>B21</f>
        <v>-3.0456437161741889</v>
      </c>
      <c r="P7" s="3"/>
      <c r="Q7" s="29">
        <f>B45</f>
        <v>-1.015214572058063</v>
      </c>
      <c r="R7" s="29">
        <f>B108</f>
        <v>-0.76141092904354724</v>
      </c>
      <c r="S7" s="29">
        <f>B87</f>
        <v>-0.50760728602903149</v>
      </c>
      <c r="T7" s="29">
        <f>B66</f>
        <v>-0.25380364301451575</v>
      </c>
      <c r="U7" s="3"/>
    </row>
    <row r="8" spans="1:21" x14ac:dyDescent="0.35">
      <c r="M8" s="3">
        <v>4</v>
      </c>
      <c r="N8" s="3" t="s">
        <v>16</v>
      </c>
      <c r="O8" s="29">
        <f>B30</f>
        <v>4.6877137590403031</v>
      </c>
      <c r="P8" s="3"/>
      <c r="Q8" s="29">
        <f>B54</f>
        <v>2.0313426289174652</v>
      </c>
      <c r="R8" s="29">
        <f>B117</f>
        <v>0.93754275180806079</v>
      </c>
      <c r="S8" s="29">
        <f>B96</f>
        <v>0.6250285012053739</v>
      </c>
      <c r="T8" s="29">
        <f>B75</f>
        <v>0.31251425060268695</v>
      </c>
      <c r="U8" s="3"/>
    </row>
    <row r="9" spans="1:21" x14ac:dyDescent="0.35">
      <c r="M9" s="3">
        <v>5</v>
      </c>
      <c r="N9" s="3" t="s">
        <v>13</v>
      </c>
      <c r="O9" s="29">
        <f>B26</f>
        <v>-1.8750855036161216</v>
      </c>
      <c r="P9" s="3"/>
      <c r="Q9" s="29">
        <f>B50</f>
        <v>-0.15625712530134347</v>
      </c>
      <c r="R9" s="29">
        <f>B113</f>
        <v>-0.31251425060268695</v>
      </c>
      <c r="S9" s="29">
        <f>B92</f>
        <v>-0.4687713759040304</v>
      </c>
      <c r="T9" s="29">
        <f>B71</f>
        <v>-0.6250285012053739</v>
      </c>
      <c r="U9" s="3"/>
    </row>
    <row r="10" spans="1:21" x14ac:dyDescent="0.35">
      <c r="M10" s="3">
        <v>6</v>
      </c>
      <c r="N10" s="3" t="s">
        <v>12</v>
      </c>
      <c r="O10" s="29">
        <f>B25</f>
        <v>3.0456437161741889</v>
      </c>
      <c r="P10" s="3"/>
      <c r="Q10" s="29">
        <f>B49</f>
        <v>0.25380364301451575</v>
      </c>
      <c r="R10" s="29">
        <f>B112</f>
        <v>0.50760728602903149</v>
      </c>
      <c r="S10" s="29">
        <f>B91</f>
        <v>0.76141092904354724</v>
      </c>
      <c r="T10" s="29">
        <f>B70</f>
        <v>1.015214572058063</v>
      </c>
      <c r="U10" s="3"/>
    </row>
    <row r="11" spans="1:21" x14ac:dyDescent="0.35">
      <c r="M11" s="3">
        <v>7</v>
      </c>
      <c r="N11" s="3" t="s">
        <v>19</v>
      </c>
      <c r="O11" s="29">
        <f>E22</f>
        <v>2.8126282554241824</v>
      </c>
      <c r="P11" s="3"/>
      <c r="Q11" s="29">
        <f>E46</f>
        <v>0.31251425060268695</v>
      </c>
      <c r="R11" s="29">
        <f>E117</f>
        <v>0.62502850120537379</v>
      </c>
      <c r="S11" s="29">
        <f>E88</f>
        <v>0.93754275180806079</v>
      </c>
      <c r="T11" s="29">
        <f>E67</f>
        <v>0.46877137590403045</v>
      </c>
      <c r="U11" s="3"/>
    </row>
    <row r="12" spans="1:21" x14ac:dyDescent="0.35">
      <c r="M12" s="3">
        <v>8</v>
      </c>
      <c r="N12" s="3" t="s">
        <v>10</v>
      </c>
      <c r="O12" s="29">
        <f>B22</f>
        <v>1.8750855036161216</v>
      </c>
      <c r="P12" s="3"/>
      <c r="Q12" s="29">
        <f>B46</f>
        <v>0.6250285012053739</v>
      </c>
      <c r="R12" s="29">
        <f>B109</f>
        <v>0.4687713759040304</v>
      </c>
      <c r="S12" s="29">
        <f>B88</f>
        <v>0.31251425060268695</v>
      </c>
      <c r="T12" s="29">
        <f>B67</f>
        <v>0.15625712530134347</v>
      </c>
      <c r="U12" s="3"/>
    </row>
    <row r="13" spans="1:21" x14ac:dyDescent="0.35">
      <c r="M13" s="3">
        <v>9</v>
      </c>
      <c r="N13" s="3" t="s">
        <v>15</v>
      </c>
      <c r="O13" s="29">
        <f>B29</f>
        <v>-4.5684655742612827</v>
      </c>
      <c r="P13" s="3"/>
      <c r="Q13" s="29">
        <f>B53</f>
        <v>-2.2842327871306418</v>
      </c>
      <c r="R13" s="29">
        <f>B116</f>
        <v>-0.76141092904354724</v>
      </c>
      <c r="S13" s="29">
        <f>B95</f>
        <v>-0.50760728602903149</v>
      </c>
      <c r="T13" s="29">
        <f>B74</f>
        <v>-0.25380364301451575</v>
      </c>
      <c r="U13" s="3"/>
    </row>
    <row r="14" spans="1:21" x14ac:dyDescent="0.35">
      <c r="M14" s="3">
        <v>10</v>
      </c>
      <c r="N14" s="3" t="s">
        <v>21</v>
      </c>
      <c r="O14" s="29">
        <f>E25</f>
        <v>-3.0456437161741889</v>
      </c>
      <c r="P14" s="3"/>
      <c r="Q14" s="29">
        <f>E49</f>
        <v>-0.25380364301451575</v>
      </c>
      <c r="R14" s="29">
        <f>E116</f>
        <v>0.50760728602903149</v>
      </c>
      <c r="S14" s="29">
        <f>E91</f>
        <v>-2.030429144116126</v>
      </c>
      <c r="T14" s="29">
        <f>E70</f>
        <v>-0.25380364301451569</v>
      </c>
      <c r="U14" s="3"/>
    </row>
    <row r="15" spans="1:21" x14ac:dyDescent="0.35">
      <c r="A15" s="1" t="s">
        <v>0</v>
      </c>
      <c r="B15">
        <f>((K4*4*K2)+(K4*3*K2)+(K4*2*K2)+(K4*K2))/(5*K2)</f>
        <v>2.4</v>
      </c>
      <c r="M15" s="3">
        <v>11</v>
      </c>
      <c r="N15" s="3" t="s">
        <v>18</v>
      </c>
      <c r="O15" s="29">
        <f>E21</f>
        <v>-1.5228218580870945</v>
      </c>
      <c r="P15" s="3"/>
      <c r="Q15" s="29">
        <f>E45</f>
        <v>-0.25380364301451575</v>
      </c>
      <c r="R15" s="29">
        <f>E108</f>
        <v>-0.50760728602903149</v>
      </c>
      <c r="S15" s="29">
        <f>E87</f>
        <v>-0.76141092904354724</v>
      </c>
      <c r="T15" s="29">
        <f>E66</f>
        <v>0.25380364301451569</v>
      </c>
      <c r="U15" s="3"/>
    </row>
    <row r="16" spans="1:21" x14ac:dyDescent="0.35">
      <c r="A16" s="1" t="s">
        <v>4</v>
      </c>
      <c r="B16">
        <f>((K4*4*K2)+(K4*3*K2)+(K4*2*K2)+(K4*K2))/(5*K2)</f>
        <v>2.4</v>
      </c>
    </row>
    <row r="17" spans="1:28" x14ac:dyDescent="0.35">
      <c r="A17" t="s">
        <v>5</v>
      </c>
      <c r="B17">
        <f>B15+B16-(4*K4)</f>
        <v>0</v>
      </c>
    </row>
    <row r="18" spans="1:28" x14ac:dyDescent="0.35">
      <c r="M18" t="s">
        <v>53</v>
      </c>
    </row>
    <row r="20" spans="1:28" x14ac:dyDescent="0.35">
      <c r="A20" s="8" t="s">
        <v>6</v>
      </c>
      <c r="B20" s="18"/>
      <c r="C20" s="18"/>
      <c r="D20" s="18" t="s">
        <v>17</v>
      </c>
      <c r="E20" s="19"/>
      <c r="G20" s="75" t="s">
        <v>23</v>
      </c>
      <c r="H20" s="75" t="s">
        <v>24</v>
      </c>
      <c r="I20" s="75"/>
      <c r="M20" t="s">
        <v>3</v>
      </c>
      <c r="N20" s="31">
        <f>Q7</f>
        <v>-1.015214572058063</v>
      </c>
      <c r="O20" s="31">
        <f t="shared" ref="O20:Q20" si="0">R7</f>
        <v>-0.76141092904354724</v>
      </c>
      <c r="P20" s="31">
        <f t="shared" si="0"/>
        <v>-0.50760728602903149</v>
      </c>
      <c r="Q20" s="31">
        <f t="shared" si="0"/>
        <v>-0.25380364301451575</v>
      </c>
      <c r="S20" t="s">
        <v>54</v>
      </c>
      <c r="T20" s="32">
        <f t="array" ref="T20:AB23">TRANSPOSE(N20:Q28)</f>
        <v>-1.015214572058063</v>
      </c>
      <c r="U20" s="32">
        <v>2.0313426289174652</v>
      </c>
      <c r="V20" s="32">
        <v>-0.15625712530134347</v>
      </c>
      <c r="W20" s="32">
        <v>0.25380364301451575</v>
      </c>
      <c r="X20" s="32">
        <v>0.31251425060268695</v>
      </c>
      <c r="Y20" s="32">
        <v>0.6250285012053739</v>
      </c>
      <c r="Z20" s="32">
        <v>-2.2842327871306418</v>
      </c>
      <c r="AA20" s="32">
        <v>-0.25380364301451575</v>
      </c>
      <c r="AB20" s="32">
        <v>-0.25380364301451575</v>
      </c>
    </row>
    <row r="21" spans="1:28" x14ac:dyDescent="0.35">
      <c r="A21" s="10" t="s">
        <v>7</v>
      </c>
      <c r="B21" s="14">
        <f>-B15/K6</f>
        <v>-3.0456437161741889</v>
      </c>
      <c r="C21" s="11"/>
      <c r="D21" s="11" t="s">
        <v>18</v>
      </c>
      <c r="E21" s="20">
        <f>((-B25*K6)+K4)/K6</f>
        <v>-1.5228218580870945</v>
      </c>
      <c r="G21" s="75"/>
      <c r="H21" s="4" t="s">
        <v>25</v>
      </c>
      <c r="I21" s="4" t="s">
        <v>26</v>
      </c>
      <c r="N21" s="31">
        <f t="shared" ref="N21:N28" si="1">Q8</f>
        <v>2.0313426289174652</v>
      </c>
      <c r="O21" s="31">
        <f t="shared" ref="O21:O28" si="2">R8</f>
        <v>0.93754275180806079</v>
      </c>
      <c r="P21" s="31">
        <f t="shared" ref="P21:P28" si="3">S8</f>
        <v>0.6250285012053739</v>
      </c>
      <c r="Q21" s="31">
        <f t="shared" ref="Q21:Q28" si="4">T8</f>
        <v>0.31251425060268695</v>
      </c>
      <c r="T21" s="32">
        <v>-0.76141092904354724</v>
      </c>
      <c r="U21" s="32">
        <v>0.93754275180806079</v>
      </c>
      <c r="V21" s="32">
        <v>-0.31251425060268695</v>
      </c>
      <c r="W21" s="32">
        <v>0.50760728602903149</v>
      </c>
      <c r="X21" s="32">
        <v>0.62502850120537379</v>
      </c>
      <c r="Y21" s="32">
        <v>0.4687713759040304</v>
      </c>
      <c r="Z21" s="32">
        <v>-0.76141092904354724</v>
      </c>
      <c r="AA21" s="32">
        <v>0.50760728602903149</v>
      </c>
      <c r="AB21" s="32">
        <v>-0.50760728602903149</v>
      </c>
    </row>
    <row r="22" spans="1:28" x14ac:dyDescent="0.35">
      <c r="A22" s="10" t="s">
        <v>10</v>
      </c>
      <c r="B22" s="14">
        <f>-(B21*K7)</f>
        <v>1.8750855036161216</v>
      </c>
      <c r="C22" s="11"/>
      <c r="D22" s="11" t="s">
        <v>19</v>
      </c>
      <c r="E22" s="20">
        <f>(-E21*K7)+(B25*K7)</f>
        <v>2.8126282554241824</v>
      </c>
      <c r="G22" s="3" t="s">
        <v>7</v>
      </c>
      <c r="H22" s="3"/>
      <c r="I22" s="6">
        <f>B21</f>
        <v>-3.0456437161741889</v>
      </c>
      <c r="J22" s="71"/>
      <c r="K22" s="71"/>
      <c r="N22" s="31">
        <f t="shared" si="1"/>
        <v>-0.15625712530134347</v>
      </c>
      <c r="O22" s="31">
        <f t="shared" si="2"/>
        <v>-0.31251425060268695</v>
      </c>
      <c r="P22" s="31">
        <f t="shared" si="3"/>
        <v>-0.4687713759040304</v>
      </c>
      <c r="Q22" s="31">
        <f t="shared" si="4"/>
        <v>-0.6250285012053739</v>
      </c>
      <c r="T22" s="32">
        <v>-0.50760728602903149</v>
      </c>
      <c r="U22" s="32">
        <v>0.6250285012053739</v>
      </c>
      <c r="V22" s="32">
        <v>-0.4687713759040304</v>
      </c>
      <c r="W22" s="32">
        <v>0.76141092904354724</v>
      </c>
      <c r="X22" s="32">
        <v>0.93754275180806079</v>
      </c>
      <c r="Y22" s="32">
        <v>0.31251425060268695</v>
      </c>
      <c r="Z22" s="32">
        <v>-0.50760728602903149</v>
      </c>
      <c r="AA22" s="32">
        <v>-2.030429144116126</v>
      </c>
      <c r="AB22" s="32">
        <v>-0.76141092904354724</v>
      </c>
    </row>
    <row r="23" spans="1:28" x14ac:dyDescent="0.35">
      <c r="A23" s="10"/>
      <c r="B23" s="11"/>
      <c r="C23" s="11"/>
      <c r="D23" s="11"/>
      <c r="E23" s="12"/>
      <c r="G23" s="3" t="s">
        <v>16</v>
      </c>
      <c r="H23" s="5">
        <f>B30</f>
        <v>4.6877137590403031</v>
      </c>
      <c r="I23" s="3"/>
      <c r="J23" s="71"/>
      <c r="K23" s="71"/>
      <c r="N23" s="31">
        <f t="shared" si="1"/>
        <v>0.25380364301451575</v>
      </c>
      <c r="O23" s="31">
        <f t="shared" si="2"/>
        <v>0.50760728602903149</v>
      </c>
      <c r="P23" s="31">
        <f t="shared" si="3"/>
        <v>0.76141092904354724</v>
      </c>
      <c r="Q23" s="31">
        <f t="shared" si="4"/>
        <v>1.015214572058063</v>
      </c>
      <c r="T23" s="32">
        <v>-0.25380364301451575</v>
      </c>
      <c r="U23" s="32">
        <v>0.31251425060268695</v>
      </c>
      <c r="V23" s="32">
        <v>-0.6250285012053739</v>
      </c>
      <c r="W23" s="32">
        <v>1.015214572058063</v>
      </c>
      <c r="X23" s="32">
        <v>0.46877137590403045</v>
      </c>
      <c r="Y23" s="32">
        <v>0.15625712530134347</v>
      </c>
      <c r="Z23" s="32">
        <v>-0.25380364301451575</v>
      </c>
      <c r="AA23" s="32">
        <v>-0.25380364301451569</v>
      </c>
      <c r="AB23" s="32">
        <v>0.25380364301451569</v>
      </c>
    </row>
    <row r="24" spans="1:28" x14ac:dyDescent="0.35">
      <c r="A24" s="10" t="s">
        <v>11</v>
      </c>
      <c r="B24" s="11"/>
      <c r="C24" s="11"/>
      <c r="D24" s="11" t="s">
        <v>20</v>
      </c>
      <c r="E24" s="12"/>
      <c r="G24" s="3" t="s">
        <v>13</v>
      </c>
      <c r="H24" s="3"/>
      <c r="I24" s="6">
        <f>B26</f>
        <v>-1.8750855036161216</v>
      </c>
      <c r="J24" s="71"/>
      <c r="K24" s="71"/>
      <c r="N24" s="31">
        <f t="shared" si="1"/>
        <v>0.31251425060268695</v>
      </c>
      <c r="O24" s="31">
        <f t="shared" si="2"/>
        <v>0.62502850120537379</v>
      </c>
      <c r="P24" s="31">
        <f t="shared" si="3"/>
        <v>0.93754275180806079</v>
      </c>
      <c r="Q24" s="31">
        <f t="shared" si="4"/>
        <v>0.46877137590403045</v>
      </c>
    </row>
    <row r="25" spans="1:28" x14ac:dyDescent="0.35">
      <c r="A25" s="10" t="s">
        <v>12</v>
      </c>
      <c r="B25" s="14">
        <f>B16/K6</f>
        <v>3.0456437161741889</v>
      </c>
      <c r="C25" s="11"/>
      <c r="D25" s="11" t="s">
        <v>21</v>
      </c>
      <c r="E25" s="20">
        <f>((E21*K6)-K4)/K6</f>
        <v>-3.0456437161741889</v>
      </c>
      <c r="G25" s="3" t="s">
        <v>12</v>
      </c>
      <c r="H25" s="5">
        <f>B25</f>
        <v>3.0456437161741889</v>
      </c>
      <c r="I25" s="3"/>
      <c r="J25" s="71"/>
      <c r="K25" s="71"/>
      <c r="N25" s="31">
        <f t="shared" si="1"/>
        <v>0.6250285012053739</v>
      </c>
      <c r="O25" s="31">
        <f t="shared" si="2"/>
        <v>0.4687713759040304</v>
      </c>
      <c r="P25" s="31">
        <f t="shared" si="3"/>
        <v>0.31251425060268695</v>
      </c>
      <c r="Q25" s="31">
        <f t="shared" si="4"/>
        <v>0.15625712530134347</v>
      </c>
    </row>
    <row r="26" spans="1:28" x14ac:dyDescent="0.35">
      <c r="A26" s="10" t="s">
        <v>13</v>
      </c>
      <c r="B26" s="14">
        <f>-B25*K7</f>
        <v>-1.8750855036161216</v>
      </c>
      <c r="C26" s="11"/>
      <c r="D26" s="11" t="s">
        <v>16</v>
      </c>
      <c r="E26" s="20">
        <f>(-E25*K7)-(E21*K7)-B26</f>
        <v>4.687713759040304</v>
      </c>
      <c r="G26" s="3" t="s">
        <v>19</v>
      </c>
      <c r="H26" s="5">
        <f>E22</f>
        <v>2.8126282554241824</v>
      </c>
      <c r="I26" s="3"/>
      <c r="J26" s="71"/>
      <c r="K26" s="71"/>
      <c r="N26" s="31">
        <f t="shared" si="1"/>
        <v>-2.2842327871306418</v>
      </c>
      <c r="O26" s="31">
        <f t="shared" si="2"/>
        <v>-0.76141092904354724</v>
      </c>
      <c r="P26" s="31">
        <f t="shared" si="3"/>
        <v>-0.50760728602903149</v>
      </c>
      <c r="Q26" s="31">
        <f t="shared" si="4"/>
        <v>-0.25380364301451575</v>
      </c>
    </row>
    <row r="27" spans="1:28" x14ac:dyDescent="0.35">
      <c r="A27" s="10"/>
      <c r="B27" s="11"/>
      <c r="C27" s="11"/>
      <c r="D27" s="11"/>
      <c r="E27" s="12"/>
      <c r="G27" s="3" t="s">
        <v>10</v>
      </c>
      <c r="H27" s="5">
        <f>E29</f>
        <v>1.875085503616122</v>
      </c>
      <c r="I27" s="3"/>
      <c r="J27" s="71"/>
      <c r="K27" s="71"/>
      <c r="N27" s="31">
        <f t="shared" si="1"/>
        <v>-0.25380364301451575</v>
      </c>
      <c r="O27" s="31">
        <f t="shared" si="2"/>
        <v>0.50760728602903149</v>
      </c>
      <c r="P27" s="31">
        <f t="shared" si="3"/>
        <v>-2.030429144116126</v>
      </c>
      <c r="Q27" s="31">
        <f t="shared" si="4"/>
        <v>-0.25380364301451569</v>
      </c>
    </row>
    <row r="28" spans="1:28" x14ac:dyDescent="0.35">
      <c r="A28" s="10" t="s">
        <v>14</v>
      </c>
      <c r="B28" s="11"/>
      <c r="C28" s="11"/>
      <c r="D28" s="11" t="s">
        <v>22</v>
      </c>
      <c r="E28" s="12"/>
      <c r="G28" s="3" t="s">
        <v>15</v>
      </c>
      <c r="H28" s="3"/>
      <c r="I28" s="6">
        <f>B29</f>
        <v>-4.5684655742612827</v>
      </c>
      <c r="J28" s="71"/>
      <c r="K28" s="71"/>
      <c r="N28" s="31">
        <f t="shared" si="1"/>
        <v>-0.25380364301451575</v>
      </c>
      <c r="O28" s="31">
        <f t="shared" si="2"/>
        <v>-0.50760728602903149</v>
      </c>
      <c r="P28" s="31">
        <f t="shared" si="3"/>
        <v>-0.76141092904354724</v>
      </c>
      <c r="Q28" s="31">
        <f t="shared" si="4"/>
        <v>0.25380364301451569</v>
      </c>
    </row>
    <row r="29" spans="1:28" x14ac:dyDescent="0.35">
      <c r="A29" s="10" t="s">
        <v>15</v>
      </c>
      <c r="B29" s="14">
        <f>((B21*K6)-K4)/K6</f>
        <v>-4.5684655742612827</v>
      </c>
      <c r="C29" s="11"/>
      <c r="D29" s="11" t="s">
        <v>10</v>
      </c>
      <c r="E29" s="20">
        <f>(B29*K7)-(E25*K7)+E22</f>
        <v>1.875085503616122</v>
      </c>
      <c r="G29" s="3" t="s">
        <v>21</v>
      </c>
      <c r="H29" s="3"/>
      <c r="I29" s="6">
        <f>E25</f>
        <v>-3.0456437161741889</v>
      </c>
      <c r="J29" s="71"/>
      <c r="K29" s="71"/>
      <c r="N29" s="2"/>
    </row>
    <row r="30" spans="1:28" x14ac:dyDescent="0.35">
      <c r="A30" s="15" t="s">
        <v>16</v>
      </c>
      <c r="B30" s="16">
        <f>-((B21*K7)+(B29*K7))</f>
        <v>4.6877137590403031</v>
      </c>
      <c r="C30" s="21"/>
      <c r="D30" s="21"/>
      <c r="E30" s="17"/>
      <c r="G30" s="3" t="s">
        <v>18</v>
      </c>
      <c r="H30" s="3"/>
      <c r="I30" s="6">
        <f>E21</f>
        <v>-1.5228218580870945</v>
      </c>
      <c r="N30" s="2"/>
    </row>
    <row r="31" spans="1:28" x14ac:dyDescent="0.35">
      <c r="M31" t="s">
        <v>55</v>
      </c>
      <c r="N31" s="2"/>
      <c r="O31" s="27">
        <f>L3/20000</f>
        <v>1.7000000000000001E-2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</row>
    <row r="32" spans="1:28" x14ac:dyDescent="0.35">
      <c r="O32" s="27">
        <v>0</v>
      </c>
      <c r="P32" s="27">
        <f>O31</f>
        <v>1.7000000000000001E-2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</row>
    <row r="33" spans="1:28" x14ac:dyDescent="0.35">
      <c r="A33" s="8" t="s">
        <v>27</v>
      </c>
      <c r="B33" s="18"/>
      <c r="C33" s="18"/>
      <c r="D33" s="18"/>
      <c r="E33" s="19"/>
      <c r="O33" s="27">
        <v>0</v>
      </c>
      <c r="P33" s="27">
        <v>0</v>
      </c>
      <c r="Q33" s="27">
        <f>P32</f>
        <v>1.7000000000000001E-2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</row>
    <row r="34" spans="1:28" x14ac:dyDescent="0.35">
      <c r="A34" s="10" t="s">
        <v>28</v>
      </c>
      <c r="B34" s="14">
        <f>K5</f>
        <v>2.2000000000000002</v>
      </c>
      <c r="C34" s="14">
        <f>K6*K3</f>
        <v>2.6792365622628549</v>
      </c>
      <c r="D34" s="11"/>
      <c r="E34" s="12"/>
      <c r="O34" s="27">
        <v>0</v>
      </c>
      <c r="P34" s="27">
        <v>0</v>
      </c>
      <c r="Q34" s="27">
        <v>0</v>
      </c>
      <c r="R34" s="27">
        <f>Q33</f>
        <v>1.7000000000000001E-2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</row>
    <row r="35" spans="1:28" x14ac:dyDescent="0.35">
      <c r="A35" s="10"/>
      <c r="B35" s="11"/>
      <c r="C35" s="11"/>
      <c r="D35" s="11"/>
      <c r="E35" s="12"/>
      <c r="O35" s="27">
        <v>0</v>
      </c>
      <c r="P35" s="27">
        <v>0</v>
      </c>
      <c r="Q35" s="27">
        <v>0</v>
      </c>
      <c r="R35" s="27">
        <v>0</v>
      </c>
      <c r="S35" s="27">
        <f>R34</f>
        <v>1.7000000000000001E-2</v>
      </c>
      <c r="T35" s="27">
        <v>0</v>
      </c>
      <c r="U35" s="27">
        <v>0</v>
      </c>
      <c r="V35" s="27">
        <v>0</v>
      </c>
      <c r="W35" s="27">
        <v>0</v>
      </c>
    </row>
    <row r="36" spans="1:28" x14ac:dyDescent="0.35">
      <c r="A36" s="10" t="s">
        <v>16</v>
      </c>
      <c r="B36" s="13">
        <f>H23</f>
        <v>4.6877137590403031</v>
      </c>
      <c r="C36" s="11">
        <f>(-(B15*K3)+(K4*K2))/C34</f>
        <v>-2.2842327871306418</v>
      </c>
      <c r="D36" s="11" t="s">
        <v>13</v>
      </c>
      <c r="E36" s="20">
        <f>-B15*K2/C34</f>
        <v>-1.5228218580870945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f>S35</f>
        <v>1.7000000000000001E-2</v>
      </c>
      <c r="U36" s="27">
        <v>0</v>
      </c>
      <c r="V36" s="27">
        <v>0</v>
      </c>
      <c r="W36" s="27">
        <v>0</v>
      </c>
    </row>
    <row r="37" spans="1:28" x14ac:dyDescent="0.35">
      <c r="A37" s="10" t="s">
        <v>10</v>
      </c>
      <c r="B37" s="14">
        <f>(B15*K2)/C34</f>
        <v>1.5228218580870945</v>
      </c>
      <c r="C37" s="11"/>
      <c r="D37" s="11" t="s">
        <v>19</v>
      </c>
      <c r="E37" s="20">
        <f>-((-B15*2*K2)+(K4*K2))/C34</f>
        <v>2.2842327871306418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f>T36</f>
        <v>1.7000000000000001E-2</v>
      </c>
      <c r="V37" s="27">
        <v>0</v>
      </c>
      <c r="W37" s="27">
        <v>0</v>
      </c>
    </row>
    <row r="38" spans="1:28" x14ac:dyDescent="0.35">
      <c r="A38" s="15" t="s">
        <v>15</v>
      </c>
      <c r="B38" s="16">
        <f>((-B36*C34)-(K4*K2))/C34</f>
        <v>-5.4491246880838498</v>
      </c>
      <c r="C38" s="21">
        <f>((-C36*C34)-(K4*K2))/C34</f>
        <v>1.5228218580870945</v>
      </c>
      <c r="D38" s="21" t="s">
        <v>18</v>
      </c>
      <c r="E38" s="23">
        <f>-((-K4*K2)+(E37*C34))/C34</f>
        <v>-1.5228218580870945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f>U37</f>
        <v>1.7000000000000001E-2</v>
      </c>
      <c r="W38" s="27">
        <v>0</v>
      </c>
    </row>
    <row r="39" spans="1:28" x14ac:dyDescent="0.35"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f>V38</f>
        <v>1.7000000000000001E-2</v>
      </c>
    </row>
    <row r="40" spans="1:28" x14ac:dyDescent="0.35">
      <c r="A40" s="22" t="s">
        <v>30</v>
      </c>
      <c r="B40" s="22"/>
    </row>
    <row r="41" spans="1:28" x14ac:dyDescent="0.35">
      <c r="A41" t="s">
        <v>31</v>
      </c>
      <c r="B41">
        <f>4/5</f>
        <v>0.8</v>
      </c>
      <c r="D41" t="s">
        <v>8</v>
      </c>
      <c r="E41" s="2">
        <f>K6</f>
        <v>0.78801075360672201</v>
      </c>
    </row>
    <row r="42" spans="1:28" x14ac:dyDescent="0.35">
      <c r="A42" t="s">
        <v>32</v>
      </c>
      <c r="B42">
        <f>1/5</f>
        <v>0.2</v>
      </c>
      <c r="D42" t="s">
        <v>34</v>
      </c>
      <c r="E42">
        <f>K7</f>
        <v>0.61566147532565829</v>
      </c>
      <c r="M42" t="s">
        <v>56</v>
      </c>
      <c r="N42" s="37"/>
      <c r="O42" s="32">
        <f t="array" ref="O42:R50">MMULT(O31:W39,N20:Q28)</f>
        <v>-1.7258647724987072E-2</v>
      </c>
      <c r="P42" s="32">
        <v>-1.2943985793740304E-2</v>
      </c>
      <c r="Q42" s="32">
        <v>-8.6293238624935362E-3</v>
      </c>
      <c r="R42" s="32">
        <v>-4.3146619312467681E-3</v>
      </c>
    </row>
    <row r="43" spans="1:28" x14ac:dyDescent="0.35">
      <c r="O43" s="32">
        <v>3.4532824691596908E-2</v>
      </c>
      <c r="P43" s="32">
        <v>1.5938226780737034E-2</v>
      </c>
      <c r="Q43" s="32">
        <v>1.0625484520491358E-2</v>
      </c>
      <c r="R43" s="32">
        <v>5.3127422602456788E-3</v>
      </c>
    </row>
    <row r="44" spans="1:28" x14ac:dyDescent="0.35">
      <c r="A44" s="8" t="s">
        <v>33</v>
      </c>
      <c r="B44" s="18"/>
      <c r="C44" s="18"/>
      <c r="D44" s="18" t="s">
        <v>17</v>
      </c>
      <c r="E44" s="19"/>
      <c r="N44" s="2"/>
      <c r="O44" s="32">
        <v>-2.6563711301228394E-3</v>
      </c>
      <c r="P44" s="32">
        <v>-5.3127422602456788E-3</v>
      </c>
      <c r="Q44" s="32">
        <v>-7.9691133903685169E-3</v>
      </c>
      <c r="R44" s="32">
        <v>-1.0625484520491358E-2</v>
      </c>
      <c r="T44" s="31">
        <f t="array" ref="T44:AB47">T20:AB23</f>
        <v>-1.015214572058063</v>
      </c>
      <c r="U44" s="31">
        <v>2.0313426289174652</v>
      </c>
      <c r="V44" s="31">
        <v>-0.15625712530134347</v>
      </c>
      <c r="W44" s="31">
        <v>0.25380364301451575</v>
      </c>
      <c r="X44" s="31">
        <v>0.31251425060268695</v>
      </c>
      <c r="Y44" s="31">
        <v>0.6250285012053739</v>
      </c>
      <c r="Z44" s="31">
        <v>-2.2842327871306418</v>
      </c>
      <c r="AA44" s="31">
        <v>-0.25380364301451575</v>
      </c>
      <c r="AB44" s="31">
        <v>-0.25380364301451575</v>
      </c>
    </row>
    <row r="45" spans="1:28" x14ac:dyDescent="0.35">
      <c r="A45" s="10" t="s">
        <v>7</v>
      </c>
      <c r="B45" s="14">
        <f>-B41/E41</f>
        <v>-1.015214572058063</v>
      </c>
      <c r="C45" s="11"/>
      <c r="D45" s="11" t="s">
        <v>18</v>
      </c>
      <c r="E45" s="20">
        <f>(-B49*E41)/E41</f>
        <v>-0.25380364301451575</v>
      </c>
      <c r="O45" s="32">
        <v>4.3146619312467681E-3</v>
      </c>
      <c r="P45" s="32">
        <v>8.6293238624935362E-3</v>
      </c>
      <c r="Q45" s="32">
        <v>1.2943985793740304E-2</v>
      </c>
      <c r="R45" s="32">
        <v>1.7258647724987072E-2</v>
      </c>
      <c r="S45" s="35" t="s">
        <v>57</v>
      </c>
      <c r="T45" s="31">
        <v>-0.76141092904354724</v>
      </c>
      <c r="U45" s="31">
        <v>0.93754275180806079</v>
      </c>
      <c r="V45" s="31">
        <v>-0.31251425060268695</v>
      </c>
      <c r="W45" s="31">
        <v>0.50760728602903149</v>
      </c>
      <c r="X45" s="31">
        <v>0.62502850120537379</v>
      </c>
      <c r="Y45" s="31">
        <v>0.4687713759040304</v>
      </c>
      <c r="Z45" s="31">
        <v>-0.76141092904354724</v>
      </c>
      <c r="AA45" s="31">
        <v>0.50760728602903149</v>
      </c>
      <c r="AB45" s="31">
        <v>-0.50760728602903149</v>
      </c>
    </row>
    <row r="46" spans="1:28" x14ac:dyDescent="0.35">
      <c r="A46" s="10" t="s">
        <v>10</v>
      </c>
      <c r="B46" s="14">
        <f>-B45*E42</f>
        <v>0.6250285012053739</v>
      </c>
      <c r="C46" s="11"/>
      <c r="D46" s="11" t="s">
        <v>19</v>
      </c>
      <c r="E46" s="20">
        <f>((B49*E42)-(E45*E42))</f>
        <v>0.31251425060268695</v>
      </c>
      <c r="O46" s="32">
        <v>5.3127422602456788E-3</v>
      </c>
      <c r="P46" s="32">
        <v>1.0625484520491356E-2</v>
      </c>
      <c r="Q46" s="32">
        <v>1.5938226780737034E-2</v>
      </c>
      <c r="R46" s="32">
        <v>7.9691133903685187E-3</v>
      </c>
      <c r="T46" s="31">
        <v>-0.50760728602903149</v>
      </c>
      <c r="U46" s="31">
        <v>0.6250285012053739</v>
      </c>
      <c r="V46" s="31">
        <v>-0.4687713759040304</v>
      </c>
      <c r="W46" s="31">
        <v>0.76141092904354724</v>
      </c>
      <c r="X46" s="31">
        <v>0.93754275180806079</v>
      </c>
      <c r="Y46" s="31">
        <v>0.31251425060268695</v>
      </c>
      <c r="Z46" s="31">
        <v>-0.50760728602903149</v>
      </c>
      <c r="AA46" s="31">
        <v>-2.030429144116126</v>
      </c>
      <c r="AB46" s="31">
        <v>-0.76141092904354724</v>
      </c>
    </row>
    <row r="47" spans="1:28" x14ac:dyDescent="0.35">
      <c r="A47" s="10"/>
      <c r="B47" s="11"/>
      <c r="C47" s="11"/>
      <c r="D47" s="11"/>
      <c r="E47" s="12"/>
      <c r="O47" s="32">
        <v>1.0625484520491358E-2</v>
      </c>
      <c r="P47" s="32">
        <v>7.9691133903685169E-3</v>
      </c>
      <c r="Q47" s="32">
        <v>5.3127422602456788E-3</v>
      </c>
      <c r="R47" s="32">
        <v>2.6563711301228394E-3</v>
      </c>
      <c r="T47" s="31">
        <v>-0.25380364301451575</v>
      </c>
      <c r="U47" s="31">
        <v>0.31251425060268695</v>
      </c>
      <c r="V47" s="31">
        <v>-0.6250285012053739</v>
      </c>
      <c r="W47" s="31">
        <v>1.015214572058063</v>
      </c>
      <c r="X47" s="31">
        <v>0.46877137590403045</v>
      </c>
      <c r="Y47" s="31">
        <v>0.15625712530134347</v>
      </c>
      <c r="Z47" s="31">
        <v>-0.25380364301451575</v>
      </c>
      <c r="AA47" s="31">
        <v>-0.25380364301451569</v>
      </c>
      <c r="AB47" s="31">
        <v>0.25380364301451569</v>
      </c>
    </row>
    <row r="48" spans="1:28" x14ac:dyDescent="0.35">
      <c r="A48" s="10" t="s">
        <v>35</v>
      </c>
      <c r="B48" s="11"/>
      <c r="C48" s="11"/>
      <c r="D48" s="11" t="s">
        <v>22</v>
      </c>
      <c r="E48" s="12"/>
      <c r="O48" s="32">
        <v>-3.8831957381220916E-2</v>
      </c>
      <c r="P48" s="32">
        <v>-1.2943985793740304E-2</v>
      </c>
      <c r="Q48" s="32">
        <v>-8.6293238624935362E-3</v>
      </c>
      <c r="R48" s="32">
        <v>-4.3146619312467681E-3</v>
      </c>
    </row>
    <row r="49" spans="1:18" x14ac:dyDescent="0.35">
      <c r="A49" s="10" t="s">
        <v>12</v>
      </c>
      <c r="B49" s="14">
        <f>B42/E41</f>
        <v>0.25380364301451575</v>
      </c>
      <c r="C49" s="11"/>
      <c r="D49" s="11" t="s">
        <v>21</v>
      </c>
      <c r="E49" s="20">
        <f>(E45*E41)/E41</f>
        <v>-0.25380364301451575</v>
      </c>
      <c r="O49" s="32">
        <v>-4.3146619312467681E-3</v>
      </c>
      <c r="P49" s="32">
        <v>8.6293238624935362E-3</v>
      </c>
      <c r="Q49" s="32">
        <v>-3.4517295449974145E-2</v>
      </c>
      <c r="R49" s="32">
        <v>-4.3146619312467672E-3</v>
      </c>
    </row>
    <row r="50" spans="1:18" x14ac:dyDescent="0.35">
      <c r="A50" s="10" t="s">
        <v>13</v>
      </c>
      <c r="B50" s="14">
        <f>-B49*E42</f>
        <v>-0.15625712530134347</v>
      </c>
      <c r="C50" s="11"/>
      <c r="D50" s="11" t="s">
        <v>16</v>
      </c>
      <c r="E50" s="20">
        <f>(-E49*E42)-(E45*E42)+B50</f>
        <v>0.15625712530134347</v>
      </c>
      <c r="O50" s="32">
        <v>-4.3146619312467681E-3</v>
      </c>
      <c r="P50" s="32">
        <v>-8.6293238624935362E-3</v>
      </c>
      <c r="Q50" s="32">
        <v>-1.2943985793740304E-2</v>
      </c>
      <c r="R50" s="32">
        <v>4.3146619312467672E-3</v>
      </c>
    </row>
    <row r="51" spans="1:18" x14ac:dyDescent="0.35">
      <c r="A51" s="10"/>
      <c r="B51" s="11"/>
      <c r="C51" s="11"/>
      <c r="D51" s="11"/>
      <c r="E51" s="12"/>
    </row>
    <row r="52" spans="1:18" x14ac:dyDescent="0.35">
      <c r="A52" s="10" t="s">
        <v>36</v>
      </c>
      <c r="B52" s="11"/>
      <c r="C52" s="11"/>
      <c r="D52" s="11" t="s">
        <v>20</v>
      </c>
      <c r="E52" s="12"/>
      <c r="L52" t="s">
        <v>59</v>
      </c>
      <c r="M52" t="s">
        <v>58</v>
      </c>
      <c r="N52" s="35"/>
      <c r="O52" s="36">
        <f t="array" ref="O52:R55">MMULT(T44:AB47,O42:R50)</f>
        <v>0.188372305792678</v>
      </c>
      <c r="P52" s="36">
        <v>8.6405845230233105E-2</v>
      </c>
      <c r="Q52" s="36">
        <v>7.4933845400544735E-2</v>
      </c>
      <c r="R52" s="36">
        <v>3.5219384242009127E-2</v>
      </c>
    </row>
    <row r="53" spans="1:18" x14ac:dyDescent="0.35">
      <c r="A53" s="10" t="s">
        <v>15</v>
      </c>
      <c r="B53" s="14">
        <f>(-1+(B45*E41))/E41</f>
        <v>-2.2842327871306418</v>
      </c>
      <c r="C53" s="14">
        <f>B53*2</f>
        <v>-4.5684655742612836</v>
      </c>
      <c r="D53" s="11" t="s">
        <v>10</v>
      </c>
      <c r="E53" s="20"/>
      <c r="O53" s="36">
        <v>8.6405845230233091E-2</v>
      </c>
      <c r="P53" s="36">
        <v>5.9832307070015203E-2</v>
      </c>
      <c r="Q53" s="36">
        <v>3.3665230323800352E-2</v>
      </c>
      <c r="R53" s="36">
        <v>2.5478461243691415E-2</v>
      </c>
    </row>
    <row r="54" spans="1:18" x14ac:dyDescent="0.35">
      <c r="A54" s="15" t="s">
        <v>16</v>
      </c>
      <c r="B54" s="16">
        <f>(-B45*E42)-(B53*E42)</f>
        <v>2.0313426289174652</v>
      </c>
      <c r="C54" s="16">
        <f>B54*2</f>
        <v>4.0626852578349304</v>
      </c>
      <c r="D54" s="21"/>
      <c r="E54" s="17"/>
      <c r="O54" s="36">
        <v>7.4933845400544735E-2</v>
      </c>
      <c r="P54" s="36">
        <v>3.3665230323800352E-2</v>
      </c>
      <c r="Q54" s="36">
        <v>0.12553692206160375</v>
      </c>
      <c r="R54" s="36">
        <v>3.9599691908115027E-2</v>
      </c>
    </row>
    <row r="55" spans="1:18" x14ac:dyDescent="0.35">
      <c r="O55" s="36">
        <v>3.5219384242009127E-2</v>
      </c>
      <c r="P55" s="36">
        <v>2.5478461243691415E-2</v>
      </c>
      <c r="Q55" s="36">
        <v>3.9599691908115027E-2</v>
      </c>
      <c r="R55" s="36">
        <v>3.4353845826323788E-2</v>
      </c>
    </row>
    <row r="56" spans="1:18" x14ac:dyDescent="0.35">
      <c r="A56" s="8" t="s">
        <v>37</v>
      </c>
      <c r="B56" s="18"/>
      <c r="C56" s="18" t="s">
        <v>28</v>
      </c>
      <c r="D56" s="9">
        <f>C34</f>
        <v>2.6792365622628549</v>
      </c>
      <c r="E56" s="19"/>
    </row>
    <row r="57" spans="1:18" x14ac:dyDescent="0.35">
      <c r="A57" s="10" t="s">
        <v>16</v>
      </c>
      <c r="B57" s="24">
        <f>-((B41*2*K2)+(1*K2))/C34</f>
        <v>-1.6497236795943524</v>
      </c>
      <c r="C57" s="14">
        <f>B54</f>
        <v>2.0313426289174652</v>
      </c>
      <c r="D57" s="11" t="s">
        <v>13</v>
      </c>
      <c r="E57" s="20">
        <f>-B42*K2/D56</f>
        <v>-0.12690182150725787</v>
      </c>
      <c r="M57" t="s">
        <v>60</v>
      </c>
    </row>
    <row r="58" spans="1:18" x14ac:dyDescent="0.35">
      <c r="A58" s="10" t="s">
        <v>10</v>
      </c>
      <c r="B58" s="14">
        <f>B41*K2/D56</f>
        <v>0.50760728602903149</v>
      </c>
      <c r="C58" s="11"/>
      <c r="D58" s="11" t="s">
        <v>19</v>
      </c>
      <c r="E58" s="20">
        <f>B42*K3/D56</f>
        <v>0.25380364301451575</v>
      </c>
      <c r="M58" t="s">
        <v>61</v>
      </c>
    </row>
    <row r="59" spans="1:18" x14ac:dyDescent="0.35">
      <c r="A59" s="15" t="s">
        <v>15</v>
      </c>
      <c r="B59" s="16">
        <f>((-1*K2)-(C57*D56))/D56</f>
        <v>-2.6658517364537544</v>
      </c>
      <c r="C59" s="21"/>
      <c r="D59" s="21" t="s">
        <v>18</v>
      </c>
      <c r="E59" s="23">
        <f>-E58*D56/D56</f>
        <v>-0.25380364301451575</v>
      </c>
      <c r="M59" t="s">
        <v>62</v>
      </c>
      <c r="O59">
        <v>1</v>
      </c>
    </row>
    <row r="60" spans="1:18" x14ac:dyDescent="0.35">
      <c r="O60">
        <v>1</v>
      </c>
    </row>
    <row r="61" spans="1:18" x14ac:dyDescent="0.35">
      <c r="A61" s="76" t="s">
        <v>38</v>
      </c>
      <c r="B61" s="76"/>
      <c r="O61">
        <v>1</v>
      </c>
    </row>
    <row r="62" spans="1:18" x14ac:dyDescent="0.35">
      <c r="A62" t="s">
        <v>31</v>
      </c>
      <c r="B62">
        <f>1/5</f>
        <v>0.2</v>
      </c>
      <c r="D62" t="s">
        <v>8</v>
      </c>
      <c r="E62" s="2">
        <f>K6</f>
        <v>0.78801075360672201</v>
      </c>
      <c r="O62">
        <v>1</v>
      </c>
    </row>
    <row r="63" spans="1:18" x14ac:dyDescent="0.35">
      <c r="A63" t="s">
        <v>32</v>
      </c>
      <c r="B63">
        <f>4/5</f>
        <v>0.8</v>
      </c>
      <c r="D63" t="s">
        <v>34</v>
      </c>
      <c r="E63">
        <f>K7</f>
        <v>0.61566147532565829</v>
      </c>
    </row>
    <row r="64" spans="1:18" x14ac:dyDescent="0.35">
      <c r="M64" t="s">
        <v>49</v>
      </c>
      <c r="O64" s="38">
        <f t="array" ref="O64:O67">MMULT(O52:R55,O59:O62)</f>
        <v>0.38493138066546495</v>
      </c>
    </row>
    <row r="65" spans="1:15" x14ac:dyDescent="0.35">
      <c r="A65" s="8" t="s">
        <v>33</v>
      </c>
      <c r="B65" s="18"/>
      <c r="C65" s="18"/>
      <c r="D65" s="18" t="s">
        <v>17</v>
      </c>
      <c r="E65" s="19"/>
      <c r="O65" s="38">
        <v>0.20538184386774005</v>
      </c>
    </row>
    <row r="66" spans="1:15" x14ac:dyDescent="0.35">
      <c r="A66" s="10" t="s">
        <v>7</v>
      </c>
      <c r="B66" s="14">
        <f>-B62/E62</f>
        <v>-0.25380364301451575</v>
      </c>
      <c r="C66" s="11"/>
      <c r="D66" s="11" t="s">
        <v>18</v>
      </c>
      <c r="E66" s="20">
        <f>-((B70*E62)-1)/E62</f>
        <v>0.25380364301451569</v>
      </c>
      <c r="O66" s="38">
        <v>0.27373568969406387</v>
      </c>
    </row>
    <row r="67" spans="1:15" x14ac:dyDescent="0.35">
      <c r="A67" s="10" t="s">
        <v>10</v>
      </c>
      <c r="B67" s="14">
        <f>-B66*E63</f>
        <v>0.15625712530134347</v>
      </c>
      <c r="C67" s="11"/>
      <c r="D67" s="11" t="s">
        <v>19</v>
      </c>
      <c r="E67" s="20">
        <f>(-E66*E63)+(B70*E63)</f>
        <v>0.46877137590403045</v>
      </c>
      <c r="O67" s="38">
        <v>0.13465138322013936</v>
      </c>
    </row>
    <row r="68" spans="1:15" x14ac:dyDescent="0.35">
      <c r="A68" s="10"/>
      <c r="B68" s="11"/>
      <c r="C68" s="11"/>
      <c r="D68" s="11"/>
      <c r="E68" s="12"/>
    </row>
    <row r="69" spans="1:15" x14ac:dyDescent="0.35">
      <c r="A69" s="10" t="s">
        <v>35</v>
      </c>
      <c r="B69" s="11"/>
      <c r="C69" s="11"/>
      <c r="D69" s="11" t="s">
        <v>22</v>
      </c>
      <c r="E69" s="12"/>
      <c r="M69" t="s">
        <v>63</v>
      </c>
    </row>
    <row r="70" spans="1:15" x14ac:dyDescent="0.35">
      <c r="A70" s="10" t="s">
        <v>12</v>
      </c>
      <c r="B70" s="14">
        <f>B63/E62</f>
        <v>1.015214572058063</v>
      </c>
      <c r="C70" s="11"/>
      <c r="D70" s="11" t="s">
        <v>21</v>
      </c>
      <c r="E70" s="20">
        <f>-E66*E62/E62</f>
        <v>-0.25380364301451569</v>
      </c>
      <c r="M70" t="s">
        <v>64</v>
      </c>
    </row>
    <row r="71" spans="1:15" x14ac:dyDescent="0.35">
      <c r="A71" s="10" t="s">
        <v>13</v>
      </c>
      <c r="B71" s="14">
        <f>-B70*E63</f>
        <v>-0.6250285012053739</v>
      </c>
      <c r="C71" s="11"/>
      <c r="D71" s="11"/>
      <c r="E71" s="12"/>
      <c r="M71" t="s">
        <v>65</v>
      </c>
      <c r="N71" s="39" t="str">
        <f>N7</f>
        <v>S1</v>
      </c>
      <c r="O71" s="72">
        <f t="array" ref="O71:O79">MMULT(N20:Q28,O59:O62)</f>
        <v>-2.5380364301451577</v>
      </c>
    </row>
    <row r="72" spans="1:15" x14ac:dyDescent="0.35">
      <c r="A72" s="10"/>
      <c r="B72" s="11"/>
      <c r="C72" s="11"/>
      <c r="D72" s="11"/>
      <c r="E72" s="12"/>
      <c r="N72" s="39" t="str">
        <f t="shared" ref="N72:N79" si="5">N8</f>
        <v>S2</v>
      </c>
      <c r="O72" s="63">
        <v>3.9064281325335868</v>
      </c>
    </row>
    <row r="73" spans="1:15" x14ac:dyDescent="0.35">
      <c r="A73" s="10" t="s">
        <v>36</v>
      </c>
      <c r="B73" s="11"/>
      <c r="C73" s="11"/>
      <c r="D73" s="11" t="s">
        <v>20</v>
      </c>
      <c r="E73" s="12"/>
      <c r="N73" s="39" t="str">
        <f t="shared" si="5"/>
        <v>S3</v>
      </c>
      <c r="O73" s="73">
        <v>-1.5625712530134348</v>
      </c>
    </row>
    <row r="74" spans="1:15" x14ac:dyDescent="0.35">
      <c r="A74" s="10" t="s">
        <v>15</v>
      </c>
      <c r="B74" s="14">
        <f>B66*E62/E62</f>
        <v>-0.25380364301451575</v>
      </c>
      <c r="C74" s="11"/>
      <c r="D74" s="11" t="s">
        <v>10</v>
      </c>
      <c r="E74" s="12"/>
      <c r="N74" s="39" t="str">
        <f t="shared" si="5"/>
        <v>S4</v>
      </c>
      <c r="O74" s="72">
        <v>2.5380364301451577</v>
      </c>
    </row>
    <row r="75" spans="1:15" x14ac:dyDescent="0.35">
      <c r="A75" s="15" t="s">
        <v>16</v>
      </c>
      <c r="B75" s="16">
        <f>-((B66*E63)+(B74*E63))</f>
        <v>0.31251425060268695</v>
      </c>
      <c r="C75" s="21"/>
      <c r="D75" s="21"/>
      <c r="E75" s="17"/>
      <c r="N75" s="39" t="str">
        <f t="shared" si="5"/>
        <v>S5</v>
      </c>
      <c r="O75" s="63">
        <v>2.343856879520152</v>
      </c>
    </row>
    <row r="76" spans="1:15" x14ac:dyDescent="0.35">
      <c r="N76" s="39" t="str">
        <f t="shared" si="5"/>
        <v>S6</v>
      </c>
      <c r="O76" s="73">
        <v>1.5625712530134348</v>
      </c>
    </row>
    <row r="77" spans="1:15" x14ac:dyDescent="0.35">
      <c r="A77" s="8" t="s">
        <v>27</v>
      </c>
      <c r="B77" s="18"/>
      <c r="C77" s="18" t="s">
        <v>28</v>
      </c>
      <c r="D77" s="9">
        <f>C34</f>
        <v>2.6792365622628549</v>
      </c>
      <c r="E77" s="19"/>
      <c r="N77" s="39" t="str">
        <f t="shared" si="5"/>
        <v>S7</v>
      </c>
      <c r="O77" s="40">
        <v>-3.8070546452177361</v>
      </c>
    </row>
    <row r="78" spans="1:15" x14ac:dyDescent="0.35">
      <c r="A78" s="10" t="s">
        <v>16</v>
      </c>
      <c r="B78" s="14">
        <f>B62*K3/D77</f>
        <v>0.25380364301451575</v>
      </c>
      <c r="C78" s="11"/>
      <c r="D78" s="11" t="s">
        <v>13</v>
      </c>
      <c r="E78" s="20">
        <f>-B63*K2/D77</f>
        <v>-0.50760728602903149</v>
      </c>
      <c r="N78" s="39" t="str">
        <f t="shared" si="5"/>
        <v>S8</v>
      </c>
      <c r="O78" s="40">
        <v>-2.030429144116126</v>
      </c>
    </row>
    <row r="79" spans="1:15" x14ac:dyDescent="0.35">
      <c r="A79" s="10" t="s">
        <v>10</v>
      </c>
      <c r="B79" s="14">
        <f>B62*K2/D77</f>
        <v>0.12690182150725787</v>
      </c>
      <c r="C79" s="11"/>
      <c r="D79" s="11" t="s">
        <v>19</v>
      </c>
      <c r="E79" s="20">
        <f>-((1*K2)-(B63*K3))/D77</f>
        <v>0.38070546452177373</v>
      </c>
      <c r="N79" s="39" t="str">
        <f t="shared" si="5"/>
        <v>S9</v>
      </c>
      <c r="O79" s="73">
        <v>-1.2690182150725788</v>
      </c>
    </row>
    <row r="80" spans="1:15" x14ac:dyDescent="0.35">
      <c r="A80" s="15" t="s">
        <v>15</v>
      </c>
      <c r="B80" s="16">
        <f>-B78*D77/D77</f>
        <v>-0.25380364301451575</v>
      </c>
      <c r="C80" s="21"/>
      <c r="D80" s="21" t="s">
        <v>18</v>
      </c>
      <c r="E80" s="23">
        <f>((1*K2)-(E79*D77))/D77</f>
        <v>0.25380364301451563</v>
      </c>
    </row>
    <row r="81" spans="1:15" x14ac:dyDescent="0.35">
      <c r="O81" s="2">
        <f>SUM(O71:O79)</f>
        <v>-0.85621699235270166</v>
      </c>
    </row>
    <row r="82" spans="1:15" x14ac:dyDescent="0.35">
      <c r="A82" s="76" t="s">
        <v>39</v>
      </c>
      <c r="B82" s="76"/>
    </row>
    <row r="83" spans="1:15" x14ac:dyDescent="0.35">
      <c r="A83" t="s">
        <v>31</v>
      </c>
      <c r="B83">
        <f>2/5</f>
        <v>0.4</v>
      </c>
      <c r="D83" t="s">
        <v>8</v>
      </c>
      <c r="E83" s="2">
        <f>K6</f>
        <v>0.78801075360672201</v>
      </c>
    </row>
    <row r="84" spans="1:15" x14ac:dyDescent="0.35">
      <c r="A84" t="s">
        <v>32</v>
      </c>
      <c r="B84">
        <f>3/5</f>
        <v>0.6</v>
      </c>
      <c r="D84" t="s">
        <v>9</v>
      </c>
      <c r="E84">
        <f>K7</f>
        <v>0.61566147532565829</v>
      </c>
    </row>
    <row r="86" spans="1:15" x14ac:dyDescent="0.35">
      <c r="A86" s="8" t="s">
        <v>33</v>
      </c>
      <c r="B86" s="18"/>
      <c r="C86" s="18"/>
      <c r="D86" s="18" t="s">
        <v>17</v>
      </c>
      <c r="E86" s="19"/>
    </row>
    <row r="87" spans="1:15" x14ac:dyDescent="0.35">
      <c r="A87" s="10" t="s">
        <v>7</v>
      </c>
      <c r="B87" s="14">
        <f>-B83/E83</f>
        <v>-0.50760728602903149</v>
      </c>
      <c r="C87" s="11"/>
      <c r="D87" s="11" t="s">
        <v>18</v>
      </c>
      <c r="E87" s="20">
        <f>-B91*E83/E83</f>
        <v>-0.76141092904354724</v>
      </c>
    </row>
    <row r="88" spans="1:15" x14ac:dyDescent="0.35">
      <c r="A88" s="10" t="s">
        <v>10</v>
      </c>
      <c r="B88" s="14">
        <f>-B87*E84</f>
        <v>0.31251425060268695</v>
      </c>
      <c r="C88" s="11"/>
      <c r="D88" s="11" t="s">
        <v>19</v>
      </c>
      <c r="E88" s="20">
        <f>(-E87*E84)+(B91*E84)</f>
        <v>0.93754275180806079</v>
      </c>
    </row>
    <row r="89" spans="1:15" x14ac:dyDescent="0.35">
      <c r="A89" s="10"/>
      <c r="B89" s="11"/>
      <c r="C89" s="11"/>
      <c r="D89" s="11"/>
      <c r="E89" s="12"/>
    </row>
    <row r="90" spans="1:15" x14ac:dyDescent="0.35">
      <c r="A90" s="10" t="s">
        <v>35</v>
      </c>
      <c r="B90" s="11"/>
      <c r="C90" s="11"/>
      <c r="D90" s="11" t="s">
        <v>22</v>
      </c>
      <c r="E90" s="12"/>
    </row>
    <row r="91" spans="1:15" x14ac:dyDescent="0.35">
      <c r="A91" s="10" t="s">
        <v>12</v>
      </c>
      <c r="B91" s="14">
        <f>B84/E83</f>
        <v>0.76141092904354724</v>
      </c>
      <c r="C91" s="11"/>
      <c r="D91" s="11" t="s">
        <v>21</v>
      </c>
      <c r="E91" s="20">
        <f>(-1+(E87*E83))/E83</f>
        <v>-2.030429144116126</v>
      </c>
    </row>
    <row r="92" spans="1:15" x14ac:dyDescent="0.35">
      <c r="A92" s="10" t="s">
        <v>13</v>
      </c>
      <c r="B92" s="14">
        <f>-B91*E84</f>
        <v>-0.4687713759040304</v>
      </c>
      <c r="C92" s="11"/>
      <c r="D92" s="11"/>
      <c r="E92" s="12"/>
    </row>
    <row r="93" spans="1:15" x14ac:dyDescent="0.35">
      <c r="A93" s="10"/>
      <c r="B93" s="11"/>
      <c r="C93" s="11"/>
      <c r="D93" s="11"/>
      <c r="E93" s="12"/>
    </row>
    <row r="94" spans="1:15" x14ac:dyDescent="0.35">
      <c r="A94" s="10" t="s">
        <v>36</v>
      </c>
      <c r="B94" s="11"/>
      <c r="C94" s="11"/>
      <c r="D94" s="11" t="s">
        <v>20</v>
      </c>
      <c r="E94" s="12"/>
    </row>
    <row r="95" spans="1:15" x14ac:dyDescent="0.35">
      <c r="A95" s="10" t="s">
        <v>15</v>
      </c>
      <c r="B95" s="14">
        <f>B87*E83/E83</f>
        <v>-0.50760728602903149</v>
      </c>
      <c r="C95" s="11"/>
      <c r="D95" s="11" t="s">
        <v>10</v>
      </c>
      <c r="E95" s="12"/>
    </row>
    <row r="96" spans="1:15" x14ac:dyDescent="0.35">
      <c r="A96" s="15" t="s">
        <v>16</v>
      </c>
      <c r="B96" s="16">
        <f>(-B87*E84)-(B95*E84)</f>
        <v>0.6250285012053739</v>
      </c>
      <c r="C96" s="21"/>
      <c r="D96" s="21"/>
      <c r="E96" s="17"/>
    </row>
    <row r="98" spans="1:5" x14ac:dyDescent="0.35">
      <c r="A98" s="8" t="s">
        <v>27</v>
      </c>
      <c r="B98" s="18"/>
      <c r="C98" s="18" t="s">
        <v>28</v>
      </c>
      <c r="D98" s="9">
        <f>D77</f>
        <v>2.6792365622628549</v>
      </c>
      <c r="E98" s="19"/>
    </row>
    <row r="99" spans="1:5" x14ac:dyDescent="0.35">
      <c r="A99" s="10" t="s">
        <v>16</v>
      </c>
      <c r="B99" s="14">
        <f>B83*K3/D98</f>
        <v>0.50760728602903149</v>
      </c>
      <c r="C99" s="11"/>
      <c r="D99" s="11" t="s">
        <v>13</v>
      </c>
      <c r="E99" s="20">
        <f>-B84*K2/D98</f>
        <v>-0.38070546452177362</v>
      </c>
    </row>
    <row r="100" spans="1:5" x14ac:dyDescent="0.35">
      <c r="A100" s="10" t="s">
        <v>10</v>
      </c>
      <c r="B100" s="14">
        <f>B83*K2/D98</f>
        <v>0.25380364301451575</v>
      </c>
      <c r="C100" s="11"/>
      <c r="D100" s="11" t="s">
        <v>19</v>
      </c>
      <c r="E100" s="20">
        <f>B84*K3/D98</f>
        <v>0.76141092904354724</v>
      </c>
    </row>
    <row r="101" spans="1:5" x14ac:dyDescent="0.35">
      <c r="A101" s="15" t="s">
        <v>15</v>
      </c>
      <c r="B101" s="16">
        <f>-B99*D98/D98</f>
        <v>-0.50760728602903149</v>
      </c>
      <c r="C101" s="21"/>
      <c r="D101" s="21" t="s">
        <v>18</v>
      </c>
      <c r="E101" s="23">
        <f>-E100*D98/D98</f>
        <v>-0.76141092904354724</v>
      </c>
    </row>
    <row r="103" spans="1:5" x14ac:dyDescent="0.35">
      <c r="A103" s="76" t="s">
        <v>40</v>
      </c>
      <c r="B103" s="76"/>
    </row>
    <row r="104" spans="1:5" x14ac:dyDescent="0.35">
      <c r="A104" t="s">
        <v>31</v>
      </c>
      <c r="B104">
        <f>3/5</f>
        <v>0.6</v>
      </c>
      <c r="D104" t="s">
        <v>8</v>
      </c>
      <c r="E104" s="2">
        <f>K6</f>
        <v>0.78801075360672201</v>
      </c>
    </row>
    <row r="105" spans="1:5" x14ac:dyDescent="0.35">
      <c r="B105" s="25"/>
      <c r="C105" s="25"/>
      <c r="D105" t="s">
        <v>9</v>
      </c>
      <c r="E105" s="2">
        <f>K7</f>
        <v>0.61566147532565829</v>
      </c>
    </row>
    <row r="106" spans="1:5" x14ac:dyDescent="0.35">
      <c r="A106" t="s">
        <v>32</v>
      </c>
      <c r="B106">
        <f>B83</f>
        <v>0.4</v>
      </c>
    </row>
    <row r="107" spans="1:5" x14ac:dyDescent="0.35">
      <c r="A107" s="8" t="s">
        <v>33</v>
      </c>
      <c r="B107" s="18"/>
      <c r="C107" s="18"/>
      <c r="D107" s="18" t="s">
        <v>17</v>
      </c>
      <c r="E107" s="19"/>
    </row>
    <row r="108" spans="1:5" x14ac:dyDescent="0.35">
      <c r="A108" s="10" t="s">
        <v>7</v>
      </c>
      <c r="B108" s="14">
        <f>-B104/E104</f>
        <v>-0.76141092904354724</v>
      </c>
      <c r="C108" s="11"/>
      <c r="D108" s="11" t="s">
        <v>18</v>
      </c>
      <c r="E108" s="20">
        <f>-E116*E104/E104</f>
        <v>-0.50760728602903149</v>
      </c>
    </row>
    <row r="109" spans="1:5" x14ac:dyDescent="0.35">
      <c r="A109" s="10" t="s">
        <v>10</v>
      </c>
      <c r="B109" s="14">
        <f>-B108*E105</f>
        <v>0.4687713759040304</v>
      </c>
      <c r="C109" s="11"/>
      <c r="D109" s="11" t="s">
        <v>19</v>
      </c>
      <c r="E109" s="12"/>
    </row>
    <row r="110" spans="1:5" x14ac:dyDescent="0.35">
      <c r="A110" s="10"/>
      <c r="B110" s="11"/>
      <c r="C110" s="11"/>
      <c r="D110" s="11"/>
      <c r="E110" s="12"/>
    </row>
    <row r="111" spans="1:5" x14ac:dyDescent="0.35">
      <c r="A111" s="10" t="s">
        <v>35</v>
      </c>
      <c r="B111" s="11"/>
      <c r="C111" s="11"/>
      <c r="D111" s="11" t="s">
        <v>22</v>
      </c>
      <c r="E111" s="12"/>
    </row>
    <row r="112" spans="1:5" x14ac:dyDescent="0.35">
      <c r="A112" s="10" t="s">
        <v>12</v>
      </c>
      <c r="B112" s="14">
        <f>B106/E104</f>
        <v>0.50760728602903149</v>
      </c>
      <c r="C112" s="11"/>
      <c r="D112" s="11" t="s">
        <v>21</v>
      </c>
      <c r="E112" s="12"/>
    </row>
    <row r="113" spans="1:5" x14ac:dyDescent="0.35">
      <c r="A113" s="10" t="s">
        <v>13</v>
      </c>
      <c r="B113" s="14">
        <f>-B112*E105</f>
        <v>-0.31251425060268695</v>
      </c>
      <c r="C113" s="11"/>
      <c r="D113" s="11"/>
      <c r="E113" s="12"/>
    </row>
    <row r="114" spans="1:5" x14ac:dyDescent="0.35">
      <c r="A114" s="10"/>
      <c r="B114" s="11"/>
      <c r="C114" s="11"/>
      <c r="D114" s="11"/>
      <c r="E114" s="12"/>
    </row>
    <row r="115" spans="1:5" x14ac:dyDescent="0.35">
      <c r="A115" s="10" t="s">
        <v>36</v>
      </c>
      <c r="B115" s="11"/>
      <c r="C115" s="11"/>
      <c r="D115" s="11" t="s">
        <v>41</v>
      </c>
      <c r="E115" s="12"/>
    </row>
    <row r="116" spans="1:5" x14ac:dyDescent="0.35">
      <c r="A116" s="10" t="s">
        <v>15</v>
      </c>
      <c r="B116" s="14">
        <f>B108*E104/E104</f>
        <v>-0.76141092904354724</v>
      </c>
      <c r="C116" s="11"/>
      <c r="D116" s="26" t="s">
        <v>21</v>
      </c>
      <c r="E116" s="20">
        <f>((B116*E104)+1)/E104</f>
        <v>0.50760728602903149</v>
      </c>
    </row>
    <row r="117" spans="1:5" x14ac:dyDescent="0.35">
      <c r="A117" s="15" t="s">
        <v>16</v>
      </c>
      <c r="B117" s="16">
        <f>-((B108*E105)+(B116*E105))</f>
        <v>0.93754275180806079</v>
      </c>
      <c r="C117" s="21"/>
      <c r="D117" s="21" t="s">
        <v>19</v>
      </c>
      <c r="E117" s="23">
        <f>-(-B109+(B116*E105)+(E116*E105))</f>
        <v>0.62502850120537379</v>
      </c>
    </row>
    <row r="119" spans="1:5" x14ac:dyDescent="0.35">
      <c r="A119" s="8" t="s">
        <v>27</v>
      </c>
      <c r="B119" s="18"/>
      <c r="C119" s="18" t="s">
        <v>28</v>
      </c>
      <c r="D119" s="9">
        <f>D98</f>
        <v>2.6792365622628549</v>
      </c>
      <c r="E119" s="19"/>
    </row>
    <row r="120" spans="1:5" x14ac:dyDescent="0.35">
      <c r="A120" s="10" t="s">
        <v>16</v>
      </c>
      <c r="B120" s="14">
        <f>B104*K3/D119</f>
        <v>0.76141092904354724</v>
      </c>
      <c r="C120" s="11"/>
      <c r="D120" s="11" t="s">
        <v>13</v>
      </c>
      <c r="E120" s="20">
        <f>-B106*K2/D119</f>
        <v>-0.25380364301451575</v>
      </c>
    </row>
    <row r="121" spans="1:5" x14ac:dyDescent="0.35">
      <c r="A121" s="10" t="s">
        <v>10</v>
      </c>
      <c r="B121" s="14">
        <f>B104*K2/D119</f>
        <v>0.38070546452177362</v>
      </c>
      <c r="C121" s="11"/>
      <c r="D121" s="11" t="s">
        <v>19</v>
      </c>
      <c r="E121" s="20">
        <f>B106*K3/D119</f>
        <v>0.50760728602903149</v>
      </c>
    </row>
    <row r="122" spans="1:5" x14ac:dyDescent="0.35">
      <c r="A122" s="15" t="s">
        <v>15</v>
      </c>
      <c r="B122" s="16">
        <f>-B120*D119/D119</f>
        <v>-0.76141092904354724</v>
      </c>
      <c r="C122" s="21"/>
      <c r="D122" s="21" t="s">
        <v>18</v>
      </c>
      <c r="E122" s="23">
        <f>-E121*D119/D119</f>
        <v>-0.50760728602903149</v>
      </c>
    </row>
  </sheetData>
  <mergeCells count="12">
    <mergeCell ref="Q3:T3"/>
    <mergeCell ref="U3:U4"/>
    <mergeCell ref="M1:U2"/>
    <mergeCell ref="M3:M4"/>
    <mergeCell ref="N3:N4"/>
    <mergeCell ref="O3:O4"/>
    <mergeCell ref="P3:P4"/>
    <mergeCell ref="G20:G21"/>
    <mergeCell ref="H20:I20"/>
    <mergeCell ref="A61:B61"/>
    <mergeCell ref="A82:B82"/>
    <mergeCell ref="A103:B10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2"/>
  <sheetViews>
    <sheetView topLeftCell="A67" zoomScale="117" workbookViewId="0">
      <selection activeCell="P74" sqref="P74"/>
    </sheetView>
  </sheetViews>
  <sheetFormatPr defaultRowHeight="14.5" x14ac:dyDescent="0.35"/>
  <sheetData>
    <row r="1" spans="1:21" x14ac:dyDescent="0.35">
      <c r="M1" s="78" t="s">
        <v>42</v>
      </c>
      <c r="N1" s="78"/>
      <c r="O1" s="78"/>
      <c r="P1" s="78"/>
      <c r="Q1" s="78"/>
      <c r="R1" s="78"/>
      <c r="S1" s="78"/>
      <c r="T1" s="78"/>
      <c r="U1" s="78"/>
    </row>
    <row r="2" spans="1:21" x14ac:dyDescent="0.35">
      <c r="J2" t="s">
        <v>1</v>
      </c>
      <c r="K2">
        <v>1.5</v>
      </c>
      <c r="M2" s="78"/>
      <c r="N2" s="78"/>
      <c r="O2" s="78"/>
      <c r="P2" s="78"/>
      <c r="Q2" s="78"/>
      <c r="R2" s="78"/>
      <c r="S2" s="78"/>
      <c r="T2" s="78"/>
      <c r="U2" s="78"/>
    </row>
    <row r="3" spans="1:21" x14ac:dyDescent="0.35">
      <c r="J3" t="s">
        <v>2</v>
      </c>
      <c r="K3">
        <f>2*K2</f>
        <v>3</v>
      </c>
      <c r="L3">
        <f>K3*100</f>
        <v>300</v>
      </c>
      <c r="M3" s="77" t="s">
        <v>43</v>
      </c>
      <c r="N3" s="77" t="s">
        <v>45</v>
      </c>
      <c r="O3" s="79" t="s">
        <v>44</v>
      </c>
      <c r="P3" s="77" t="s">
        <v>46</v>
      </c>
      <c r="Q3" s="77" t="s">
        <v>47</v>
      </c>
      <c r="R3" s="77"/>
      <c r="S3" s="77"/>
      <c r="T3" s="77"/>
      <c r="U3" s="77" t="s">
        <v>52</v>
      </c>
    </row>
    <row r="4" spans="1:21" x14ac:dyDescent="0.35">
      <c r="J4" t="s">
        <v>3</v>
      </c>
      <c r="K4">
        <v>1</v>
      </c>
      <c r="M4" s="77"/>
      <c r="N4" s="77"/>
      <c r="O4" s="79"/>
      <c r="P4" s="77"/>
      <c r="Q4" s="34" t="s">
        <v>48</v>
      </c>
      <c r="R4" s="34" t="s">
        <v>49</v>
      </c>
      <c r="S4" s="34" t="s">
        <v>50</v>
      </c>
      <c r="T4" s="34" t="s">
        <v>51</v>
      </c>
      <c r="U4" s="77"/>
    </row>
    <row r="5" spans="1:21" x14ac:dyDescent="0.35">
      <c r="J5" t="s">
        <v>29</v>
      </c>
      <c r="K5" s="41">
        <f>K6*K3</f>
        <v>2.598076211353316</v>
      </c>
      <c r="M5" s="3">
        <v>1</v>
      </c>
      <c r="N5" s="3" t="s">
        <v>31</v>
      </c>
      <c r="O5" s="3">
        <f>B15</f>
        <v>2</v>
      </c>
      <c r="P5" s="3"/>
      <c r="Q5" s="3">
        <f>B41</f>
        <v>0.8</v>
      </c>
      <c r="R5" s="27">
        <f>B104</f>
        <v>0.6</v>
      </c>
      <c r="S5" s="3">
        <f>B83</f>
        <v>0.4</v>
      </c>
      <c r="T5" s="3">
        <f>B62</f>
        <v>0.2</v>
      </c>
      <c r="U5" s="3"/>
    </row>
    <row r="6" spans="1:21" x14ac:dyDescent="0.35">
      <c r="J6" t="s">
        <v>8</v>
      </c>
      <c r="K6" s="2">
        <f>SIN(RADIANS(60))</f>
        <v>0.8660254037844386</v>
      </c>
      <c r="M6" s="3">
        <v>2</v>
      </c>
      <c r="N6" s="3" t="s">
        <v>32</v>
      </c>
      <c r="O6" s="3">
        <f>B16</f>
        <v>2</v>
      </c>
      <c r="P6" s="3"/>
      <c r="Q6" s="3">
        <f>B42</f>
        <v>0.2</v>
      </c>
      <c r="R6" s="27">
        <f>B106</f>
        <v>0.4</v>
      </c>
      <c r="S6" s="3">
        <f>B84</f>
        <v>0.6</v>
      </c>
      <c r="T6" s="3">
        <f>B63</f>
        <v>0.8</v>
      </c>
      <c r="U6" s="3"/>
    </row>
    <row r="7" spans="1:21" x14ac:dyDescent="0.35">
      <c r="J7" t="s">
        <v>9</v>
      </c>
      <c r="K7">
        <f>COS(RADIANS(60))</f>
        <v>0.50000000000000011</v>
      </c>
      <c r="M7" s="3">
        <v>3</v>
      </c>
      <c r="N7" s="3" t="s">
        <v>7</v>
      </c>
      <c r="O7" s="29">
        <f>B21</f>
        <v>-2.3094010767585034</v>
      </c>
      <c r="P7" s="3"/>
      <c r="Q7" s="29">
        <f>B45</f>
        <v>-0.9237604307034013</v>
      </c>
      <c r="R7" s="30">
        <f>B108</f>
        <v>-0.69282032302755092</v>
      </c>
      <c r="S7" s="29">
        <f>B87</f>
        <v>-0.46188021535170065</v>
      </c>
      <c r="T7" s="29">
        <f>B66</f>
        <v>-0.23094010767585033</v>
      </c>
      <c r="U7" s="3"/>
    </row>
    <row r="8" spans="1:21" x14ac:dyDescent="0.35">
      <c r="M8" s="3">
        <v>4</v>
      </c>
      <c r="N8" s="3" t="s">
        <v>16</v>
      </c>
      <c r="O8" s="29">
        <f>B30</f>
        <v>2.88675134594813</v>
      </c>
      <c r="P8" s="3"/>
      <c r="Q8" s="29">
        <f>B54</f>
        <v>1.5011106998930275</v>
      </c>
      <c r="R8" s="30">
        <f>B117</f>
        <v>0.69282032302755103</v>
      </c>
      <c r="S8" s="29">
        <f>B96</f>
        <v>0.46188021535170076</v>
      </c>
      <c r="T8" s="29">
        <f>B75</f>
        <v>0.23094010767585038</v>
      </c>
      <c r="U8" s="3"/>
    </row>
    <row r="9" spans="1:21" x14ac:dyDescent="0.35">
      <c r="M9" s="3">
        <v>5</v>
      </c>
      <c r="N9" s="3" t="s">
        <v>13</v>
      </c>
      <c r="O9" s="29">
        <f>B26</f>
        <v>-1.1547005383792519</v>
      </c>
      <c r="P9" s="3"/>
      <c r="Q9" s="29">
        <f>B50</f>
        <v>-0.11547005383792519</v>
      </c>
      <c r="R9" s="30">
        <f>B113</f>
        <v>-0.23094010767585038</v>
      </c>
      <c r="S9" s="29">
        <f>B92</f>
        <v>-0.34641016151377552</v>
      </c>
      <c r="T9" s="29">
        <f>B71</f>
        <v>-0.46188021535170076</v>
      </c>
      <c r="U9" s="3"/>
    </row>
    <row r="10" spans="1:21" x14ac:dyDescent="0.35">
      <c r="M10" s="3">
        <v>6</v>
      </c>
      <c r="N10" s="3" t="s">
        <v>12</v>
      </c>
      <c r="O10" s="29">
        <f>B25</f>
        <v>2.3094010767585034</v>
      </c>
      <c r="P10" s="3"/>
      <c r="Q10" s="29">
        <f>B49</f>
        <v>0.23094010767585033</v>
      </c>
      <c r="R10" s="30">
        <f>B112</f>
        <v>0.46188021535170065</v>
      </c>
      <c r="S10" s="29">
        <f>B91</f>
        <v>0.69282032302755092</v>
      </c>
      <c r="T10" s="29">
        <f>B70</f>
        <v>0.9237604307034013</v>
      </c>
      <c r="U10" s="3"/>
    </row>
    <row r="11" spans="1:21" x14ac:dyDescent="0.35">
      <c r="M11" s="3">
        <v>7</v>
      </c>
      <c r="N11" s="3" t="s">
        <v>19</v>
      </c>
      <c r="O11" s="29">
        <f>E22</f>
        <v>1.7320508075688779</v>
      </c>
      <c r="P11" s="3"/>
      <c r="Q11" s="29">
        <f>E46</f>
        <v>0.23094010767585038</v>
      </c>
      <c r="R11" s="30">
        <f>E117</f>
        <v>0.46188021535170065</v>
      </c>
      <c r="S11" s="29">
        <f>E88</f>
        <v>0.69282032302755103</v>
      </c>
      <c r="T11" s="29">
        <f>E67</f>
        <v>0.34641016151377557</v>
      </c>
      <c r="U11" s="3"/>
    </row>
    <row r="12" spans="1:21" x14ac:dyDescent="0.35">
      <c r="M12" s="3">
        <v>8</v>
      </c>
      <c r="N12" s="3" t="s">
        <v>10</v>
      </c>
      <c r="O12" s="29">
        <f>B22</f>
        <v>1.1547005383792519</v>
      </c>
      <c r="P12" s="3"/>
      <c r="Q12" s="29">
        <f>B46</f>
        <v>0.46188021535170076</v>
      </c>
      <c r="R12" s="30">
        <f>B109</f>
        <v>0.34641016151377552</v>
      </c>
      <c r="S12" s="29">
        <f>B88</f>
        <v>0.23094010767585038</v>
      </c>
      <c r="T12" s="29">
        <f>B67</f>
        <v>0.11547005383792519</v>
      </c>
      <c r="U12" s="3"/>
    </row>
    <row r="13" spans="1:21" x14ac:dyDescent="0.35">
      <c r="M13" s="3">
        <v>9</v>
      </c>
      <c r="N13" s="3" t="s">
        <v>15</v>
      </c>
      <c r="O13" s="29">
        <f>B29</f>
        <v>-3.4641016151377548</v>
      </c>
      <c r="P13" s="3"/>
      <c r="Q13" s="29">
        <f>B53</f>
        <v>-2.078460969082653</v>
      </c>
      <c r="R13" s="30">
        <f>B116</f>
        <v>-0.69282032302755092</v>
      </c>
      <c r="S13" s="29">
        <f>B95</f>
        <v>-0.46188021535170065</v>
      </c>
      <c r="T13" s="29">
        <f>B74</f>
        <v>-0.23094010767585033</v>
      </c>
      <c r="U13" s="3"/>
    </row>
    <row r="14" spans="1:21" x14ac:dyDescent="0.35">
      <c r="M14" s="3">
        <v>10</v>
      </c>
      <c r="N14" s="3" t="s">
        <v>21</v>
      </c>
      <c r="O14" s="29">
        <f>E25</f>
        <v>-2.3094010767585034</v>
      </c>
      <c r="P14" s="3"/>
      <c r="Q14" s="29">
        <f>E49</f>
        <v>-0.23094010767585033</v>
      </c>
      <c r="R14" s="30">
        <f>E116</f>
        <v>0.46188021535170065</v>
      </c>
      <c r="S14" s="29">
        <f>E91</f>
        <v>-1.8475208614068026</v>
      </c>
      <c r="T14" s="29">
        <f>E70</f>
        <v>-0.23094010767585027</v>
      </c>
      <c r="U14" s="3"/>
    </row>
    <row r="15" spans="1:21" x14ac:dyDescent="0.35">
      <c r="A15" s="1" t="s">
        <v>0</v>
      </c>
      <c r="B15">
        <f>((K4*4*K2)+(K4*3*K2)+(K4*2*K2)+(K4*K2))/(5*K2)</f>
        <v>2</v>
      </c>
      <c r="M15" s="3">
        <v>11</v>
      </c>
      <c r="N15" s="3" t="s">
        <v>18</v>
      </c>
      <c r="O15" s="29">
        <f>E21</f>
        <v>-1.1547005383792517</v>
      </c>
      <c r="P15" s="3"/>
      <c r="Q15" s="29">
        <f>E45</f>
        <v>-0.23094010767585033</v>
      </c>
      <c r="R15" s="30">
        <f>E108</f>
        <v>-0.46188021535170065</v>
      </c>
      <c r="S15" s="29">
        <f>E87</f>
        <v>-0.69282032302755092</v>
      </c>
      <c r="T15" s="29">
        <f>E66</f>
        <v>0.23094010767585027</v>
      </c>
      <c r="U15" s="3"/>
    </row>
    <row r="16" spans="1:21" x14ac:dyDescent="0.35">
      <c r="A16" s="1" t="s">
        <v>4</v>
      </c>
      <c r="B16">
        <f>((K4*4*K2)+(K4*3*K2)+(K4*2*K2)+(K4*K2))/(5*K2)</f>
        <v>2</v>
      </c>
    </row>
    <row r="17" spans="1:28" x14ac:dyDescent="0.35">
      <c r="A17" t="s">
        <v>5</v>
      </c>
      <c r="B17">
        <f>B15+B16-(4*K4)</f>
        <v>0</v>
      </c>
    </row>
    <row r="18" spans="1:28" x14ac:dyDescent="0.35">
      <c r="M18" t="s">
        <v>53</v>
      </c>
    </row>
    <row r="20" spans="1:28" x14ac:dyDescent="0.35">
      <c r="A20" s="8" t="s">
        <v>6</v>
      </c>
      <c r="B20" s="18"/>
      <c r="C20" s="18"/>
      <c r="D20" s="18" t="s">
        <v>17</v>
      </c>
      <c r="E20" s="19"/>
      <c r="G20" s="75" t="s">
        <v>23</v>
      </c>
      <c r="H20" s="75" t="s">
        <v>24</v>
      </c>
      <c r="I20" s="75"/>
      <c r="M20" t="s">
        <v>3</v>
      </c>
      <c r="N20" s="31">
        <f>Q7</f>
        <v>-0.9237604307034013</v>
      </c>
      <c r="O20" s="31">
        <f t="shared" ref="O20:Q28" si="0">R7</f>
        <v>-0.69282032302755092</v>
      </c>
      <c r="P20" s="31">
        <f t="shared" si="0"/>
        <v>-0.46188021535170065</v>
      </c>
      <c r="Q20" s="31">
        <f t="shared" si="0"/>
        <v>-0.23094010767585033</v>
      </c>
      <c r="S20" t="s">
        <v>54</v>
      </c>
      <c r="T20" s="32">
        <f t="array" ref="T20:AB23">TRANSPOSE(N20:Q28)</f>
        <v>-0.9237604307034013</v>
      </c>
      <c r="U20" s="32">
        <v>1.5011106998930275</v>
      </c>
      <c r="V20" s="32">
        <v>-0.11547005383792519</v>
      </c>
      <c r="W20" s="32">
        <v>0.23094010767585033</v>
      </c>
      <c r="X20" s="32">
        <v>0.23094010767585038</v>
      </c>
      <c r="Y20" s="32">
        <v>0.46188021535170076</v>
      </c>
      <c r="Z20" s="32">
        <v>-2.078460969082653</v>
      </c>
      <c r="AA20" s="32">
        <v>-0.23094010767585033</v>
      </c>
      <c r="AB20" s="32">
        <v>-0.23094010767585033</v>
      </c>
    </row>
    <row r="21" spans="1:28" x14ac:dyDescent="0.35">
      <c r="A21" s="10" t="s">
        <v>7</v>
      </c>
      <c r="B21" s="14">
        <f>-B15/K6</f>
        <v>-2.3094010767585034</v>
      </c>
      <c r="C21" s="11"/>
      <c r="D21" s="11" t="s">
        <v>18</v>
      </c>
      <c r="E21" s="20">
        <f>((-B25*K6)+K4)/K6</f>
        <v>-1.1547005383792517</v>
      </c>
      <c r="G21" s="75"/>
      <c r="H21" s="33" t="s">
        <v>25</v>
      </c>
      <c r="I21" s="33" t="s">
        <v>26</v>
      </c>
      <c r="N21" s="31">
        <f t="shared" ref="N21:N28" si="1">Q8</f>
        <v>1.5011106998930275</v>
      </c>
      <c r="O21" s="31">
        <f t="shared" si="0"/>
        <v>0.69282032302755103</v>
      </c>
      <c r="P21" s="31">
        <f t="shared" si="0"/>
        <v>0.46188021535170076</v>
      </c>
      <c r="Q21" s="31">
        <f t="shared" si="0"/>
        <v>0.23094010767585038</v>
      </c>
      <c r="T21" s="32">
        <v>-0.69282032302755092</v>
      </c>
      <c r="U21" s="32">
        <v>0.69282032302755103</v>
      </c>
      <c r="V21" s="32">
        <v>-0.23094010767585038</v>
      </c>
      <c r="W21" s="32">
        <v>0.46188021535170065</v>
      </c>
      <c r="X21" s="32">
        <v>0.46188021535170065</v>
      </c>
      <c r="Y21" s="32">
        <v>0.34641016151377552</v>
      </c>
      <c r="Z21" s="32">
        <v>-0.69282032302755092</v>
      </c>
      <c r="AA21" s="32">
        <v>0.46188021535170065</v>
      </c>
      <c r="AB21" s="32">
        <v>-0.46188021535170065</v>
      </c>
    </row>
    <row r="22" spans="1:28" x14ac:dyDescent="0.35">
      <c r="A22" s="10" t="s">
        <v>10</v>
      </c>
      <c r="B22" s="14">
        <f>-(B21*K7)</f>
        <v>1.1547005383792519</v>
      </c>
      <c r="C22" s="11"/>
      <c r="D22" s="11" t="s">
        <v>19</v>
      </c>
      <c r="E22" s="20">
        <f>(-E21*K7)+(B25*K7)</f>
        <v>1.7320508075688779</v>
      </c>
      <c r="G22" s="3" t="s">
        <v>7</v>
      </c>
      <c r="H22" s="3"/>
      <c r="I22" s="6">
        <f>B21</f>
        <v>-2.3094010767585034</v>
      </c>
      <c r="J22" s="7"/>
      <c r="K22" s="7"/>
      <c r="N22" s="31">
        <f t="shared" si="1"/>
        <v>-0.11547005383792519</v>
      </c>
      <c r="O22" s="31">
        <f t="shared" si="0"/>
        <v>-0.23094010767585038</v>
      </c>
      <c r="P22" s="31">
        <f t="shared" si="0"/>
        <v>-0.34641016151377552</v>
      </c>
      <c r="Q22" s="31">
        <f t="shared" si="0"/>
        <v>-0.46188021535170076</v>
      </c>
      <c r="T22" s="32">
        <v>-0.46188021535170065</v>
      </c>
      <c r="U22" s="32">
        <v>0.46188021535170076</v>
      </c>
      <c r="V22" s="32">
        <v>-0.34641016151377552</v>
      </c>
      <c r="W22" s="32">
        <v>0.69282032302755092</v>
      </c>
      <c r="X22" s="32">
        <v>0.69282032302755103</v>
      </c>
      <c r="Y22" s="32">
        <v>0.23094010767585038</v>
      </c>
      <c r="Z22" s="32">
        <v>-0.46188021535170065</v>
      </c>
      <c r="AA22" s="32">
        <v>-1.8475208614068026</v>
      </c>
      <c r="AB22" s="32">
        <v>-0.69282032302755092</v>
      </c>
    </row>
    <row r="23" spans="1:28" x14ac:dyDescent="0.35">
      <c r="A23" s="10"/>
      <c r="B23" s="11"/>
      <c r="C23" s="11"/>
      <c r="D23" s="11"/>
      <c r="E23" s="12"/>
      <c r="G23" s="3" t="s">
        <v>16</v>
      </c>
      <c r="H23" s="5">
        <f>B30</f>
        <v>2.88675134594813</v>
      </c>
      <c r="I23" s="3"/>
      <c r="N23" s="31">
        <f t="shared" si="1"/>
        <v>0.23094010767585033</v>
      </c>
      <c r="O23" s="31">
        <f t="shared" si="0"/>
        <v>0.46188021535170065</v>
      </c>
      <c r="P23" s="31">
        <f t="shared" si="0"/>
        <v>0.69282032302755092</v>
      </c>
      <c r="Q23" s="31">
        <f t="shared" si="0"/>
        <v>0.9237604307034013</v>
      </c>
      <c r="T23" s="32">
        <v>-0.23094010767585033</v>
      </c>
      <c r="U23" s="32">
        <v>0.23094010767585038</v>
      </c>
      <c r="V23" s="32">
        <v>-0.46188021535170076</v>
      </c>
      <c r="W23" s="32">
        <v>0.9237604307034013</v>
      </c>
      <c r="X23" s="32">
        <v>0.34641016151377557</v>
      </c>
      <c r="Y23" s="32">
        <v>0.11547005383792519</v>
      </c>
      <c r="Z23" s="32">
        <v>-0.23094010767585033</v>
      </c>
      <c r="AA23" s="32">
        <v>-0.23094010767585027</v>
      </c>
      <c r="AB23" s="32">
        <v>0.23094010767585027</v>
      </c>
    </row>
    <row r="24" spans="1:28" x14ac:dyDescent="0.35">
      <c r="A24" s="10" t="s">
        <v>11</v>
      </c>
      <c r="B24" s="11"/>
      <c r="C24" s="11"/>
      <c r="D24" s="11" t="s">
        <v>20</v>
      </c>
      <c r="E24" s="12"/>
      <c r="G24" s="3" t="s">
        <v>13</v>
      </c>
      <c r="H24" s="3"/>
      <c r="I24" s="6">
        <f>B26</f>
        <v>-1.1547005383792519</v>
      </c>
      <c r="J24" s="7"/>
      <c r="N24" s="31">
        <f t="shared" si="1"/>
        <v>0.23094010767585038</v>
      </c>
      <c r="O24" s="31">
        <f t="shared" si="0"/>
        <v>0.46188021535170065</v>
      </c>
      <c r="P24" s="31">
        <f t="shared" si="0"/>
        <v>0.69282032302755103</v>
      </c>
      <c r="Q24" s="31">
        <f t="shared" si="0"/>
        <v>0.34641016151377557</v>
      </c>
    </row>
    <row r="25" spans="1:28" x14ac:dyDescent="0.35">
      <c r="A25" s="10" t="s">
        <v>12</v>
      </c>
      <c r="B25" s="14">
        <f>B16/K6</f>
        <v>2.3094010767585034</v>
      </c>
      <c r="C25" s="11"/>
      <c r="D25" s="11" t="s">
        <v>21</v>
      </c>
      <c r="E25" s="20">
        <f>((E21*K6)-K4)/K6</f>
        <v>-2.3094010767585034</v>
      </c>
      <c r="G25" s="3" t="s">
        <v>12</v>
      </c>
      <c r="H25" s="5">
        <f>B25</f>
        <v>2.3094010767585034</v>
      </c>
      <c r="I25" s="3"/>
      <c r="J25" s="7"/>
      <c r="K25" s="7"/>
      <c r="N25" s="31">
        <f t="shared" si="1"/>
        <v>0.46188021535170076</v>
      </c>
      <c r="O25" s="31">
        <f t="shared" si="0"/>
        <v>0.34641016151377552</v>
      </c>
      <c r="P25" s="31">
        <f t="shared" si="0"/>
        <v>0.23094010767585038</v>
      </c>
      <c r="Q25" s="31">
        <f t="shared" si="0"/>
        <v>0.11547005383792519</v>
      </c>
    </row>
    <row r="26" spans="1:28" x14ac:dyDescent="0.35">
      <c r="A26" s="10" t="s">
        <v>13</v>
      </c>
      <c r="B26" s="14">
        <f>-B25*K7</f>
        <v>-1.1547005383792519</v>
      </c>
      <c r="C26" s="11"/>
      <c r="D26" s="11" t="s">
        <v>16</v>
      </c>
      <c r="E26" s="20">
        <f>(-E25*K7)-(E21*K7)-B26</f>
        <v>2.88675134594813</v>
      </c>
      <c r="G26" s="3" t="s">
        <v>19</v>
      </c>
      <c r="H26" s="5">
        <f>E22</f>
        <v>1.7320508075688779</v>
      </c>
      <c r="I26" s="3"/>
      <c r="N26" s="31">
        <f t="shared" si="1"/>
        <v>-2.078460969082653</v>
      </c>
      <c r="O26" s="31">
        <f t="shared" si="0"/>
        <v>-0.69282032302755092</v>
      </c>
      <c r="P26" s="31">
        <f t="shared" si="0"/>
        <v>-0.46188021535170065</v>
      </c>
      <c r="Q26" s="31">
        <f t="shared" si="0"/>
        <v>-0.23094010767585033</v>
      </c>
    </row>
    <row r="27" spans="1:28" x14ac:dyDescent="0.35">
      <c r="A27" s="10"/>
      <c r="B27" s="11"/>
      <c r="C27" s="11"/>
      <c r="D27" s="11"/>
      <c r="E27" s="12"/>
      <c r="G27" s="3" t="s">
        <v>10</v>
      </c>
      <c r="H27" s="5">
        <f>E29</f>
        <v>1.1547005383792519</v>
      </c>
      <c r="I27" s="3"/>
      <c r="J27" s="7"/>
      <c r="N27" s="31">
        <f t="shared" si="1"/>
        <v>-0.23094010767585033</v>
      </c>
      <c r="O27" s="31">
        <f t="shared" si="0"/>
        <v>0.46188021535170065</v>
      </c>
      <c r="P27" s="31">
        <f t="shared" si="0"/>
        <v>-1.8475208614068026</v>
      </c>
      <c r="Q27" s="31">
        <f t="shared" si="0"/>
        <v>-0.23094010767585027</v>
      </c>
    </row>
    <row r="28" spans="1:28" x14ac:dyDescent="0.35">
      <c r="A28" s="10" t="s">
        <v>14</v>
      </c>
      <c r="B28" s="11"/>
      <c r="C28" s="11"/>
      <c r="D28" s="11" t="s">
        <v>22</v>
      </c>
      <c r="E28" s="12"/>
      <c r="G28" s="3" t="s">
        <v>15</v>
      </c>
      <c r="H28" s="3"/>
      <c r="I28" s="6">
        <f>B29</f>
        <v>-3.4641016151377548</v>
      </c>
      <c r="N28" s="31">
        <f t="shared" si="1"/>
        <v>-0.23094010767585033</v>
      </c>
      <c r="O28" s="31">
        <f t="shared" si="0"/>
        <v>-0.46188021535170065</v>
      </c>
      <c r="P28" s="31">
        <f t="shared" si="0"/>
        <v>-0.69282032302755092</v>
      </c>
      <c r="Q28" s="31">
        <f t="shared" si="0"/>
        <v>0.23094010767585027</v>
      </c>
    </row>
    <row r="29" spans="1:28" x14ac:dyDescent="0.35">
      <c r="A29" s="10" t="s">
        <v>15</v>
      </c>
      <c r="B29" s="14">
        <f>((B21*K6)-K4)/K6</f>
        <v>-3.4641016151377548</v>
      </c>
      <c r="C29" s="11"/>
      <c r="D29" s="11" t="s">
        <v>10</v>
      </c>
      <c r="E29" s="20">
        <f>(B29*K7)-(E25*K7)+E22</f>
        <v>1.1547005383792519</v>
      </c>
      <c r="G29" s="3" t="s">
        <v>21</v>
      </c>
      <c r="H29" s="3"/>
      <c r="I29" s="6">
        <f>E25</f>
        <v>-2.3094010767585034</v>
      </c>
      <c r="K29" s="7"/>
      <c r="N29" s="2"/>
    </row>
    <row r="30" spans="1:28" x14ac:dyDescent="0.35">
      <c r="A30" s="15" t="s">
        <v>16</v>
      </c>
      <c r="B30" s="16">
        <f>-((B21*K7)+(B29*K7))</f>
        <v>2.88675134594813</v>
      </c>
      <c r="C30" s="21"/>
      <c r="D30" s="21"/>
      <c r="E30" s="17"/>
      <c r="G30" s="3" t="s">
        <v>18</v>
      </c>
      <c r="H30" s="3"/>
      <c r="I30" s="6">
        <f>E21</f>
        <v>-1.1547005383792517</v>
      </c>
      <c r="N30" s="2"/>
    </row>
    <row r="31" spans="1:28" x14ac:dyDescent="0.35">
      <c r="M31" t="s">
        <v>55</v>
      </c>
      <c r="N31" s="2"/>
      <c r="O31" s="27">
        <f>L3/20000</f>
        <v>1.4999999999999999E-2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</row>
    <row r="32" spans="1:28" x14ac:dyDescent="0.35">
      <c r="O32" s="27">
        <v>0</v>
      </c>
      <c r="P32" s="27">
        <f>O31</f>
        <v>1.4999999999999999E-2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</row>
    <row r="33" spans="1:28" x14ac:dyDescent="0.35">
      <c r="A33" s="8" t="s">
        <v>27</v>
      </c>
      <c r="B33" s="18"/>
      <c r="C33" s="18"/>
      <c r="D33" s="18"/>
      <c r="E33" s="19"/>
      <c r="O33" s="27">
        <v>0</v>
      </c>
      <c r="P33" s="27">
        <v>0</v>
      </c>
      <c r="Q33" s="27">
        <f>P32</f>
        <v>1.4999999999999999E-2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</row>
    <row r="34" spans="1:28" x14ac:dyDescent="0.35">
      <c r="A34" s="10" t="s">
        <v>28</v>
      </c>
      <c r="B34" s="14">
        <f>K5</f>
        <v>2.598076211353316</v>
      </c>
      <c r="C34" s="14">
        <f>K6*K3</f>
        <v>2.598076211353316</v>
      </c>
      <c r="D34" s="11"/>
      <c r="E34" s="12"/>
      <c r="O34" s="27">
        <v>0</v>
      </c>
      <c r="P34" s="27">
        <v>0</v>
      </c>
      <c r="Q34" s="27">
        <v>0</v>
      </c>
      <c r="R34" s="27">
        <f>Q33</f>
        <v>1.4999999999999999E-2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</row>
    <row r="35" spans="1:28" x14ac:dyDescent="0.35">
      <c r="A35" s="10"/>
      <c r="B35" s="11"/>
      <c r="C35" s="11"/>
      <c r="D35" s="11"/>
      <c r="E35" s="12"/>
      <c r="O35" s="27">
        <v>0</v>
      </c>
      <c r="P35" s="27">
        <v>0</v>
      </c>
      <c r="Q35" s="27">
        <v>0</v>
      </c>
      <c r="R35" s="27">
        <v>0</v>
      </c>
      <c r="S35" s="27">
        <f>R34</f>
        <v>1.4999999999999999E-2</v>
      </c>
      <c r="T35" s="27">
        <v>0</v>
      </c>
      <c r="U35" s="27">
        <v>0</v>
      </c>
      <c r="V35" s="27">
        <v>0</v>
      </c>
      <c r="W35" s="27">
        <v>0</v>
      </c>
    </row>
    <row r="36" spans="1:28" x14ac:dyDescent="0.35">
      <c r="A36" s="10" t="s">
        <v>16</v>
      </c>
      <c r="B36" s="13">
        <f>H23</f>
        <v>2.88675134594813</v>
      </c>
      <c r="C36" s="11">
        <f>(-(B15*K3)+(K4*K2))/C34</f>
        <v>-1.7320508075688772</v>
      </c>
      <c r="D36" s="11" t="s">
        <v>13</v>
      </c>
      <c r="E36" s="20">
        <f>-B15*K2/C34</f>
        <v>-1.1547005383792515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f>S35</f>
        <v>1.4999999999999999E-2</v>
      </c>
      <c r="U36" s="27">
        <v>0</v>
      </c>
      <c r="V36" s="27">
        <v>0</v>
      </c>
      <c r="W36" s="27">
        <v>0</v>
      </c>
    </row>
    <row r="37" spans="1:28" x14ac:dyDescent="0.35">
      <c r="A37" s="10" t="s">
        <v>10</v>
      </c>
      <c r="B37" s="14">
        <f>(B15*K2)/C34</f>
        <v>1.1547005383792515</v>
      </c>
      <c r="C37" s="11"/>
      <c r="D37" s="11" t="s">
        <v>19</v>
      </c>
      <c r="E37" s="20">
        <f>-((-B15*2*K2)+(K4*K2))/C34</f>
        <v>1.7320508075688772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f>T36</f>
        <v>1.4999999999999999E-2</v>
      </c>
      <c r="V37" s="27">
        <v>0</v>
      </c>
      <c r="W37" s="27">
        <v>0</v>
      </c>
    </row>
    <row r="38" spans="1:28" x14ac:dyDescent="0.35">
      <c r="A38" s="15" t="s">
        <v>15</v>
      </c>
      <c r="B38" s="16">
        <f>((-B36*C34)-(K4*K2))/C34</f>
        <v>-3.4641016151377557</v>
      </c>
      <c r="C38" s="21">
        <f>((-C36*C34)-(K4*K2))/C34</f>
        <v>1.1547005383792515</v>
      </c>
      <c r="D38" s="21" t="s">
        <v>18</v>
      </c>
      <c r="E38" s="23">
        <f>-((-K4*K2)+(E37*C34))/C34</f>
        <v>-1.1547005383792515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f>U37</f>
        <v>1.4999999999999999E-2</v>
      </c>
      <c r="W38" s="27">
        <v>0</v>
      </c>
    </row>
    <row r="39" spans="1:28" x14ac:dyDescent="0.35"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f>V38</f>
        <v>1.4999999999999999E-2</v>
      </c>
    </row>
    <row r="40" spans="1:28" x14ac:dyDescent="0.35">
      <c r="A40" s="22" t="s">
        <v>30</v>
      </c>
      <c r="B40" s="22"/>
    </row>
    <row r="41" spans="1:28" x14ac:dyDescent="0.35">
      <c r="A41" t="s">
        <v>31</v>
      </c>
      <c r="B41">
        <f>4/5</f>
        <v>0.8</v>
      </c>
      <c r="D41" t="s">
        <v>8</v>
      </c>
      <c r="E41" s="2">
        <f>K6</f>
        <v>0.8660254037844386</v>
      </c>
    </row>
    <row r="42" spans="1:28" x14ac:dyDescent="0.35">
      <c r="A42" t="s">
        <v>32</v>
      </c>
      <c r="B42">
        <f>1/5</f>
        <v>0.2</v>
      </c>
      <c r="D42" t="s">
        <v>34</v>
      </c>
      <c r="E42">
        <f>K7</f>
        <v>0.50000000000000011</v>
      </c>
      <c r="M42" t="s">
        <v>56</v>
      </c>
      <c r="N42" s="37"/>
      <c r="O42" s="32">
        <f t="array" ref="O42:R50">MMULT(O31:W39,N20:Q28)</f>
        <v>-1.3856406460551019E-2</v>
      </c>
      <c r="P42" s="32">
        <v>-1.0392304845413263E-2</v>
      </c>
      <c r="Q42" s="32">
        <v>-6.9282032302755096E-3</v>
      </c>
      <c r="R42" s="32">
        <v>-3.4641016151377548E-3</v>
      </c>
    </row>
    <row r="43" spans="1:28" x14ac:dyDescent="0.35">
      <c r="O43" s="32">
        <v>2.2516660498395413E-2</v>
      </c>
      <c r="P43" s="32">
        <v>1.0392304845413265E-2</v>
      </c>
      <c r="Q43" s="32">
        <v>6.9282032302755113E-3</v>
      </c>
      <c r="R43" s="32">
        <v>3.4641016151377556E-3</v>
      </c>
    </row>
    <row r="44" spans="1:28" x14ac:dyDescent="0.35">
      <c r="A44" s="8" t="s">
        <v>33</v>
      </c>
      <c r="B44" s="18"/>
      <c r="C44" s="18"/>
      <c r="D44" s="18" t="s">
        <v>17</v>
      </c>
      <c r="E44" s="19"/>
      <c r="N44" s="2"/>
      <c r="O44" s="32">
        <v>-1.7320508075688778E-3</v>
      </c>
      <c r="P44" s="32">
        <v>-3.4641016151377556E-3</v>
      </c>
      <c r="Q44" s="32">
        <v>-5.1961524227066326E-3</v>
      </c>
      <c r="R44" s="32">
        <v>-6.9282032302755113E-3</v>
      </c>
      <c r="T44" s="31">
        <f t="array" ref="T44:AB47">T20:AB23</f>
        <v>-0.9237604307034013</v>
      </c>
      <c r="U44" s="31">
        <v>1.5011106998930275</v>
      </c>
      <c r="V44" s="31">
        <v>-0.11547005383792519</v>
      </c>
      <c r="W44" s="31">
        <v>0.23094010767585033</v>
      </c>
      <c r="X44" s="31">
        <v>0.23094010767585038</v>
      </c>
      <c r="Y44" s="31">
        <v>0.46188021535170076</v>
      </c>
      <c r="Z44" s="31">
        <v>-2.078460969082653</v>
      </c>
      <c r="AA44" s="31">
        <v>-0.23094010767585033</v>
      </c>
      <c r="AB44" s="31">
        <v>-0.23094010767585033</v>
      </c>
    </row>
    <row r="45" spans="1:28" x14ac:dyDescent="0.35">
      <c r="A45" s="10" t="s">
        <v>7</v>
      </c>
      <c r="B45" s="14">
        <f>-B41/E41</f>
        <v>-0.9237604307034013</v>
      </c>
      <c r="C45" s="11"/>
      <c r="D45" s="11" t="s">
        <v>18</v>
      </c>
      <c r="E45" s="20">
        <f>(-B49*E41)/E41</f>
        <v>-0.23094010767585033</v>
      </c>
      <c r="O45" s="32">
        <v>3.4641016151377548E-3</v>
      </c>
      <c r="P45" s="32">
        <v>6.9282032302755096E-3</v>
      </c>
      <c r="Q45" s="32">
        <v>1.0392304845413263E-2</v>
      </c>
      <c r="R45" s="32">
        <v>1.3856406460551019E-2</v>
      </c>
      <c r="S45" s="35" t="s">
        <v>57</v>
      </c>
      <c r="T45" s="31">
        <v>-0.69282032302755092</v>
      </c>
      <c r="U45" s="31">
        <v>0.69282032302755103</v>
      </c>
      <c r="V45" s="31">
        <v>-0.23094010767585038</v>
      </c>
      <c r="W45" s="31">
        <v>0.46188021535170065</v>
      </c>
      <c r="X45" s="31">
        <v>0.46188021535170065</v>
      </c>
      <c r="Y45" s="31">
        <v>0.34641016151377552</v>
      </c>
      <c r="Z45" s="31">
        <v>-0.69282032302755092</v>
      </c>
      <c r="AA45" s="31">
        <v>0.46188021535170065</v>
      </c>
      <c r="AB45" s="31">
        <v>-0.46188021535170065</v>
      </c>
    </row>
    <row r="46" spans="1:28" x14ac:dyDescent="0.35">
      <c r="A46" s="10" t="s">
        <v>10</v>
      </c>
      <c r="B46" s="14">
        <f>-B45*E42</f>
        <v>0.46188021535170076</v>
      </c>
      <c r="C46" s="11"/>
      <c r="D46" s="11" t="s">
        <v>19</v>
      </c>
      <c r="E46" s="20">
        <f>((B49*E42)-(E45*E42))</f>
        <v>0.23094010767585038</v>
      </c>
      <c r="O46" s="32">
        <v>3.4641016151377556E-3</v>
      </c>
      <c r="P46" s="32">
        <v>6.9282032302755096E-3</v>
      </c>
      <c r="Q46" s="32">
        <v>1.0392304845413265E-2</v>
      </c>
      <c r="R46" s="32">
        <v>5.1961524227066335E-3</v>
      </c>
      <c r="T46" s="31">
        <v>-0.46188021535170065</v>
      </c>
      <c r="U46" s="31">
        <v>0.46188021535170076</v>
      </c>
      <c r="V46" s="31">
        <v>-0.34641016151377552</v>
      </c>
      <c r="W46" s="31">
        <v>0.69282032302755092</v>
      </c>
      <c r="X46" s="31">
        <v>0.69282032302755103</v>
      </c>
      <c r="Y46" s="31">
        <v>0.23094010767585038</v>
      </c>
      <c r="Z46" s="31">
        <v>-0.46188021535170065</v>
      </c>
      <c r="AA46" s="31">
        <v>-1.8475208614068026</v>
      </c>
      <c r="AB46" s="31">
        <v>-0.69282032302755092</v>
      </c>
    </row>
    <row r="47" spans="1:28" x14ac:dyDescent="0.35">
      <c r="A47" s="10"/>
      <c r="B47" s="11"/>
      <c r="C47" s="11"/>
      <c r="D47" s="11"/>
      <c r="E47" s="12"/>
      <c r="O47" s="32">
        <v>6.9282032302755113E-3</v>
      </c>
      <c r="P47" s="32">
        <v>5.1961524227066326E-3</v>
      </c>
      <c r="Q47" s="32">
        <v>3.4641016151377556E-3</v>
      </c>
      <c r="R47" s="32">
        <v>1.7320508075688778E-3</v>
      </c>
      <c r="T47" s="31">
        <v>-0.23094010767585033</v>
      </c>
      <c r="U47" s="31">
        <v>0.23094010767585038</v>
      </c>
      <c r="V47" s="31">
        <v>-0.46188021535170076</v>
      </c>
      <c r="W47" s="31">
        <v>0.9237604307034013</v>
      </c>
      <c r="X47" s="31">
        <v>0.34641016151377557</v>
      </c>
      <c r="Y47" s="31">
        <v>0.11547005383792519</v>
      </c>
      <c r="Z47" s="31">
        <v>-0.23094010767585033</v>
      </c>
      <c r="AA47" s="31">
        <v>-0.23094010767585027</v>
      </c>
      <c r="AB47" s="31">
        <v>0.23094010767585027</v>
      </c>
    </row>
    <row r="48" spans="1:28" x14ac:dyDescent="0.35">
      <c r="A48" s="10" t="s">
        <v>35</v>
      </c>
      <c r="B48" s="11"/>
      <c r="C48" s="11"/>
      <c r="D48" s="11" t="s">
        <v>22</v>
      </c>
      <c r="E48" s="12"/>
      <c r="O48" s="32">
        <v>-3.1176914536239792E-2</v>
      </c>
      <c r="P48" s="32">
        <v>-1.0392304845413263E-2</v>
      </c>
      <c r="Q48" s="32">
        <v>-6.9282032302755096E-3</v>
      </c>
      <c r="R48" s="32">
        <v>-3.4641016151377548E-3</v>
      </c>
    </row>
    <row r="49" spans="1:18" x14ac:dyDescent="0.35">
      <c r="A49" s="10" t="s">
        <v>12</v>
      </c>
      <c r="B49" s="14">
        <f>B42/E41</f>
        <v>0.23094010767585033</v>
      </c>
      <c r="C49" s="11"/>
      <c r="D49" s="11" t="s">
        <v>21</v>
      </c>
      <c r="E49" s="20">
        <f>(E45*E41)/E41</f>
        <v>-0.23094010767585033</v>
      </c>
      <c r="O49" s="32">
        <v>-3.4641016151377548E-3</v>
      </c>
      <c r="P49" s="32">
        <v>6.9282032302755096E-3</v>
      </c>
      <c r="Q49" s="32">
        <v>-2.7712812921102038E-2</v>
      </c>
      <c r="R49" s="32">
        <v>-3.4641016151377539E-3</v>
      </c>
    </row>
    <row r="50" spans="1:18" x14ac:dyDescent="0.35">
      <c r="A50" s="10" t="s">
        <v>13</v>
      </c>
      <c r="B50" s="14">
        <f>-B49*E42</f>
        <v>-0.11547005383792519</v>
      </c>
      <c r="C50" s="11"/>
      <c r="D50" s="11" t="s">
        <v>16</v>
      </c>
      <c r="E50" s="20">
        <f>(-E49*E42)-(E45*E42)+B50</f>
        <v>0.11547005383792519</v>
      </c>
      <c r="O50" s="32">
        <v>-3.4641016151377548E-3</v>
      </c>
      <c r="P50" s="32">
        <v>-6.9282032302755096E-3</v>
      </c>
      <c r="Q50" s="32">
        <v>-1.0392304845413263E-2</v>
      </c>
      <c r="R50" s="32">
        <v>3.4641016151377539E-3</v>
      </c>
    </row>
    <row r="51" spans="1:18" x14ac:dyDescent="0.35">
      <c r="A51" s="10"/>
      <c r="B51" s="11"/>
      <c r="C51" s="11"/>
      <c r="D51" s="11"/>
      <c r="E51" s="12"/>
    </row>
    <row r="52" spans="1:18" x14ac:dyDescent="0.35">
      <c r="A52" s="10" t="s">
        <v>36</v>
      </c>
      <c r="B52" s="11"/>
      <c r="C52" s="11"/>
      <c r="D52" s="11" t="s">
        <v>20</v>
      </c>
      <c r="E52" s="12"/>
      <c r="L52" t="s">
        <v>59</v>
      </c>
      <c r="M52" t="s">
        <v>58</v>
      </c>
      <c r="N52" s="35"/>
      <c r="O52" s="36">
        <f t="array" ref="O52:R55">MMULT(T44:AB47,O42:R50)</f>
        <v>0.11800000000000004</v>
      </c>
      <c r="P52" s="36">
        <v>5.2800000000000014E-2</v>
      </c>
      <c r="Q52" s="36">
        <v>4.7000000000000014E-2</v>
      </c>
      <c r="R52" s="36">
        <v>2.1600000000000008E-2</v>
      </c>
    </row>
    <row r="53" spans="1:18" x14ac:dyDescent="0.35">
      <c r="A53" s="10" t="s">
        <v>15</v>
      </c>
      <c r="B53" s="14">
        <f>(-1+(B45*E41))/E41</f>
        <v>-2.078460969082653</v>
      </c>
      <c r="C53" s="14">
        <f>B53*2</f>
        <v>-4.156921938165306</v>
      </c>
      <c r="D53" s="11" t="s">
        <v>10</v>
      </c>
      <c r="E53" s="20"/>
      <c r="O53" s="36">
        <v>5.2800000000000014E-2</v>
      </c>
      <c r="P53" s="36">
        <v>3.7000000000000005E-2</v>
      </c>
      <c r="Q53" s="36">
        <v>1.8400000000000007E-2</v>
      </c>
      <c r="R53" s="36">
        <v>1.5000000000000003E-2</v>
      </c>
    </row>
    <row r="54" spans="1:18" x14ac:dyDescent="0.35">
      <c r="A54" s="15" t="s">
        <v>16</v>
      </c>
      <c r="B54" s="16">
        <f>(-B45*E42)-(B53*E42)</f>
        <v>1.5011106998930275</v>
      </c>
      <c r="C54" s="16">
        <f>B54*2</f>
        <v>3.002221399786055</v>
      </c>
      <c r="D54" s="21"/>
      <c r="E54" s="17"/>
      <c r="O54" s="36">
        <v>4.7000000000000014E-2</v>
      </c>
      <c r="P54" s="36">
        <v>1.8400000000000007E-2</v>
      </c>
      <c r="Q54" s="36">
        <v>8.500000000000002E-2</v>
      </c>
      <c r="R54" s="36">
        <v>2.4800000000000006E-2</v>
      </c>
    </row>
    <row r="55" spans="1:18" x14ac:dyDescent="0.35">
      <c r="O55" s="36">
        <v>2.1600000000000008E-2</v>
      </c>
      <c r="P55" s="36">
        <v>1.5000000000000003E-2</v>
      </c>
      <c r="Q55" s="36">
        <v>2.4800000000000006E-2</v>
      </c>
      <c r="R55" s="36">
        <v>2.1999999999999999E-2</v>
      </c>
    </row>
    <row r="56" spans="1:18" x14ac:dyDescent="0.35">
      <c r="A56" s="8" t="s">
        <v>37</v>
      </c>
      <c r="B56" s="18"/>
      <c r="C56" s="18" t="s">
        <v>28</v>
      </c>
      <c r="D56" s="9">
        <f>C34</f>
        <v>2.598076211353316</v>
      </c>
      <c r="E56" s="19"/>
    </row>
    <row r="57" spans="1:18" x14ac:dyDescent="0.35">
      <c r="A57" s="10" t="s">
        <v>16</v>
      </c>
      <c r="B57" s="24">
        <f>-((B41*2*K2)+(1*K2))/C34</f>
        <v>-1.501110699893027</v>
      </c>
      <c r="C57" s="14">
        <f>B54</f>
        <v>1.5011106998930275</v>
      </c>
      <c r="D57" s="11" t="s">
        <v>13</v>
      </c>
      <c r="E57" s="20">
        <f>-B42*K2/D56</f>
        <v>-0.11547005383792516</v>
      </c>
      <c r="M57" t="s">
        <v>60</v>
      </c>
    </row>
    <row r="58" spans="1:18" x14ac:dyDescent="0.35">
      <c r="A58" s="10" t="s">
        <v>10</v>
      </c>
      <c r="B58" s="14">
        <f>B41*K2/D56</f>
        <v>0.46188021535170065</v>
      </c>
      <c r="C58" s="11"/>
      <c r="D58" s="11" t="s">
        <v>19</v>
      </c>
      <c r="E58" s="20">
        <f>B42*K3/D56</f>
        <v>0.23094010767585033</v>
      </c>
      <c r="M58" t="s">
        <v>61</v>
      </c>
    </row>
    <row r="59" spans="1:18" x14ac:dyDescent="0.35">
      <c r="A59" s="15" t="s">
        <v>15</v>
      </c>
      <c r="B59" s="16">
        <f>((-1*K2)-(C57*D56))/D56</f>
        <v>-2.078460969082653</v>
      </c>
      <c r="C59" s="21"/>
      <c r="D59" s="21" t="s">
        <v>18</v>
      </c>
      <c r="E59" s="23">
        <f>-E58*D56/D56</f>
        <v>-0.23094010767585033</v>
      </c>
      <c r="M59" t="s">
        <v>62</v>
      </c>
      <c r="O59">
        <v>1</v>
      </c>
    </row>
    <row r="60" spans="1:18" x14ac:dyDescent="0.35">
      <c r="O60">
        <v>1</v>
      </c>
    </row>
    <row r="61" spans="1:18" x14ac:dyDescent="0.35">
      <c r="A61" s="76" t="s">
        <v>38</v>
      </c>
      <c r="B61" s="76"/>
      <c r="O61">
        <v>1</v>
      </c>
    </row>
    <row r="62" spans="1:18" x14ac:dyDescent="0.35">
      <c r="A62" t="s">
        <v>31</v>
      </c>
      <c r="B62">
        <f>1/5</f>
        <v>0.2</v>
      </c>
      <c r="D62" t="s">
        <v>8</v>
      </c>
      <c r="E62" s="2">
        <f>K6</f>
        <v>0.8660254037844386</v>
      </c>
      <c r="O62">
        <v>1</v>
      </c>
    </row>
    <row r="63" spans="1:18" x14ac:dyDescent="0.35">
      <c r="A63" t="s">
        <v>32</v>
      </c>
      <c r="B63">
        <f>4/5</f>
        <v>0.8</v>
      </c>
      <c r="D63" t="s">
        <v>34</v>
      </c>
      <c r="E63">
        <f>K7</f>
        <v>0.50000000000000011</v>
      </c>
    </row>
    <row r="64" spans="1:18" x14ac:dyDescent="0.35">
      <c r="M64" t="s">
        <v>49</v>
      </c>
      <c r="O64" s="38">
        <f t="array" ref="O64:O67">MMULT(O52:R55,O59:O62)</f>
        <v>0.23940000000000008</v>
      </c>
    </row>
    <row r="65" spans="1:16" x14ac:dyDescent="0.35">
      <c r="A65" s="8" t="s">
        <v>33</v>
      </c>
      <c r="B65" s="18"/>
      <c r="C65" s="18"/>
      <c r="D65" s="18" t="s">
        <v>17</v>
      </c>
      <c r="E65" s="19"/>
      <c r="O65" s="38">
        <v>0.12320000000000002</v>
      </c>
    </row>
    <row r="66" spans="1:16" x14ac:dyDescent="0.35">
      <c r="A66" s="10" t="s">
        <v>7</v>
      </c>
      <c r="B66" s="14">
        <f>-B62/E62</f>
        <v>-0.23094010767585033</v>
      </c>
      <c r="C66" s="11"/>
      <c r="D66" s="11" t="s">
        <v>18</v>
      </c>
      <c r="E66" s="20">
        <f>-((B70*E62)-1)/E62</f>
        <v>0.23094010767585027</v>
      </c>
      <c r="O66" s="38">
        <v>0.17520000000000005</v>
      </c>
    </row>
    <row r="67" spans="1:16" x14ac:dyDescent="0.35">
      <c r="A67" s="10" t="s">
        <v>10</v>
      </c>
      <c r="B67" s="14">
        <f>-B66*E63</f>
        <v>0.11547005383792519</v>
      </c>
      <c r="C67" s="11"/>
      <c r="D67" s="11" t="s">
        <v>19</v>
      </c>
      <c r="E67" s="20">
        <f>(-E66*E63)+(B70*E63)</f>
        <v>0.34641016151377557</v>
      </c>
      <c r="O67" s="38">
        <v>8.3400000000000002E-2</v>
      </c>
    </row>
    <row r="68" spans="1:16" x14ac:dyDescent="0.35">
      <c r="A68" s="10"/>
      <c r="B68" s="11"/>
      <c r="C68" s="11"/>
      <c r="D68" s="11"/>
      <c r="E68" s="12"/>
    </row>
    <row r="69" spans="1:16" x14ac:dyDescent="0.35">
      <c r="A69" s="10" t="s">
        <v>35</v>
      </c>
      <c r="B69" s="11"/>
      <c r="C69" s="11"/>
      <c r="D69" s="11" t="s">
        <v>22</v>
      </c>
      <c r="E69" s="12"/>
      <c r="M69" t="s">
        <v>63</v>
      </c>
    </row>
    <row r="70" spans="1:16" x14ac:dyDescent="0.35">
      <c r="A70" s="10" t="s">
        <v>12</v>
      </c>
      <c r="B70" s="14">
        <f>B63/E62</f>
        <v>0.9237604307034013</v>
      </c>
      <c r="C70" s="11"/>
      <c r="D70" s="11" t="s">
        <v>21</v>
      </c>
      <c r="E70" s="20">
        <f>-E66*E62/E62</f>
        <v>-0.23094010767585027</v>
      </c>
      <c r="M70" t="s">
        <v>64</v>
      </c>
    </row>
    <row r="71" spans="1:16" x14ac:dyDescent="0.35">
      <c r="A71" s="10" t="s">
        <v>13</v>
      </c>
      <c r="B71" s="14">
        <f>-B70*E63</f>
        <v>-0.46188021535170076</v>
      </c>
      <c r="C71" s="11"/>
      <c r="D71" s="11"/>
      <c r="E71" s="12"/>
      <c r="M71" t="s">
        <v>65</v>
      </c>
      <c r="N71" s="39" t="str">
        <f>N7</f>
        <v>S1</v>
      </c>
      <c r="O71" s="40">
        <f t="array" ref="O71:O79">MMULT(N20:Q28,O59:O62)</f>
        <v>-2.3094010767585034</v>
      </c>
    </row>
    <row r="72" spans="1:16" x14ac:dyDescent="0.35">
      <c r="A72" s="10"/>
      <c r="B72" s="11"/>
      <c r="C72" s="11"/>
      <c r="D72" s="11"/>
      <c r="E72" s="12"/>
      <c r="N72" s="39" t="str">
        <f t="shared" ref="N72:N79" si="2">N8</f>
        <v>S2</v>
      </c>
      <c r="O72" s="40">
        <v>2.8867513459481295</v>
      </c>
      <c r="P72" s="2">
        <f>O72/2</f>
        <v>1.4433756729740648</v>
      </c>
    </row>
    <row r="73" spans="1:16" x14ac:dyDescent="0.35">
      <c r="A73" s="10" t="s">
        <v>36</v>
      </c>
      <c r="B73" s="11"/>
      <c r="C73" s="11"/>
      <c r="D73" s="11" t="s">
        <v>20</v>
      </c>
      <c r="E73" s="12"/>
      <c r="N73" s="39" t="str">
        <f t="shared" si="2"/>
        <v>S3</v>
      </c>
      <c r="O73" s="40">
        <v>-1.1547005383792519</v>
      </c>
    </row>
    <row r="74" spans="1:16" x14ac:dyDescent="0.35">
      <c r="A74" s="10" t="s">
        <v>15</v>
      </c>
      <c r="B74" s="14">
        <f>B66*E62/E62</f>
        <v>-0.23094010767585033</v>
      </c>
      <c r="C74" s="11"/>
      <c r="D74" s="11" t="s">
        <v>10</v>
      </c>
      <c r="E74" s="12"/>
      <c r="N74" s="39" t="str">
        <f t="shared" si="2"/>
        <v>S4</v>
      </c>
      <c r="O74" s="40">
        <v>2.3094010767585029</v>
      </c>
    </row>
    <row r="75" spans="1:16" x14ac:dyDescent="0.35">
      <c r="A75" s="15" t="s">
        <v>16</v>
      </c>
      <c r="B75" s="16">
        <f>-((B66*E63)+(B74*E63))</f>
        <v>0.23094010767585038</v>
      </c>
      <c r="C75" s="21"/>
      <c r="D75" s="21"/>
      <c r="E75" s="17"/>
      <c r="N75" s="39" t="str">
        <f t="shared" si="2"/>
        <v>S5</v>
      </c>
      <c r="O75" s="40">
        <v>1.7320508075688776</v>
      </c>
    </row>
    <row r="76" spans="1:16" x14ac:dyDescent="0.35">
      <c r="N76" s="39" t="str">
        <f t="shared" si="2"/>
        <v>S6</v>
      </c>
      <c r="O76" s="40">
        <v>1.1547005383792519</v>
      </c>
    </row>
    <row r="77" spans="1:16" x14ac:dyDescent="0.35">
      <c r="A77" s="8" t="s">
        <v>27</v>
      </c>
      <c r="B77" s="18"/>
      <c r="C77" s="18" t="s">
        <v>28</v>
      </c>
      <c r="D77" s="9">
        <f>C34</f>
        <v>2.598076211353316</v>
      </c>
      <c r="E77" s="19"/>
      <c r="N77" s="39" t="str">
        <f t="shared" si="2"/>
        <v>S7</v>
      </c>
      <c r="O77" s="40">
        <v>-3.4641016151377548</v>
      </c>
    </row>
    <row r="78" spans="1:16" x14ac:dyDescent="0.35">
      <c r="A78" s="10" t="s">
        <v>16</v>
      </c>
      <c r="B78" s="14">
        <f>B62*K3/D77</f>
        <v>0.23094010767585033</v>
      </c>
      <c r="C78" s="11"/>
      <c r="D78" s="11" t="s">
        <v>13</v>
      </c>
      <c r="E78" s="20">
        <f>-B63*K2/D77</f>
        <v>-0.46188021535170065</v>
      </c>
      <c r="N78" s="39" t="str">
        <f t="shared" si="2"/>
        <v>S8</v>
      </c>
      <c r="O78" s="40">
        <v>-1.8475208614068026</v>
      </c>
    </row>
    <row r="79" spans="1:16" x14ac:dyDescent="0.35">
      <c r="A79" s="10" t="s">
        <v>10</v>
      </c>
      <c r="B79" s="14">
        <f>B62*K2/D77</f>
        <v>0.11547005383792516</v>
      </c>
      <c r="C79" s="11"/>
      <c r="D79" s="11" t="s">
        <v>19</v>
      </c>
      <c r="E79" s="20">
        <f>-((1*K2)-(B63*K3))/D77</f>
        <v>0.34641016151377557</v>
      </c>
      <c r="N79" s="39" t="str">
        <f t="shared" si="2"/>
        <v>S9</v>
      </c>
      <c r="O79" s="40">
        <v>-1.1547005383792515</v>
      </c>
    </row>
    <row r="80" spans="1:16" x14ac:dyDescent="0.35">
      <c r="A80" s="15" t="s">
        <v>15</v>
      </c>
      <c r="B80" s="16">
        <f>-B78*D77/D77</f>
        <v>-0.23094010767585033</v>
      </c>
      <c r="C80" s="21"/>
      <c r="D80" s="21" t="s">
        <v>18</v>
      </c>
      <c r="E80" s="23">
        <f>((1*K2)-(E79*D77))/D77</f>
        <v>0.23094010767585016</v>
      </c>
    </row>
    <row r="81" spans="1:15" x14ac:dyDescent="0.35">
      <c r="O81" s="2">
        <f>SUM(O71:O79)</f>
        <v>-1.8475208614068022</v>
      </c>
    </row>
    <row r="82" spans="1:15" x14ac:dyDescent="0.35">
      <c r="A82" s="76" t="s">
        <v>39</v>
      </c>
      <c r="B82" s="76"/>
    </row>
    <row r="83" spans="1:15" x14ac:dyDescent="0.35">
      <c r="A83" t="s">
        <v>31</v>
      </c>
      <c r="B83">
        <f>2/5</f>
        <v>0.4</v>
      </c>
      <c r="D83" t="s">
        <v>8</v>
      </c>
      <c r="E83" s="2">
        <f>K6</f>
        <v>0.8660254037844386</v>
      </c>
    </row>
    <row r="84" spans="1:15" x14ac:dyDescent="0.35">
      <c r="A84" t="s">
        <v>32</v>
      </c>
      <c r="B84">
        <f>3/5</f>
        <v>0.6</v>
      </c>
      <c r="D84" t="s">
        <v>9</v>
      </c>
      <c r="E84">
        <f>K7</f>
        <v>0.50000000000000011</v>
      </c>
    </row>
    <row r="86" spans="1:15" x14ac:dyDescent="0.35">
      <c r="A86" s="8" t="s">
        <v>33</v>
      </c>
      <c r="B86" s="18"/>
      <c r="C86" s="18"/>
      <c r="D86" s="18" t="s">
        <v>17</v>
      </c>
      <c r="E86" s="19"/>
    </row>
    <row r="87" spans="1:15" x14ac:dyDescent="0.35">
      <c r="A87" s="10" t="s">
        <v>7</v>
      </c>
      <c r="B87" s="14">
        <f>-B83/E83</f>
        <v>-0.46188021535170065</v>
      </c>
      <c r="C87" s="11"/>
      <c r="D87" s="11" t="s">
        <v>18</v>
      </c>
      <c r="E87" s="20">
        <f>-B91*E83/E83</f>
        <v>-0.69282032302755092</v>
      </c>
    </row>
    <row r="88" spans="1:15" x14ac:dyDescent="0.35">
      <c r="A88" s="10" t="s">
        <v>10</v>
      </c>
      <c r="B88" s="14">
        <f>-B87*E84</f>
        <v>0.23094010767585038</v>
      </c>
      <c r="C88" s="11"/>
      <c r="D88" s="11" t="s">
        <v>19</v>
      </c>
      <c r="E88" s="20">
        <f>(-E87*E84)+(B91*E84)</f>
        <v>0.69282032302755103</v>
      </c>
    </row>
    <row r="89" spans="1:15" x14ac:dyDescent="0.35">
      <c r="A89" s="10"/>
      <c r="B89" s="11"/>
      <c r="C89" s="11"/>
      <c r="D89" s="11"/>
      <c r="E89" s="12"/>
    </row>
    <row r="90" spans="1:15" x14ac:dyDescent="0.35">
      <c r="A90" s="10" t="s">
        <v>35</v>
      </c>
      <c r="B90" s="11"/>
      <c r="C90" s="11"/>
      <c r="D90" s="11" t="s">
        <v>22</v>
      </c>
      <c r="E90" s="12"/>
    </row>
    <row r="91" spans="1:15" x14ac:dyDescent="0.35">
      <c r="A91" s="10" t="s">
        <v>12</v>
      </c>
      <c r="B91" s="14">
        <f>B84/E83</f>
        <v>0.69282032302755092</v>
      </c>
      <c r="C91" s="11"/>
      <c r="D91" s="11" t="s">
        <v>21</v>
      </c>
      <c r="E91" s="20">
        <f>(-1+(E87*E83))/E83</f>
        <v>-1.8475208614068026</v>
      </c>
    </row>
    <row r="92" spans="1:15" x14ac:dyDescent="0.35">
      <c r="A92" s="10" t="s">
        <v>13</v>
      </c>
      <c r="B92" s="14">
        <f>-B91*E84</f>
        <v>-0.34641016151377552</v>
      </c>
      <c r="C92" s="11"/>
      <c r="D92" s="11"/>
      <c r="E92" s="12"/>
    </row>
    <row r="93" spans="1:15" x14ac:dyDescent="0.35">
      <c r="A93" s="10"/>
      <c r="B93" s="11"/>
      <c r="C93" s="11"/>
      <c r="D93" s="11"/>
      <c r="E93" s="12"/>
    </row>
    <row r="94" spans="1:15" x14ac:dyDescent="0.35">
      <c r="A94" s="10" t="s">
        <v>36</v>
      </c>
      <c r="B94" s="11"/>
      <c r="C94" s="11"/>
      <c r="D94" s="11" t="s">
        <v>20</v>
      </c>
      <c r="E94" s="12"/>
    </row>
    <row r="95" spans="1:15" x14ac:dyDescent="0.35">
      <c r="A95" s="10" t="s">
        <v>15</v>
      </c>
      <c r="B95" s="14">
        <f>B87*E83/E83</f>
        <v>-0.46188021535170065</v>
      </c>
      <c r="C95" s="11"/>
      <c r="D95" s="11" t="s">
        <v>10</v>
      </c>
      <c r="E95" s="12"/>
    </row>
    <row r="96" spans="1:15" x14ac:dyDescent="0.35">
      <c r="A96" s="15" t="s">
        <v>16</v>
      </c>
      <c r="B96" s="16">
        <f>(-B87*E84)-(B95*E84)</f>
        <v>0.46188021535170076</v>
      </c>
      <c r="C96" s="21"/>
      <c r="D96" s="21"/>
      <c r="E96" s="17"/>
    </row>
    <row r="98" spans="1:5" x14ac:dyDescent="0.35">
      <c r="A98" s="8" t="s">
        <v>27</v>
      </c>
      <c r="B98" s="18"/>
      <c r="C98" s="18" t="s">
        <v>28</v>
      </c>
      <c r="D98" s="9">
        <f>D77</f>
        <v>2.598076211353316</v>
      </c>
      <c r="E98" s="19"/>
    </row>
    <row r="99" spans="1:5" x14ac:dyDescent="0.35">
      <c r="A99" s="10" t="s">
        <v>16</v>
      </c>
      <c r="B99" s="14">
        <f>B83*K3/D98</f>
        <v>0.46188021535170065</v>
      </c>
      <c r="C99" s="11"/>
      <c r="D99" s="11" t="s">
        <v>13</v>
      </c>
      <c r="E99" s="20">
        <f>-B84*K2/D98</f>
        <v>-0.34641016151377541</v>
      </c>
    </row>
    <row r="100" spans="1:5" x14ac:dyDescent="0.35">
      <c r="A100" s="10" t="s">
        <v>10</v>
      </c>
      <c r="B100" s="14">
        <f>B83*K2/D98</f>
        <v>0.23094010767585033</v>
      </c>
      <c r="C100" s="11"/>
      <c r="D100" s="11" t="s">
        <v>19</v>
      </c>
      <c r="E100" s="20">
        <f>B84*K3/D98</f>
        <v>0.69282032302755081</v>
      </c>
    </row>
    <row r="101" spans="1:5" x14ac:dyDescent="0.35">
      <c r="A101" s="15" t="s">
        <v>15</v>
      </c>
      <c r="B101" s="16">
        <f>-B99*D98/D98</f>
        <v>-0.46188021535170065</v>
      </c>
      <c r="C101" s="21"/>
      <c r="D101" s="21" t="s">
        <v>18</v>
      </c>
      <c r="E101" s="23">
        <f>-E100*D98/D98</f>
        <v>-0.69282032302755081</v>
      </c>
    </row>
    <row r="103" spans="1:5" x14ac:dyDescent="0.35">
      <c r="A103" s="76" t="s">
        <v>40</v>
      </c>
      <c r="B103" s="76"/>
    </row>
    <row r="104" spans="1:5" x14ac:dyDescent="0.35">
      <c r="A104" t="s">
        <v>31</v>
      </c>
      <c r="B104">
        <f>3/5</f>
        <v>0.6</v>
      </c>
      <c r="D104" t="s">
        <v>8</v>
      </c>
      <c r="E104" s="2">
        <f>K6</f>
        <v>0.8660254037844386</v>
      </c>
    </row>
    <row r="105" spans="1:5" x14ac:dyDescent="0.35">
      <c r="B105" s="25"/>
      <c r="C105" s="25"/>
      <c r="D105" t="s">
        <v>9</v>
      </c>
      <c r="E105" s="2">
        <f>K7</f>
        <v>0.50000000000000011</v>
      </c>
    </row>
    <row r="106" spans="1:5" x14ac:dyDescent="0.35">
      <c r="A106" t="s">
        <v>32</v>
      </c>
      <c r="B106">
        <f>B83</f>
        <v>0.4</v>
      </c>
    </row>
    <row r="107" spans="1:5" x14ac:dyDescent="0.35">
      <c r="A107" s="8" t="s">
        <v>33</v>
      </c>
      <c r="B107" s="18"/>
      <c r="C107" s="18"/>
      <c r="D107" s="18" t="s">
        <v>17</v>
      </c>
      <c r="E107" s="19"/>
    </row>
    <row r="108" spans="1:5" x14ac:dyDescent="0.35">
      <c r="A108" s="10" t="s">
        <v>7</v>
      </c>
      <c r="B108" s="14">
        <f>-B104/E104</f>
        <v>-0.69282032302755092</v>
      </c>
      <c r="C108" s="11"/>
      <c r="D108" s="11" t="s">
        <v>18</v>
      </c>
      <c r="E108" s="20">
        <f>-E116*E104/E104</f>
        <v>-0.46188021535170065</v>
      </c>
    </row>
    <row r="109" spans="1:5" x14ac:dyDescent="0.35">
      <c r="A109" s="10" t="s">
        <v>10</v>
      </c>
      <c r="B109" s="14">
        <f>-B108*E105</f>
        <v>0.34641016151377552</v>
      </c>
      <c r="C109" s="11"/>
      <c r="D109" s="11" t="s">
        <v>19</v>
      </c>
      <c r="E109" s="12"/>
    </row>
    <row r="110" spans="1:5" x14ac:dyDescent="0.35">
      <c r="A110" s="10"/>
      <c r="B110" s="11"/>
      <c r="C110" s="11"/>
      <c r="D110" s="11"/>
      <c r="E110" s="12"/>
    </row>
    <row r="111" spans="1:5" x14ac:dyDescent="0.35">
      <c r="A111" s="10" t="s">
        <v>35</v>
      </c>
      <c r="B111" s="11"/>
      <c r="C111" s="11"/>
      <c r="D111" s="11" t="s">
        <v>22</v>
      </c>
      <c r="E111" s="12"/>
    </row>
    <row r="112" spans="1:5" x14ac:dyDescent="0.35">
      <c r="A112" s="10" t="s">
        <v>12</v>
      </c>
      <c r="B112" s="14">
        <f>B106/E104</f>
        <v>0.46188021535170065</v>
      </c>
      <c r="C112" s="11"/>
      <c r="D112" s="11" t="s">
        <v>21</v>
      </c>
      <c r="E112" s="12"/>
    </row>
    <row r="113" spans="1:5" x14ac:dyDescent="0.35">
      <c r="A113" s="10" t="s">
        <v>13</v>
      </c>
      <c r="B113" s="14">
        <f>-B112*E105</f>
        <v>-0.23094010767585038</v>
      </c>
      <c r="C113" s="11"/>
      <c r="D113" s="11"/>
      <c r="E113" s="12"/>
    </row>
    <row r="114" spans="1:5" x14ac:dyDescent="0.35">
      <c r="A114" s="10"/>
      <c r="B114" s="11"/>
      <c r="C114" s="11"/>
      <c r="D114" s="11"/>
      <c r="E114" s="12"/>
    </row>
    <row r="115" spans="1:5" x14ac:dyDescent="0.35">
      <c r="A115" s="10" t="s">
        <v>36</v>
      </c>
      <c r="B115" s="11"/>
      <c r="C115" s="11"/>
      <c r="D115" s="11" t="s">
        <v>41</v>
      </c>
      <c r="E115" s="12"/>
    </row>
    <row r="116" spans="1:5" x14ac:dyDescent="0.35">
      <c r="A116" s="10" t="s">
        <v>15</v>
      </c>
      <c r="B116" s="14">
        <f>B108*E104/E104</f>
        <v>-0.69282032302755092</v>
      </c>
      <c r="C116" s="11"/>
      <c r="D116" s="26" t="s">
        <v>21</v>
      </c>
      <c r="E116" s="20">
        <f>((B116*E104)+1)/E104</f>
        <v>0.46188021535170065</v>
      </c>
    </row>
    <row r="117" spans="1:5" x14ac:dyDescent="0.35">
      <c r="A117" s="15" t="s">
        <v>16</v>
      </c>
      <c r="B117" s="16">
        <f>-((B108*E105)+(B116*E105))</f>
        <v>0.69282032302755103</v>
      </c>
      <c r="C117" s="21"/>
      <c r="D117" s="21" t="s">
        <v>19</v>
      </c>
      <c r="E117" s="23">
        <f>-(-B109+(B116*E105)+(E116*E105))</f>
        <v>0.46188021535170065</v>
      </c>
    </row>
    <row r="119" spans="1:5" x14ac:dyDescent="0.35">
      <c r="A119" s="8" t="s">
        <v>27</v>
      </c>
      <c r="B119" s="18"/>
      <c r="C119" s="18" t="s">
        <v>28</v>
      </c>
      <c r="D119" s="9">
        <f>D98</f>
        <v>2.598076211353316</v>
      </c>
      <c r="E119" s="19"/>
    </row>
    <row r="120" spans="1:5" x14ac:dyDescent="0.35">
      <c r="A120" s="10" t="s">
        <v>16</v>
      </c>
      <c r="B120" s="14">
        <f>B104*K3/D119</f>
        <v>0.69282032302755081</v>
      </c>
      <c r="C120" s="11"/>
      <c r="D120" s="11" t="s">
        <v>13</v>
      </c>
      <c r="E120" s="20">
        <f>-B106*K2/D119</f>
        <v>-0.23094010767585033</v>
      </c>
    </row>
    <row r="121" spans="1:5" x14ac:dyDescent="0.35">
      <c r="A121" s="10" t="s">
        <v>10</v>
      </c>
      <c r="B121" s="14">
        <f>B104*K2/D119</f>
        <v>0.34641016151377541</v>
      </c>
      <c r="C121" s="11"/>
      <c r="D121" s="11" t="s">
        <v>19</v>
      </c>
      <c r="E121" s="20">
        <f>B106*K3/D119</f>
        <v>0.46188021535170065</v>
      </c>
    </row>
    <row r="122" spans="1:5" x14ac:dyDescent="0.35">
      <c r="A122" s="15" t="s">
        <v>15</v>
      </c>
      <c r="B122" s="16">
        <f>-B120*D119/D119</f>
        <v>-0.69282032302755081</v>
      </c>
      <c r="C122" s="21"/>
      <c r="D122" s="21" t="s">
        <v>18</v>
      </c>
      <c r="E122" s="23">
        <f>-E121*D119/D119</f>
        <v>-0.46188021535170065</v>
      </c>
    </row>
  </sheetData>
  <mergeCells count="12">
    <mergeCell ref="M1:U2"/>
    <mergeCell ref="M3:M4"/>
    <mergeCell ref="N3:N4"/>
    <mergeCell ref="O3:O4"/>
    <mergeCell ref="P3:P4"/>
    <mergeCell ref="Q3:T3"/>
    <mergeCell ref="U3:U4"/>
    <mergeCell ref="G20:G21"/>
    <mergeCell ref="H20:I20"/>
    <mergeCell ref="A61:B61"/>
    <mergeCell ref="A82:B82"/>
    <mergeCell ref="A103:B10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5"/>
  <sheetViews>
    <sheetView zoomScale="130" zoomScaleNormal="130" workbookViewId="0">
      <pane ySplit="8" topLeftCell="A82" activePane="bottomLeft" state="frozen"/>
      <selection pane="bottomLeft" activeCell="E84" sqref="E84"/>
    </sheetView>
  </sheetViews>
  <sheetFormatPr defaultRowHeight="14.5" x14ac:dyDescent="0.35"/>
  <cols>
    <col min="2" max="2" width="8.81640625" customWidth="1"/>
    <col min="5" max="5" width="8.1796875" customWidth="1"/>
    <col min="9" max="9" width="7.7265625" customWidth="1"/>
    <col min="10" max="10" width="10.54296875" customWidth="1"/>
    <col min="13" max="14" width="9.54296875" bestFit="1" customWidth="1"/>
  </cols>
  <sheetData>
    <row r="1" spans="1:17" x14ac:dyDescent="0.35">
      <c r="A1" s="27" t="s">
        <v>69</v>
      </c>
      <c r="B1" s="11"/>
      <c r="C1" s="11"/>
      <c r="D1" s="11"/>
      <c r="E1" s="11"/>
      <c r="F1" s="11"/>
    </row>
    <row r="2" spans="1:17" x14ac:dyDescent="0.35">
      <c r="A2" s="27" t="s">
        <v>1</v>
      </c>
      <c r="B2" s="27">
        <v>1.7</v>
      </c>
      <c r="C2" s="27" t="s">
        <v>75</v>
      </c>
      <c r="D2" s="27">
        <f>SUM(B2:B3)</f>
        <v>5.0999999999999996</v>
      </c>
      <c r="E2" s="27" t="s">
        <v>108</v>
      </c>
      <c r="F2" s="48">
        <f>B4/D3</f>
        <v>0.92033091845847459</v>
      </c>
    </row>
    <row r="3" spans="1:17" x14ac:dyDescent="0.35">
      <c r="A3" s="27" t="s">
        <v>2</v>
      </c>
      <c r="B3" s="27">
        <f>2*B2</f>
        <v>3.4</v>
      </c>
      <c r="C3" s="27" t="s">
        <v>72</v>
      </c>
      <c r="D3" s="49">
        <f>((B2^2)+(B4^2))^0.5</f>
        <v>4.346262762420146</v>
      </c>
      <c r="E3" s="27" t="s">
        <v>109</v>
      </c>
      <c r="F3" s="48">
        <f>B2/D3</f>
        <v>0.39114064034485169</v>
      </c>
    </row>
    <row r="4" spans="1:17" x14ac:dyDescent="0.35">
      <c r="A4" s="27" t="s">
        <v>70</v>
      </c>
      <c r="B4" s="17">
        <v>4</v>
      </c>
      <c r="C4" s="27" t="s">
        <v>73</v>
      </c>
      <c r="D4" s="27">
        <v>1</v>
      </c>
      <c r="E4" s="11"/>
      <c r="F4" s="11"/>
    </row>
    <row r="5" spans="1:17" x14ac:dyDescent="0.35">
      <c r="A5" s="27" t="s">
        <v>71</v>
      </c>
      <c r="B5" s="50">
        <v>1.3</v>
      </c>
      <c r="C5" s="27" t="s">
        <v>74</v>
      </c>
      <c r="D5" s="27">
        <v>2</v>
      </c>
      <c r="E5" s="11"/>
      <c r="F5" s="11"/>
    </row>
    <row r="6" spans="1:17" x14ac:dyDescent="0.35">
      <c r="A6" s="27" t="s">
        <v>65</v>
      </c>
      <c r="B6" s="27">
        <f>SUM(B4:B5)</f>
        <v>5.3</v>
      </c>
      <c r="C6" s="11"/>
      <c r="D6" s="11"/>
      <c r="E6" s="11"/>
      <c r="F6" s="11"/>
    </row>
    <row r="7" spans="1:17" x14ac:dyDescent="0.35">
      <c r="A7" s="27" t="s">
        <v>3</v>
      </c>
      <c r="B7" s="27">
        <v>1.2</v>
      </c>
      <c r="C7" s="11"/>
      <c r="D7" s="11"/>
      <c r="E7" s="11"/>
      <c r="F7" s="11"/>
    </row>
    <row r="12" spans="1:17" x14ac:dyDescent="0.35">
      <c r="A12" t="s">
        <v>76</v>
      </c>
      <c r="B12" s="42">
        <f>-B6</f>
        <v>-5.3</v>
      </c>
      <c r="C12" s="42">
        <v>0</v>
      </c>
      <c r="F12" t="s">
        <v>66</v>
      </c>
      <c r="G12" s="42">
        <f>-B4</f>
        <v>-4</v>
      </c>
      <c r="H12" s="42">
        <f>-B6</f>
        <v>-5.3</v>
      </c>
      <c r="I12" s="42">
        <v>1</v>
      </c>
      <c r="K12" t="s">
        <v>67</v>
      </c>
      <c r="L12" s="42">
        <f t="array" ref="L12:Q14">TRANSPOSE(G12:I17)</f>
        <v>-4</v>
      </c>
      <c r="M12" s="42">
        <v>0</v>
      </c>
      <c r="N12" s="42">
        <v>0</v>
      </c>
      <c r="O12" s="42">
        <v>0</v>
      </c>
      <c r="P12" s="42">
        <v>0</v>
      </c>
      <c r="Q12" s="42">
        <v>5.3</v>
      </c>
    </row>
    <row r="13" spans="1:17" x14ac:dyDescent="0.35">
      <c r="B13" s="42">
        <v>0</v>
      </c>
      <c r="C13" s="42">
        <v>0</v>
      </c>
      <c r="G13" s="42">
        <v>0</v>
      </c>
      <c r="H13" s="42">
        <v>0</v>
      </c>
      <c r="I13" s="42">
        <v>-1</v>
      </c>
      <c r="L13" s="42">
        <v>-5.3</v>
      </c>
      <c r="M13" s="42">
        <v>0</v>
      </c>
      <c r="N13" s="42">
        <v>0</v>
      </c>
      <c r="O13" s="42">
        <v>-3.4</v>
      </c>
      <c r="P13" s="42">
        <v>5.3</v>
      </c>
      <c r="Q13" s="42">
        <v>-5.3</v>
      </c>
    </row>
    <row r="14" spans="1:17" x14ac:dyDescent="0.35">
      <c r="B14" s="42">
        <v>0</v>
      </c>
      <c r="C14" s="42">
        <v>0</v>
      </c>
      <c r="G14" s="42">
        <v>0</v>
      </c>
      <c r="H14" s="42">
        <v>0</v>
      </c>
      <c r="I14" s="42">
        <v>1</v>
      </c>
      <c r="L14" s="42">
        <v>1</v>
      </c>
      <c r="M14" s="42">
        <v>-1</v>
      </c>
      <c r="N14" s="42">
        <v>1</v>
      </c>
      <c r="O14" s="42">
        <v>-1</v>
      </c>
      <c r="P14" s="42">
        <v>1</v>
      </c>
      <c r="Q14" s="42">
        <v>-1</v>
      </c>
    </row>
    <row r="15" spans="1:17" x14ac:dyDescent="0.35">
      <c r="B15" s="42">
        <v>0</v>
      </c>
      <c r="C15" s="42">
        <v>0</v>
      </c>
      <c r="G15" s="42">
        <v>0</v>
      </c>
      <c r="H15" s="42">
        <f>-B3</f>
        <v>-3.4</v>
      </c>
      <c r="I15" s="42">
        <v>-1</v>
      </c>
    </row>
    <row r="16" spans="1:17" x14ac:dyDescent="0.35">
      <c r="B16" s="42">
        <v>0</v>
      </c>
      <c r="C16" s="42">
        <v>1</v>
      </c>
      <c r="G16" s="42">
        <v>0</v>
      </c>
      <c r="H16" s="42">
        <f>B6</f>
        <v>5.3</v>
      </c>
      <c r="I16" s="42">
        <v>1</v>
      </c>
    </row>
    <row r="17" spans="1:10" x14ac:dyDescent="0.35">
      <c r="B17" s="42">
        <v>0</v>
      </c>
      <c r="C17" s="42">
        <v>-1</v>
      </c>
      <c r="G17" s="42">
        <f>B6</f>
        <v>5.3</v>
      </c>
      <c r="H17" s="42">
        <f>-B6</f>
        <v>-5.3</v>
      </c>
      <c r="I17" s="42">
        <v>-1</v>
      </c>
    </row>
    <row r="19" spans="1:10" x14ac:dyDescent="0.35">
      <c r="A19" t="s">
        <v>68</v>
      </c>
    </row>
    <row r="20" spans="1:10" x14ac:dyDescent="0.35">
      <c r="A20" t="s">
        <v>55</v>
      </c>
      <c r="B20" s="32">
        <f>D3/(3*D4)</f>
        <v>1.4487542541400487</v>
      </c>
      <c r="C20" s="32">
        <f>-D3/(6*D4)</f>
        <v>-0.72437712707002433</v>
      </c>
      <c r="D20" s="42">
        <v>0</v>
      </c>
      <c r="E20" s="42">
        <v>0</v>
      </c>
      <c r="F20" s="42">
        <v>0</v>
      </c>
      <c r="G20" s="42">
        <v>0</v>
      </c>
    </row>
    <row r="21" spans="1:10" x14ac:dyDescent="0.35">
      <c r="B21" s="32">
        <f>C20</f>
        <v>-0.72437712707002433</v>
      </c>
      <c r="C21" s="32">
        <f>B20</f>
        <v>1.4487542541400487</v>
      </c>
      <c r="D21" s="42">
        <v>0</v>
      </c>
      <c r="E21" s="42">
        <v>0</v>
      </c>
      <c r="F21" s="42">
        <v>0</v>
      </c>
      <c r="G21" s="42">
        <v>0</v>
      </c>
    </row>
    <row r="22" spans="1:10" x14ac:dyDescent="0.35">
      <c r="B22" s="42">
        <v>0</v>
      </c>
      <c r="C22" s="42">
        <v>0</v>
      </c>
      <c r="D22" s="32">
        <f>D2/(3*D5)</f>
        <v>0.85</v>
      </c>
      <c r="E22" s="32">
        <f>-D2/(6*D5)</f>
        <v>-0.42499999999999999</v>
      </c>
      <c r="F22" s="42">
        <v>0</v>
      </c>
      <c r="G22" s="42">
        <v>0</v>
      </c>
    </row>
    <row r="23" spans="1:10" x14ac:dyDescent="0.35">
      <c r="B23" s="42">
        <v>0</v>
      </c>
      <c r="C23" s="42">
        <v>0</v>
      </c>
      <c r="D23" s="32">
        <f>E22</f>
        <v>-0.42499999999999999</v>
      </c>
      <c r="E23" s="32">
        <f>D22</f>
        <v>0.85</v>
      </c>
      <c r="F23" s="42">
        <v>0</v>
      </c>
      <c r="G23" s="42">
        <v>0</v>
      </c>
    </row>
    <row r="24" spans="1:10" x14ac:dyDescent="0.35">
      <c r="B24" s="42">
        <v>0</v>
      </c>
      <c r="C24" s="42">
        <v>0</v>
      </c>
      <c r="D24" s="42">
        <v>0</v>
      </c>
      <c r="E24" s="42">
        <v>0</v>
      </c>
      <c r="F24" s="32">
        <f>B6/(3*D4)</f>
        <v>1.7666666666666666</v>
      </c>
      <c r="G24" s="32">
        <f>-B6/(6*D4)</f>
        <v>-0.8833333333333333</v>
      </c>
    </row>
    <row r="25" spans="1:10" x14ac:dyDescent="0.35">
      <c r="B25" s="42">
        <v>0</v>
      </c>
      <c r="C25" s="42">
        <v>0</v>
      </c>
      <c r="D25" s="42">
        <v>0</v>
      </c>
      <c r="E25" s="42">
        <v>0</v>
      </c>
      <c r="F25" s="32">
        <f>G24</f>
        <v>-0.8833333333333333</v>
      </c>
      <c r="G25" s="32">
        <f>F24</f>
        <v>1.7666666666666666</v>
      </c>
    </row>
    <row r="27" spans="1:10" x14ac:dyDescent="0.35">
      <c r="A27" t="s">
        <v>77</v>
      </c>
    </row>
    <row r="29" spans="1:10" x14ac:dyDescent="0.35">
      <c r="A29" t="s">
        <v>78</v>
      </c>
      <c r="B29" s="31">
        <f t="array" ref="B29:G31">MMULT(L12:Q14,B20:G25)</f>
        <v>-5.7950170165601946</v>
      </c>
      <c r="C29" s="31">
        <v>2.8975085082800973</v>
      </c>
      <c r="D29" s="22">
        <v>0</v>
      </c>
      <c r="E29" s="22">
        <v>0</v>
      </c>
      <c r="F29" s="31">
        <v>-4.6816666666666666</v>
      </c>
      <c r="G29" s="31">
        <v>9.3633333333333333</v>
      </c>
      <c r="H29" t="str">
        <f>A29</f>
        <v>F◦</v>
      </c>
      <c r="I29" s="46">
        <f t="array" ref="I29:J31">MMULT(B29:G31,B12:C17)</f>
        <v>30.713590187769032</v>
      </c>
      <c r="J29" s="44">
        <v>-14.045</v>
      </c>
    </row>
    <row r="30" spans="1:10" x14ac:dyDescent="0.35">
      <c r="B30" s="31">
        <v>-7.6783975469422581</v>
      </c>
      <c r="C30" s="31">
        <v>3.839198773471129</v>
      </c>
      <c r="D30" s="22">
        <v>1.4449999999999998</v>
      </c>
      <c r="E30" s="31">
        <v>-2.8899999999999997</v>
      </c>
      <c r="F30" s="22">
        <v>14.045</v>
      </c>
      <c r="G30" s="22">
        <v>-14.045</v>
      </c>
      <c r="H30" s="35"/>
      <c r="I30" s="46">
        <v>40.695506998793967</v>
      </c>
      <c r="J30" s="44">
        <v>28.09</v>
      </c>
    </row>
    <row r="31" spans="1:10" x14ac:dyDescent="0.35">
      <c r="B31" s="31">
        <v>2.173131381210073</v>
      </c>
      <c r="C31" s="31">
        <v>-2.173131381210073</v>
      </c>
      <c r="D31" s="22">
        <v>1.2749999999999999</v>
      </c>
      <c r="E31" s="22">
        <v>-1.2749999999999999</v>
      </c>
      <c r="F31" s="22">
        <v>2.65</v>
      </c>
      <c r="G31" s="22">
        <v>-2.65</v>
      </c>
      <c r="I31" s="46">
        <v>-11.517596320413386</v>
      </c>
      <c r="J31" s="44">
        <v>5.3</v>
      </c>
    </row>
    <row r="33" spans="1:17" x14ac:dyDescent="0.35">
      <c r="A33" t="s">
        <v>79</v>
      </c>
    </row>
    <row r="34" spans="1:17" x14ac:dyDescent="0.35">
      <c r="B34" s="46">
        <f t="array" ref="B34:D36">MMULT(B29:G31,G12:I17)</f>
        <v>72.805734732907439</v>
      </c>
      <c r="C34" s="46">
        <v>-43.724909812230969</v>
      </c>
      <c r="D34" s="46">
        <v>-22.737525524840294</v>
      </c>
    </row>
    <row r="35" spans="1:17" x14ac:dyDescent="0.35">
      <c r="B35" s="46">
        <v>-43.724909812230962</v>
      </c>
      <c r="C35" s="46">
        <v>199.39850699879395</v>
      </c>
      <c r="D35" s="46">
        <v>20.907403679586611</v>
      </c>
    </row>
    <row r="36" spans="1:17" x14ac:dyDescent="0.35">
      <c r="B36" s="46">
        <v>-22.737525524840294</v>
      </c>
      <c r="C36" s="46">
        <v>20.907403679586615</v>
      </c>
      <c r="D36" s="46">
        <v>12.196262762420147</v>
      </c>
    </row>
    <row r="38" spans="1:17" x14ac:dyDescent="0.35">
      <c r="A38" t="s">
        <v>80</v>
      </c>
      <c r="B38" s="32">
        <f t="array" ref="B38:D40">MINVERSE(B34:D36)</f>
        <v>3.3026931061706705E-2</v>
      </c>
      <c r="C38" s="32">
        <v>9.5858812951923021E-4</v>
      </c>
      <c r="D38" s="32">
        <v>5.9928939977293642E-2</v>
      </c>
    </row>
    <row r="39" spans="1:17" x14ac:dyDescent="0.35">
      <c r="B39" s="32">
        <v>9.5858812951922934E-4</v>
      </c>
      <c r="C39" s="32">
        <v>6.1418593555794907E-3</v>
      </c>
      <c r="D39" s="32">
        <v>-8.7415639449898025E-3</v>
      </c>
    </row>
    <row r="40" spans="1:17" x14ac:dyDescent="0.35">
      <c r="B40" s="32">
        <v>5.9928939977293642E-2</v>
      </c>
      <c r="C40" s="32">
        <v>-8.7415639449898042E-3</v>
      </c>
      <c r="D40" s="32">
        <v>0.20870321164629163</v>
      </c>
    </row>
    <row r="42" spans="1:17" x14ac:dyDescent="0.35">
      <c r="A42" t="s">
        <v>81</v>
      </c>
    </row>
    <row r="43" spans="1:17" x14ac:dyDescent="0.35">
      <c r="A43" t="s">
        <v>82</v>
      </c>
      <c r="M43" t="s">
        <v>82</v>
      </c>
    </row>
    <row r="44" spans="1:17" x14ac:dyDescent="0.35">
      <c r="B44" s="32">
        <f t="array" ref="B44:D49">MMULT(G12:I17,B38:D40)</f>
        <v>-7.7259301355985077E-2</v>
      </c>
      <c r="C44" s="32">
        <v>-4.5127771047638023E-2</v>
      </c>
      <c r="D44" s="32">
        <v>1.5317740645563016E-2</v>
      </c>
      <c r="F44" s="32">
        <f t="array" ref="F44:G49">MMULT(B44:D49,I29:J31)</f>
        <v>-4.3858315958465823</v>
      </c>
      <c r="G44" s="32">
        <v>-0.1013481757618577</v>
      </c>
      <c r="M44" s="41">
        <f t="array" ref="M44:N46">MMULT(B34:D36,I29:J31)</f>
        <v>718.59976694086686</v>
      </c>
      <c r="N44" s="41">
        <v>-2371.2981462309062</v>
      </c>
      <c r="O44" s="43"/>
      <c r="P44" s="45">
        <f t="array" ref="P44:Q49">MMULT(G12:I17,M44:N46)</f>
        <v>-37476.002451396387</v>
      </c>
      <c r="Q44" s="45">
        <v>-23071.486901956363</v>
      </c>
    </row>
    <row r="45" spans="1:17" x14ac:dyDescent="0.35">
      <c r="B45" s="32">
        <v>-5.9928939977293642E-2</v>
      </c>
      <c r="C45" s="32">
        <v>8.7415639449898042E-3</v>
      </c>
      <c r="D45" s="32">
        <v>-0.20870321164629163</v>
      </c>
      <c r="F45" s="32">
        <v>0.91886881636951689</v>
      </c>
      <c r="G45" s="32">
        <v>-1.8874528529492896E-2</v>
      </c>
      <c r="M45" s="41">
        <v>6530.8713404590608</v>
      </c>
      <c r="N45" s="41">
        <v>6326.0296594107149</v>
      </c>
      <c r="O45" s="43"/>
      <c r="P45" s="45">
        <v>-12.014720800099951</v>
      </c>
      <c r="Q45" s="45">
        <v>-971.27770799679672</v>
      </c>
    </row>
    <row r="46" spans="1:17" x14ac:dyDescent="0.35">
      <c r="B46" s="32">
        <v>5.9928939977293642E-2</v>
      </c>
      <c r="C46" s="32">
        <v>-8.7415639449898042E-3</v>
      </c>
      <c r="D46" s="32">
        <v>0.20870321164629163</v>
      </c>
      <c r="F46" s="32">
        <v>-0.91886881636951689</v>
      </c>
      <c r="G46" s="32">
        <v>1.8874528529492896E-2</v>
      </c>
      <c r="M46" s="41">
        <v>12.014720800099951</v>
      </c>
      <c r="N46" s="41">
        <v>971.27770799679672</v>
      </c>
      <c r="O46" s="43"/>
      <c r="P46" s="45">
        <v>12.014720800099951</v>
      </c>
      <c r="Q46" s="45">
        <v>971.27770799679672</v>
      </c>
    </row>
    <row r="47" spans="1:17" x14ac:dyDescent="0.35">
      <c r="B47" s="32">
        <v>-6.3188139617659025E-2</v>
      </c>
      <c r="C47" s="32">
        <v>-1.2140757863980464E-2</v>
      </c>
      <c r="D47" s="32">
        <v>-0.17898189423332631</v>
      </c>
      <c r="F47" s="32">
        <v>-0.37336771512621469</v>
      </c>
      <c r="G47" s="32">
        <v>-0.40216050690581961</v>
      </c>
      <c r="P47" s="45">
        <v>-22216.977278360904</v>
      </c>
      <c r="Q47" s="45">
        <v>-22479.778549993225</v>
      </c>
    </row>
    <row r="48" spans="1:17" x14ac:dyDescent="0.35">
      <c r="B48" s="32">
        <v>6.5009457063745557E-2</v>
      </c>
      <c r="C48" s="32">
        <v>2.3810290639581497E-2</v>
      </c>
      <c r="D48" s="32">
        <v>0.16237292273784568</v>
      </c>
      <c r="F48" s="32">
        <v>1.0954998944914767</v>
      </c>
      <c r="G48" s="32">
        <v>0.61634973011611993</v>
      </c>
      <c r="P48" s="45">
        <v>34625.632825233122</v>
      </c>
      <c r="Q48" s="45">
        <v>34499.234902873584</v>
      </c>
    </row>
    <row r="49" spans="1:17" x14ac:dyDescent="0.35">
      <c r="B49" s="32">
        <v>0.11003327756329997</v>
      </c>
      <c r="C49" s="32">
        <v>-1.8729773553129575E-2</v>
      </c>
      <c r="D49" s="32">
        <v>0.15525045914181063</v>
      </c>
      <c r="F49" s="32">
        <v>0.82918724642481934</v>
      </c>
      <c r="G49" s="32">
        <v>-1.2487092890323619</v>
      </c>
      <c r="P49" s="45">
        <v>-30817.054060446528</v>
      </c>
      <c r="Q49" s="45">
        <v>-47067.11507789739</v>
      </c>
    </row>
    <row r="51" spans="1:17" x14ac:dyDescent="0.35">
      <c r="A51" t="s">
        <v>3</v>
      </c>
      <c r="B51" s="32">
        <f t="array" ref="B51:C56">B12:C17-F44:G49</f>
        <v>-0.91416840415341749</v>
      </c>
      <c r="C51" s="32">
        <v>0.1013481757618577</v>
      </c>
    </row>
    <row r="52" spans="1:17" x14ac:dyDescent="0.35">
      <c r="B52" s="32">
        <v>-0.91886881636951689</v>
      </c>
      <c r="C52" s="32">
        <v>1.8874528529492896E-2</v>
      </c>
      <c r="E52" t="s">
        <v>83</v>
      </c>
      <c r="F52" s="32">
        <f t="array" ref="F52:K53">TRANSPOSE(B51:C56)</f>
        <v>-0.91416840415341749</v>
      </c>
      <c r="G52" s="32">
        <v>-0.91886881636951689</v>
      </c>
      <c r="H52" s="32">
        <v>0.91886881636951689</v>
      </c>
      <c r="I52" s="32">
        <v>0.37336771512621469</v>
      </c>
      <c r="J52" s="32">
        <v>-1.0954998944914767</v>
      </c>
      <c r="K52" s="32">
        <v>-0.82918724642481934</v>
      </c>
    </row>
    <row r="53" spans="1:17" x14ac:dyDescent="0.35">
      <c r="B53" s="32">
        <v>0.91886881636951689</v>
      </c>
      <c r="C53" s="32">
        <v>-1.8874528529492896E-2</v>
      </c>
      <c r="F53" s="32">
        <v>0.1013481757618577</v>
      </c>
      <c r="G53" s="32">
        <v>1.8874528529492896E-2</v>
      </c>
      <c r="H53" s="32">
        <v>-1.8874528529492896E-2</v>
      </c>
      <c r="I53" s="32">
        <v>0.40216050690581961</v>
      </c>
      <c r="J53" s="32">
        <v>0.38365026988388007</v>
      </c>
      <c r="K53" s="32">
        <v>0.24870928903236189</v>
      </c>
    </row>
    <row r="54" spans="1:17" x14ac:dyDescent="0.35">
      <c r="B54" s="32">
        <v>0.37336771512621469</v>
      </c>
      <c r="C54" s="32">
        <v>0.40216050690581961</v>
      </c>
    </row>
    <row r="55" spans="1:17" x14ac:dyDescent="0.35">
      <c r="B55" s="32">
        <v>-1.0954998944914767</v>
      </c>
      <c r="C55" s="32">
        <v>0.38365026988388007</v>
      </c>
    </row>
    <row r="56" spans="1:17" x14ac:dyDescent="0.35">
      <c r="B56" s="32">
        <v>-0.82918724642481934</v>
      </c>
      <c r="C56" s="32">
        <v>0.24870928903236189</v>
      </c>
    </row>
    <row r="58" spans="1:17" x14ac:dyDescent="0.35">
      <c r="A58" t="s">
        <v>84</v>
      </c>
    </row>
    <row r="59" spans="1:17" x14ac:dyDescent="0.35">
      <c r="A59" t="s">
        <v>85</v>
      </c>
    </row>
    <row r="60" spans="1:17" x14ac:dyDescent="0.35">
      <c r="B60" s="32">
        <f t="array" ref="B60:G61">MMULT(F52:K53,B20:G25)</f>
        <v>-0.65879781116169855</v>
      </c>
      <c r="C60" s="32">
        <v>-0.66901242445312736</v>
      </c>
      <c r="D60" s="32">
        <v>0.62235721498544805</v>
      </c>
      <c r="E60" s="32">
        <v>-7.3156689099762195E-2</v>
      </c>
      <c r="F60" s="32">
        <v>-1.2029344125930184</v>
      </c>
      <c r="G60" s="32">
        <v>-0.49720589521637637</v>
      </c>
      <c r="I60" s="32">
        <f t="array" ref="I60:J61">MMULT(B60:G61,B51:C56)</f>
        <v>3.4916283991570034</v>
      </c>
      <c r="J60" s="32">
        <v>-0.70572851737664133</v>
      </c>
    </row>
    <row r="61" spans="1:17" x14ac:dyDescent="0.35">
      <c r="B61" s="32">
        <v>0.13315632403332944</v>
      </c>
      <c r="C61" s="32">
        <v>-4.6069746890171806E-2</v>
      </c>
      <c r="D61" s="32">
        <v>-0.18696156468504227</v>
      </c>
      <c r="E61" s="32">
        <v>0.34985810549498114</v>
      </c>
      <c r="F61" s="32">
        <v>0.45808893814960178</v>
      </c>
      <c r="G61" s="32">
        <v>0.1004953388930786</v>
      </c>
      <c r="I61" s="32">
        <v>-0.70572851737664122</v>
      </c>
      <c r="J61" s="32">
        <v>0.35759359925652412</v>
      </c>
    </row>
    <row r="63" spans="1:17" x14ac:dyDescent="0.35">
      <c r="A63" t="s">
        <v>86</v>
      </c>
    </row>
    <row r="64" spans="1:17" x14ac:dyDescent="0.35">
      <c r="A64" t="s">
        <v>61</v>
      </c>
    </row>
    <row r="66" spans="1:14" x14ac:dyDescent="0.35">
      <c r="A66" t="s">
        <v>87</v>
      </c>
      <c r="B66" s="42">
        <f>B7</f>
        <v>1.2</v>
      </c>
    </row>
    <row r="67" spans="1:14" x14ac:dyDescent="0.35">
      <c r="B67" s="42">
        <v>0</v>
      </c>
    </row>
    <row r="69" spans="1:14" x14ac:dyDescent="0.35">
      <c r="A69" t="s">
        <v>88</v>
      </c>
      <c r="B69" s="32">
        <f t="array" ref="B69:B70">MMULT(I60:J61,B66:B67)</f>
        <v>4.1899540789884036</v>
      </c>
    </row>
    <row r="70" spans="1:14" x14ac:dyDescent="0.35">
      <c r="B70" s="32">
        <v>-0.84687422085196939</v>
      </c>
    </row>
    <row r="71" spans="1:14" x14ac:dyDescent="0.35">
      <c r="J71" s="80" t="s">
        <v>124</v>
      </c>
      <c r="K71" s="80"/>
      <c r="L71" s="80"/>
      <c r="M71" s="80"/>
      <c r="N71" s="80"/>
    </row>
    <row r="72" spans="1:14" x14ac:dyDescent="0.35">
      <c r="A72" t="s">
        <v>89</v>
      </c>
      <c r="J72" s="53" t="s">
        <v>23</v>
      </c>
      <c r="K72" s="53" t="s">
        <v>125</v>
      </c>
      <c r="L72" s="53" t="s">
        <v>126</v>
      </c>
      <c r="M72" s="53" t="s">
        <v>127</v>
      </c>
      <c r="N72" s="53" t="s">
        <v>128</v>
      </c>
    </row>
    <row r="73" spans="1:14" x14ac:dyDescent="0.35">
      <c r="A73" t="s">
        <v>90</v>
      </c>
      <c r="B73" s="2">
        <f t="array" ref="B73:B78">MMULT(B51:C56,B66:B67)</f>
        <v>-1.0970020849841009</v>
      </c>
      <c r="D73" s="55">
        <f>B73</f>
        <v>-1.0970020849841009</v>
      </c>
      <c r="F73" t="s">
        <v>93</v>
      </c>
      <c r="G73" s="2">
        <f>-D73</f>
        <v>1.0970020849841009</v>
      </c>
      <c r="J73" s="27" t="s">
        <v>129</v>
      </c>
      <c r="K73" s="27">
        <f>D81</f>
        <v>0</v>
      </c>
      <c r="L73" s="54">
        <f>E82</f>
        <v>-1.0970020849841009</v>
      </c>
      <c r="M73" s="30">
        <f>E83</f>
        <v>0.50610024861973246</v>
      </c>
      <c r="N73" s="30">
        <f>E84</f>
        <v>-1.1908241143993705</v>
      </c>
    </row>
    <row r="74" spans="1:14" x14ac:dyDescent="0.35">
      <c r="B74" s="2">
        <v>-1.1026425796434203</v>
      </c>
      <c r="D74" s="32">
        <f t="shared" ref="D74:D78" si="0">B74</f>
        <v>-1.1026425796434203</v>
      </c>
      <c r="F74" t="s">
        <v>94</v>
      </c>
      <c r="G74" s="2">
        <f>-D74</f>
        <v>1.1026425796434203</v>
      </c>
      <c r="J74" s="27"/>
      <c r="K74" s="27">
        <f>F81</f>
        <v>1.7</v>
      </c>
      <c r="L74" s="56">
        <f>G82</f>
        <v>1.1026425796434203</v>
      </c>
      <c r="M74" s="30">
        <f>G83</f>
        <v>0.50610024861973246</v>
      </c>
      <c r="N74" s="30">
        <f>G84</f>
        <v>-1.1908241143993705</v>
      </c>
    </row>
    <row r="75" spans="1:14" x14ac:dyDescent="0.35">
      <c r="B75" s="2">
        <v>1.1026425796434203</v>
      </c>
      <c r="C75" s="57" t="s">
        <v>112</v>
      </c>
      <c r="D75" s="58">
        <f t="shared" si="0"/>
        <v>1.1026425796434203</v>
      </c>
      <c r="F75" t="s">
        <v>95</v>
      </c>
      <c r="G75" s="2">
        <f>D75</f>
        <v>1.1026425796434203</v>
      </c>
      <c r="J75" s="52" t="s">
        <v>110</v>
      </c>
      <c r="K75" s="27">
        <f>D86</f>
        <v>0</v>
      </c>
      <c r="L75" s="56">
        <f>E87</f>
        <v>1.1026425796434203</v>
      </c>
      <c r="M75" s="30">
        <f>E88</f>
        <v>-0.71095366265682125</v>
      </c>
      <c r="N75" s="30">
        <f>E89</f>
        <v>-0.43577822058482168</v>
      </c>
    </row>
    <row r="76" spans="1:14" x14ac:dyDescent="0.35">
      <c r="B76" s="2">
        <v>0.44804125815145762</v>
      </c>
      <c r="D76" s="32">
        <f>-D77</f>
        <v>1.3145998733897719</v>
      </c>
      <c r="F76" t="s">
        <v>96</v>
      </c>
      <c r="G76" s="2">
        <f>D76</f>
        <v>1.3145998733897719</v>
      </c>
      <c r="J76" s="27"/>
      <c r="K76" s="27">
        <f>F86</f>
        <v>3.4</v>
      </c>
      <c r="L76" s="56">
        <f>G87</f>
        <v>-1.3145998733897719</v>
      </c>
      <c r="M76" s="30">
        <f>G88</f>
        <v>-0.71095366265682125</v>
      </c>
      <c r="N76" s="30">
        <f>G89</f>
        <v>-0.43577822058482168</v>
      </c>
    </row>
    <row r="77" spans="1:14" x14ac:dyDescent="0.35">
      <c r="B77" s="2">
        <v>-1.3145998733897719</v>
      </c>
      <c r="C77" s="57" t="s">
        <v>113</v>
      </c>
      <c r="D77" s="58">
        <f t="shared" si="0"/>
        <v>-1.3145998733897719</v>
      </c>
      <c r="F77" t="s">
        <v>97</v>
      </c>
      <c r="G77" s="2">
        <f>-D77</f>
        <v>1.3145998733897719</v>
      </c>
      <c r="J77" s="27" t="s">
        <v>130</v>
      </c>
      <c r="K77" s="27">
        <f>D92</f>
        <v>0</v>
      </c>
      <c r="L77" s="56">
        <f>E93</f>
        <v>0.99502469570978314</v>
      </c>
      <c r="M77" s="30">
        <f>E94</f>
        <v>0.43577822058482168</v>
      </c>
      <c r="N77" s="30">
        <f>E95</f>
        <v>-0.71095366265682125</v>
      </c>
    </row>
    <row r="78" spans="1:14" x14ac:dyDescent="0.35">
      <c r="B78" s="2">
        <v>-0.99502469570978314</v>
      </c>
      <c r="D78" s="55">
        <f t="shared" si="0"/>
        <v>-0.99502469570978314</v>
      </c>
      <c r="F78" t="s">
        <v>98</v>
      </c>
      <c r="G78" s="2">
        <f>-D78</f>
        <v>0.99502469570978314</v>
      </c>
      <c r="J78" s="27"/>
      <c r="K78" s="27">
        <f>F92</f>
        <v>5.3</v>
      </c>
      <c r="L78" s="56">
        <f>G93</f>
        <v>-1.3145998733897719</v>
      </c>
      <c r="M78" s="30">
        <f>G94</f>
        <v>0.43577822058482168</v>
      </c>
      <c r="N78" s="30">
        <f>G95</f>
        <v>-0.71095366265682125</v>
      </c>
    </row>
    <row r="80" spans="1:14" x14ac:dyDescent="0.35">
      <c r="A80" t="s">
        <v>91</v>
      </c>
      <c r="D80" t="s">
        <v>100</v>
      </c>
    </row>
    <row r="81" spans="1:7" x14ac:dyDescent="0.35">
      <c r="A81" t="s">
        <v>92</v>
      </c>
      <c r="D81" s="35">
        <v>0</v>
      </c>
      <c r="E81" s="35" t="s">
        <v>107</v>
      </c>
      <c r="F81" s="35">
        <v>1.7</v>
      </c>
    </row>
    <row r="82" spans="1:7" x14ac:dyDescent="0.35">
      <c r="A82" t="s">
        <v>31</v>
      </c>
      <c r="B82" s="2">
        <f>(G73+G74)/B2</f>
        <v>1.2939086262514832</v>
      </c>
      <c r="D82" t="s">
        <v>101</v>
      </c>
      <c r="E82">
        <f>(B82*D81)-G73</f>
        <v>-1.0970020849841009</v>
      </c>
      <c r="F82" t="s">
        <v>104</v>
      </c>
      <c r="G82" s="2">
        <f>(B82*F81)-G73</f>
        <v>1.1026425796434203</v>
      </c>
    </row>
    <row r="83" spans="1:7" x14ac:dyDescent="0.35">
      <c r="A83" t="s">
        <v>99</v>
      </c>
      <c r="B83" s="2">
        <f>((B7*B2)-G73-G74)/B2</f>
        <v>-9.3908626251483024E-2</v>
      </c>
      <c r="D83" t="s">
        <v>102</v>
      </c>
      <c r="E83" s="2">
        <f>B82*F3</f>
        <v>0.50610024861973246</v>
      </c>
      <c r="F83" t="s">
        <v>105</v>
      </c>
      <c r="G83" s="2">
        <f>E83</f>
        <v>0.50610024861973246</v>
      </c>
    </row>
    <row r="84" spans="1:7" x14ac:dyDescent="0.35">
      <c r="D84" t="s">
        <v>103</v>
      </c>
      <c r="E84" s="2">
        <f>-B82*F2</f>
        <v>-1.1908241143993705</v>
      </c>
      <c r="F84" t="s">
        <v>106</v>
      </c>
      <c r="G84" s="2">
        <f>E84</f>
        <v>-1.1908241143993705</v>
      </c>
    </row>
    <row r="86" spans="1:7" x14ac:dyDescent="0.35">
      <c r="A86" t="s">
        <v>110</v>
      </c>
      <c r="D86">
        <v>0</v>
      </c>
      <c r="E86" s="35" t="s">
        <v>107</v>
      </c>
      <c r="F86" s="51">
        <f>B3</f>
        <v>3.4</v>
      </c>
    </row>
    <row r="87" spans="1:7" x14ac:dyDescent="0.35">
      <c r="A87" t="s">
        <v>111</v>
      </c>
      <c r="B87" s="2">
        <f>(G75+G77)/B3</f>
        <v>0.71095366265682125</v>
      </c>
      <c r="D87" t="s">
        <v>101</v>
      </c>
      <c r="E87" s="2">
        <f>(-B88*D86)+G75</f>
        <v>1.1026425796434203</v>
      </c>
      <c r="F87" t="s">
        <v>115</v>
      </c>
      <c r="G87" s="2">
        <f>(-B88*F86)+G75</f>
        <v>-1.3145998733897719</v>
      </c>
    </row>
    <row r="88" spans="1:7" x14ac:dyDescent="0.35">
      <c r="A88" t="s">
        <v>114</v>
      </c>
      <c r="B88" s="2">
        <f>(G75+G77)/B3</f>
        <v>0.71095366265682125</v>
      </c>
      <c r="D88" t="s">
        <v>102</v>
      </c>
      <c r="E88" s="2">
        <f>-B88</f>
        <v>-0.71095366265682125</v>
      </c>
      <c r="F88" t="s">
        <v>116</v>
      </c>
      <c r="G88" s="2">
        <f>E88</f>
        <v>-0.71095366265682125</v>
      </c>
    </row>
    <row r="89" spans="1:7" x14ac:dyDescent="0.35">
      <c r="D89" t="s">
        <v>103</v>
      </c>
      <c r="E89" s="2">
        <f>-B94</f>
        <v>-0.43577822058482168</v>
      </c>
      <c r="F89" t="s">
        <v>117</v>
      </c>
      <c r="G89" s="2">
        <f>E89</f>
        <v>-0.43577822058482168</v>
      </c>
    </row>
    <row r="92" spans="1:7" x14ac:dyDescent="0.35">
      <c r="A92" t="s">
        <v>118</v>
      </c>
      <c r="D92">
        <v>0</v>
      </c>
      <c r="E92" s="35" t="s">
        <v>107</v>
      </c>
      <c r="F92" s="51">
        <f>B6</f>
        <v>5.3</v>
      </c>
    </row>
    <row r="93" spans="1:7" x14ac:dyDescent="0.35">
      <c r="A93" t="s">
        <v>119</v>
      </c>
      <c r="B93" s="2">
        <f>(G78+G77)/B6</f>
        <v>0.43577822058482168</v>
      </c>
      <c r="D93" t="s">
        <v>101</v>
      </c>
      <c r="E93" s="2">
        <f>(-B93*D92)+G78</f>
        <v>0.99502469570978314</v>
      </c>
      <c r="F93" t="s">
        <v>121</v>
      </c>
      <c r="G93" s="2">
        <f>(-B93*B6)+G78</f>
        <v>-1.3145998733897719</v>
      </c>
    </row>
    <row r="94" spans="1:7" x14ac:dyDescent="0.35">
      <c r="A94" t="s">
        <v>120</v>
      </c>
      <c r="B94" s="2">
        <f>(G78+G77)/B6</f>
        <v>0.43577822058482168</v>
      </c>
      <c r="D94" t="s">
        <v>102</v>
      </c>
      <c r="E94" s="2">
        <f>B93</f>
        <v>0.43577822058482168</v>
      </c>
      <c r="F94" t="s">
        <v>122</v>
      </c>
      <c r="G94" s="2">
        <f>E94</f>
        <v>0.43577822058482168</v>
      </c>
    </row>
    <row r="95" spans="1:7" x14ac:dyDescent="0.35">
      <c r="D95" t="s">
        <v>103</v>
      </c>
      <c r="E95" s="2">
        <f>-B87</f>
        <v>-0.71095366265682125</v>
      </c>
      <c r="F95" t="s">
        <v>123</v>
      </c>
      <c r="G95" s="2">
        <f>E95</f>
        <v>-0.71095366265682125</v>
      </c>
    </row>
  </sheetData>
  <mergeCells count="1">
    <mergeCell ref="J71:N7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82C8-3DE3-49F6-9C27-23B889B5325D}">
  <dimension ref="A1:Q95"/>
  <sheetViews>
    <sheetView zoomScaleNormal="100" workbookViewId="0">
      <selection activeCell="D22" sqref="D22"/>
    </sheetView>
  </sheetViews>
  <sheetFormatPr defaultRowHeight="14.5" x14ac:dyDescent="0.35"/>
  <cols>
    <col min="2" max="2" width="8.81640625" customWidth="1"/>
    <col min="5" max="5" width="8.1796875" customWidth="1"/>
    <col min="9" max="9" width="7.7265625" customWidth="1"/>
    <col min="10" max="10" width="10.54296875" customWidth="1"/>
    <col min="13" max="14" width="9.54296875" bestFit="1" customWidth="1"/>
  </cols>
  <sheetData>
    <row r="1" spans="1:17" x14ac:dyDescent="0.35">
      <c r="A1" s="27" t="s">
        <v>69</v>
      </c>
      <c r="B1" s="11"/>
      <c r="C1" s="11"/>
      <c r="D1" s="11"/>
      <c r="E1" s="11"/>
      <c r="F1" s="11"/>
    </row>
    <row r="2" spans="1:17" x14ac:dyDescent="0.35">
      <c r="A2" s="27" t="s">
        <v>1</v>
      </c>
      <c r="B2" s="27">
        <v>1.7</v>
      </c>
      <c r="C2" s="27" t="s">
        <v>75</v>
      </c>
      <c r="D2" s="27">
        <f>SUM(B2:B3)</f>
        <v>5.0999999999999996</v>
      </c>
      <c r="E2" s="27" t="s">
        <v>108</v>
      </c>
      <c r="F2" s="48">
        <f>B4/D3</f>
        <v>0.92033091845847459</v>
      </c>
    </row>
    <row r="3" spans="1:17" x14ac:dyDescent="0.35">
      <c r="A3" s="27" t="s">
        <v>2</v>
      </c>
      <c r="B3" s="27">
        <f>2*B2</f>
        <v>3.4</v>
      </c>
      <c r="C3" s="27" t="s">
        <v>72</v>
      </c>
      <c r="D3" s="49">
        <f>((B2^2)+(B4^2))^0.5</f>
        <v>4.346262762420146</v>
      </c>
      <c r="E3" s="27" t="s">
        <v>109</v>
      </c>
      <c r="F3" s="48">
        <f>B2/D3</f>
        <v>0.39114064034485169</v>
      </c>
    </row>
    <row r="4" spans="1:17" x14ac:dyDescent="0.35">
      <c r="A4" s="27" t="s">
        <v>70</v>
      </c>
      <c r="B4" s="17">
        <v>4</v>
      </c>
      <c r="C4" s="27" t="s">
        <v>73</v>
      </c>
      <c r="D4" s="27">
        <v>1</v>
      </c>
      <c r="E4" s="11"/>
      <c r="F4" s="11"/>
    </row>
    <row r="5" spans="1:17" x14ac:dyDescent="0.35">
      <c r="A5" s="27" t="s">
        <v>71</v>
      </c>
      <c r="B5" s="50">
        <v>1.3</v>
      </c>
      <c r="C5" s="27" t="s">
        <v>74</v>
      </c>
      <c r="D5" s="27">
        <v>2</v>
      </c>
      <c r="E5" s="11"/>
      <c r="F5" s="11"/>
    </row>
    <row r="6" spans="1:17" x14ac:dyDescent="0.35">
      <c r="A6" s="27" t="s">
        <v>65</v>
      </c>
      <c r="B6" s="27">
        <f>SUM(B4:B5)</f>
        <v>5.3</v>
      </c>
      <c r="C6" s="11"/>
      <c r="D6" s="11"/>
      <c r="E6" s="11"/>
      <c r="F6" s="11"/>
    </row>
    <row r="7" spans="1:17" x14ac:dyDescent="0.35">
      <c r="A7" s="27" t="s">
        <v>3</v>
      </c>
      <c r="B7" s="27">
        <v>1.2</v>
      </c>
      <c r="C7" s="11"/>
      <c r="D7" s="11"/>
      <c r="E7" s="11"/>
      <c r="F7" s="11"/>
    </row>
    <row r="12" spans="1:17" x14ac:dyDescent="0.35">
      <c r="A12" t="s">
        <v>76</v>
      </c>
      <c r="B12" s="42">
        <f>B2</f>
        <v>1.7</v>
      </c>
      <c r="C12" s="42">
        <v>0</v>
      </c>
      <c r="F12" t="s">
        <v>66</v>
      </c>
      <c r="G12" s="42">
        <f>-B4</f>
        <v>-4</v>
      </c>
      <c r="H12" s="42">
        <f>-B2</f>
        <v>-1.7</v>
      </c>
      <c r="I12" s="42">
        <v>1</v>
      </c>
      <c r="K12" t="s">
        <v>67</v>
      </c>
      <c r="L12" s="42">
        <f t="array" ref="L12:Q14">TRANSPOSE(G12:I17)</f>
        <v>-4</v>
      </c>
      <c r="M12" s="42">
        <v>0</v>
      </c>
      <c r="N12" s="42">
        <v>0</v>
      </c>
      <c r="O12" s="42">
        <v>0</v>
      </c>
      <c r="P12" s="42">
        <v>0</v>
      </c>
      <c r="Q12" s="42">
        <v>5.3</v>
      </c>
    </row>
    <row r="13" spans="1:17" x14ac:dyDescent="0.35">
      <c r="B13" s="42">
        <v>0</v>
      </c>
      <c r="C13" s="42">
        <v>0</v>
      </c>
      <c r="G13" s="42">
        <v>0</v>
      </c>
      <c r="H13" s="42">
        <v>0</v>
      </c>
      <c r="I13" s="42">
        <v>-1</v>
      </c>
      <c r="L13" s="42">
        <v>-1.7</v>
      </c>
      <c r="M13" s="42">
        <v>0</v>
      </c>
      <c r="N13" s="42">
        <v>0</v>
      </c>
      <c r="O13" s="42">
        <v>-3.4</v>
      </c>
      <c r="P13" s="42">
        <v>5.3</v>
      </c>
      <c r="Q13" s="42">
        <v>-5.3</v>
      </c>
    </row>
    <row r="14" spans="1:17" x14ac:dyDescent="0.35">
      <c r="B14" s="42">
        <v>0</v>
      </c>
      <c r="C14" s="42">
        <v>0</v>
      </c>
      <c r="G14" s="42">
        <v>0</v>
      </c>
      <c r="H14" s="42">
        <v>0</v>
      </c>
      <c r="I14" s="42">
        <v>1</v>
      </c>
      <c r="L14" s="42">
        <v>1</v>
      </c>
      <c r="M14" s="42">
        <v>-1</v>
      </c>
      <c r="N14" s="42">
        <v>1</v>
      </c>
      <c r="O14" s="42">
        <v>-1</v>
      </c>
      <c r="P14" s="42">
        <v>1</v>
      </c>
      <c r="Q14" s="42">
        <v>-1</v>
      </c>
    </row>
    <row r="15" spans="1:17" x14ac:dyDescent="0.35">
      <c r="B15" s="42">
        <v>0</v>
      </c>
      <c r="C15" s="42">
        <v>0</v>
      </c>
      <c r="G15" s="42">
        <v>0</v>
      </c>
      <c r="H15" s="42">
        <f>-B3</f>
        <v>-3.4</v>
      </c>
      <c r="I15" s="42">
        <v>-1</v>
      </c>
    </row>
    <row r="16" spans="1:17" x14ac:dyDescent="0.35">
      <c r="B16" s="42">
        <v>0</v>
      </c>
      <c r="C16" s="42">
        <v>1</v>
      </c>
      <c r="G16" s="42">
        <v>0</v>
      </c>
      <c r="H16" s="42">
        <f>B6</f>
        <v>5.3</v>
      </c>
      <c r="I16" s="42">
        <v>1</v>
      </c>
    </row>
    <row r="17" spans="1:10" x14ac:dyDescent="0.35">
      <c r="B17" s="42">
        <v>0</v>
      </c>
      <c r="C17" s="42">
        <v>-1</v>
      </c>
      <c r="G17" s="42">
        <f>B6</f>
        <v>5.3</v>
      </c>
      <c r="H17" s="42">
        <f>-B6</f>
        <v>-5.3</v>
      </c>
      <c r="I17" s="42">
        <v>-1</v>
      </c>
    </row>
    <row r="19" spans="1:10" x14ac:dyDescent="0.35">
      <c r="A19" t="s">
        <v>68</v>
      </c>
    </row>
    <row r="20" spans="1:10" x14ac:dyDescent="0.35">
      <c r="A20" t="s">
        <v>55</v>
      </c>
      <c r="B20" s="32">
        <f>D3/(3*D4)</f>
        <v>1.4487542541400487</v>
      </c>
      <c r="C20" s="32">
        <f>-D3/(6*D4)</f>
        <v>-0.72437712707002433</v>
      </c>
      <c r="D20" s="42">
        <v>0</v>
      </c>
      <c r="E20" s="42">
        <v>0</v>
      </c>
      <c r="F20" s="42">
        <v>0</v>
      </c>
      <c r="G20" s="42">
        <v>0</v>
      </c>
    </row>
    <row r="21" spans="1:10" x14ac:dyDescent="0.35">
      <c r="B21" s="32">
        <f>C20</f>
        <v>-0.72437712707002433</v>
      </c>
      <c r="C21" s="32">
        <f>B20</f>
        <v>1.4487542541400487</v>
      </c>
      <c r="D21" s="42">
        <v>0</v>
      </c>
      <c r="E21" s="42">
        <v>0</v>
      </c>
      <c r="F21" s="42">
        <v>0</v>
      </c>
      <c r="G21" s="42">
        <v>0</v>
      </c>
    </row>
    <row r="22" spans="1:10" x14ac:dyDescent="0.35">
      <c r="B22" s="42">
        <v>0</v>
      </c>
      <c r="C22" s="42">
        <v>0</v>
      </c>
      <c r="D22" s="32">
        <f>D2/(3*D5)</f>
        <v>0.85</v>
      </c>
      <c r="E22" s="32">
        <f>-D2/(6*D5)</f>
        <v>-0.42499999999999999</v>
      </c>
      <c r="F22" s="42">
        <v>0</v>
      </c>
      <c r="G22" s="42">
        <v>0</v>
      </c>
    </row>
    <row r="23" spans="1:10" x14ac:dyDescent="0.35">
      <c r="B23" s="42">
        <v>0</v>
      </c>
      <c r="C23" s="42">
        <v>0</v>
      </c>
      <c r="D23" s="32">
        <f>E22</f>
        <v>-0.42499999999999999</v>
      </c>
      <c r="E23" s="32">
        <f>D22</f>
        <v>0.85</v>
      </c>
      <c r="F23" s="42">
        <v>0</v>
      </c>
      <c r="G23" s="42">
        <v>0</v>
      </c>
    </row>
    <row r="24" spans="1:10" x14ac:dyDescent="0.35">
      <c r="B24" s="42">
        <v>0</v>
      </c>
      <c r="C24" s="42">
        <v>0</v>
      </c>
      <c r="D24" s="42">
        <v>0</v>
      </c>
      <c r="E24" s="42">
        <v>0</v>
      </c>
      <c r="F24" s="32">
        <f>B6/(3*D4)</f>
        <v>1.7666666666666666</v>
      </c>
      <c r="G24" s="32">
        <f>-B6/(6*D4)</f>
        <v>-0.8833333333333333</v>
      </c>
    </row>
    <row r="25" spans="1:10" x14ac:dyDescent="0.35">
      <c r="B25" s="42">
        <v>0</v>
      </c>
      <c r="C25" s="42">
        <v>0</v>
      </c>
      <c r="D25" s="42">
        <v>0</v>
      </c>
      <c r="E25" s="42">
        <v>0</v>
      </c>
      <c r="F25" s="32">
        <f>G24</f>
        <v>-0.8833333333333333</v>
      </c>
      <c r="G25" s="32">
        <f>F24</f>
        <v>1.7666666666666666</v>
      </c>
    </row>
    <row r="27" spans="1:10" x14ac:dyDescent="0.35">
      <c r="A27" t="s">
        <v>77</v>
      </c>
    </row>
    <row r="29" spans="1:10" x14ac:dyDescent="0.35">
      <c r="A29" t="s">
        <v>78</v>
      </c>
      <c r="B29" s="31">
        <f t="array" ref="B29:G31">MMULT(L12:Q14,B20:G25)</f>
        <v>-5.7950170165601946</v>
      </c>
      <c r="C29" s="31">
        <v>2.8975085082800973</v>
      </c>
      <c r="D29" s="22">
        <v>0</v>
      </c>
      <c r="E29" s="22">
        <v>0</v>
      </c>
      <c r="F29" s="31">
        <v>-4.6816666666666666</v>
      </c>
      <c r="G29" s="31">
        <v>9.3633333333333333</v>
      </c>
      <c r="H29" t="str">
        <f>A29</f>
        <v>F◦</v>
      </c>
      <c r="I29" s="46">
        <f t="array" ref="I29:J31">MMULT(B29:G31,B12:C17)</f>
        <v>-9.8515289281523302</v>
      </c>
      <c r="J29" s="44">
        <v>-14.045</v>
      </c>
    </row>
    <row r="30" spans="1:10" x14ac:dyDescent="0.35">
      <c r="B30" s="31">
        <v>-2.4628822320380825</v>
      </c>
      <c r="C30" s="31">
        <v>1.2314411160190413</v>
      </c>
      <c r="D30" s="22">
        <v>1.4449999999999998</v>
      </c>
      <c r="E30" s="31">
        <v>-2.8899999999999997</v>
      </c>
      <c r="F30" s="22">
        <v>14.045</v>
      </c>
      <c r="G30" s="22">
        <v>-14.045</v>
      </c>
      <c r="H30" s="35"/>
      <c r="I30" s="46">
        <v>-4.1868997944647406</v>
      </c>
      <c r="J30" s="44">
        <v>28.09</v>
      </c>
    </row>
    <row r="31" spans="1:10" x14ac:dyDescent="0.35">
      <c r="B31" s="31">
        <v>2.173131381210073</v>
      </c>
      <c r="C31" s="31">
        <v>-2.173131381210073</v>
      </c>
      <c r="D31" s="22">
        <v>1.2749999999999999</v>
      </c>
      <c r="E31" s="22">
        <v>-1.2749999999999999</v>
      </c>
      <c r="F31" s="22">
        <v>2.65</v>
      </c>
      <c r="G31" s="22">
        <v>-2.65</v>
      </c>
      <c r="I31" s="46">
        <v>3.6943233480571238</v>
      </c>
      <c r="J31" s="44">
        <v>5.3</v>
      </c>
    </row>
    <row r="33" spans="1:17" x14ac:dyDescent="0.35">
      <c r="A33" t="s">
        <v>79</v>
      </c>
    </row>
    <row r="34" spans="1:17" x14ac:dyDescent="0.35">
      <c r="B34" s="46">
        <f t="array" ref="B34:D36">MMULT(B29:G31,G12:I17)</f>
        <v>72.805734732907439</v>
      </c>
      <c r="C34" s="46">
        <v>-64.586971071847671</v>
      </c>
      <c r="D34" s="46">
        <v>-22.737525524840294</v>
      </c>
    </row>
    <row r="35" spans="1:17" x14ac:dyDescent="0.35">
      <c r="B35" s="46">
        <v>-64.586971071847657</v>
      </c>
      <c r="C35" s="46">
        <v>162.88989979446472</v>
      </c>
      <c r="D35" s="46">
        <v>28.730676651942876</v>
      </c>
    </row>
    <row r="36" spans="1:17" x14ac:dyDescent="0.35">
      <c r="B36" s="46">
        <v>-22.737525524840294</v>
      </c>
      <c r="C36" s="46">
        <v>28.730676651942876</v>
      </c>
      <c r="D36" s="46">
        <v>12.196262762420147</v>
      </c>
    </row>
    <row r="38" spans="1:17" x14ac:dyDescent="0.35">
      <c r="A38" t="s">
        <v>80</v>
      </c>
      <c r="B38" s="32">
        <f t="array" ref="B38:D40">MINVERSE(B34:D36)</f>
        <v>3.4317561893262023E-2</v>
      </c>
      <c r="C38" s="32">
        <v>3.9736382956109947E-3</v>
      </c>
      <c r="D38" s="32">
        <v>5.4617642754293386E-2</v>
      </c>
    </row>
    <row r="39" spans="1:17" x14ac:dyDescent="0.35">
      <c r="B39" s="32">
        <v>3.9736382956109904E-3</v>
      </c>
      <c r="C39" s="32">
        <v>1.0963296797102862E-2</v>
      </c>
      <c r="D39" s="32">
        <v>-1.8418120166782216E-2</v>
      </c>
    </row>
    <row r="40" spans="1:17" x14ac:dyDescent="0.35">
      <c r="B40" s="32">
        <v>5.4617642754293386E-2</v>
      </c>
      <c r="C40" s="32">
        <v>-1.8418120166782209E-2</v>
      </c>
      <c r="D40" s="32">
        <v>0.22720362419700246</v>
      </c>
    </row>
    <row r="42" spans="1:17" x14ac:dyDescent="0.35">
      <c r="A42" t="s">
        <v>81</v>
      </c>
    </row>
    <row r="43" spans="1:17" x14ac:dyDescent="0.35">
      <c r="A43" t="s">
        <v>82</v>
      </c>
      <c r="M43" t="s">
        <v>82</v>
      </c>
    </row>
    <row r="44" spans="1:17" x14ac:dyDescent="0.35">
      <c r="B44" s="32">
        <f t="array" ref="B44:D49">MMULT(G12:I17,B38:D40)</f>
        <v>-8.9407789921293404E-2</v>
      </c>
      <c r="C44" s="32">
        <v>-5.2950277904301055E-2</v>
      </c>
      <c r="D44" s="32">
        <v>4.0043857463358701E-2</v>
      </c>
      <c r="F44" s="32">
        <f t="array" ref="F44:G49">MMULT(B44:D49,I29:J31)</f>
        <v>1.250435894059315</v>
      </c>
      <c r="G44" s="32">
        <v>-1.9408452331449638E-2</v>
      </c>
      <c r="M44" s="41">
        <f t="array" ref="M44:N46">MMULT(B34:D36,I29:J31)</f>
        <v>-530.82839737426559</v>
      </c>
      <c r="N44" s="41">
        <v>-2957.3134470135396</v>
      </c>
      <c r="O44" s="43"/>
      <c r="P44" s="45">
        <f t="array" ref="P44:Q49">MMULT(G12:I17,M44:N46)</f>
        <v>2169.3683237451742</v>
      </c>
      <c r="Q44" s="45">
        <v>3440.8316375283916</v>
      </c>
    </row>
    <row r="45" spans="1:17" x14ac:dyDescent="0.35">
      <c r="B45" s="32">
        <v>-5.4617642754293386E-2</v>
      </c>
      <c r="C45" s="32">
        <v>1.8418120166782209E-2</v>
      </c>
      <c r="D45" s="32">
        <v>-0.22720362419700246</v>
      </c>
      <c r="F45" s="32">
        <v>-0.37841118959349918</v>
      </c>
      <c r="G45" s="32">
        <v>8.0290579724849875E-2</v>
      </c>
      <c r="M45" s="41">
        <v>60.417135486970679</v>
      </c>
      <c r="N45" s="41">
        <v>5634.9738801859121</v>
      </c>
      <c r="O45" s="43"/>
      <c r="P45" s="45">
        <v>-148.76386457596203</v>
      </c>
      <c r="Q45" s="45">
        <v>-1191.0334457902841</v>
      </c>
    </row>
    <row r="46" spans="1:17" x14ac:dyDescent="0.35">
      <c r="B46" s="32">
        <v>5.4617642754293386E-2</v>
      </c>
      <c r="C46" s="32">
        <v>-1.8418120166782209E-2</v>
      </c>
      <c r="D46" s="32">
        <v>0.22720362419700246</v>
      </c>
      <c r="F46" s="32">
        <v>0.37841118959349918</v>
      </c>
      <c r="G46" s="32">
        <v>-8.0290579724849875E-2</v>
      </c>
      <c r="M46" s="41">
        <v>148.76386457596203</v>
      </c>
      <c r="N46" s="41">
        <v>1191.0334457902841</v>
      </c>
      <c r="O46" s="43"/>
      <c r="P46" s="45">
        <v>148.76386457596203</v>
      </c>
      <c r="Q46" s="45">
        <v>1191.0334457902841</v>
      </c>
    </row>
    <row r="47" spans="1:17" x14ac:dyDescent="0.35">
      <c r="B47" s="32">
        <v>-6.8128012959370751E-2</v>
      </c>
      <c r="C47" s="32">
        <v>-1.8857088943367524E-2</v>
      </c>
      <c r="D47" s="32">
        <v>-0.16458201562994293</v>
      </c>
      <c r="F47" s="32">
        <v>0.14209864929596594</v>
      </c>
      <c r="G47" s="32">
        <v>-0.44512236924352899</v>
      </c>
      <c r="P47" s="45">
        <v>-354.18212523166233</v>
      </c>
      <c r="Q47" s="45">
        <v>-20349.944638422385</v>
      </c>
    </row>
    <row r="48" spans="1:17" x14ac:dyDescent="0.35">
      <c r="B48" s="32">
        <v>7.567792572103163E-2</v>
      </c>
      <c r="C48" s="32">
        <v>3.9687352857862956E-2</v>
      </c>
      <c r="D48" s="32">
        <v>0.12958758731305672</v>
      </c>
      <c r="F48" s="32">
        <v>-0.43297179455772583</v>
      </c>
      <c r="G48" s="32">
        <v>0.73873548778468179</v>
      </c>
      <c r="P48" s="45">
        <v>468.97468265690662</v>
      </c>
      <c r="Q48" s="45">
        <v>31056.395010775617</v>
      </c>
    </row>
    <row r="49" spans="1:17" x14ac:dyDescent="0.35">
      <c r="B49" s="32">
        <v>0.10620515231325707</v>
      </c>
      <c r="C49" s="32">
        <v>-1.8627069891124684E-2</v>
      </c>
      <c r="D49" s="32">
        <v>0.1598859192846982</v>
      </c>
      <c r="F49" s="32">
        <v>-0.37762317059520878</v>
      </c>
      <c r="G49" s="32">
        <v>-1.1674903852724876</v>
      </c>
      <c r="P49" s="45">
        <v>-3282.3651887405144</v>
      </c>
      <c r="Q49" s="45">
        <v>-46730.156279947383</v>
      </c>
    </row>
    <row r="51" spans="1:17" x14ac:dyDescent="0.35">
      <c r="A51" t="s">
        <v>3</v>
      </c>
      <c r="B51" s="32">
        <f t="array" ref="B51:C56">B12:C17-F44:G49</f>
        <v>0.44956410594068497</v>
      </c>
      <c r="C51" s="32">
        <v>1.9408452331449638E-2</v>
      </c>
    </row>
    <row r="52" spans="1:17" x14ac:dyDescent="0.35">
      <c r="B52" s="32">
        <v>0.37841118959349918</v>
      </c>
      <c r="C52" s="32">
        <v>-8.0290579724849875E-2</v>
      </c>
      <c r="E52" t="s">
        <v>83</v>
      </c>
      <c r="F52" s="32">
        <f t="array" ref="F52:K53">TRANSPOSE(B51:C56)</f>
        <v>0.44956410594068497</v>
      </c>
      <c r="G52" s="32">
        <v>0.37841118959349918</v>
      </c>
      <c r="H52" s="32">
        <v>-0.37841118959349918</v>
      </c>
      <c r="I52" s="32">
        <v>-0.14209864929596594</v>
      </c>
      <c r="J52" s="32">
        <v>0.43297179455772583</v>
      </c>
      <c r="K52" s="32">
        <v>0.37762317059520878</v>
      </c>
    </row>
    <row r="53" spans="1:17" x14ac:dyDescent="0.35">
      <c r="B53" s="32">
        <v>-0.37841118959349918</v>
      </c>
      <c r="C53" s="32">
        <v>8.0290579724849875E-2</v>
      </c>
      <c r="F53" s="32">
        <v>1.9408452331449638E-2</v>
      </c>
      <c r="G53" s="32">
        <v>-8.0290579724849875E-2</v>
      </c>
      <c r="H53" s="32">
        <v>8.0290579724849875E-2</v>
      </c>
      <c r="I53" s="32">
        <v>0.44512236924352899</v>
      </c>
      <c r="J53" s="32">
        <v>0.26126451221531821</v>
      </c>
      <c r="K53" s="32">
        <v>0.16749038527248761</v>
      </c>
    </row>
    <row r="54" spans="1:17" x14ac:dyDescent="0.35">
      <c r="B54" s="32">
        <v>-0.14209864929596594</v>
      </c>
      <c r="C54" s="32">
        <v>0.44512236924352899</v>
      </c>
    </row>
    <row r="55" spans="1:17" x14ac:dyDescent="0.35">
      <c r="B55" s="32">
        <v>0.43297179455772583</v>
      </c>
      <c r="C55" s="32">
        <v>0.26126451221531821</v>
      </c>
    </row>
    <row r="56" spans="1:17" x14ac:dyDescent="0.35">
      <c r="B56" s="32">
        <v>0.37762317059520878</v>
      </c>
      <c r="C56" s="32">
        <v>0.16749038527248761</v>
      </c>
    </row>
    <row r="58" spans="1:17" x14ac:dyDescent="0.35">
      <c r="A58" t="s">
        <v>84</v>
      </c>
    </row>
    <row r="59" spans="1:17" x14ac:dyDescent="0.35">
      <c r="A59" t="s">
        <v>85</v>
      </c>
    </row>
    <row r="60" spans="1:17" x14ac:dyDescent="0.35">
      <c r="B60" s="32">
        <f t="array" ref="B60:G61">MMULT(F52:K53,B20:G25)</f>
        <v>0.37719550062134566</v>
      </c>
      <c r="C60" s="32">
        <v>0.22257086524266101</v>
      </c>
      <c r="D60" s="32">
        <v>-0.26125758520368875</v>
      </c>
      <c r="E60" s="32">
        <v>4.0040903675666081E-2</v>
      </c>
      <c r="F60" s="32">
        <v>0.43134970302621456</v>
      </c>
      <c r="G60" s="32">
        <v>0.28467584952554437</v>
      </c>
      <c r="I60" s="32">
        <f t="array" ref="I60:J61">MMULT(B60:G61,B51:C56)</f>
        <v>0.64123235105628762</v>
      </c>
      <c r="J60" s="32">
        <v>0.1466738535006703</v>
      </c>
    </row>
    <row r="61" spans="1:17" x14ac:dyDescent="0.35">
      <c r="B61" s="32">
        <v>8.6278737353335508E-2</v>
      </c>
      <c r="C61" s="32">
        <v>-0.13038035788447799</v>
      </c>
      <c r="D61" s="32">
        <v>-0.12093001416237742</v>
      </c>
      <c r="E61" s="32">
        <v>0.3442305174739384</v>
      </c>
      <c r="F61" s="32">
        <v>0.31361746458969808</v>
      </c>
      <c r="G61" s="32">
        <v>6.5116028191197023E-2</v>
      </c>
      <c r="I61" s="32">
        <v>0.1466738535006703</v>
      </c>
      <c r="J61" s="32">
        <v>0.24850143639850195</v>
      </c>
    </row>
    <row r="63" spans="1:17" x14ac:dyDescent="0.35">
      <c r="A63" t="s">
        <v>86</v>
      </c>
    </row>
    <row r="64" spans="1:17" x14ac:dyDescent="0.35">
      <c r="A64" t="s">
        <v>61</v>
      </c>
    </row>
    <row r="66" spans="1:14" x14ac:dyDescent="0.35">
      <c r="A66" t="s">
        <v>87</v>
      </c>
      <c r="B66" s="42">
        <f>B7</f>
        <v>1.2</v>
      </c>
    </row>
    <row r="67" spans="1:14" x14ac:dyDescent="0.35">
      <c r="B67" s="42">
        <v>0</v>
      </c>
    </row>
    <row r="69" spans="1:14" x14ac:dyDescent="0.35">
      <c r="A69" t="s">
        <v>88</v>
      </c>
      <c r="B69" s="32">
        <f t="array" ref="B69:B70">MMULT(I60:J61,B66:B67)</f>
        <v>0.76947882126754508</v>
      </c>
    </row>
    <row r="70" spans="1:14" x14ac:dyDescent="0.35">
      <c r="B70" s="32">
        <v>0.17600862420080435</v>
      </c>
    </row>
    <row r="71" spans="1:14" x14ac:dyDescent="0.35">
      <c r="J71" s="80" t="s">
        <v>124</v>
      </c>
      <c r="K71" s="80"/>
      <c r="L71" s="80"/>
      <c r="M71" s="80"/>
      <c r="N71" s="80"/>
    </row>
    <row r="72" spans="1:14" x14ac:dyDescent="0.35">
      <c r="A72" t="s">
        <v>89</v>
      </c>
      <c r="J72" s="70" t="s">
        <v>23</v>
      </c>
      <c r="K72" s="70" t="s">
        <v>125</v>
      </c>
      <c r="L72" s="70" t="s">
        <v>126</v>
      </c>
      <c r="M72" s="70" t="s">
        <v>127</v>
      </c>
      <c r="N72" s="70" t="s">
        <v>128</v>
      </c>
    </row>
    <row r="73" spans="1:14" x14ac:dyDescent="0.35">
      <c r="A73" t="s">
        <v>90</v>
      </c>
      <c r="B73" s="2">
        <f t="array" ref="B73:B78">MMULT(B51:C56,B66:B67)</f>
        <v>0.53947692712882189</v>
      </c>
      <c r="D73" s="55">
        <f>B73</f>
        <v>0.53947692712882189</v>
      </c>
      <c r="F73" t="s">
        <v>93</v>
      </c>
      <c r="G73" s="2">
        <f>-D73</f>
        <v>-0.53947692712882189</v>
      </c>
      <c r="J73" s="27" t="s">
        <v>129</v>
      </c>
      <c r="K73" s="27">
        <f>D81</f>
        <v>0</v>
      </c>
      <c r="L73" s="54">
        <f>E82</f>
        <v>0.53947692712882189</v>
      </c>
      <c r="M73" s="30">
        <f>E83</f>
        <v>-0.22860337925997073</v>
      </c>
      <c r="N73" s="30">
        <f>E84</f>
        <v>0.53789030414110761</v>
      </c>
    </row>
    <row r="74" spans="1:14" x14ac:dyDescent="0.35">
      <c r="B74" s="2">
        <v>0.454093427512199</v>
      </c>
      <c r="D74" s="32">
        <f t="shared" ref="D74:D78" si="0">B74</f>
        <v>0.454093427512199</v>
      </c>
      <c r="F74" t="s">
        <v>94</v>
      </c>
      <c r="G74" s="2">
        <f>-D74</f>
        <v>-0.454093427512199</v>
      </c>
      <c r="J74" s="27"/>
      <c r="K74" s="27">
        <f>F81</f>
        <v>1.7</v>
      </c>
      <c r="L74" s="56">
        <f>G82</f>
        <v>-0.45409342751219894</v>
      </c>
      <c r="M74" s="30">
        <f>G83</f>
        <v>-0.22860337925997073</v>
      </c>
      <c r="N74" s="30">
        <f>G84</f>
        <v>0.53789030414110761</v>
      </c>
    </row>
    <row r="75" spans="1:14" x14ac:dyDescent="0.35">
      <c r="B75" s="2">
        <v>-0.454093427512199</v>
      </c>
      <c r="C75" s="57" t="s">
        <v>112</v>
      </c>
      <c r="D75" s="58">
        <f t="shared" si="0"/>
        <v>-0.454093427512199</v>
      </c>
      <c r="F75" t="s">
        <v>95</v>
      </c>
      <c r="G75" s="2">
        <f>D75</f>
        <v>-0.454093427512199</v>
      </c>
      <c r="J75" s="52" t="s">
        <v>110</v>
      </c>
      <c r="K75" s="27">
        <f>D86</f>
        <v>0</v>
      </c>
      <c r="L75" s="56">
        <f>E87</f>
        <v>-0.454093427512199</v>
      </c>
      <c r="M75" s="30">
        <f>E88</f>
        <v>0.28637046499454999</v>
      </c>
      <c r="N75" s="30">
        <f>E89</f>
        <v>0.18353093550632482</v>
      </c>
    </row>
    <row r="76" spans="1:14" x14ac:dyDescent="0.35">
      <c r="B76" s="2">
        <v>-0.17051837915515913</v>
      </c>
      <c r="D76" s="32">
        <f>-D77</f>
        <v>-0.51956615346927093</v>
      </c>
      <c r="F76" t="s">
        <v>96</v>
      </c>
      <c r="G76" s="2">
        <f>D76</f>
        <v>-0.51956615346927093</v>
      </c>
      <c r="J76" s="27"/>
      <c r="K76" s="27">
        <f>F86</f>
        <v>3.4</v>
      </c>
      <c r="L76" s="56">
        <f>G87</f>
        <v>0.51956615346927104</v>
      </c>
      <c r="M76" s="30">
        <f>G88</f>
        <v>0.28637046499454999</v>
      </c>
      <c r="N76" s="30">
        <f>G89</f>
        <v>0.18353093550632482</v>
      </c>
    </row>
    <row r="77" spans="1:14" x14ac:dyDescent="0.35">
      <c r="B77" s="2">
        <v>0.51956615346927093</v>
      </c>
      <c r="C77" s="57" t="s">
        <v>113</v>
      </c>
      <c r="D77" s="58">
        <f t="shared" si="0"/>
        <v>0.51956615346927093</v>
      </c>
      <c r="F77" t="s">
        <v>97</v>
      </c>
      <c r="G77" s="2">
        <f>-D77</f>
        <v>-0.51956615346927093</v>
      </c>
      <c r="J77" s="27" t="s">
        <v>130</v>
      </c>
      <c r="K77" s="27">
        <f>D92</f>
        <v>0</v>
      </c>
      <c r="L77" s="56">
        <f>E93</f>
        <v>-0.45314780471425053</v>
      </c>
      <c r="M77" s="30">
        <f>E94</f>
        <v>-0.18353093550632482</v>
      </c>
      <c r="N77" s="30">
        <f>E95</f>
        <v>0.28637046499454999</v>
      </c>
    </row>
    <row r="78" spans="1:14" x14ac:dyDescent="0.35">
      <c r="B78" s="2">
        <v>0.45314780471425053</v>
      </c>
      <c r="D78" s="55">
        <f t="shared" si="0"/>
        <v>0.45314780471425053</v>
      </c>
      <c r="F78" t="s">
        <v>98</v>
      </c>
      <c r="G78" s="2">
        <f>-D78</f>
        <v>-0.45314780471425053</v>
      </c>
      <c r="J78" s="27"/>
      <c r="K78" s="27">
        <f>F92</f>
        <v>5.3</v>
      </c>
      <c r="L78" s="56">
        <f>G93</f>
        <v>0.51956615346927104</v>
      </c>
      <c r="M78" s="30">
        <f>G94</f>
        <v>-0.18353093550632482</v>
      </c>
      <c r="N78" s="30">
        <f>G95</f>
        <v>0.28637046499454999</v>
      </c>
    </row>
    <row r="80" spans="1:14" x14ac:dyDescent="0.35">
      <c r="A80" t="s">
        <v>91</v>
      </c>
      <c r="D80" t="s">
        <v>100</v>
      </c>
    </row>
    <row r="81" spans="1:7" x14ac:dyDescent="0.35">
      <c r="A81" t="s">
        <v>92</v>
      </c>
      <c r="D81" s="35">
        <v>0</v>
      </c>
      <c r="E81" s="35" t="s">
        <v>107</v>
      </c>
      <c r="F81" s="35">
        <v>1.7</v>
      </c>
    </row>
    <row r="82" spans="1:7" x14ac:dyDescent="0.35">
      <c r="A82" t="s">
        <v>31</v>
      </c>
      <c r="B82" s="2">
        <f>(G73+G74)/B2</f>
        <v>-0.58445314978883578</v>
      </c>
      <c r="D82" t="s">
        <v>101</v>
      </c>
      <c r="E82">
        <f>(B82*D81)-G73</f>
        <v>0.53947692712882189</v>
      </c>
      <c r="F82" t="s">
        <v>104</v>
      </c>
      <c r="G82" s="2">
        <f>(B82*F81)-G73</f>
        <v>-0.45409342751219894</v>
      </c>
    </row>
    <row r="83" spans="1:7" x14ac:dyDescent="0.35">
      <c r="A83" t="s">
        <v>99</v>
      </c>
      <c r="B83" s="2">
        <f>((B7*B2)-G73-G74)/B2</f>
        <v>1.7844531497888356</v>
      </c>
      <c r="D83" t="s">
        <v>102</v>
      </c>
      <c r="E83" s="2">
        <f>B82*F3</f>
        <v>-0.22860337925997073</v>
      </c>
      <c r="F83" t="s">
        <v>105</v>
      </c>
      <c r="G83" s="2">
        <f>E83</f>
        <v>-0.22860337925997073</v>
      </c>
    </row>
    <row r="84" spans="1:7" x14ac:dyDescent="0.35">
      <c r="D84" t="s">
        <v>103</v>
      </c>
      <c r="E84" s="2">
        <f>-B82*F2</f>
        <v>0.53789030414110761</v>
      </c>
      <c r="F84" t="s">
        <v>106</v>
      </c>
      <c r="G84" s="2">
        <f>E84</f>
        <v>0.53789030414110761</v>
      </c>
    </row>
    <row r="86" spans="1:7" x14ac:dyDescent="0.35">
      <c r="A86" t="s">
        <v>110</v>
      </c>
      <c r="D86">
        <v>0</v>
      </c>
      <c r="E86" s="35" t="s">
        <v>107</v>
      </c>
      <c r="F86" s="51">
        <f>B3</f>
        <v>3.4</v>
      </c>
    </row>
    <row r="87" spans="1:7" x14ac:dyDescent="0.35">
      <c r="A87" t="s">
        <v>111</v>
      </c>
      <c r="B87" s="2">
        <f>(G75+G77)/B3</f>
        <v>-0.28637046499454999</v>
      </c>
      <c r="D87" t="s">
        <v>101</v>
      </c>
      <c r="E87" s="2">
        <f>(-B88*D86)+G75</f>
        <v>-0.454093427512199</v>
      </c>
      <c r="F87" t="s">
        <v>115</v>
      </c>
      <c r="G87" s="2">
        <f>(-B88*F86)+G75</f>
        <v>0.51956615346927104</v>
      </c>
    </row>
    <row r="88" spans="1:7" x14ac:dyDescent="0.35">
      <c r="A88" t="s">
        <v>114</v>
      </c>
      <c r="B88" s="2">
        <f>(G75+G77)/B3</f>
        <v>-0.28637046499454999</v>
      </c>
      <c r="D88" t="s">
        <v>102</v>
      </c>
      <c r="E88" s="2">
        <f>-B88</f>
        <v>0.28637046499454999</v>
      </c>
      <c r="F88" t="s">
        <v>116</v>
      </c>
      <c r="G88" s="2">
        <f>E88</f>
        <v>0.28637046499454999</v>
      </c>
    </row>
    <row r="89" spans="1:7" x14ac:dyDescent="0.35">
      <c r="D89" t="s">
        <v>103</v>
      </c>
      <c r="E89" s="2">
        <f>-B94</f>
        <v>0.18353093550632482</v>
      </c>
      <c r="F89" t="s">
        <v>117</v>
      </c>
      <c r="G89" s="2">
        <f>E89</f>
        <v>0.18353093550632482</v>
      </c>
    </row>
    <row r="92" spans="1:7" x14ac:dyDescent="0.35">
      <c r="A92" t="s">
        <v>118</v>
      </c>
      <c r="D92">
        <v>0</v>
      </c>
      <c r="E92" s="35" t="s">
        <v>107</v>
      </c>
      <c r="F92" s="51">
        <f>B6</f>
        <v>5.3</v>
      </c>
    </row>
    <row r="93" spans="1:7" x14ac:dyDescent="0.35">
      <c r="A93" t="s">
        <v>119</v>
      </c>
      <c r="B93" s="2">
        <f>(G78+G77)/B6</f>
        <v>-0.18353093550632482</v>
      </c>
      <c r="D93" t="s">
        <v>101</v>
      </c>
      <c r="E93" s="2">
        <f>(-B93*D92)+G78</f>
        <v>-0.45314780471425053</v>
      </c>
      <c r="F93" t="s">
        <v>121</v>
      </c>
      <c r="G93" s="2">
        <f>(-B93*B6)+G78</f>
        <v>0.51956615346927104</v>
      </c>
    </row>
    <row r="94" spans="1:7" x14ac:dyDescent="0.35">
      <c r="A94" t="s">
        <v>120</v>
      </c>
      <c r="B94" s="2">
        <f>(G78+G77)/B6</f>
        <v>-0.18353093550632482</v>
      </c>
      <c r="D94" t="s">
        <v>102</v>
      </c>
      <c r="E94" s="2">
        <f>B93</f>
        <v>-0.18353093550632482</v>
      </c>
      <c r="F94" t="s">
        <v>122</v>
      </c>
      <c r="G94" s="2">
        <f>E94</f>
        <v>-0.18353093550632482</v>
      </c>
    </row>
    <row r="95" spans="1:7" x14ac:dyDescent="0.35">
      <c r="D95" t="s">
        <v>103</v>
      </c>
      <c r="E95" s="2">
        <f>-B87</f>
        <v>0.28637046499454999</v>
      </c>
      <c r="F95" t="s">
        <v>123</v>
      </c>
      <c r="G95" s="2">
        <f>E95</f>
        <v>0.28637046499454999</v>
      </c>
    </row>
  </sheetData>
  <mergeCells count="1">
    <mergeCell ref="J71:N7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O73"/>
  <sheetViews>
    <sheetView tabSelected="1" workbookViewId="0">
      <pane ySplit="4" topLeftCell="A53" activePane="bottomLeft" state="frozen"/>
      <selection pane="bottomLeft" activeCell="B14" sqref="B14"/>
    </sheetView>
  </sheetViews>
  <sheetFormatPr defaultRowHeight="14.5" x14ac:dyDescent="0.35"/>
  <cols>
    <col min="1" max="1" width="10.1796875" customWidth="1"/>
  </cols>
  <sheetData>
    <row r="1" spans="1:8" x14ac:dyDescent="0.35">
      <c r="A1" s="27" t="s">
        <v>69</v>
      </c>
    </row>
    <row r="2" spans="1:8" x14ac:dyDescent="0.35">
      <c r="A2" s="27" t="s">
        <v>3</v>
      </c>
      <c r="B2" s="27">
        <v>1.9</v>
      </c>
      <c r="C2" s="27" t="s">
        <v>75</v>
      </c>
      <c r="D2" s="27">
        <f>B3+B4</f>
        <v>9</v>
      </c>
      <c r="E2" s="27" t="s">
        <v>131</v>
      </c>
      <c r="F2" s="27">
        <v>1</v>
      </c>
      <c r="G2" t="s">
        <v>139</v>
      </c>
      <c r="H2" s="2">
        <f>((B3^2)+(D3^2))^0.5</f>
        <v>6.4031242374328485</v>
      </c>
    </row>
    <row r="3" spans="1:8" x14ac:dyDescent="0.35">
      <c r="A3" s="27" t="s">
        <v>1</v>
      </c>
      <c r="B3" s="27">
        <v>5</v>
      </c>
      <c r="C3" s="27" t="s">
        <v>29</v>
      </c>
      <c r="D3" s="27">
        <v>4</v>
      </c>
      <c r="E3" s="27" t="s">
        <v>74</v>
      </c>
      <c r="F3" s="27">
        <v>2</v>
      </c>
      <c r="G3" t="s">
        <v>109</v>
      </c>
      <c r="H3" s="2">
        <f>B3/H2</f>
        <v>0.78086880944303039</v>
      </c>
    </row>
    <row r="4" spans="1:8" x14ac:dyDescent="0.35">
      <c r="A4" s="27" t="s">
        <v>2</v>
      </c>
      <c r="B4" s="27">
        <v>4</v>
      </c>
      <c r="C4">
        <v>1</v>
      </c>
      <c r="G4" t="s">
        <v>108</v>
      </c>
      <c r="H4" s="2">
        <f>D3/H2</f>
        <v>0.62469504755442429</v>
      </c>
    </row>
    <row r="6" spans="1:8" x14ac:dyDescent="0.35">
      <c r="A6" t="s">
        <v>132</v>
      </c>
    </row>
    <row r="7" spans="1:8" x14ac:dyDescent="0.35">
      <c r="A7" t="s">
        <v>133</v>
      </c>
      <c r="B7" s="2">
        <f>(C4*B4)/D2</f>
        <v>0.44444444444444442</v>
      </c>
      <c r="D7" t="s">
        <v>135</v>
      </c>
      <c r="E7" s="2">
        <f>SUM(B7:B8)</f>
        <v>1</v>
      </c>
    </row>
    <row r="8" spans="1:8" x14ac:dyDescent="0.35">
      <c r="A8" t="s">
        <v>134</v>
      </c>
      <c r="B8" s="2">
        <f>(C4*B3)/D2</f>
        <v>0.55555555555555558</v>
      </c>
    </row>
    <row r="9" spans="1:8" x14ac:dyDescent="0.35">
      <c r="A9" t="s">
        <v>136</v>
      </c>
      <c r="B9" s="2">
        <f>B7*B3</f>
        <v>2.2222222222222223</v>
      </c>
    </row>
    <row r="10" spans="1:8" x14ac:dyDescent="0.35">
      <c r="A10" t="s">
        <v>137</v>
      </c>
      <c r="B10" s="2">
        <f>B8*B4</f>
        <v>2.2222222222222223</v>
      </c>
    </row>
    <row r="12" spans="1:8" x14ac:dyDescent="0.35">
      <c r="A12" t="s">
        <v>138</v>
      </c>
    </row>
    <row r="13" spans="1:8" x14ac:dyDescent="0.35">
      <c r="A13" t="s">
        <v>133</v>
      </c>
      <c r="B13" s="2">
        <f>C4/D2</f>
        <v>0.1111111111111111</v>
      </c>
    </row>
    <row r="14" spans="1:8" x14ac:dyDescent="0.35">
      <c r="A14" t="s">
        <v>134</v>
      </c>
      <c r="B14" s="2">
        <f>C4/D2</f>
        <v>0.1111111111111111</v>
      </c>
    </row>
    <row r="15" spans="1:8" x14ac:dyDescent="0.35">
      <c r="A15" t="s">
        <v>112</v>
      </c>
      <c r="B15" s="2">
        <f>B13*B3</f>
        <v>0.55555555555555558</v>
      </c>
    </row>
    <row r="16" spans="1:8" x14ac:dyDescent="0.35">
      <c r="A16" t="s">
        <v>112</v>
      </c>
      <c r="B16" s="2">
        <f>B14*B4</f>
        <v>0.44444444444444442</v>
      </c>
    </row>
    <row r="18" spans="1:15" x14ac:dyDescent="0.35">
      <c r="A18" t="s">
        <v>3</v>
      </c>
      <c r="B18" s="59">
        <v>0</v>
      </c>
      <c r="C18" s="59">
        <v>0</v>
      </c>
      <c r="E18" t="s">
        <v>83</v>
      </c>
      <c r="F18" s="62">
        <f t="array" ref="F18:K19">TRANSPOSE(B18:C23)</f>
        <v>0</v>
      </c>
      <c r="G18" s="60">
        <v>-2.2222222222222223</v>
      </c>
      <c r="H18" s="60">
        <v>2.2222222222222223</v>
      </c>
      <c r="I18" s="62">
        <v>0</v>
      </c>
      <c r="J18" s="62">
        <v>0</v>
      </c>
      <c r="K18" s="62">
        <v>0</v>
      </c>
    </row>
    <row r="19" spans="1:15" x14ac:dyDescent="0.35">
      <c r="B19" s="60">
        <f>-B9</f>
        <v>-2.2222222222222223</v>
      </c>
      <c r="C19" s="60">
        <f>B15</f>
        <v>0.55555555555555558</v>
      </c>
      <c r="F19" s="62">
        <v>0</v>
      </c>
      <c r="G19" s="60">
        <v>0.55555555555555558</v>
      </c>
      <c r="H19" s="60">
        <v>-0.44444444444444442</v>
      </c>
      <c r="I19" s="60">
        <v>1</v>
      </c>
      <c r="J19" s="62">
        <v>0</v>
      </c>
      <c r="K19" s="62">
        <v>0</v>
      </c>
      <c r="O19">
        <f>4/3</f>
        <v>1.3333333333333333</v>
      </c>
    </row>
    <row r="20" spans="1:15" x14ac:dyDescent="0.35">
      <c r="B20" s="60">
        <f>B10</f>
        <v>2.2222222222222223</v>
      </c>
      <c r="C20" s="60">
        <f>-B16</f>
        <v>-0.44444444444444442</v>
      </c>
    </row>
    <row r="21" spans="1:15" x14ac:dyDescent="0.35">
      <c r="B21" s="59">
        <v>0</v>
      </c>
      <c r="C21" s="60">
        <f>C4</f>
        <v>1</v>
      </c>
    </row>
    <row r="22" spans="1:15" x14ac:dyDescent="0.35">
      <c r="B22" s="59">
        <v>0</v>
      </c>
      <c r="C22" s="59">
        <v>0</v>
      </c>
    </row>
    <row r="23" spans="1:15" x14ac:dyDescent="0.35">
      <c r="B23" s="59">
        <v>0</v>
      </c>
      <c r="C23" s="59">
        <v>0</v>
      </c>
    </row>
    <row r="25" spans="1:15" x14ac:dyDescent="0.35">
      <c r="A25" t="s">
        <v>55</v>
      </c>
      <c r="B25" s="63">
        <f>H2/3</f>
        <v>2.1343747458109497</v>
      </c>
      <c r="C25" s="63">
        <f>-H2/6</f>
        <v>-1.0671873729054748</v>
      </c>
      <c r="D25" s="64">
        <v>0</v>
      </c>
      <c r="E25" s="64">
        <v>0</v>
      </c>
      <c r="F25" s="64">
        <v>0</v>
      </c>
      <c r="G25" s="64">
        <v>0</v>
      </c>
    </row>
    <row r="26" spans="1:15" x14ac:dyDescent="0.35">
      <c r="B26" s="63">
        <f>C25</f>
        <v>-1.0671873729054748</v>
      </c>
      <c r="C26" s="63">
        <f>B25</f>
        <v>2.1343747458109497</v>
      </c>
      <c r="D26" s="64">
        <v>0</v>
      </c>
      <c r="E26" s="64">
        <v>0</v>
      </c>
      <c r="F26" s="64">
        <v>0</v>
      </c>
      <c r="G26" s="64">
        <v>0</v>
      </c>
    </row>
    <row r="27" spans="1:15" x14ac:dyDescent="0.35">
      <c r="B27" s="64">
        <v>0</v>
      </c>
      <c r="C27" s="64">
        <v>0</v>
      </c>
      <c r="D27" s="63">
        <f>B4/(F3*3)</f>
        <v>0.66666666666666663</v>
      </c>
      <c r="E27" s="63">
        <f>-B4/(6*F3)</f>
        <v>-0.33333333333333331</v>
      </c>
      <c r="F27" s="64">
        <v>0</v>
      </c>
      <c r="G27" s="64">
        <v>0</v>
      </c>
    </row>
    <row r="28" spans="1:15" x14ac:dyDescent="0.35">
      <c r="B28" s="64">
        <v>0</v>
      </c>
      <c r="C28" s="64">
        <v>0</v>
      </c>
      <c r="D28" s="63">
        <f>E27</f>
        <v>-0.33333333333333331</v>
      </c>
      <c r="E28" s="63">
        <f>D27</f>
        <v>0.66666666666666663</v>
      </c>
      <c r="F28" s="64">
        <v>0</v>
      </c>
      <c r="G28" s="64">
        <v>0</v>
      </c>
    </row>
    <row r="29" spans="1:15" x14ac:dyDescent="0.35">
      <c r="B29" s="64">
        <v>0</v>
      </c>
      <c r="C29" s="64">
        <v>0</v>
      </c>
      <c r="D29" s="64">
        <v>0</v>
      </c>
      <c r="E29" s="64">
        <v>0</v>
      </c>
      <c r="F29" s="63">
        <f>D3/3</f>
        <v>1.3333333333333333</v>
      </c>
      <c r="G29" s="63">
        <f>-D3/6</f>
        <v>-0.66666666666666663</v>
      </c>
    </row>
    <row r="30" spans="1:15" x14ac:dyDescent="0.35">
      <c r="B30" s="64">
        <v>0</v>
      </c>
      <c r="C30" s="64">
        <v>0</v>
      </c>
      <c r="D30" s="64">
        <v>0</v>
      </c>
      <c r="E30" s="64">
        <v>0</v>
      </c>
      <c r="F30" s="63">
        <f>G29</f>
        <v>-0.66666666666666663</v>
      </c>
      <c r="G30" s="63">
        <f>F29</f>
        <v>1.3333333333333333</v>
      </c>
    </row>
    <row r="32" spans="1:15" x14ac:dyDescent="0.35">
      <c r="A32" t="s">
        <v>140</v>
      </c>
    </row>
    <row r="33" spans="1:7" x14ac:dyDescent="0.35">
      <c r="A33" t="s">
        <v>141</v>
      </c>
    </row>
    <row r="35" spans="1:7" x14ac:dyDescent="0.35">
      <c r="A35" t="s">
        <v>142</v>
      </c>
      <c r="B35" s="63">
        <f t="array" ref="B35:C40">MMULT(B25:G30,B18:C23)</f>
        <v>2.3715274953454997</v>
      </c>
      <c r="C35" s="63">
        <v>-0.59288187383637492</v>
      </c>
      <c r="E35" t="s">
        <v>51</v>
      </c>
      <c r="F35" s="60">
        <f t="array" ref="F35:G36">MMULT(F18:K19,B35:C40)</f>
        <v>13.832303271494403</v>
      </c>
      <c r="G35" s="60">
        <v>-4.0342075051163988</v>
      </c>
    </row>
    <row r="36" spans="1:7" x14ac:dyDescent="0.35">
      <c r="B36" s="63">
        <v>-4.7430549906909993</v>
      </c>
      <c r="C36" s="63">
        <v>1.1857637476727498</v>
      </c>
      <c r="F36" s="60">
        <v>-4.0342075051163988</v>
      </c>
      <c r="G36" s="60">
        <v>1.7534078433572891</v>
      </c>
    </row>
    <row r="37" spans="1:7" x14ac:dyDescent="0.35">
      <c r="B37" s="63">
        <v>1.4814814814814814</v>
      </c>
      <c r="C37" s="63">
        <v>-0.62962962962962954</v>
      </c>
    </row>
    <row r="38" spans="1:7" x14ac:dyDescent="0.35">
      <c r="B38" s="63">
        <v>-0.7407407407407407</v>
      </c>
      <c r="C38" s="63">
        <v>0.81481481481481477</v>
      </c>
    </row>
    <row r="39" spans="1:7" x14ac:dyDescent="0.35">
      <c r="B39" s="65">
        <v>0</v>
      </c>
      <c r="C39" s="65">
        <v>0</v>
      </c>
    </row>
    <row r="40" spans="1:7" x14ac:dyDescent="0.35">
      <c r="B40" s="65">
        <v>0</v>
      </c>
      <c r="C40" s="65">
        <v>0</v>
      </c>
    </row>
    <row r="41" spans="1:7" x14ac:dyDescent="0.35">
      <c r="B41" s="45"/>
      <c r="C41" s="45"/>
    </row>
    <row r="42" spans="1:7" x14ac:dyDescent="0.35">
      <c r="A42" t="s">
        <v>143</v>
      </c>
    </row>
    <row r="43" spans="1:7" x14ac:dyDescent="0.35">
      <c r="A43" t="s">
        <v>62</v>
      </c>
      <c r="B43" s="42">
        <f>B2</f>
        <v>1.9</v>
      </c>
    </row>
    <row r="44" spans="1:7" x14ac:dyDescent="0.35">
      <c r="B44" s="42">
        <v>0</v>
      </c>
    </row>
    <row r="46" spans="1:7" x14ac:dyDescent="0.35">
      <c r="A46" t="s">
        <v>49</v>
      </c>
      <c r="B46" s="60">
        <f t="array" ref="B46:B47">MMULT(F35:G36,B43:B44)</f>
        <v>26.281376215839366</v>
      </c>
      <c r="C46" s="66"/>
    </row>
    <row r="47" spans="1:7" x14ac:dyDescent="0.35">
      <c r="B47" s="60">
        <v>-7.6649942597211576</v>
      </c>
      <c r="C47" s="66"/>
    </row>
    <row r="49" spans="1:13" x14ac:dyDescent="0.35">
      <c r="A49" t="s">
        <v>144</v>
      </c>
    </row>
    <row r="50" spans="1:13" x14ac:dyDescent="0.35">
      <c r="A50" t="s">
        <v>145</v>
      </c>
    </row>
    <row r="52" spans="1:13" x14ac:dyDescent="0.35">
      <c r="A52" t="s">
        <v>65</v>
      </c>
      <c r="B52" s="59">
        <f t="array" ref="B52:B57">MMULT(B18:C23,B43:B44)</f>
        <v>0</v>
      </c>
      <c r="D52" s="22" t="s">
        <v>93</v>
      </c>
      <c r="E52" s="47">
        <f>B52</f>
        <v>0</v>
      </c>
      <c r="G52">
        <v>0</v>
      </c>
      <c r="H52">
        <v>0</v>
      </c>
      <c r="L52">
        <f t="array" ref="L52:L57">MMULT(G52:H57,J53:J54)</f>
        <v>0</v>
      </c>
    </row>
    <row r="53" spans="1:13" x14ac:dyDescent="0.35">
      <c r="B53" s="67">
        <v>-4.2222222222222223</v>
      </c>
      <c r="C53" s="61"/>
      <c r="D53" s="22" t="s">
        <v>146</v>
      </c>
      <c r="E53" s="68">
        <f>B54</f>
        <v>4.2222222222222223</v>
      </c>
      <c r="G53">
        <v>-2</v>
      </c>
      <c r="H53">
        <v>0.5</v>
      </c>
      <c r="J53">
        <v>1</v>
      </c>
      <c r="L53">
        <v>-2</v>
      </c>
    </row>
    <row r="54" spans="1:13" x14ac:dyDescent="0.35">
      <c r="B54" s="67">
        <v>4.2222222222222223</v>
      </c>
      <c r="C54" s="61"/>
      <c r="D54" s="22" t="s">
        <v>148</v>
      </c>
      <c r="E54" s="47">
        <f>B55</f>
        <v>0</v>
      </c>
      <c r="G54">
        <v>2</v>
      </c>
      <c r="H54">
        <v>-0.5</v>
      </c>
      <c r="J54">
        <v>0</v>
      </c>
      <c r="L54">
        <v>2</v>
      </c>
    </row>
    <row r="55" spans="1:13" x14ac:dyDescent="0.35">
      <c r="B55" s="59">
        <v>0</v>
      </c>
      <c r="D55" s="22" t="s">
        <v>147</v>
      </c>
      <c r="E55" s="47">
        <f>B57</f>
        <v>0</v>
      </c>
      <c r="G55">
        <v>0</v>
      </c>
      <c r="H55">
        <v>1</v>
      </c>
      <c r="L55">
        <v>0</v>
      </c>
    </row>
    <row r="56" spans="1:13" x14ac:dyDescent="0.35">
      <c r="B56" s="59">
        <v>0</v>
      </c>
      <c r="G56">
        <v>0</v>
      </c>
      <c r="H56">
        <v>0</v>
      </c>
      <c r="L56">
        <v>0</v>
      </c>
    </row>
    <row r="57" spans="1:13" x14ac:dyDescent="0.35">
      <c r="B57" s="59">
        <v>0</v>
      </c>
      <c r="G57">
        <v>0</v>
      </c>
      <c r="H57">
        <v>0</v>
      </c>
      <c r="L57">
        <v>0</v>
      </c>
    </row>
    <row r="59" spans="1:13" x14ac:dyDescent="0.35">
      <c r="G59" t="s">
        <v>149</v>
      </c>
      <c r="J59">
        <v>0</v>
      </c>
      <c r="K59" s="35" t="s">
        <v>107</v>
      </c>
      <c r="L59" s="51">
        <f>B3</f>
        <v>5</v>
      </c>
    </row>
    <row r="60" spans="1:13" x14ac:dyDescent="0.35">
      <c r="G60" t="s">
        <v>31</v>
      </c>
      <c r="H60" s="2">
        <f>E53/B3</f>
        <v>0.84444444444444444</v>
      </c>
      <c r="J60" t="s">
        <v>101</v>
      </c>
      <c r="K60">
        <f>H60*J59</f>
        <v>0</v>
      </c>
      <c r="L60" t="s">
        <v>151</v>
      </c>
      <c r="M60" s="2">
        <f>H60*L59</f>
        <v>4.2222222222222223</v>
      </c>
    </row>
    <row r="61" spans="1:13" x14ac:dyDescent="0.35">
      <c r="G61" t="s">
        <v>99</v>
      </c>
      <c r="H61" s="2">
        <f>((B2*B3)-E53)/B3</f>
        <v>1.0555555555555556</v>
      </c>
      <c r="J61" t="s">
        <v>102</v>
      </c>
      <c r="K61" s="2">
        <f>H60*H3</f>
        <v>0.65940032797411452</v>
      </c>
      <c r="L61" t="s">
        <v>152</v>
      </c>
      <c r="M61" s="2">
        <f>K61</f>
        <v>0.65940032797411452</v>
      </c>
    </row>
    <row r="62" spans="1:13" x14ac:dyDescent="0.35">
      <c r="G62" t="s">
        <v>150</v>
      </c>
      <c r="H62" s="2">
        <f>H60+H61</f>
        <v>1.9</v>
      </c>
      <c r="J62" t="s">
        <v>103</v>
      </c>
      <c r="K62" s="2">
        <f>-H60*H4</f>
        <v>-0.52752026237929162</v>
      </c>
      <c r="L62" t="s">
        <v>153</v>
      </c>
      <c r="M62" s="2">
        <f>K62</f>
        <v>-0.52752026237929162</v>
      </c>
    </row>
    <row r="65" spans="7:13" x14ac:dyDescent="0.35">
      <c r="G65" t="s">
        <v>154</v>
      </c>
      <c r="J65">
        <v>0</v>
      </c>
      <c r="K65" s="35" t="s">
        <v>107</v>
      </c>
      <c r="L65" s="51">
        <f>B4</f>
        <v>4</v>
      </c>
    </row>
    <row r="66" spans="7:13" x14ac:dyDescent="0.35">
      <c r="G66" t="s">
        <v>111</v>
      </c>
      <c r="H66" s="2">
        <f>(E53+0)/B4</f>
        <v>1.0555555555555556</v>
      </c>
      <c r="J66" t="s">
        <v>101</v>
      </c>
      <c r="K66" s="2">
        <f>-(H67*J65)+E53</f>
        <v>4.2222222222222223</v>
      </c>
      <c r="L66" t="s">
        <v>155</v>
      </c>
      <c r="M66">
        <f>-(H67*L65)+E53</f>
        <v>0</v>
      </c>
    </row>
    <row r="67" spans="7:13" x14ac:dyDescent="0.35">
      <c r="G67" t="s">
        <v>114</v>
      </c>
      <c r="H67" s="2">
        <f>E53/B4</f>
        <v>1.0555555555555556</v>
      </c>
      <c r="J67" t="s">
        <v>102</v>
      </c>
      <c r="K67" s="2">
        <f>-H67</f>
        <v>-1.0555555555555556</v>
      </c>
      <c r="L67" t="s">
        <v>156</v>
      </c>
      <c r="M67" s="2">
        <f>K67</f>
        <v>-1.0555555555555556</v>
      </c>
    </row>
    <row r="68" spans="7:13" x14ac:dyDescent="0.35">
      <c r="J68" t="s">
        <v>103</v>
      </c>
      <c r="K68">
        <f>H71</f>
        <v>0</v>
      </c>
      <c r="L68" t="s">
        <v>157</v>
      </c>
      <c r="M68">
        <f>H72</f>
        <v>0</v>
      </c>
    </row>
    <row r="70" spans="7:13" x14ac:dyDescent="0.35">
      <c r="G70" t="s">
        <v>158</v>
      </c>
      <c r="J70" s="69">
        <v>0</v>
      </c>
      <c r="K70" s="35" t="s">
        <v>161</v>
      </c>
      <c r="L70" s="51">
        <f>D3</f>
        <v>4</v>
      </c>
    </row>
    <row r="71" spans="7:13" x14ac:dyDescent="0.35">
      <c r="G71" t="s">
        <v>159</v>
      </c>
      <c r="H71">
        <v>0</v>
      </c>
      <c r="J71" t="s">
        <v>101</v>
      </c>
      <c r="K71">
        <v>0</v>
      </c>
      <c r="L71" t="s">
        <v>155</v>
      </c>
      <c r="M71">
        <v>0</v>
      </c>
    </row>
    <row r="72" spans="7:13" x14ac:dyDescent="0.35">
      <c r="G72" t="s">
        <v>160</v>
      </c>
      <c r="H72">
        <v>0</v>
      </c>
      <c r="J72" t="s">
        <v>102</v>
      </c>
      <c r="K72">
        <v>0</v>
      </c>
      <c r="L72" t="s">
        <v>156</v>
      </c>
      <c r="M72">
        <v>0</v>
      </c>
    </row>
    <row r="73" spans="7:13" x14ac:dyDescent="0.35">
      <c r="J73" t="s">
        <v>103</v>
      </c>
      <c r="K73" s="2">
        <f>-H67</f>
        <v>-1.0555555555555556</v>
      </c>
      <c r="L73" t="s">
        <v>157</v>
      </c>
      <c r="M73" s="2">
        <f>-H67</f>
        <v>-1.0555555555555556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TUGAS 3</vt:lpstr>
      <vt:lpstr>TUGAS 3 (1)</vt:lpstr>
      <vt:lpstr>TUGAS 4</vt:lpstr>
      <vt:lpstr>TUGAS 4 REVISI</vt:lpstr>
      <vt:lpstr>UAS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maudi</cp:lastModifiedBy>
  <dcterms:created xsi:type="dcterms:W3CDTF">2020-09-21T15:07:20Z</dcterms:created>
  <dcterms:modified xsi:type="dcterms:W3CDTF">2020-12-14T13:18:43Z</dcterms:modified>
</cp:coreProperties>
</file>