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8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10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1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2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3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4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5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6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7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8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9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20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21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22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3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4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5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6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7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8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9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30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31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32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3.xml" ContentType="application/vnd.openxmlformats-officedocument.drawing+xml"/>
  <Override PartName="/xl/charts/chart33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4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5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6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7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8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C0E1B581-1201-4D66-A741-B2F0F0DE6ED5}" xr6:coauthVersionLast="47" xr6:coauthVersionMax="47" xr10:uidLastSave="{00000000-0000-0000-0000-000000000000}"/>
  <bookViews>
    <workbookView xWindow="-93" yWindow="-93" windowWidth="25786" windowHeight="13866" firstSheet="1" activeTab="5" xr2:uid="{B75E0FB2-D23F-4FB4-A5CC-28ECBF416F77}"/>
  </bookViews>
  <sheets>
    <sheet name="Balance general" sheetId="1" r:id="rId1"/>
    <sheet name="Estado de resultados" sheetId="2" r:id="rId2"/>
    <sheet name="Regresion" sheetId="5" r:id="rId3"/>
    <sheet name="Razones" sheetId="8" r:id="rId4"/>
    <sheet name="Calculo De beta" sheetId="9" r:id="rId5"/>
    <sheet name="FCD" sheetId="7" r:id="rId6"/>
    <sheet name="Tasa g" sheetId="6" r:id="rId7"/>
  </sheets>
  <externalReferences>
    <externalReference r:id="rId8"/>
  </externalReferences>
  <definedNames>
    <definedName name="solver_eng" localSheetId="2" hidden="1">1</definedName>
    <definedName name="solver_neg" localSheetId="2" hidden="1">1</definedName>
    <definedName name="solver_num" localSheetId="2" hidden="1">0</definedName>
    <definedName name="solver_opt" localSheetId="2" hidden="1">Regresion!$E$18</definedName>
    <definedName name="solver_typ" localSheetId="2" hidden="1">1</definedName>
    <definedName name="solver_val" localSheetId="2" hidden="1">0</definedName>
    <definedName name="solver_ver" localSheetId="2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61" i="7" l="1"/>
  <c r="Q131" i="7"/>
  <c r="N153" i="7" s="1"/>
  <c r="E208" i="8"/>
  <c r="E214" i="8"/>
  <c r="L214" i="8"/>
  <c r="K214" i="8"/>
  <c r="J214" i="8"/>
  <c r="F214" i="8"/>
  <c r="P119" i="7"/>
  <c r="E37" i="8"/>
  <c r="D8" i="9" l="1"/>
  <c r="E19" i="9"/>
  <c r="E21" i="9" s="1"/>
  <c r="E5" i="9"/>
  <c r="E4" i="9"/>
  <c r="E20" i="9"/>
  <c r="C9" i="9"/>
  <c r="E10" i="9" s="1"/>
  <c r="C8" i="9"/>
  <c r="E8" i="9" s="1"/>
  <c r="C7" i="9"/>
  <c r="E7" i="9"/>
  <c r="E6" i="9"/>
  <c r="E11" i="9"/>
  <c r="E12" i="9"/>
  <c r="E13" i="9"/>
  <c r="E14" i="9"/>
  <c r="E3" i="9"/>
  <c r="D4" i="9"/>
  <c r="D5" i="9"/>
  <c r="D6" i="9"/>
  <c r="D7" i="9"/>
  <c r="D9" i="9"/>
  <c r="D10" i="9"/>
  <c r="D11" i="9"/>
  <c r="D12" i="9"/>
  <c r="D13" i="9"/>
  <c r="D14" i="9"/>
  <c r="D3" i="9"/>
  <c r="W127" i="7"/>
  <c r="X127" i="7"/>
  <c r="Y127" i="7" s="1"/>
  <c r="Z127" i="7" s="1"/>
  <c r="AA127" i="7" s="1"/>
  <c r="AB127" i="7" s="1"/>
  <c r="AC127" i="7" s="1"/>
  <c r="AD127" i="7" s="1"/>
  <c r="AE127" i="7" s="1"/>
  <c r="AF127" i="7" s="1"/>
  <c r="AG127" i="7" s="1"/>
  <c r="AH127" i="7" s="1"/>
  <c r="V127" i="7"/>
  <c r="T127" i="7"/>
  <c r="Q99" i="7"/>
  <c r="E9" i="9" l="1"/>
  <c r="P60" i="7" l="1"/>
  <c r="N113" i="7"/>
  <c r="Q103" i="7"/>
  <c r="P111" i="7"/>
  <c r="N116" i="7"/>
  <c r="P106" i="7"/>
  <c r="P104" i="7"/>
  <c r="P96" i="7"/>
  <c r="N60" i="7"/>
  <c r="N61" i="7"/>
  <c r="N62" i="7"/>
  <c r="O79" i="7"/>
  <c r="P79" i="7"/>
  <c r="O61" i="7"/>
  <c r="O77" i="7"/>
  <c r="P77" i="7"/>
  <c r="O76" i="7"/>
  <c r="P76" i="7"/>
  <c r="Q79" i="7"/>
  <c r="Q76" i="7"/>
  <c r="N159" i="7"/>
  <c r="N72" i="7"/>
  <c r="P69" i="7" s="1"/>
  <c r="O67" i="7"/>
  <c r="N71" i="7"/>
  <c r="N73" i="7"/>
  <c r="F71" i="7"/>
  <c r="J71" i="7"/>
  <c r="K71" i="7"/>
  <c r="L71" i="7"/>
  <c r="M71" i="7"/>
  <c r="G71" i="7"/>
  <c r="H71" i="7"/>
  <c r="I71" i="7"/>
  <c r="N12" i="7"/>
  <c r="Q9" i="7"/>
  <c r="Q12" i="7"/>
  <c r="J12" i="7"/>
  <c r="O12" i="7"/>
  <c r="P12" i="7"/>
  <c r="R12" i="7"/>
  <c r="S12" i="7"/>
  <c r="T12" i="7"/>
  <c r="U12" i="7"/>
  <c r="M12" i="7"/>
  <c r="E12" i="7"/>
  <c r="F12" i="7"/>
  <c r="G12" i="7"/>
  <c r="H12" i="7"/>
  <c r="I12" i="7"/>
  <c r="K12" i="7"/>
  <c r="L12" i="7"/>
  <c r="Q14" i="7"/>
  <c r="Q16" i="7" s="1"/>
  <c r="P41" i="7"/>
  <c r="Q41" i="7"/>
  <c r="O41" i="7"/>
  <c r="E23" i="7"/>
  <c r="F23" i="7"/>
  <c r="G23" i="7"/>
  <c r="H23" i="7"/>
  <c r="I23" i="7"/>
  <c r="J23" i="7"/>
  <c r="K23" i="7"/>
  <c r="L23" i="7"/>
  <c r="M23" i="7"/>
  <c r="N23" i="7"/>
  <c r="T21" i="7"/>
  <c r="P20" i="7"/>
  <c r="Q20" i="7" s="1"/>
  <c r="R20" i="7" s="1"/>
  <c r="S20" i="7" s="1"/>
  <c r="T20" i="7" s="1"/>
  <c r="U20" i="7" s="1"/>
  <c r="O20" i="7"/>
  <c r="B133" i="7"/>
  <c r="J131" i="7"/>
  <c r="K131" i="7"/>
  <c r="P21" i="7"/>
  <c r="O21" i="7"/>
  <c r="C131" i="7"/>
  <c r="B131" i="7"/>
  <c r="K127" i="7"/>
  <c r="J127" i="7"/>
  <c r="I127" i="7"/>
  <c r="H127" i="7"/>
  <c r="G127" i="7"/>
  <c r="F127" i="7"/>
  <c r="E127" i="7"/>
  <c r="D127" i="7"/>
  <c r="C127" i="7"/>
  <c r="B127" i="7"/>
  <c r="K123" i="7"/>
  <c r="J123" i="7"/>
  <c r="I123" i="7"/>
  <c r="I131" i="7" s="1"/>
  <c r="H123" i="7"/>
  <c r="H131" i="7" s="1"/>
  <c r="G123" i="7"/>
  <c r="G131" i="7" s="1"/>
  <c r="F123" i="7"/>
  <c r="F131" i="7" s="1"/>
  <c r="E123" i="7"/>
  <c r="E131" i="7" s="1"/>
  <c r="D123" i="7"/>
  <c r="D131" i="7" s="1"/>
  <c r="C123" i="7"/>
  <c r="B123" i="7"/>
  <c r="Q21" i="7"/>
  <c r="R21" i="7"/>
  <c r="S21" i="7"/>
  <c r="Q68" i="7"/>
  <c r="S50" i="7"/>
  <c r="N97" i="8"/>
  <c r="X34" i="7"/>
  <c r="O34" i="7"/>
  <c r="S32" i="7"/>
  <c r="M34" i="7" s="1"/>
  <c r="M52" i="7"/>
  <c r="O55" i="7" s="1"/>
  <c r="N124" i="8"/>
  <c r="O52" i="7"/>
  <c r="E68" i="7"/>
  <c r="U69" i="7" l="1"/>
  <c r="T69" i="7"/>
  <c r="R69" i="7"/>
  <c r="S69" i="7"/>
  <c r="Q69" i="7"/>
  <c r="L68" i="7" l="1"/>
  <c r="E9" i="7"/>
  <c r="E14" i="7" s="1"/>
  <c r="T134" i="7"/>
  <c r="Q115" i="7"/>
  <c r="P98" i="7"/>
  <c r="P99" i="7" s="1"/>
  <c r="N68" i="7"/>
  <c r="F68" i="7"/>
  <c r="P61" i="7"/>
  <c r="AB32" i="7"/>
  <c r="AB33" i="7"/>
  <c r="R15" i="7"/>
  <c r="S15" i="7" s="1"/>
  <c r="T15" i="7" s="1"/>
  <c r="U15" i="7" s="1"/>
  <c r="P15" i="7"/>
  <c r="P14" i="7"/>
  <c r="O14" i="7"/>
  <c r="P68" i="7"/>
  <c r="O68" i="7"/>
  <c r="M68" i="7"/>
  <c r="K68" i="7"/>
  <c r="J68" i="7"/>
  <c r="I68" i="7"/>
  <c r="H68" i="7"/>
  <c r="G68" i="7"/>
  <c r="E13" i="6"/>
  <c r="C13" i="6"/>
  <c r="D13" i="6"/>
  <c r="F13" i="6"/>
  <c r="G13" i="6"/>
  <c r="H13" i="6"/>
  <c r="I13" i="6"/>
  <c r="J13" i="6"/>
  <c r="K13" i="6"/>
  <c r="B13" i="6"/>
  <c r="B9" i="6"/>
  <c r="AQ4" i="5"/>
  <c r="AQ5" i="5"/>
  <c r="AQ6" i="5"/>
  <c r="AQ7" i="5"/>
  <c r="AQ8" i="5"/>
  <c r="AQ9" i="5"/>
  <c r="AQ10" i="5"/>
  <c r="AQ11" i="5"/>
  <c r="AQ12" i="5"/>
  <c r="AQ13" i="5"/>
  <c r="AQ14" i="5"/>
  <c r="AQ15" i="5"/>
  <c r="AQ16" i="5"/>
  <c r="AQ17" i="5"/>
  <c r="AQ18" i="5"/>
  <c r="AQ19" i="5"/>
  <c r="AQ20" i="5"/>
  <c r="AQ21" i="5"/>
  <c r="AQ22" i="5"/>
  <c r="AQ3" i="5"/>
  <c r="AP5" i="5"/>
  <c r="AP6" i="5"/>
  <c r="AP7" i="5" s="1"/>
  <c r="AP8" i="5" s="1"/>
  <c r="AP9" i="5" s="1"/>
  <c r="AP10" i="5" s="1"/>
  <c r="AP11" i="5" s="1"/>
  <c r="AP12" i="5" s="1"/>
  <c r="AP13" i="5" s="1"/>
  <c r="AP14" i="5" s="1"/>
  <c r="AP15" i="5" s="1"/>
  <c r="AP16" i="5" s="1"/>
  <c r="AP17" i="5" s="1"/>
  <c r="AP18" i="5" s="1"/>
  <c r="AP19" i="5" s="1"/>
  <c r="AP20" i="5" s="1"/>
  <c r="AP21" i="5" s="1"/>
  <c r="AP22" i="5" s="1"/>
  <c r="AP4" i="5"/>
  <c r="AO5" i="5"/>
  <c r="AO6" i="5"/>
  <c r="AO7" i="5"/>
  <c r="AO8" i="5" s="1"/>
  <c r="AO9" i="5" s="1"/>
  <c r="AO10" i="5" s="1"/>
  <c r="AO11" i="5" s="1"/>
  <c r="AO12" i="5" s="1"/>
  <c r="AO13" i="5" s="1"/>
  <c r="AO14" i="5" s="1"/>
  <c r="AO15" i="5" s="1"/>
  <c r="AO16" i="5" s="1"/>
  <c r="AO17" i="5" s="1"/>
  <c r="AO18" i="5" s="1"/>
  <c r="AO19" i="5" s="1"/>
  <c r="AO20" i="5" s="1"/>
  <c r="AO21" i="5" s="1"/>
  <c r="AO22" i="5" s="1"/>
  <c r="AO4" i="5"/>
  <c r="AP3" i="5"/>
  <c r="AO3" i="5"/>
  <c r="AN14" i="5"/>
  <c r="AN15" i="5"/>
  <c r="AN16" i="5"/>
  <c r="AN17" i="5"/>
  <c r="AN18" i="5"/>
  <c r="AN19" i="5"/>
  <c r="AN20" i="5"/>
  <c r="AN21" i="5"/>
  <c r="AN22" i="5"/>
  <c r="AN13" i="5"/>
  <c r="Y14" i="5"/>
  <c r="Y15" i="5"/>
  <c r="Y16" i="5"/>
  <c r="Y17" i="5"/>
  <c r="Y18" i="5"/>
  <c r="Y19" i="5"/>
  <c r="Y20" i="5"/>
  <c r="Y21" i="5"/>
  <c r="Y22" i="5"/>
  <c r="Y13" i="5"/>
  <c r="S13" i="5"/>
  <c r="V13" i="5"/>
  <c r="T4" i="5"/>
  <c r="T5" i="5"/>
  <c r="T6" i="5"/>
  <c r="T7" i="5"/>
  <c r="T8" i="5"/>
  <c r="T9" i="5"/>
  <c r="T10" i="5"/>
  <c r="T11" i="5"/>
  <c r="T12" i="5"/>
  <c r="T13" i="5"/>
  <c r="T14" i="5"/>
  <c r="T15" i="5"/>
  <c r="S15" i="5" s="1"/>
  <c r="T16" i="5"/>
  <c r="T17" i="5"/>
  <c r="S17" i="5" s="1"/>
  <c r="T18" i="5"/>
  <c r="S18" i="5" s="1"/>
  <c r="T19" i="5"/>
  <c r="T20" i="5"/>
  <c r="T21" i="5"/>
  <c r="T22" i="5"/>
  <c r="T3" i="5"/>
  <c r="S14" i="5"/>
  <c r="S16" i="5"/>
  <c r="S19" i="5"/>
  <c r="S20" i="5"/>
  <c r="S22" i="5"/>
  <c r="S21" i="5"/>
  <c r="V3" i="5"/>
  <c r="U3" i="5"/>
  <c r="U4" i="5" s="1"/>
  <c r="U5" i="5" s="1"/>
  <c r="U6" i="5" s="1"/>
  <c r="U7" i="5" s="1"/>
  <c r="U8" i="5" s="1"/>
  <c r="U9" i="5" s="1"/>
  <c r="U10" i="5" s="1"/>
  <c r="U11" i="5" s="1"/>
  <c r="U12" i="5" s="1"/>
  <c r="U13" i="5" s="1"/>
  <c r="U14" i="5" s="1"/>
  <c r="U15" i="5" s="1"/>
  <c r="U16" i="5" s="1"/>
  <c r="U17" i="5" s="1"/>
  <c r="U18" i="5" s="1"/>
  <c r="U19" i="5" s="1"/>
  <c r="U20" i="5" s="1"/>
  <c r="U21" i="5" s="1"/>
  <c r="U22" i="5" s="1"/>
  <c r="AM22" i="5"/>
  <c r="AM21" i="5"/>
  <c r="AM20" i="5"/>
  <c r="AM19" i="5"/>
  <c r="AM18" i="5"/>
  <c r="AM17" i="5"/>
  <c r="AM16" i="5"/>
  <c r="AM15" i="5"/>
  <c r="AM14" i="5"/>
  <c r="AM13" i="5"/>
  <c r="AD32" i="7" l="1"/>
  <c r="V34" i="7" s="1"/>
  <c r="P16" i="7"/>
  <c r="Q77" i="7"/>
  <c r="O37" i="7"/>
  <c r="U41" i="7"/>
  <c r="U61" i="7" s="1"/>
  <c r="R9" i="7"/>
  <c r="R14" i="7" s="1"/>
  <c r="R16" i="7" s="1"/>
  <c r="R76" i="7" s="1"/>
  <c r="U9" i="7"/>
  <c r="L9" i="7"/>
  <c r="L14" i="7" s="1"/>
  <c r="M9" i="7"/>
  <c r="M14" i="7" s="1"/>
  <c r="J9" i="7"/>
  <c r="J14" i="7" s="1"/>
  <c r="K9" i="7"/>
  <c r="K14" i="7" s="1"/>
  <c r="O9" i="7"/>
  <c r="H9" i="7"/>
  <c r="P9" i="7"/>
  <c r="T9" i="7"/>
  <c r="I9" i="7"/>
  <c r="I14" i="7" s="1"/>
  <c r="O15" i="7"/>
  <c r="N15" i="7" s="1"/>
  <c r="M15" i="7" s="1"/>
  <c r="L15" i="7" s="1"/>
  <c r="K15" i="7" s="1"/>
  <c r="J15" i="7" s="1"/>
  <c r="I15" i="7" s="1"/>
  <c r="H15" i="7" s="1"/>
  <c r="G15" i="7" s="1"/>
  <c r="F15" i="7" s="1"/>
  <c r="E15" i="7" s="1"/>
  <c r="E16" i="7" s="1"/>
  <c r="U21" i="7"/>
  <c r="V15" i="5"/>
  <c r="V7" i="5"/>
  <c r="V21" i="5"/>
  <c r="V12" i="5"/>
  <c r="V4" i="5"/>
  <c r="V11" i="5"/>
  <c r="V19" i="5"/>
  <c r="V16" i="5"/>
  <c r="V8" i="5"/>
  <c r="V14" i="5"/>
  <c r="V6" i="5"/>
  <c r="V10" i="5"/>
  <c r="V5" i="5"/>
  <c r="V18" i="5"/>
  <c r="V17" i="5"/>
  <c r="V9" i="5"/>
  <c r="V20" i="5"/>
  <c r="V22" i="5"/>
  <c r="Z34" i="7" l="1"/>
  <c r="O22" i="7" s="1"/>
  <c r="O23" i="7" s="1"/>
  <c r="O60" i="7" s="1"/>
  <c r="O62" i="7" s="1"/>
  <c r="P22" i="7"/>
  <c r="P23" i="7" s="1"/>
  <c r="P62" i="7" s="1"/>
  <c r="Q22" i="7"/>
  <c r="U22" i="7"/>
  <c r="J16" i="7"/>
  <c r="R68" i="7"/>
  <c r="K16" i="7"/>
  <c r="L16" i="7"/>
  <c r="P102" i="7"/>
  <c r="T14" i="7"/>
  <c r="T16" i="7" s="1"/>
  <c r="T76" i="7" s="1"/>
  <c r="U14" i="7"/>
  <c r="U16" i="7" s="1"/>
  <c r="U76" i="7" s="1"/>
  <c r="G9" i="7"/>
  <c r="F9" i="7"/>
  <c r="F14" i="7" s="1"/>
  <c r="F16" i="7" s="1"/>
  <c r="H14" i="7"/>
  <c r="H16" i="7" s="1"/>
  <c r="S9" i="7"/>
  <c r="S14" i="7" s="1"/>
  <c r="S16" i="7" s="1"/>
  <c r="S76" i="7" s="1"/>
  <c r="O16" i="7"/>
  <c r="I16" i="7"/>
  <c r="S22" i="7"/>
  <c r="S41" i="7"/>
  <c r="S61" i="7" s="1"/>
  <c r="R41" i="7"/>
  <c r="R61" i="7" s="1"/>
  <c r="R22" i="7"/>
  <c r="Q23" i="7"/>
  <c r="Q60" i="7" s="1"/>
  <c r="Q61" i="7"/>
  <c r="R77" i="7"/>
  <c r="S68" i="7"/>
  <c r="T22" i="7"/>
  <c r="T41" i="7"/>
  <c r="T61" i="7" s="1"/>
  <c r="N9" i="7"/>
  <c r="M16" i="7"/>
  <c r="P63" i="7" l="1"/>
  <c r="P78" i="7" s="1"/>
  <c r="P80" i="7" s="1"/>
  <c r="O63" i="7"/>
  <c r="O78" i="7" s="1"/>
  <c r="O80" i="7" s="1"/>
  <c r="R23" i="7"/>
  <c r="R60" i="7" s="1"/>
  <c r="R62" i="7" s="1"/>
  <c r="N14" i="7"/>
  <c r="N16" i="7" s="1"/>
  <c r="G14" i="7"/>
  <c r="G16" i="7" s="1"/>
  <c r="Q102" i="7"/>
  <c r="P108" i="7" s="1"/>
  <c r="P121" i="7" s="1"/>
  <c r="Q128" i="7" s="1"/>
  <c r="Q129" i="7" s="1"/>
  <c r="Q62" i="7"/>
  <c r="S23" i="7"/>
  <c r="S60" i="7" s="1"/>
  <c r="S62" i="7" s="1"/>
  <c r="S77" i="7"/>
  <c r="T68" i="7"/>
  <c r="R13" i="5"/>
  <c r="R14" i="5"/>
  <c r="R15" i="5"/>
  <c r="R16" i="5"/>
  <c r="R17" i="5"/>
  <c r="R18" i="5"/>
  <c r="R19" i="5"/>
  <c r="R20" i="5"/>
  <c r="R21" i="5"/>
  <c r="R2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" i="5"/>
  <c r="E12" i="5"/>
  <c r="E13" i="5"/>
  <c r="E14" i="5"/>
  <c r="E15" i="5"/>
  <c r="E16" i="5"/>
  <c r="E17" i="5"/>
  <c r="E18" i="5"/>
  <c r="E19" i="5"/>
  <c r="E20" i="5"/>
  <c r="E21" i="5"/>
  <c r="E10" i="5"/>
  <c r="D12" i="5"/>
  <c r="Q63" i="7" l="1"/>
  <c r="Q78" i="7" s="1"/>
  <c r="Q104" i="7"/>
  <c r="U23" i="7"/>
  <c r="U60" i="7" s="1"/>
  <c r="U62" i="7" s="1"/>
  <c r="T23" i="7"/>
  <c r="T60" i="7" s="1"/>
  <c r="T62" i="7" s="1"/>
  <c r="U63" i="7" s="1"/>
  <c r="U78" i="7" s="1"/>
  <c r="R63" i="7"/>
  <c r="R78" i="7" s="1"/>
  <c r="S63" i="7"/>
  <c r="S78" i="7" s="1"/>
  <c r="T63" i="7"/>
  <c r="T78" i="7" s="1"/>
  <c r="U68" i="7"/>
  <c r="U77" i="7" s="1"/>
  <c r="T77" i="7"/>
  <c r="S135" i="7"/>
  <c r="V135" i="7" s="1"/>
  <c r="R128" i="7" l="1"/>
  <c r="S128" i="7" l="1"/>
  <c r="R129" i="7"/>
  <c r="T128" i="7" l="1"/>
  <c r="S129" i="7"/>
  <c r="T129" i="7" l="1"/>
  <c r="U128" i="7"/>
  <c r="U129" i="7" s="1"/>
  <c r="U140" i="7" l="1"/>
  <c r="E162" i="8" l="1"/>
  <c r="F162" i="8"/>
  <c r="G162" i="8"/>
  <c r="H162" i="8"/>
  <c r="I162" i="8"/>
  <c r="J162" i="8"/>
  <c r="K162" i="8"/>
  <c r="L162" i="8"/>
  <c r="M162" i="8"/>
  <c r="N162" i="8"/>
  <c r="E202" i="8"/>
  <c r="E196" i="8"/>
  <c r="C22" i="2"/>
  <c r="E104" i="8"/>
  <c r="E78" i="8"/>
  <c r="E65" i="8"/>
  <c r="E57" i="8"/>
  <c r="E45" i="8"/>
  <c r="N211" i="8"/>
  <c r="M211" i="8"/>
  <c r="L211" i="8"/>
  <c r="K211" i="8"/>
  <c r="J211" i="8"/>
  <c r="I211" i="8"/>
  <c r="H211" i="8"/>
  <c r="G211" i="8"/>
  <c r="F211" i="8"/>
  <c r="N208" i="8"/>
  <c r="N214" i="8" s="1"/>
  <c r="L208" i="8"/>
  <c r="K208" i="8"/>
  <c r="F208" i="8"/>
  <c r="J208" i="8"/>
  <c r="I208" i="8"/>
  <c r="I214" i="8" s="1"/>
  <c r="H208" i="8"/>
  <c r="H214" i="8" s="1"/>
  <c r="G208" i="8"/>
  <c r="G214" i="8" s="1"/>
  <c r="E210" i="8"/>
  <c r="F195" i="8"/>
  <c r="F198" i="8" s="1"/>
  <c r="F202" i="8" s="1"/>
  <c r="N155" i="8"/>
  <c r="N161" i="8" s="1"/>
  <c r="L155" i="8"/>
  <c r="L161" i="8" s="1"/>
  <c r="K155" i="8"/>
  <c r="K161" i="8" s="1"/>
  <c r="F155" i="8"/>
  <c r="F161" i="8" s="1"/>
  <c r="J155" i="8"/>
  <c r="I155" i="8"/>
  <c r="H155" i="8"/>
  <c r="G155" i="8"/>
  <c r="F121" i="8"/>
  <c r="G121" i="8" s="1"/>
  <c r="E121" i="8"/>
  <c r="J115" i="8"/>
  <c r="J118" i="8" s="1"/>
  <c r="J122" i="8" s="1"/>
  <c r="G115" i="8"/>
  <c r="G118" i="8" s="1"/>
  <c r="G122" i="8" s="1"/>
  <c r="F108" i="8"/>
  <c r="G108" i="8" s="1"/>
  <c r="E108" i="8"/>
  <c r="N134" i="8"/>
  <c r="N140" i="8" s="1"/>
  <c r="M134" i="8"/>
  <c r="L134" i="8"/>
  <c r="K134" i="8"/>
  <c r="J104" i="8"/>
  <c r="J109" i="8" s="1"/>
  <c r="I134" i="8"/>
  <c r="H134" i="8"/>
  <c r="G134" i="8"/>
  <c r="F134" i="8"/>
  <c r="F140" i="8" s="1"/>
  <c r="F150" i="8" s="1"/>
  <c r="E134" i="8"/>
  <c r="F94" i="8"/>
  <c r="G94" i="8" s="1"/>
  <c r="N115" i="8"/>
  <c r="N118" i="8" s="1"/>
  <c r="N122" i="8" s="1"/>
  <c r="I115" i="8"/>
  <c r="I118" i="8" s="1"/>
  <c r="I122" i="8" s="1"/>
  <c r="F115" i="8"/>
  <c r="F118" i="8" s="1"/>
  <c r="F122" i="8" s="1"/>
  <c r="N79" i="8"/>
  <c r="I79" i="8"/>
  <c r="F79" i="8"/>
  <c r="M78" i="8"/>
  <c r="M81" i="8" s="1"/>
  <c r="J78" i="8"/>
  <c r="M76" i="8"/>
  <c r="J76" i="8"/>
  <c r="E76" i="8"/>
  <c r="I73" i="8"/>
  <c r="F73" i="8"/>
  <c r="M79" i="8"/>
  <c r="L79" i="8"/>
  <c r="K79" i="8"/>
  <c r="J79" i="8"/>
  <c r="J81" i="8" s="1"/>
  <c r="H79" i="8"/>
  <c r="G79" i="8"/>
  <c r="E79" i="8"/>
  <c r="N76" i="8"/>
  <c r="N78" i="8" s="1"/>
  <c r="M73" i="8"/>
  <c r="L73" i="8"/>
  <c r="K73" i="8"/>
  <c r="I76" i="8"/>
  <c r="I78" i="8" s="1"/>
  <c r="H76" i="8"/>
  <c r="H78" i="8" s="1"/>
  <c r="H81" i="8" s="1"/>
  <c r="G76" i="8"/>
  <c r="G78" i="8" s="1"/>
  <c r="F76" i="8"/>
  <c r="F78" i="8" s="1"/>
  <c r="F81" i="8" s="1"/>
  <c r="E73" i="8"/>
  <c r="F65" i="8"/>
  <c r="N58" i="8"/>
  <c r="N64" i="8" s="1"/>
  <c r="I58" i="8"/>
  <c r="F58" i="8"/>
  <c r="F64" i="8" s="1"/>
  <c r="M58" i="8"/>
  <c r="L58" i="8"/>
  <c r="K58" i="8"/>
  <c r="J58" i="8"/>
  <c r="H58" i="8"/>
  <c r="G58" i="8"/>
  <c r="E58" i="8"/>
  <c r="N50" i="8"/>
  <c r="N53" i="8" s="1"/>
  <c r="I50" i="8"/>
  <c r="I53" i="8" s="1"/>
  <c r="F50" i="8"/>
  <c r="F53" i="8" s="1"/>
  <c r="M50" i="8"/>
  <c r="L50" i="8"/>
  <c r="L53" i="8" s="1"/>
  <c r="K50" i="8"/>
  <c r="K53" i="8" s="1"/>
  <c r="J50" i="8"/>
  <c r="E50" i="8"/>
  <c r="E35" i="8"/>
  <c r="F35" i="8" s="1"/>
  <c r="G35" i="8" s="1"/>
  <c r="H35" i="8" s="1"/>
  <c r="I35" i="8" s="1"/>
  <c r="J35" i="8" s="1"/>
  <c r="K35" i="8" s="1"/>
  <c r="L35" i="8" s="1"/>
  <c r="M35" i="8" s="1"/>
  <c r="N35" i="8" s="1"/>
  <c r="N45" i="8"/>
  <c r="N57" i="8" s="1"/>
  <c r="M45" i="8"/>
  <c r="M47" i="8" s="1"/>
  <c r="L45" i="8"/>
  <c r="L57" i="8" s="1"/>
  <c r="K45" i="8"/>
  <c r="K57" i="8" s="1"/>
  <c r="J45" i="8"/>
  <c r="J57" i="8" s="1"/>
  <c r="J141" i="8" s="1"/>
  <c r="I45" i="8"/>
  <c r="I57" i="8" s="1"/>
  <c r="H45" i="8"/>
  <c r="H57" i="8" s="1"/>
  <c r="G45" i="8"/>
  <c r="G57" i="8" s="1"/>
  <c r="F45" i="8"/>
  <c r="F57" i="8" s="1"/>
  <c r="Q15" i="8"/>
  <c r="I90" i="8"/>
  <c r="I95" i="8" s="1"/>
  <c r="Q13" i="8"/>
  <c r="J10" i="8"/>
  <c r="I10" i="8"/>
  <c r="H10" i="8"/>
  <c r="G10" i="8"/>
  <c r="Q39" i="1"/>
  <c r="K5" i="6"/>
  <c r="J5" i="6"/>
  <c r="I5" i="6"/>
  <c r="H5" i="6"/>
  <c r="G5" i="6"/>
  <c r="F5" i="6"/>
  <c r="E5" i="6"/>
  <c r="D5" i="6"/>
  <c r="C5" i="6"/>
  <c r="B5" i="6"/>
  <c r="C9" i="6"/>
  <c r="D9" i="6"/>
  <c r="E9" i="6"/>
  <c r="F9" i="6"/>
  <c r="G9" i="6"/>
  <c r="H9" i="6"/>
  <c r="I9" i="6"/>
  <c r="J9" i="6"/>
  <c r="K9" i="6"/>
  <c r="F10" i="5"/>
  <c r="E3" i="5"/>
  <c r="F3" i="5" s="1"/>
  <c r="E4" i="5"/>
  <c r="F4" i="5" s="1"/>
  <c r="E5" i="5"/>
  <c r="F5" i="5" s="1"/>
  <c r="E6" i="5"/>
  <c r="F6" i="5" s="1"/>
  <c r="E7" i="5"/>
  <c r="F7" i="5" s="1"/>
  <c r="E8" i="5"/>
  <c r="F8" i="5" s="1"/>
  <c r="E9" i="5"/>
  <c r="F9" i="5" s="1"/>
  <c r="E11" i="5"/>
  <c r="F11" i="5" s="1"/>
  <c r="E2" i="5"/>
  <c r="F2" i="5" s="1"/>
  <c r="D21" i="5"/>
  <c r="D20" i="5"/>
  <c r="D19" i="5"/>
  <c r="D18" i="5"/>
  <c r="D17" i="5"/>
  <c r="D16" i="5"/>
  <c r="D15" i="5"/>
  <c r="D14" i="5"/>
  <c r="D13" i="5"/>
  <c r="F152" i="8" l="1"/>
  <c r="G81" i="8"/>
  <c r="N81" i="8"/>
  <c r="I81" i="8"/>
  <c r="E81" i="8"/>
  <c r="M64" i="8"/>
  <c r="M65" i="8" s="1"/>
  <c r="M67" i="8" s="1"/>
  <c r="G47" i="8"/>
  <c r="H47" i="8"/>
  <c r="H17" i="8"/>
  <c r="G17" i="8"/>
  <c r="E17" i="8"/>
  <c r="M17" i="8"/>
  <c r="F17" i="8"/>
  <c r="N17" i="8"/>
  <c r="I60" i="8"/>
  <c r="I156" i="8"/>
  <c r="I158" i="8" s="1"/>
  <c r="I141" i="8"/>
  <c r="K17" i="8"/>
  <c r="E156" i="8"/>
  <c r="E141" i="8"/>
  <c r="E60" i="8"/>
  <c r="L17" i="8"/>
  <c r="F156" i="8"/>
  <c r="F158" i="8" s="1"/>
  <c r="F141" i="8"/>
  <c r="F143" i="8" s="1"/>
  <c r="F60" i="8"/>
  <c r="N156" i="8"/>
  <c r="N158" i="8" s="1"/>
  <c r="N141" i="8"/>
  <c r="N143" i="8" s="1"/>
  <c r="N60" i="8"/>
  <c r="K10" i="8"/>
  <c r="J64" i="8"/>
  <c r="G161" i="8"/>
  <c r="E10" i="8"/>
  <c r="M10" i="8"/>
  <c r="G60" i="8"/>
  <c r="G156" i="8"/>
  <c r="G158" i="8" s="1"/>
  <c r="G141" i="8"/>
  <c r="I47" i="8"/>
  <c r="L64" i="8"/>
  <c r="L65" i="8"/>
  <c r="L67" i="8" s="1"/>
  <c r="N73" i="8"/>
  <c r="L90" i="8"/>
  <c r="L95" i="8" s="1"/>
  <c r="F90" i="8"/>
  <c r="F95" i="8" s="1"/>
  <c r="F97" i="8" s="1"/>
  <c r="F127" i="8" s="1"/>
  <c r="I140" i="8"/>
  <c r="H108" i="8"/>
  <c r="H161" i="8"/>
  <c r="J156" i="8"/>
  <c r="J158" i="8" s="1"/>
  <c r="N195" i="8"/>
  <c r="N198" i="8" s="1"/>
  <c r="N202" i="8" s="1"/>
  <c r="N204" i="8" s="1"/>
  <c r="F204" i="8"/>
  <c r="L164" i="8"/>
  <c r="L195" i="8"/>
  <c r="L198" i="8" s="1"/>
  <c r="L202" i="8" s="1"/>
  <c r="L204" i="8" s="1"/>
  <c r="K64" i="8"/>
  <c r="K65" i="8" s="1"/>
  <c r="K67" i="8" s="1"/>
  <c r="K164" i="8"/>
  <c r="F10" i="8"/>
  <c r="N10" i="8"/>
  <c r="H60" i="8"/>
  <c r="H156" i="8"/>
  <c r="H158" i="8" s="1"/>
  <c r="H141" i="8"/>
  <c r="J53" i="8"/>
  <c r="E90" i="8"/>
  <c r="E95" i="8" s="1"/>
  <c r="E97" i="8" s="1"/>
  <c r="E127" i="8" s="1"/>
  <c r="M90" i="8"/>
  <c r="M95" i="8" s="1"/>
  <c r="H121" i="8"/>
  <c r="G124" i="8"/>
  <c r="G129" i="8" s="1"/>
  <c r="I161" i="8"/>
  <c r="J65" i="8"/>
  <c r="J67" i="8" s="1"/>
  <c r="J90" i="8"/>
  <c r="J95" i="8" s="1"/>
  <c r="M57" i="8"/>
  <c r="F67" i="8"/>
  <c r="N65" i="8"/>
  <c r="N67" i="8" s="1"/>
  <c r="N90" i="8"/>
  <c r="N95" i="8" s="1"/>
  <c r="K140" i="8"/>
  <c r="N150" i="8"/>
  <c r="N152" i="8" s="1"/>
  <c r="L10" i="8"/>
  <c r="J60" i="8"/>
  <c r="K90" i="8"/>
  <c r="K95" i="8" s="1"/>
  <c r="E47" i="8"/>
  <c r="G64" i="8"/>
  <c r="J73" i="8"/>
  <c r="G90" i="8"/>
  <c r="G95" i="8" s="1"/>
  <c r="G97" i="8" s="1"/>
  <c r="G127" i="8" s="1"/>
  <c r="H94" i="8"/>
  <c r="L140" i="8"/>
  <c r="J161" i="8"/>
  <c r="G140" i="8"/>
  <c r="H140" i="8"/>
  <c r="K156" i="8"/>
  <c r="K158" i="8" s="1"/>
  <c r="K141" i="8"/>
  <c r="K60" i="8"/>
  <c r="E53" i="8"/>
  <c r="M53" i="8"/>
  <c r="J47" i="8"/>
  <c r="H64" i="8"/>
  <c r="H65" i="8" s="1"/>
  <c r="H67" i="8" s="1"/>
  <c r="I64" i="8"/>
  <c r="I65" i="8" s="1"/>
  <c r="I67" i="8" s="1"/>
  <c r="H90" i="8"/>
  <c r="H95" i="8" s="1"/>
  <c r="E140" i="8"/>
  <c r="M140" i="8"/>
  <c r="G104" i="8"/>
  <c r="G109" i="8" s="1"/>
  <c r="G111" i="8" s="1"/>
  <c r="G128" i="8" s="1"/>
  <c r="F124" i="8"/>
  <c r="F129" i="8" s="1"/>
  <c r="J134" i="8"/>
  <c r="F164" i="8"/>
  <c r="L156" i="8"/>
  <c r="L141" i="8"/>
  <c r="L60" i="8"/>
  <c r="F47" i="8"/>
  <c r="N47" i="8"/>
  <c r="E64" i="8"/>
  <c r="E67" i="8" s="1"/>
  <c r="K195" i="8"/>
  <c r="K198" i="8" s="1"/>
  <c r="K202" i="8" s="1"/>
  <c r="K204" i="8" s="1"/>
  <c r="N164" i="8"/>
  <c r="K47" i="8"/>
  <c r="G50" i="8"/>
  <c r="G53" i="8" s="1"/>
  <c r="G65" i="8"/>
  <c r="G67" i="8" s="1"/>
  <c r="G73" i="8"/>
  <c r="K76" i="8"/>
  <c r="K78" i="8" s="1"/>
  <c r="K81" i="8" s="1"/>
  <c r="H104" i="8"/>
  <c r="H109" i="8" s="1"/>
  <c r="H115" i="8"/>
  <c r="H118" i="8" s="1"/>
  <c r="H122" i="8" s="1"/>
  <c r="L158" i="8"/>
  <c r="L47" i="8"/>
  <c r="H50" i="8"/>
  <c r="H53" i="8" s="1"/>
  <c r="H73" i="8"/>
  <c r="L76" i="8"/>
  <c r="L78" i="8" s="1"/>
  <c r="L81" i="8" s="1"/>
  <c r="I104" i="8"/>
  <c r="I109" i="8" s="1"/>
  <c r="E155" i="8"/>
  <c r="M155" i="8"/>
  <c r="M208" i="8"/>
  <c r="M214" i="8" s="1"/>
  <c r="K104" i="8"/>
  <c r="K109" i="8" s="1"/>
  <c r="K115" i="8"/>
  <c r="K118" i="8" s="1"/>
  <c r="K122" i="8" s="1"/>
  <c r="L104" i="8"/>
  <c r="L109" i="8" s="1"/>
  <c r="L115" i="8"/>
  <c r="L118" i="8" s="1"/>
  <c r="L122" i="8" s="1"/>
  <c r="E109" i="8"/>
  <c r="E111" i="8" s="1"/>
  <c r="E128" i="8" s="1"/>
  <c r="M104" i="8"/>
  <c r="M109" i="8" s="1"/>
  <c r="E115" i="8"/>
  <c r="E118" i="8" s="1"/>
  <c r="E122" i="8" s="1"/>
  <c r="E124" i="8" s="1"/>
  <c r="E129" i="8" s="1"/>
  <c r="M115" i="8"/>
  <c r="M118" i="8" s="1"/>
  <c r="M122" i="8" s="1"/>
  <c r="F104" i="8"/>
  <c r="F109" i="8" s="1"/>
  <c r="F111" i="8" s="1"/>
  <c r="F128" i="8" s="1"/>
  <c r="N104" i="8"/>
  <c r="N109" i="8" s="1"/>
  <c r="E2" i="2"/>
  <c r="F131" i="8" l="1"/>
  <c r="H33" i="8"/>
  <c r="H37" i="8" s="1"/>
  <c r="H23" i="8"/>
  <c r="I150" i="8"/>
  <c r="I152" i="8" s="1"/>
  <c r="I143" i="8"/>
  <c r="G131" i="8"/>
  <c r="M150" i="8"/>
  <c r="M152" i="8" s="1"/>
  <c r="J195" i="8"/>
  <c r="J198" i="8" s="1"/>
  <c r="J202" i="8" s="1"/>
  <c r="J204" i="8" s="1"/>
  <c r="J164" i="8"/>
  <c r="K150" i="8"/>
  <c r="K152" i="8" s="1"/>
  <c r="K143" i="8"/>
  <c r="G33" i="8"/>
  <c r="G37" i="8" s="1"/>
  <c r="G23" i="8"/>
  <c r="N23" i="8"/>
  <c r="N33" i="8"/>
  <c r="N37" i="8" s="1"/>
  <c r="I195" i="8"/>
  <c r="I198" i="8" s="1"/>
  <c r="I202" i="8" s="1"/>
  <c r="I204" i="8" s="1"/>
  <c r="I164" i="8"/>
  <c r="L150" i="8"/>
  <c r="L152" i="8" s="1"/>
  <c r="L143" i="8"/>
  <c r="H195" i="8"/>
  <c r="H198" i="8" s="1"/>
  <c r="H202" i="8" s="1"/>
  <c r="H204" i="8" s="1"/>
  <c r="H164" i="8"/>
  <c r="K33" i="8"/>
  <c r="K37" i="8" s="1"/>
  <c r="K23" i="8"/>
  <c r="E150" i="8"/>
  <c r="E143" i="8"/>
  <c r="J17" i="8"/>
  <c r="F33" i="8"/>
  <c r="F37" i="8" s="1"/>
  <c r="F23" i="8"/>
  <c r="M161" i="8"/>
  <c r="E161" i="8"/>
  <c r="E158" i="8"/>
  <c r="I121" i="8"/>
  <c r="H124" i="8"/>
  <c r="H129" i="8" s="1"/>
  <c r="J140" i="8"/>
  <c r="H150" i="8"/>
  <c r="H152" i="8" s="1"/>
  <c r="H143" i="8"/>
  <c r="L33" i="8"/>
  <c r="L37" i="8" s="1"/>
  <c r="L23" i="8"/>
  <c r="M33" i="8"/>
  <c r="M37" i="8" s="1"/>
  <c r="M23" i="8"/>
  <c r="I94" i="8"/>
  <c r="H97" i="8"/>
  <c r="H127" i="8" s="1"/>
  <c r="M156" i="8"/>
  <c r="M158" i="8" s="1"/>
  <c r="M141" i="8"/>
  <c r="M143" i="8" s="1"/>
  <c r="M60" i="8"/>
  <c r="E131" i="8"/>
  <c r="E23" i="8"/>
  <c r="E33" i="8"/>
  <c r="I17" i="8"/>
  <c r="G150" i="8"/>
  <c r="G152" i="8" s="1"/>
  <c r="G143" i="8"/>
  <c r="I108" i="8"/>
  <c r="H111" i="8"/>
  <c r="H128" i="8" s="1"/>
  <c r="G195" i="8"/>
  <c r="G198" i="8" s="1"/>
  <c r="G202" i="8" s="1"/>
  <c r="G204" i="8" s="1"/>
  <c r="G164" i="8"/>
  <c r="H131" i="8" l="1"/>
  <c r="G135" i="8"/>
  <c r="G137" i="8" s="1"/>
  <c r="G28" i="8"/>
  <c r="G31" i="8" s="1"/>
  <c r="E164" i="8"/>
  <c r="E195" i="8"/>
  <c r="E198" i="8" s="1"/>
  <c r="E204" i="8" s="1"/>
  <c r="E209" i="8"/>
  <c r="E211" i="8" s="1"/>
  <c r="E152" i="8"/>
  <c r="M135" i="8"/>
  <c r="M137" i="8" s="1"/>
  <c r="M28" i="8"/>
  <c r="M31" i="8" s="1"/>
  <c r="E135" i="8"/>
  <c r="E137" i="8" s="1"/>
  <c r="E28" i="8"/>
  <c r="E31" i="8" s="1"/>
  <c r="J150" i="8"/>
  <c r="J152" i="8" s="1"/>
  <c r="J143" i="8"/>
  <c r="M164" i="8"/>
  <c r="M195" i="8"/>
  <c r="M198" i="8" s="1"/>
  <c r="M202" i="8" s="1"/>
  <c r="M204" i="8" s="1"/>
  <c r="J121" i="8"/>
  <c r="I124" i="8"/>
  <c r="I129" i="8" s="1"/>
  <c r="N28" i="8"/>
  <c r="N31" i="8" s="1"/>
  <c r="N135" i="8"/>
  <c r="N137" i="8" s="1"/>
  <c r="J94" i="8"/>
  <c r="I97" i="8"/>
  <c r="I127" i="8" s="1"/>
  <c r="J108" i="8"/>
  <c r="I111" i="8"/>
  <c r="I128" i="8" s="1"/>
  <c r="L135" i="8"/>
  <c r="L137" i="8" s="1"/>
  <c r="L28" i="8"/>
  <c r="L31" i="8" s="1"/>
  <c r="F135" i="8"/>
  <c r="F137" i="8" s="1"/>
  <c r="F28" i="8"/>
  <c r="F31" i="8" s="1"/>
  <c r="K135" i="8"/>
  <c r="K137" i="8" s="1"/>
  <c r="K28" i="8"/>
  <c r="K31" i="8" s="1"/>
  <c r="I33" i="8"/>
  <c r="I37" i="8" s="1"/>
  <c r="I23" i="8"/>
  <c r="H135" i="8"/>
  <c r="H137" i="8" s="1"/>
  <c r="H28" i="8"/>
  <c r="H31" i="8" s="1"/>
  <c r="J33" i="8"/>
  <c r="J37" i="8" s="1"/>
  <c r="J23" i="8"/>
  <c r="I131" i="8" l="1"/>
  <c r="J97" i="8"/>
  <c r="J127" i="8" s="1"/>
  <c r="K94" i="8"/>
  <c r="J124" i="8"/>
  <c r="J129" i="8" s="1"/>
  <c r="K121" i="8"/>
  <c r="I135" i="8"/>
  <c r="I137" i="8" s="1"/>
  <c r="I28" i="8"/>
  <c r="I31" i="8" s="1"/>
  <c r="J135" i="8"/>
  <c r="J137" i="8" s="1"/>
  <c r="J28" i="8"/>
  <c r="J31" i="8" s="1"/>
  <c r="J111" i="8"/>
  <c r="J128" i="8" s="1"/>
  <c r="K108" i="8"/>
  <c r="L121" i="8" l="1"/>
  <c r="K124" i="8"/>
  <c r="K129" i="8" s="1"/>
  <c r="L108" i="8"/>
  <c r="K111" i="8"/>
  <c r="K128" i="8" s="1"/>
  <c r="L94" i="8"/>
  <c r="K97" i="8"/>
  <c r="K127" i="8" s="1"/>
  <c r="J131" i="8"/>
  <c r="K131" i="8" l="1"/>
  <c r="M94" i="8"/>
  <c r="L97" i="8"/>
  <c r="L127" i="8" s="1"/>
  <c r="M108" i="8"/>
  <c r="L111" i="8"/>
  <c r="L128" i="8" s="1"/>
  <c r="M121" i="8"/>
  <c r="L124" i="8"/>
  <c r="L129" i="8" s="1"/>
  <c r="M97" i="8" l="1"/>
  <c r="M127" i="8" s="1"/>
  <c r="N94" i="8"/>
  <c r="M124" i="8"/>
  <c r="M129" i="8" s="1"/>
  <c r="N121" i="8"/>
  <c r="M111" i="8"/>
  <c r="M128" i="8" s="1"/>
  <c r="N108" i="8"/>
  <c r="L131" i="8"/>
  <c r="N111" i="8" l="1"/>
  <c r="N128" i="8" s="1"/>
  <c r="N127" i="8"/>
  <c r="N129" i="8"/>
  <c r="M131" i="8"/>
  <c r="N131" i="8" l="1"/>
  <c r="O69" i="7" l="1"/>
  <c r="O70" i="7" s="1"/>
  <c r="O71" i="7" l="1"/>
  <c r="P67" i="7"/>
  <c r="P70" i="7" s="1"/>
  <c r="P71" i="7" l="1"/>
  <c r="Q67" i="7"/>
  <c r="Q70" i="7" s="1"/>
  <c r="Q71" i="7" l="1"/>
  <c r="Q80" i="7" s="1"/>
  <c r="Q127" i="7" s="1"/>
  <c r="Q130" i="7" s="1"/>
  <c r="R67" i="7"/>
  <c r="R70" i="7" s="1"/>
  <c r="R71" i="7" l="1"/>
  <c r="R79" i="7" s="1"/>
  <c r="R80" i="7" s="1"/>
  <c r="R127" i="7" s="1"/>
  <c r="R130" i="7" s="1"/>
  <c r="S67" i="7"/>
  <c r="S70" i="7" s="1"/>
  <c r="T67" i="7" l="1"/>
  <c r="T70" i="7" s="1"/>
  <c r="S71" i="7"/>
  <c r="S79" i="7" s="1"/>
  <c r="S80" i="7" s="1"/>
  <c r="S127" i="7" s="1"/>
  <c r="S130" i="7" s="1"/>
  <c r="T71" i="7" l="1"/>
  <c r="T79" i="7" s="1"/>
  <c r="T80" i="7" s="1"/>
  <c r="T130" i="7" s="1"/>
  <c r="U67" i="7"/>
  <c r="U70" i="7" s="1"/>
  <c r="U71" i="7" s="1"/>
  <c r="U79" i="7" s="1"/>
  <c r="U80" i="7" s="1"/>
  <c r="U127" i="7" s="1"/>
  <c r="U130" i="7" l="1"/>
  <c r="R134" i="7"/>
  <c r="V134" i="7" s="1"/>
  <c r="X134" i="7" s="1"/>
  <c r="S140" i="7" s="1"/>
  <c r="W140" i="7" s="1"/>
  <c r="P153" i="7" s="1"/>
  <c r="R153" i="7" l="1"/>
  <c r="N155" i="7" l="1"/>
  <c r="N163" i="7" l="1"/>
  <c r="O164" i="7" s="1"/>
</calcChain>
</file>

<file path=xl/sharedStrings.xml><?xml version="1.0" encoding="utf-8"?>
<sst xmlns="http://schemas.openxmlformats.org/spreadsheetml/2006/main" count="545" uniqueCount="288">
  <si>
    <t>AL 31 DE DICIEMBRE DE CADA AÑO</t>
  </si>
  <si>
    <t>Concepto</t>
  </si>
  <si>
    <t>Activo Circulante</t>
  </si>
  <si>
    <t>Propiedades, planta y equipo, neto</t>
  </si>
  <si>
    <t>Total Capital Contable</t>
  </si>
  <si>
    <t>Efectivo y equivalentes de efectivo</t>
  </si>
  <si>
    <t>Efectivo restringido</t>
  </si>
  <si>
    <t>Clientes y otras cuentas por cobrar, neto</t>
  </si>
  <si>
    <t>Inventarios</t>
  </si>
  <si>
    <t>Activos mantenidos para la venta</t>
  </si>
  <si>
    <t>Pagos anticipados</t>
  </si>
  <si>
    <t>Total activo circulante</t>
  </si>
  <si>
    <t>Derechos de uso por arrendamiento, neto</t>
  </si>
  <si>
    <t>Crédito mercantil y activos intangibles, neto</t>
  </si>
  <si>
    <t>Impuestos a la utilidad diferidos</t>
  </si>
  <si>
    <t>Otras cuentas por cobrar no circulantes</t>
  </si>
  <si>
    <t>Otros activos no circulantes</t>
  </si>
  <si>
    <t>Total activo no circulante</t>
  </si>
  <si>
    <t>Total activo</t>
  </si>
  <si>
    <t>Deuda</t>
  </si>
  <si>
    <t>Pasivo por arrendamiento</t>
  </si>
  <si>
    <t>Proveedores y otras cuentas por pagar</t>
  </si>
  <si>
    <t>Impuestos a la utilidad por pagar</t>
  </si>
  <si>
    <t>Otros pasivos circulantes</t>
  </si>
  <si>
    <t>Total pasivo circulante</t>
  </si>
  <si>
    <t>Beneficios a los empleados</t>
  </si>
  <si>
    <t>Otros pasivos no circulantes</t>
  </si>
  <si>
    <t>Total pasivo no circulante</t>
  </si>
  <si>
    <t>Total pasivo</t>
  </si>
  <si>
    <t>Capital contable</t>
  </si>
  <si>
    <t>Capital social</t>
  </si>
  <si>
    <t>Prima en emisión de acciones</t>
  </si>
  <si>
    <t>Utilidades retenidas</t>
  </si>
  <si>
    <t>Otras reservas</t>
  </si>
  <si>
    <t>Total Pasivo y Capital Contable</t>
  </si>
  <si>
    <t>Instrumentos Financieros Derivados</t>
  </si>
  <si>
    <t>Pasivo Circulante:</t>
  </si>
  <si>
    <t>Pasivo No circulante</t>
  </si>
  <si>
    <t>NEMAK, S.A.B. DE C.V.</t>
  </si>
  <si>
    <t>Activo No circulante</t>
  </si>
  <si>
    <t>Ingresos</t>
  </si>
  <si>
    <t>Costo de ventas</t>
  </si>
  <si>
    <t>Utilidad bruta</t>
  </si>
  <si>
    <t>Gastos de administración y ventas</t>
  </si>
  <si>
    <t>Ingresos financieros</t>
  </si>
  <si>
    <t>Gastos financieros</t>
  </si>
  <si>
    <t>Pérdida por fluctuación cambiaria, neta</t>
  </si>
  <si>
    <t>Resultado financiero, neto</t>
  </si>
  <si>
    <t>Participación en resultados de asociadas</t>
  </si>
  <si>
    <t>Utilidad antes de impuestos a la utilidad</t>
  </si>
  <si>
    <t>Impuestos a la utilidad</t>
  </si>
  <si>
    <t>Utilidad neta consolidada</t>
  </si>
  <si>
    <t>ESTADOS DE RESULTADOS CONSOLIDADOS POR  DOCE MESES TERMINADOS</t>
  </si>
  <si>
    <t>Otros ingresos (gastos), neto</t>
  </si>
  <si>
    <t>Utilidad por acción básica y diluida, en pesos</t>
  </si>
  <si>
    <t>Promedio ponderado de acciones en circulación (en millones)</t>
  </si>
  <si>
    <t>En millones de pesos</t>
  </si>
  <si>
    <t>Año</t>
  </si>
  <si>
    <t>Ventas</t>
  </si>
  <si>
    <t>Resumen</t>
  </si>
  <si>
    <t>Estadísticas de la regresión</t>
  </si>
  <si>
    <t>Coeficiente de correlación múltiple</t>
  </si>
  <si>
    <t>Coeficiente de determinación R^2</t>
  </si>
  <si>
    <t>R^2  ajustado</t>
  </si>
  <si>
    <t>Error típico</t>
  </si>
  <si>
    <t>Observaciones</t>
  </si>
  <si>
    <t>ANÁLISIS DE VARIANZA</t>
  </si>
  <si>
    <t>Regresión</t>
  </si>
  <si>
    <t>Residuos</t>
  </si>
  <si>
    <t>Total</t>
  </si>
  <si>
    <t>Intercepción</t>
  </si>
  <si>
    <t>Grados de libertad</t>
  </si>
  <si>
    <t>Suma de cuadrados</t>
  </si>
  <si>
    <t>Promedio de los cuadrados</t>
  </si>
  <si>
    <t>F</t>
  </si>
  <si>
    <t>Valor crítico de F</t>
  </si>
  <si>
    <t>Coeficientes</t>
  </si>
  <si>
    <t>Estadístico t</t>
  </si>
  <si>
    <t>Probabilidad</t>
  </si>
  <si>
    <t>Inferior 95%</t>
  </si>
  <si>
    <t>Superior 95%</t>
  </si>
  <si>
    <t>Inferior 95.0%</t>
  </si>
  <si>
    <t>Superior 95.0%</t>
  </si>
  <si>
    <t>Análisis de los residuales</t>
  </si>
  <si>
    <t>Observación</t>
  </si>
  <si>
    <t>Residuos estándares</t>
  </si>
  <si>
    <t>Resultados de datos de probabilidad</t>
  </si>
  <si>
    <t>Percentil</t>
  </si>
  <si>
    <t>Pronóstico Ventas</t>
  </si>
  <si>
    <t>Dummy</t>
  </si>
  <si>
    <t>Ventas netas</t>
  </si>
  <si>
    <t>Ventas estimadas</t>
  </si>
  <si>
    <t>Error</t>
  </si>
  <si>
    <t>Venta proy</t>
  </si>
  <si>
    <t>Utilidades Retenidas</t>
  </si>
  <si>
    <t>Utilidad de operación EBIT</t>
  </si>
  <si>
    <t>Utilidad total</t>
  </si>
  <si>
    <t>utilidad neta</t>
  </si>
  <si>
    <t>ROE</t>
  </si>
  <si>
    <t>Razon de retencion</t>
  </si>
  <si>
    <t>g</t>
  </si>
  <si>
    <t>1.3.1 Razones de liquidez o  solvencia a corto plazo</t>
  </si>
  <si>
    <t>Razón de circulante</t>
  </si>
  <si>
    <t>Activo circulante</t>
  </si>
  <si>
    <t>Pasivo circulante</t>
  </si>
  <si>
    <t>Prueba del acido</t>
  </si>
  <si>
    <t>Capital de trabajo</t>
  </si>
  <si>
    <t>Capital de trabajo a activos totales</t>
  </si>
  <si>
    <t>Activo total</t>
  </si>
  <si>
    <t>Costo operativo diario</t>
  </si>
  <si>
    <t>1.3.2 Razones de apalancamiento financiero o solvencia a largo plazo</t>
  </si>
  <si>
    <t>Razón de deuda total</t>
  </si>
  <si>
    <t>Pasivo total</t>
  </si>
  <si>
    <t>Razón de deuda a capital</t>
  </si>
  <si>
    <t>Multiplicador del capital</t>
  </si>
  <si>
    <t>Razón de deuda a largo plazo</t>
  </si>
  <si>
    <t>Pasivo a largo plazo</t>
  </si>
  <si>
    <t>Capitalizacion</t>
  </si>
  <si>
    <t>Razón de cobertura de intereses</t>
  </si>
  <si>
    <t>UAII - EBIT</t>
  </si>
  <si>
    <t>Intereses</t>
  </si>
  <si>
    <t>Razón de cobertura efectivo</t>
  </si>
  <si>
    <t>Depreciacion</t>
  </si>
  <si>
    <t>EBITDA</t>
  </si>
  <si>
    <t>1.3.3 Razones de la eficiencia, la actividad o rotación de activos</t>
  </si>
  <si>
    <t>Rotación de inventario</t>
  </si>
  <si>
    <t>Inventario</t>
  </si>
  <si>
    <t>Dias de inventario</t>
  </si>
  <si>
    <t>Rotacion de Inventario</t>
  </si>
  <si>
    <t>Rotación de CXC</t>
  </si>
  <si>
    <t>CXC</t>
  </si>
  <si>
    <t>Rotacion CXC</t>
  </si>
  <si>
    <t>Dias en CXC</t>
  </si>
  <si>
    <t>R CXC</t>
  </si>
  <si>
    <t>Rotación de CXP</t>
  </si>
  <si>
    <t>CXP</t>
  </si>
  <si>
    <t>R de CXP</t>
  </si>
  <si>
    <t>Dias en CXP</t>
  </si>
  <si>
    <t>R CXP</t>
  </si>
  <si>
    <t>Días de inventario</t>
  </si>
  <si>
    <t>Dáas en cxc</t>
  </si>
  <si>
    <t>Días en cxp</t>
  </si>
  <si>
    <t>días de Ciclo de efectivo</t>
  </si>
  <si>
    <t>Rotacion de capital de trabajo neto</t>
  </si>
  <si>
    <t xml:space="preserve">Ventas </t>
  </si>
  <si>
    <t>capital de trabajo</t>
  </si>
  <si>
    <t>RCTN</t>
  </si>
  <si>
    <t>Rotacion de activos totales</t>
  </si>
  <si>
    <t>1.3.4 Medidas de rentabilidad</t>
  </si>
  <si>
    <t>Margen de Utilidad</t>
  </si>
  <si>
    <t>Utilidad neta</t>
  </si>
  <si>
    <t>Margen de utilidad</t>
  </si>
  <si>
    <t>Rendimiento sobre los Activos (ROA)</t>
  </si>
  <si>
    <t>Activos totales</t>
  </si>
  <si>
    <t>Rendimiento sobre los Activos</t>
  </si>
  <si>
    <t>Rendimiento sobre el capital (ROE)</t>
  </si>
  <si>
    <t>Rendimiento sobre el capital</t>
  </si>
  <si>
    <t>´=</t>
  </si>
  <si>
    <t>*</t>
  </si>
  <si>
    <t>Modelo Dupont</t>
  </si>
  <si>
    <t>capital contable</t>
  </si>
  <si>
    <t>margen de utilidad</t>
  </si>
  <si>
    <t>Rotacion de activos</t>
  </si>
  <si>
    <t>Aumentar</t>
  </si>
  <si>
    <t>Bajar</t>
  </si>
  <si>
    <t>Constos y gastos</t>
  </si>
  <si>
    <t>A = P + C</t>
  </si>
  <si>
    <t>P</t>
  </si>
  <si>
    <t>C</t>
  </si>
  <si>
    <t>1.3.5 Medidas de valor de mercado</t>
  </si>
  <si>
    <t>Utilidad por acción</t>
  </si>
  <si>
    <t>Nmero de acciones en circ</t>
  </si>
  <si>
    <t>UPA (pesos x acción)</t>
  </si>
  <si>
    <t>Razón precio utilidad</t>
  </si>
  <si>
    <t>Precio por accion</t>
  </si>
  <si>
    <t>UPA</t>
  </si>
  <si>
    <t>Razón Precio - Venta</t>
  </si>
  <si>
    <t>numero de acciones</t>
  </si>
  <si>
    <t>Ventas por accion</t>
  </si>
  <si>
    <t>Depreciacion y amortizacion</t>
  </si>
  <si>
    <t>Intereses Pagados</t>
  </si>
  <si>
    <t>Precio Por accion</t>
  </si>
  <si>
    <t>Logaritmica</t>
  </si>
  <si>
    <t>=</t>
  </si>
  <si>
    <t>Pronóstico Costo de ventas</t>
  </si>
  <si>
    <t>Costos Fijos</t>
  </si>
  <si>
    <t>costo Variable Unitario</t>
  </si>
  <si>
    <t>Costo de ventas Estimadf</t>
  </si>
  <si>
    <t>Costo de ventas Estimado</t>
  </si>
  <si>
    <t>Costos de operación</t>
  </si>
  <si>
    <t>Pronóstico Costos de operación</t>
  </si>
  <si>
    <t xml:space="preserve"> </t>
  </si>
  <si>
    <t>Gastos fijos</t>
  </si>
  <si>
    <t>Gastos de operación</t>
  </si>
  <si>
    <t>Gasto Unitario variable</t>
  </si>
  <si>
    <t>costos de operación Estimdos</t>
  </si>
  <si>
    <t>costos de operación EstimAdos</t>
  </si>
  <si>
    <t>Ingresos, costos y gastos</t>
  </si>
  <si>
    <t>Depreciación y amortización</t>
  </si>
  <si>
    <t>Utilidad de operación (EBIT)</t>
  </si>
  <si>
    <t>EBIT (Beneficios antes de Intereses e Impuestos (BAIT))</t>
  </si>
  <si>
    <t>Tax (Gasto impositivo)</t>
  </si>
  <si>
    <t>NOPAT (Ganancia neta operativa) Net Operating Profit After Tax</t>
  </si>
  <si>
    <t>Variaciones NOF (Necesidad Operativa de Fondos)</t>
  </si>
  <si>
    <t>Efectivo (disponibilidades)</t>
  </si>
  <si>
    <t>Clientes (cuentas por cobrar)</t>
  </si>
  <si>
    <t>Clientes: Cuentas por cobrar</t>
  </si>
  <si>
    <t>Rotacion de cxc</t>
  </si>
  <si>
    <t>ventas</t>
  </si>
  <si>
    <t>Dias en cxc</t>
  </si>
  <si>
    <t>Rotacion de inventarios</t>
  </si>
  <si>
    <t>Dias en iNV</t>
  </si>
  <si>
    <t>cxc</t>
  </si>
  <si>
    <t>R INV</t>
  </si>
  <si>
    <t>Dis de inventario</t>
  </si>
  <si>
    <t>PC</t>
  </si>
  <si>
    <t>Proveedores (CxP)</t>
  </si>
  <si>
    <t>Cuentas por pagar</t>
  </si>
  <si>
    <t>Rotacion de cxp</t>
  </si>
  <si>
    <t>Dias en cxp</t>
  </si>
  <si>
    <t>cxp</t>
  </si>
  <si>
    <t>AC</t>
  </si>
  <si>
    <t>Variaciones NOF (Necesidades Operativas de Fondos)</t>
  </si>
  <si>
    <t>Inversion en Capex (capital Expenditures)</t>
  </si>
  <si>
    <t>-</t>
  </si>
  <si>
    <t>+</t>
  </si>
  <si>
    <t>Inversión</t>
  </si>
  <si>
    <t>Inversión CAPEX</t>
  </si>
  <si>
    <t>Flujo de caja descontado (free Cash Flow)</t>
  </si>
  <si>
    <t>BAIDT o NOPAT</t>
  </si>
  <si>
    <t>Depreciaciones y Amortizaciones</t>
  </si>
  <si>
    <t>Variaciones NOF</t>
  </si>
  <si>
    <t>FREE CASH FLOW</t>
  </si>
  <si>
    <t>WACC</t>
  </si>
  <si>
    <t>Total deuda</t>
  </si>
  <si>
    <t>Tasa de la deuda</t>
  </si>
  <si>
    <t>Kd</t>
  </si>
  <si>
    <t>Tasa impositiva</t>
  </si>
  <si>
    <t>T</t>
  </si>
  <si>
    <t>Ajuste fiscal</t>
  </si>
  <si>
    <t>(1-t)</t>
  </si>
  <si>
    <t>Total de capitalizacion</t>
  </si>
  <si>
    <t>Estructura</t>
  </si>
  <si>
    <t>D</t>
  </si>
  <si>
    <t>D/E+D</t>
  </si>
  <si>
    <t>E</t>
  </si>
  <si>
    <t>E/(E+D)</t>
  </si>
  <si>
    <t>E+D</t>
  </si>
  <si>
    <t>Proporcion de la deuda en la capitalizacion</t>
  </si>
  <si>
    <t>Costo de la deuda</t>
  </si>
  <si>
    <t>Proporcion del capital en la capitalizacion</t>
  </si>
  <si>
    <r>
      <t>R</t>
    </r>
    <r>
      <rPr>
        <vertAlign val="subscript"/>
        <sz val="11"/>
        <color theme="1"/>
        <rFont val="Calibri"/>
        <family val="2"/>
        <scheme val="minor"/>
      </rPr>
      <t>S</t>
    </r>
  </si>
  <si>
    <t>anual</t>
  </si>
  <si>
    <r>
      <t>R</t>
    </r>
    <r>
      <rPr>
        <vertAlign val="subscript"/>
        <sz val="11"/>
        <color theme="1"/>
        <rFont val="Calibri"/>
        <family val="2"/>
        <scheme val="minor"/>
      </rPr>
      <t>f</t>
    </r>
  </si>
  <si>
    <r>
      <t>R</t>
    </r>
    <r>
      <rPr>
        <vertAlign val="subscript"/>
        <sz val="11"/>
        <color theme="1"/>
        <rFont val="Calibri"/>
        <family val="2"/>
        <scheme val="minor"/>
      </rPr>
      <t>m</t>
    </r>
  </si>
  <si>
    <t>Beta</t>
  </si>
  <si>
    <t>Ke</t>
  </si>
  <si>
    <t>Calculo del flujo de efectivo descontado</t>
  </si>
  <si>
    <t>Tasa</t>
  </si>
  <si>
    <t>Factor de descuento</t>
  </si>
  <si>
    <t>Flujo descontado</t>
  </si>
  <si>
    <t>VP del flujo</t>
  </si>
  <si>
    <r>
      <t>VR</t>
    </r>
    <r>
      <rPr>
        <b/>
        <vertAlign val="subscript"/>
        <sz val="11"/>
        <color theme="1"/>
        <rFont val="Calibri"/>
        <family val="2"/>
        <scheme val="minor"/>
      </rPr>
      <t>5</t>
    </r>
    <r>
      <rPr>
        <b/>
        <sz val="11"/>
        <color theme="1"/>
        <rFont val="Calibri"/>
        <family val="2"/>
        <scheme val="minor"/>
      </rPr>
      <t>: Valor residual del año 5</t>
    </r>
  </si>
  <si>
    <t>VR</t>
  </si>
  <si>
    <t>1/(1+r)^5</t>
  </si>
  <si>
    <t>Suma de los flujos a valor presente</t>
  </si>
  <si>
    <t>Valor residual</t>
  </si>
  <si>
    <t>Ve</t>
  </si>
  <si>
    <t>Valor del negocio (Entreprice value)</t>
  </si>
  <si>
    <t>Para llegar al valor de las acciones estamos</t>
  </si>
  <si>
    <t>Le deducimos el valor de la deuda neta</t>
  </si>
  <si>
    <t>Valor de las Acciones (Equity Value)</t>
  </si>
  <si>
    <t>Número de acciones</t>
  </si>
  <si>
    <t>Precio de la accion estimado</t>
  </si>
  <si>
    <t>Promedio</t>
  </si>
  <si>
    <t>Depreciacion y Amortizacion</t>
  </si>
  <si>
    <t>Activo Año anterior</t>
  </si>
  <si>
    <t>Capital contable(miles de pesos)</t>
  </si>
  <si>
    <t>Precio acción 2023</t>
  </si>
  <si>
    <t>(En miles de pesos nominales)</t>
  </si>
  <si>
    <t>R_IPC</t>
  </si>
  <si>
    <t>R_Nemak</t>
  </si>
  <si>
    <t>P_Nemak</t>
  </si>
  <si>
    <t>P_IPC</t>
  </si>
  <si>
    <t>Variable X 1</t>
  </si>
  <si>
    <t>cov</t>
  </si>
  <si>
    <t>Var</t>
  </si>
  <si>
    <t>Se decidio usar la de Yahoo. 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</si>
</sst>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8" formatCode="&quot;$&quot;#,##0.00;[Red]\-&quot;$&quot;#,##0.00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0.0%"/>
    <numFmt numFmtId="166" formatCode="0.0"/>
    <numFmt numFmtId="167" formatCode="0.0_ ;[Red]\-0.0\ "/>
    <numFmt numFmtId="168" formatCode="#,##0.0_ ;\-#,##0.0\ "/>
    <numFmt numFmtId="169" formatCode="0.00000"/>
    <numFmt numFmtId="170" formatCode="0.00000%"/>
    <numFmt numFmtId="171" formatCode="0.0000%"/>
    <numFmt numFmtId="172" formatCode="&quot;$&quot;#,##0"/>
    <numFmt numFmtId="173" formatCode="0.000%"/>
    <numFmt numFmtId="174" formatCode="#,##0.00_ ;\-#,##0.00\ "/>
    <numFmt numFmtId="175" formatCode="#,##0.00000"/>
    <numFmt numFmtId="176" formatCode="_-&quot;$&quot;* #,##0.0_-;\-&quot;$&quot;* #,##0.0_-;_-&quot;$&quot;* &quot;-&quot;??_-;_-@_-"/>
    <numFmt numFmtId="177" formatCode="0.000000000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05B82"/>
      <name val="Arial"/>
      <family val="2"/>
    </font>
    <font>
      <b/>
      <sz val="9"/>
      <color rgb="FF005B82"/>
      <name val="Arial"/>
      <family val="2"/>
    </font>
    <font>
      <b/>
      <sz val="11"/>
      <color rgb="FF005B82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theme="1" tint="4.9989318521683403E-2"/>
      <name val="Calibri"/>
      <family val="2"/>
      <scheme val="minor"/>
    </font>
    <font>
      <sz val="9"/>
      <color rgb="FF005B82"/>
      <name val="Arial"/>
      <family val="2"/>
    </font>
    <font>
      <i/>
      <sz val="11"/>
      <color theme="4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color theme="4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b/>
      <sz val="9"/>
      <color theme="5"/>
      <name val="Arial"/>
      <family val="2"/>
    </font>
    <font>
      <sz val="9"/>
      <color theme="5"/>
      <name val="Arial"/>
      <family val="2"/>
    </font>
    <font>
      <sz val="11"/>
      <color theme="5"/>
      <name val="Calibri"/>
      <family val="2"/>
      <scheme val="minor"/>
    </font>
    <font>
      <sz val="11"/>
      <color theme="9"/>
      <name val="Calibri"/>
      <family val="2"/>
      <scheme val="minor"/>
    </font>
    <font>
      <b/>
      <sz val="11"/>
      <color theme="9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20"/>
      <color theme="5"/>
      <name val="Calibri"/>
      <family val="2"/>
      <scheme val="minor"/>
    </font>
    <font>
      <b/>
      <sz val="16"/>
      <color theme="5"/>
      <name val="Calibri"/>
      <family val="2"/>
      <scheme val="minor"/>
    </font>
    <font>
      <b/>
      <sz val="12"/>
      <color theme="5"/>
      <name val="Arial"/>
      <family val="2"/>
    </font>
    <font>
      <b/>
      <sz val="24"/>
      <color theme="5"/>
      <name val="Calibri"/>
      <family val="2"/>
      <scheme val="minor"/>
    </font>
    <font>
      <b/>
      <sz val="24"/>
      <color theme="5"/>
      <name val="Verdana"/>
      <family val="2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21"/>
        <bgColor indexed="64"/>
      </patternFill>
    </fill>
  </fills>
  <borders count="30">
    <border>
      <left/>
      <right/>
      <top/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 style="thin">
        <color theme="6"/>
      </left>
      <right style="thin">
        <color indexed="64"/>
      </right>
      <top style="thin">
        <color theme="6"/>
      </top>
      <bottom style="thin">
        <color theme="6"/>
      </bottom>
      <diagonal/>
    </border>
    <border>
      <left style="thin">
        <color indexed="64"/>
      </left>
      <right style="thin">
        <color theme="6"/>
      </right>
      <top style="thin">
        <color theme="6"/>
      </top>
      <bottom style="thin">
        <color theme="6"/>
      </bottom>
      <diagonal/>
    </border>
    <border>
      <left style="thin">
        <color indexed="64"/>
      </left>
      <right style="thin">
        <color theme="6"/>
      </right>
      <top style="thin">
        <color theme="6"/>
      </top>
      <bottom style="thin">
        <color indexed="64"/>
      </bottom>
      <diagonal/>
    </border>
    <border>
      <left style="thin">
        <color indexed="64"/>
      </left>
      <right style="thin">
        <color theme="6"/>
      </right>
      <top style="thin">
        <color indexed="64"/>
      </top>
      <bottom style="thin">
        <color theme="6"/>
      </bottom>
      <diagonal/>
    </border>
    <border>
      <left/>
      <right style="thin">
        <color theme="6"/>
      </right>
      <top style="thin">
        <color theme="6"/>
      </top>
      <bottom style="thin">
        <color indexed="64"/>
      </bottom>
      <diagonal/>
    </border>
    <border>
      <left/>
      <right style="thin">
        <color theme="6"/>
      </right>
      <top style="thin">
        <color indexed="64"/>
      </top>
      <bottom style="thin">
        <color theme="6"/>
      </bottom>
      <diagonal/>
    </border>
    <border>
      <left style="thin">
        <color theme="6"/>
      </left>
      <right style="thin">
        <color indexed="64"/>
      </right>
      <top style="thin">
        <color theme="6"/>
      </top>
      <bottom style="thin">
        <color indexed="64"/>
      </bottom>
      <diagonal/>
    </border>
    <border>
      <left style="thin">
        <color theme="6"/>
      </left>
      <right style="thin">
        <color indexed="64"/>
      </right>
      <top style="thin">
        <color indexed="64"/>
      </top>
      <bottom style="thin">
        <color theme="6"/>
      </bottom>
      <diagonal/>
    </border>
    <border>
      <left/>
      <right style="thin">
        <color indexed="64"/>
      </right>
      <top/>
      <bottom style="thin">
        <color theme="6"/>
      </bottom>
      <diagonal/>
    </border>
    <border>
      <left style="thin">
        <color indexed="64"/>
      </left>
      <right/>
      <top/>
      <bottom style="thin">
        <color theme="6"/>
      </bottom>
      <diagonal/>
    </border>
    <border>
      <left style="thin">
        <color theme="6"/>
      </left>
      <right/>
      <top style="thin">
        <color theme="6"/>
      </top>
      <bottom/>
      <diagonal/>
    </border>
    <border>
      <left style="thin">
        <color theme="6"/>
      </left>
      <right/>
      <top style="thin">
        <color theme="6"/>
      </top>
      <bottom style="thin">
        <color theme="6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28">
    <xf numFmtId="0" fontId="0" fillId="0" borderId="0" xfId="0"/>
    <xf numFmtId="0" fontId="3" fillId="0" borderId="0" xfId="0" applyFont="1" applyAlignment="1">
      <alignment vertical="center"/>
    </xf>
    <xf numFmtId="3" fontId="0" fillId="0" borderId="0" xfId="0" applyNumberFormat="1"/>
    <xf numFmtId="0" fontId="2" fillId="2" borderId="0" xfId="0" applyFont="1" applyFill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left" vertical="center" wrapText="1" indent="2"/>
    </xf>
    <xf numFmtId="164" fontId="0" fillId="0" borderId="0" xfId="0" applyNumberFormat="1"/>
    <xf numFmtId="0" fontId="0" fillId="0" borderId="0" xfId="0"/>
    <xf numFmtId="44" fontId="0" fillId="0" borderId="0" xfId="1" applyFont="1"/>
    <xf numFmtId="0" fontId="0" fillId="3" borderId="0" xfId="0" applyFill="1"/>
    <xf numFmtId="0" fontId="4" fillId="0" borderId="2" xfId="0" applyFont="1" applyBorder="1" applyAlignment="1">
      <alignment horizontal="center" vertical="center" wrapText="1"/>
    </xf>
    <xf numFmtId="0" fontId="3" fillId="3" borderId="2" xfId="0" applyFont="1" applyFill="1" applyBorder="1" applyAlignment="1">
      <alignment vertical="center"/>
    </xf>
    <xf numFmtId="0" fontId="0" fillId="3" borderId="2" xfId="0" applyFill="1" applyBorder="1"/>
    <xf numFmtId="0" fontId="0" fillId="0" borderId="2" xfId="0" applyBorder="1"/>
    <xf numFmtId="44" fontId="0" fillId="0" borderId="2" xfId="1" applyFont="1" applyBorder="1"/>
    <xf numFmtId="44" fontId="0" fillId="3" borderId="2" xfId="1" applyFont="1" applyFill="1" applyBorder="1"/>
    <xf numFmtId="44" fontId="0" fillId="0" borderId="3" xfId="1" applyFont="1" applyFill="1" applyBorder="1"/>
    <xf numFmtId="44" fontId="0" fillId="0" borderId="4" xfId="1" applyFont="1" applyBorder="1"/>
    <xf numFmtId="0" fontId="0" fillId="3" borderId="4" xfId="0" applyFill="1" applyBorder="1"/>
    <xf numFmtId="44" fontId="0" fillId="3" borderId="4" xfId="1" applyFont="1" applyFill="1" applyBorder="1"/>
    <xf numFmtId="44" fontId="0" fillId="0" borderId="5" xfId="1" applyFont="1" applyBorder="1"/>
    <xf numFmtId="44" fontId="0" fillId="0" borderId="0" xfId="1" applyFont="1" applyBorder="1"/>
    <xf numFmtId="44" fontId="0" fillId="0" borderId="2" xfId="1" quotePrefix="1" applyFont="1" applyBorder="1"/>
    <xf numFmtId="0" fontId="0" fillId="0" borderId="3" xfId="0" applyFill="1" applyBorder="1"/>
    <xf numFmtId="44" fontId="0" fillId="0" borderId="6" xfId="1" applyFont="1" applyFill="1" applyBorder="1"/>
    <xf numFmtId="164" fontId="0" fillId="3" borderId="0" xfId="0" applyNumberFormat="1" applyFill="1"/>
    <xf numFmtId="44" fontId="0" fillId="0" borderId="0" xfId="0" applyNumberFormat="1"/>
    <xf numFmtId="44" fontId="0" fillId="0" borderId="2" xfId="1" applyFont="1" applyFill="1" applyBorder="1"/>
    <xf numFmtId="0" fontId="3" fillId="0" borderId="0" xfId="0" applyFont="1" applyAlignment="1">
      <alignment horizontal="left" vertical="center"/>
    </xf>
    <xf numFmtId="0" fontId="2" fillId="2" borderId="0" xfId="0" applyNumberFormat="1" applyFont="1" applyFill="1" applyAlignment="1">
      <alignment horizontal="center"/>
    </xf>
    <xf numFmtId="0" fontId="0" fillId="0" borderId="0" xfId="0" applyBorder="1"/>
    <xf numFmtId="0" fontId="0" fillId="0" borderId="0" xfId="0" applyFont="1"/>
    <xf numFmtId="0" fontId="0" fillId="0" borderId="0" xfId="0" applyFont="1" applyBorder="1"/>
    <xf numFmtId="44" fontId="0" fillId="0" borderId="0" xfId="0" applyNumberFormat="1" applyFont="1"/>
    <xf numFmtId="0" fontId="5" fillId="4" borderId="2" xfId="0" applyFont="1" applyFill="1" applyBorder="1" applyAlignment="1">
      <alignment horizontal="left" vertical="center" wrapText="1" indent="2"/>
    </xf>
    <xf numFmtId="0" fontId="5" fillId="4" borderId="2" xfId="0" applyFont="1" applyFill="1" applyBorder="1" applyAlignment="1">
      <alignment horizontal="center" vertical="center" wrapText="1"/>
    </xf>
    <xf numFmtId="0" fontId="0" fillId="0" borderId="2" xfId="0" applyFont="1" applyBorder="1"/>
    <xf numFmtId="0" fontId="6" fillId="0" borderId="2" xfId="0" applyFont="1" applyBorder="1"/>
    <xf numFmtId="0" fontId="7" fillId="0" borderId="2" xfId="0" applyFont="1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Fill="1" applyBorder="1" applyAlignment="1"/>
    <xf numFmtId="0" fontId="0" fillId="0" borderId="7" xfId="0" applyFill="1" applyBorder="1" applyAlignment="1"/>
    <xf numFmtId="0" fontId="8" fillId="0" borderId="1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centerContinuous"/>
    </xf>
    <xf numFmtId="44" fontId="0" fillId="0" borderId="2" xfId="0" applyNumberFormat="1" applyBorder="1"/>
    <xf numFmtId="0" fontId="0" fillId="3" borderId="2" xfId="0" applyFill="1" applyBorder="1" applyAlignment="1">
      <alignment horizontal="center"/>
    </xf>
    <xf numFmtId="9" fontId="0" fillId="0" borderId="0" xfId="2" applyFont="1"/>
    <xf numFmtId="0" fontId="4" fillId="0" borderId="1" xfId="0" applyFont="1" applyBorder="1" applyAlignment="1">
      <alignment horizontal="left" vertical="center" wrapText="1" indent="2"/>
    </xf>
    <xf numFmtId="0" fontId="4" fillId="0" borderId="0" xfId="0" applyFont="1" applyAlignment="1">
      <alignment horizontal="left" vertical="center" wrapText="1" indent="2"/>
    </xf>
    <xf numFmtId="2" fontId="0" fillId="0" borderId="0" xfId="0" applyNumberFormat="1"/>
    <xf numFmtId="165" fontId="0" fillId="0" borderId="0" xfId="2" applyNumberFormat="1" applyFont="1"/>
    <xf numFmtId="1" fontId="0" fillId="0" borderId="0" xfId="0" applyNumberFormat="1"/>
    <xf numFmtId="166" fontId="0" fillId="0" borderId="0" xfId="0" applyNumberFormat="1"/>
    <xf numFmtId="0" fontId="9" fillId="0" borderId="0" xfId="0" applyFont="1"/>
    <xf numFmtId="167" fontId="9" fillId="0" borderId="0" xfId="0" applyNumberFormat="1" applyFont="1"/>
    <xf numFmtId="168" fontId="0" fillId="0" borderId="0" xfId="1" applyNumberFormat="1" applyFont="1"/>
    <xf numFmtId="10" fontId="0" fillId="0" borderId="0" xfId="2" applyNumberFormat="1" applyFont="1"/>
    <xf numFmtId="0" fontId="0" fillId="0" borderId="8" xfId="0" applyBorder="1" applyAlignment="1">
      <alignment horizontal="center"/>
    </xf>
    <xf numFmtId="0" fontId="2" fillId="0" borderId="0" xfId="0" applyFont="1"/>
    <xf numFmtId="0" fontId="0" fillId="0" borderId="8" xfId="0" applyBorder="1"/>
    <xf numFmtId="0" fontId="0" fillId="2" borderId="8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0" fillId="7" borderId="0" xfId="0" applyFill="1"/>
    <xf numFmtId="0" fontId="0" fillId="2" borderId="0" xfId="0" applyFill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/>
    </xf>
    <xf numFmtId="9" fontId="0" fillId="0" borderId="0" xfId="0" applyNumberFormat="1"/>
    <xf numFmtId="0" fontId="0" fillId="2" borderId="0" xfId="0" applyFill="1"/>
    <xf numFmtId="0" fontId="0" fillId="8" borderId="0" xfId="0" applyFill="1"/>
    <xf numFmtId="4" fontId="0" fillId="0" borderId="0" xfId="0" applyNumberFormat="1"/>
    <xf numFmtId="0" fontId="10" fillId="0" borderId="3" xfId="0" applyFont="1" applyFill="1" applyBorder="1"/>
    <xf numFmtId="43" fontId="0" fillId="0" borderId="2" xfId="3" applyFont="1" applyBorder="1"/>
    <xf numFmtId="8" fontId="0" fillId="0" borderId="0" xfId="0" applyNumberFormat="1"/>
    <xf numFmtId="44" fontId="0" fillId="5" borderId="2" xfId="1" applyFont="1" applyFill="1" applyBorder="1" applyAlignment="1"/>
    <xf numFmtId="0" fontId="0" fillId="3" borderId="0" xfId="0" applyFill="1" applyBorder="1" applyAlignment="1">
      <alignment horizontal="center"/>
    </xf>
    <xf numFmtId="0" fontId="0" fillId="0" borderId="0" xfId="0" applyAlignment="1"/>
    <xf numFmtId="44" fontId="0" fillId="9" borderId="0" xfId="0" applyNumberFormat="1" applyFill="1"/>
    <xf numFmtId="169" fontId="0" fillId="0" borderId="4" xfId="1" applyNumberFormat="1" applyFont="1" applyBorder="1"/>
    <xf numFmtId="0" fontId="0" fillId="0" borderId="0" xfId="0" applyNumberFormat="1"/>
    <xf numFmtId="170" fontId="0" fillId="0" borderId="2" xfId="0" applyNumberFormat="1" applyBorder="1"/>
    <xf numFmtId="9" fontId="0" fillId="0" borderId="2" xfId="2" applyFont="1" applyBorder="1"/>
    <xf numFmtId="44" fontId="0" fillId="0" borderId="3" xfId="1" applyFont="1" applyBorder="1"/>
    <xf numFmtId="44" fontId="0" fillId="0" borderId="6" xfId="1" applyFont="1" applyBorder="1"/>
    <xf numFmtId="3" fontId="2" fillId="0" borderId="0" xfId="0" applyNumberFormat="1" applyFont="1"/>
    <xf numFmtId="0" fontId="12" fillId="0" borderId="0" xfId="0" applyFont="1"/>
    <xf numFmtId="0" fontId="13" fillId="0" borderId="0" xfId="0" applyFont="1"/>
    <xf numFmtId="0" fontId="0" fillId="0" borderId="10" xfId="0" applyBorder="1"/>
    <xf numFmtId="0" fontId="0" fillId="0" borderId="11" xfId="0" applyBorder="1"/>
    <xf numFmtId="0" fontId="0" fillId="0" borderId="11" xfId="0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14" fillId="0" borderId="11" xfId="0" applyFont="1" applyBorder="1"/>
    <xf numFmtId="0" fontId="0" fillId="2" borderId="4" xfId="0" applyFill="1" applyBorder="1" applyAlignment="1">
      <alignment horizontal="center"/>
    </xf>
    <xf numFmtId="0" fontId="2" fillId="10" borderId="9" xfId="0" applyFont="1" applyFill="1" applyBorder="1" applyAlignment="1">
      <alignment horizontal="center" wrapText="1"/>
    </xf>
    <xf numFmtId="0" fontId="0" fillId="0" borderId="12" xfId="0" applyBorder="1"/>
    <xf numFmtId="0" fontId="0" fillId="0" borderId="6" xfId="0" applyBorder="1" applyAlignment="1">
      <alignment horizontal="center"/>
    </xf>
    <xf numFmtId="0" fontId="0" fillId="0" borderId="6" xfId="0" applyBorder="1"/>
    <xf numFmtId="0" fontId="0" fillId="2" borderId="13" xfId="0" applyFill="1" applyBorder="1" applyAlignment="1">
      <alignment horizontal="center"/>
    </xf>
    <xf numFmtId="1" fontId="14" fillId="0" borderId="0" xfId="0" applyNumberFormat="1" applyFont="1"/>
    <xf numFmtId="166" fontId="0" fillId="0" borderId="6" xfId="0" applyNumberFormat="1" applyBorder="1"/>
    <xf numFmtId="0" fontId="0" fillId="0" borderId="13" xfId="0" applyBorder="1" applyAlignment="1">
      <alignment horizontal="center"/>
    </xf>
    <xf numFmtId="3" fontId="0" fillId="2" borderId="8" xfId="0" applyNumberFormat="1" applyFill="1" applyBorder="1" applyAlignment="1">
      <alignment horizontal="center"/>
    </xf>
    <xf numFmtId="3" fontId="2" fillId="10" borderId="8" xfId="0" applyNumberFormat="1" applyFont="1" applyFill="1" applyBorder="1" applyAlignment="1">
      <alignment horizontal="center" wrapText="1"/>
    </xf>
    <xf numFmtId="172" fontId="0" fillId="0" borderId="0" xfId="0" applyNumberFormat="1"/>
    <xf numFmtId="0" fontId="0" fillId="0" borderId="14" xfId="0" applyBorder="1"/>
    <xf numFmtId="0" fontId="0" fillId="0" borderId="13" xfId="0" applyBorder="1"/>
    <xf numFmtId="0" fontId="2" fillId="2" borderId="0" xfId="0" applyFont="1" applyFill="1"/>
    <xf numFmtId="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quotePrefix="1" applyFont="1" applyAlignment="1">
      <alignment horizontal="right"/>
    </xf>
    <xf numFmtId="10" fontId="0" fillId="0" borderId="0" xfId="0" applyNumberFormat="1" applyAlignment="1">
      <alignment horizontal="center"/>
    </xf>
    <xf numFmtId="0" fontId="2" fillId="0" borderId="6" xfId="0" applyFont="1" applyBorder="1"/>
    <xf numFmtId="173" fontId="0" fillId="0" borderId="0" xfId="2" applyNumberFormat="1" applyFont="1"/>
    <xf numFmtId="0" fontId="0" fillId="0" borderId="0" xfId="0" applyAlignment="1">
      <alignment horizontal="right"/>
    </xf>
    <xf numFmtId="3" fontId="0" fillId="0" borderId="0" xfId="0" applyNumberFormat="1" applyAlignment="1">
      <alignment horizontal="center"/>
    </xf>
    <xf numFmtId="10" fontId="0" fillId="0" borderId="0" xfId="2" applyNumberFormat="1" applyFont="1" applyAlignment="1">
      <alignment horizontal="center"/>
    </xf>
    <xf numFmtId="10" fontId="0" fillId="0" borderId="0" xfId="0" applyNumberFormat="1"/>
    <xf numFmtId="4" fontId="0" fillId="0" borderId="8" xfId="0" applyNumberFormat="1" applyBorder="1" applyAlignment="1">
      <alignment horizontal="center"/>
    </xf>
    <xf numFmtId="10" fontId="0" fillId="0" borderId="8" xfId="0" applyNumberFormat="1" applyBorder="1" applyAlignment="1">
      <alignment horizontal="center"/>
    </xf>
    <xf numFmtId="43" fontId="0" fillId="0" borderId="8" xfId="3" applyFont="1" applyBorder="1"/>
    <xf numFmtId="43" fontId="0" fillId="0" borderId="0" xfId="3" applyFont="1"/>
    <xf numFmtId="4" fontId="2" fillId="0" borderId="0" xfId="0" applyNumberFormat="1" applyFont="1" applyAlignment="1">
      <alignment horizontal="left"/>
    </xf>
    <xf numFmtId="174" fontId="0" fillId="0" borderId="8" xfId="0" applyNumberFormat="1" applyBorder="1" applyAlignment="1">
      <alignment horizontal="center"/>
    </xf>
    <xf numFmtId="175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3" fontId="0" fillId="0" borderId="2" xfId="0" applyNumberFormat="1" applyBorder="1"/>
    <xf numFmtId="0" fontId="12" fillId="0" borderId="0" xfId="0" applyFont="1" applyAlignment="1"/>
    <xf numFmtId="0" fontId="19" fillId="0" borderId="1" xfId="0" applyFont="1" applyBorder="1" applyAlignment="1">
      <alignment horizontal="left" vertical="center" wrapText="1" indent="2"/>
    </xf>
    <xf numFmtId="0" fontId="19" fillId="0" borderId="2" xfId="0" applyFont="1" applyBorder="1" applyAlignment="1">
      <alignment horizontal="left" vertical="center" wrapText="1" indent="2"/>
    </xf>
    <xf numFmtId="0" fontId="20" fillId="0" borderId="2" xfId="0" applyFont="1" applyBorder="1" applyAlignment="1">
      <alignment horizontal="left" vertical="center" wrapText="1" indent="1"/>
    </xf>
    <xf numFmtId="176" fontId="20" fillId="0" borderId="2" xfId="1" applyNumberFormat="1" applyFont="1" applyBorder="1" applyAlignment="1">
      <alignment horizontal="right" vertical="center" wrapText="1"/>
    </xf>
    <xf numFmtId="0" fontId="19" fillId="0" borderId="2" xfId="0" applyFont="1" applyBorder="1" applyAlignment="1">
      <alignment horizontal="left" vertical="center" wrapText="1" indent="1"/>
    </xf>
    <xf numFmtId="176" fontId="21" fillId="0" borderId="2" xfId="1" applyNumberFormat="1" applyFont="1" applyBorder="1"/>
    <xf numFmtId="44" fontId="21" fillId="0" borderId="2" xfId="1" applyFont="1" applyBorder="1"/>
    <xf numFmtId="176" fontId="19" fillId="0" borderId="2" xfId="1" applyNumberFormat="1" applyFont="1" applyBorder="1" applyAlignment="1">
      <alignment horizontal="right" vertical="center" wrapText="1"/>
    </xf>
    <xf numFmtId="0" fontId="2" fillId="0" borderId="2" xfId="0" applyFont="1" applyBorder="1"/>
    <xf numFmtId="0" fontId="22" fillId="0" borderId="2" xfId="0" applyFont="1" applyBorder="1"/>
    <xf numFmtId="3" fontId="22" fillId="0" borderId="2" xfId="0" applyNumberFormat="1" applyFont="1" applyBorder="1"/>
    <xf numFmtId="9" fontId="22" fillId="0" borderId="2" xfId="0" applyNumberFormat="1" applyFont="1" applyBorder="1"/>
    <xf numFmtId="0" fontId="23" fillId="0" borderId="2" xfId="0" applyFont="1" applyBorder="1"/>
    <xf numFmtId="3" fontId="23" fillId="0" borderId="2" xfId="0" applyNumberFormat="1" applyFont="1" applyBorder="1"/>
    <xf numFmtId="0" fontId="24" fillId="0" borderId="0" xfId="0" applyFont="1"/>
    <xf numFmtId="0" fontId="21" fillId="0" borderId="0" xfId="0" applyFont="1"/>
    <xf numFmtId="44" fontId="21" fillId="0" borderId="2" xfId="1" applyFont="1" applyFill="1" applyBorder="1"/>
    <xf numFmtId="3" fontId="21" fillId="0" borderId="2" xfId="0" applyNumberFormat="1" applyFont="1" applyBorder="1"/>
    <xf numFmtId="0" fontId="24" fillId="0" borderId="2" xfId="0" applyFont="1" applyBorder="1"/>
    <xf numFmtId="0" fontId="21" fillId="0" borderId="2" xfId="0" applyFont="1" applyBorder="1"/>
    <xf numFmtId="165" fontId="21" fillId="0" borderId="2" xfId="2" applyNumberFormat="1" applyFont="1" applyBorder="1" applyAlignment="1">
      <alignment horizontal="center"/>
    </xf>
    <xf numFmtId="171" fontId="21" fillId="0" borderId="2" xfId="0" applyNumberFormat="1" applyFont="1" applyBorder="1"/>
    <xf numFmtId="0" fontId="21" fillId="2" borderId="2" xfId="0" applyFont="1" applyFill="1" applyBorder="1"/>
    <xf numFmtId="3" fontId="24" fillId="0" borderId="2" xfId="0" applyNumberFormat="1" applyFont="1" applyBorder="1"/>
    <xf numFmtId="0" fontId="14" fillId="0" borderId="15" xfId="0" applyFont="1" applyBorder="1"/>
    <xf numFmtId="0" fontId="2" fillId="2" borderId="2" xfId="0" applyFont="1" applyFill="1" applyBorder="1"/>
    <xf numFmtId="3" fontId="2" fillId="2" borderId="2" xfId="0" applyNumberFormat="1" applyFont="1" applyFill="1" applyBorder="1"/>
    <xf numFmtId="4" fontId="0" fillId="0" borderId="2" xfId="0" applyNumberFormat="1" applyBorder="1"/>
    <xf numFmtId="0" fontId="2" fillId="12" borderId="17" xfId="0" applyFont="1" applyFill="1" applyBorder="1" applyAlignment="1"/>
    <xf numFmtId="0" fontId="2" fillId="12" borderId="18" xfId="0" applyFont="1" applyFill="1" applyBorder="1" applyAlignment="1"/>
    <xf numFmtId="0" fontId="2" fillId="12" borderId="19" xfId="0" applyFont="1" applyFill="1" applyBorder="1" applyAlignment="1"/>
    <xf numFmtId="0" fontId="2" fillId="12" borderId="20" xfId="0" applyFont="1" applyFill="1" applyBorder="1" applyAlignment="1"/>
    <xf numFmtId="0" fontId="2" fillId="12" borderId="21" xfId="0" applyFont="1" applyFill="1" applyBorder="1" applyAlignment="1"/>
    <xf numFmtId="0" fontId="2" fillId="12" borderId="22" xfId="0" applyFont="1" applyFill="1" applyBorder="1" applyAlignment="1"/>
    <xf numFmtId="0" fontId="2" fillId="12" borderId="23" xfId="0" applyFont="1" applyFill="1" applyBorder="1" applyAlignment="1"/>
    <xf numFmtId="0" fontId="2" fillId="12" borderId="24" xfId="0" applyFont="1" applyFill="1" applyBorder="1" applyAlignment="1"/>
    <xf numFmtId="0" fontId="2" fillId="12" borderId="25" xfId="0" applyFont="1" applyFill="1" applyBorder="1" applyAlignment="1"/>
    <xf numFmtId="0" fontId="2" fillId="12" borderId="26" xfId="0" applyFont="1" applyFill="1" applyBorder="1" applyAlignment="1"/>
    <xf numFmtId="0" fontId="2" fillId="12" borderId="27" xfId="0" applyFont="1" applyFill="1" applyBorder="1" applyAlignment="1"/>
    <xf numFmtId="0" fontId="2" fillId="12" borderId="28" xfId="0" applyFont="1" applyFill="1" applyBorder="1" applyAlignment="1"/>
    <xf numFmtId="0" fontId="2" fillId="12" borderId="16" xfId="0" applyFont="1" applyFill="1" applyBorder="1" applyAlignment="1"/>
    <xf numFmtId="0" fontId="25" fillId="0" borderId="0" xfId="0" applyFont="1"/>
    <xf numFmtId="0" fontId="2" fillId="0" borderId="16" xfId="0" applyFont="1" applyBorder="1"/>
    <xf numFmtId="0" fontId="0" fillId="0" borderId="16" xfId="0" applyBorder="1"/>
    <xf numFmtId="3" fontId="0" fillId="0" borderId="16" xfId="0" applyNumberFormat="1" applyBorder="1"/>
    <xf numFmtId="0" fontId="2" fillId="2" borderId="16" xfId="0" applyFont="1" applyFill="1" applyBorder="1"/>
    <xf numFmtId="0" fontId="0" fillId="2" borderId="16" xfId="0" applyFill="1" applyBorder="1"/>
    <xf numFmtId="3" fontId="2" fillId="2" borderId="16" xfId="0" applyNumberFormat="1" applyFont="1" applyFill="1" applyBorder="1"/>
    <xf numFmtId="0" fontId="19" fillId="0" borderId="16" xfId="0" applyFont="1" applyBorder="1" applyAlignment="1">
      <alignment horizontal="left" vertical="center" wrapText="1" indent="2"/>
    </xf>
    <xf numFmtId="0" fontId="11" fillId="12" borderId="0" xfId="0" applyFont="1" applyFill="1" applyAlignment="1">
      <alignment vertical="center"/>
    </xf>
    <xf numFmtId="0" fontId="0" fillId="0" borderId="0" xfId="0" applyBorder="1" applyAlignment="1"/>
    <xf numFmtId="0" fontId="26" fillId="0" borderId="29" xfId="0" applyFont="1" applyBorder="1"/>
    <xf numFmtId="0" fontId="0" fillId="0" borderId="29" xfId="0" applyBorder="1"/>
    <xf numFmtId="0" fontId="0" fillId="0" borderId="29" xfId="0" applyBorder="1" applyAlignment="1">
      <alignment horizontal="center"/>
    </xf>
    <xf numFmtId="0" fontId="24" fillId="0" borderId="29" xfId="0" applyFont="1" applyBorder="1"/>
    <xf numFmtId="3" fontId="0" fillId="0" borderId="29" xfId="0" applyNumberFormat="1" applyBorder="1"/>
    <xf numFmtId="0" fontId="2" fillId="0" borderId="29" xfId="0" applyFont="1" applyBorder="1"/>
    <xf numFmtId="0" fontId="19" fillId="0" borderId="29" xfId="0" applyFont="1" applyBorder="1" applyAlignment="1">
      <alignment horizontal="left" vertical="center" wrapText="1" indent="2"/>
    </xf>
    <xf numFmtId="44" fontId="0" fillId="0" borderId="29" xfId="1" applyFont="1" applyFill="1" applyBorder="1"/>
    <xf numFmtId="0" fontId="11" fillId="12" borderId="29" xfId="0" applyFont="1" applyFill="1" applyBorder="1" applyAlignment="1">
      <alignment horizontal="left" vertical="center" wrapText="1" indent="2"/>
    </xf>
    <xf numFmtId="0" fontId="15" fillId="0" borderId="29" xfId="0" applyFont="1" applyBorder="1"/>
    <xf numFmtId="0" fontId="13" fillId="0" borderId="29" xfId="0" applyFont="1" applyBorder="1"/>
    <xf numFmtId="0" fontId="21" fillId="0" borderId="29" xfId="0" applyFont="1" applyBorder="1"/>
    <xf numFmtId="0" fontId="16" fillId="0" borderId="29" xfId="0" applyFont="1" applyBorder="1"/>
    <xf numFmtId="165" fontId="21" fillId="0" borderId="29" xfId="2" applyNumberFormat="1" applyFont="1" applyBorder="1"/>
    <xf numFmtId="9" fontId="0" fillId="0" borderId="29" xfId="0" applyNumberFormat="1" applyBorder="1"/>
    <xf numFmtId="10" fontId="0" fillId="0" borderId="29" xfId="0" applyNumberFormat="1" applyBorder="1" applyAlignment="1">
      <alignment horizontal="center"/>
    </xf>
    <xf numFmtId="0" fontId="0" fillId="13" borderId="0" xfId="0" applyFill="1" applyAlignment="1"/>
    <xf numFmtId="0" fontId="0" fillId="13" borderId="0" xfId="0" applyFill="1"/>
    <xf numFmtId="10" fontId="25" fillId="0" borderId="0" xfId="2" applyNumberFormat="1" applyFont="1"/>
    <xf numFmtId="0" fontId="2" fillId="2" borderId="29" xfId="0" applyFont="1" applyFill="1" applyBorder="1"/>
    <xf numFmtId="10" fontId="0" fillId="0" borderId="29" xfId="0" applyNumberFormat="1" applyBorder="1"/>
    <xf numFmtId="3" fontId="0" fillId="8" borderId="29" xfId="0" applyNumberFormat="1" applyFill="1" applyBorder="1"/>
    <xf numFmtId="0" fontId="27" fillId="0" borderId="29" xfId="0" applyFont="1" applyBorder="1" applyAlignment="1">
      <alignment horizontal="center" vertical="center" wrapText="1"/>
    </xf>
    <xf numFmtId="0" fontId="0" fillId="0" borderId="29" xfId="0" applyBorder="1" applyAlignment="1">
      <alignment horizontal="center" wrapText="1"/>
    </xf>
    <xf numFmtId="0" fontId="0" fillId="0" borderId="29" xfId="0" applyBorder="1" applyAlignment="1">
      <alignment horizontal="center" vertical="center"/>
    </xf>
    <xf numFmtId="0" fontId="0" fillId="0" borderId="29" xfId="0" applyBorder="1" applyAlignment="1">
      <alignment horizontal="center" vertical="center" wrapText="1"/>
    </xf>
    <xf numFmtId="174" fontId="0" fillId="0" borderId="29" xfId="0" applyNumberFormat="1" applyBorder="1"/>
    <xf numFmtId="174" fontId="0" fillId="6" borderId="29" xfId="0" applyNumberFormat="1" applyFill="1" applyBorder="1" applyAlignment="1">
      <alignment horizontal="center"/>
    </xf>
    <xf numFmtId="0" fontId="2" fillId="0" borderId="29" xfId="0" applyFont="1" applyBorder="1" applyAlignment="1">
      <alignment horizontal="left" vertical="center" wrapText="1"/>
    </xf>
    <xf numFmtId="174" fontId="0" fillId="0" borderId="29" xfId="0" applyNumberFormat="1" applyBorder="1" applyAlignment="1">
      <alignment vertical="center"/>
    </xf>
    <xf numFmtId="4" fontId="0" fillId="0" borderId="29" xfId="0" applyNumberFormat="1" applyBorder="1" applyAlignment="1">
      <alignment vertical="center"/>
    </xf>
    <xf numFmtId="0" fontId="0" fillId="0" borderId="29" xfId="0" applyBorder="1" applyAlignment="1">
      <alignment vertical="center"/>
    </xf>
    <xf numFmtId="43" fontId="0" fillId="0" borderId="29" xfId="3" applyFont="1" applyBorder="1"/>
    <xf numFmtId="0" fontId="2" fillId="11" borderId="29" xfId="0" applyFont="1" applyFill="1" applyBorder="1" applyAlignment="1">
      <alignment horizontal="left" vertical="center" wrapText="1"/>
    </xf>
    <xf numFmtId="2" fontId="0" fillId="11" borderId="29" xfId="0" applyNumberFormat="1" applyFill="1" applyBorder="1" applyAlignment="1">
      <alignment vertical="center"/>
    </xf>
    <xf numFmtId="0" fontId="12" fillId="0" borderId="29" xfId="0" applyFont="1" applyBorder="1" applyAlignment="1">
      <alignment horizontal="left" vertical="center"/>
    </xf>
    <xf numFmtId="4" fontId="0" fillId="0" borderId="29" xfId="0" applyNumberFormat="1" applyBorder="1"/>
    <xf numFmtId="2" fontId="0" fillId="0" borderId="29" xfId="0" applyNumberFormat="1" applyBorder="1" applyAlignment="1">
      <alignment horizontal="center"/>
    </xf>
    <xf numFmtId="14" fontId="0" fillId="0" borderId="29" xfId="0" applyNumberFormat="1" applyBorder="1"/>
    <xf numFmtId="173" fontId="0" fillId="0" borderId="29" xfId="2" applyNumberFormat="1" applyFont="1" applyBorder="1"/>
    <xf numFmtId="14" fontId="0" fillId="0" borderId="0" xfId="0" applyNumberFormat="1" applyBorder="1" applyAlignment="1"/>
    <xf numFmtId="2" fontId="0" fillId="0" borderId="0" xfId="0" applyNumberFormat="1" applyBorder="1" applyAlignment="1"/>
    <xf numFmtId="14" fontId="0" fillId="0" borderId="29" xfId="0" applyNumberFormat="1" applyBorder="1" applyAlignment="1"/>
    <xf numFmtId="177" fontId="0" fillId="0" borderId="29" xfId="0" applyNumberFormat="1" applyBorder="1" applyAlignment="1"/>
    <xf numFmtId="177" fontId="0" fillId="14" borderId="29" xfId="0" applyNumberFormat="1" applyFill="1" applyBorder="1" applyAlignment="1"/>
    <xf numFmtId="0" fontId="0" fillId="14" borderId="7" xfId="0" applyFill="1" applyBorder="1" applyAlignment="1"/>
    <xf numFmtId="0" fontId="28" fillId="0" borderId="0" xfId="0" applyFont="1" applyAlignment="1">
      <alignment horizontal="left" vertical="center" readingOrder="1"/>
    </xf>
    <xf numFmtId="0" fontId="28" fillId="0" borderId="0" xfId="0" applyFont="1"/>
    <xf numFmtId="0" fontId="29" fillId="0" borderId="0" xfId="0" applyFont="1" applyAlignment="1">
      <alignment horizontal="left" vertical="center" readingOrder="1"/>
    </xf>
    <xf numFmtId="44" fontId="0" fillId="0" borderId="29" xfId="1" applyFont="1" applyBorder="1"/>
  </cellXfs>
  <cellStyles count="4">
    <cellStyle name="Millares" xfId="3" builtinId="3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Año Curva de regresión ajustada</a:t>
            </a:r>
          </a:p>
        </c:rich>
      </c:tx>
      <c:layout>
        <c:manualLayout>
          <c:xMode val="edge"/>
          <c:yMode val="edge"/>
          <c:x val="0.1301675377828109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9707484871099384"/>
          <c:y val="9.9062648996830011E-2"/>
          <c:w val="0.76750281866117231"/>
          <c:h val="0.74321444258962588"/>
        </c:manualLayout>
      </c:layout>
      <c:lineChart>
        <c:grouping val="standard"/>
        <c:varyColors val="0"/>
        <c:ser>
          <c:idx val="0"/>
          <c:order val="0"/>
          <c:tx>
            <c:v>Ventas</c:v>
          </c:tx>
          <c:marker>
            <c:symbol val="none"/>
          </c:marker>
          <c:trendline>
            <c:spPr>
              <a:ln w="22225">
                <a:solidFill>
                  <a:schemeClr val="accent6"/>
                </a:solidFill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20257393692930664"/>
                  <c:y val="-0.11561890779644117"/>
                </c:manualLayout>
              </c:layout>
              <c:numFmt formatCode="General" sourceLinked="0"/>
            </c:trendlineLbl>
          </c:trendline>
          <c:trendline>
            <c:trendlineType val="log"/>
            <c:dispRSqr val="0"/>
            <c:dispEq val="0"/>
          </c:trendline>
          <c:trendline>
            <c:trendlineType val="log"/>
            <c:dispRSqr val="0"/>
            <c:dispEq val="1"/>
            <c:trendlineLbl>
              <c:layout>
                <c:manualLayout>
                  <c:x val="-0.36892792350937148"/>
                  <c:y val="0.25031151154988979"/>
                </c:manualLayout>
              </c:layout>
              <c:numFmt formatCode="General" sourceLinked="0"/>
            </c:trendlineLbl>
          </c:trendline>
          <c:cat>
            <c:numRef>
              <c:f>Regresion!$B$2:$B$11</c:f>
              <c:numCache>
                <c:formatCode>General</c:formatCod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numCache>
            </c:numRef>
          </c:cat>
          <c:val>
            <c:numRef>
              <c:f>Regresion!$D$2:$D$11</c:f>
              <c:numCache>
                <c:formatCode>_("$"* #,##0.00_);_("$"* \(#,##0.00\);_("$"* "-"??_);_(@_)</c:formatCode>
                <c:ptCount val="10"/>
                <c:pt idx="0">
                  <c:v>61490</c:v>
                </c:pt>
                <c:pt idx="1">
                  <c:v>70891</c:v>
                </c:pt>
                <c:pt idx="2">
                  <c:v>79244</c:v>
                </c:pt>
                <c:pt idx="3">
                  <c:v>84779</c:v>
                </c:pt>
                <c:pt idx="4">
                  <c:v>90327</c:v>
                </c:pt>
                <c:pt idx="5">
                  <c:v>77363</c:v>
                </c:pt>
                <c:pt idx="6">
                  <c:v>66325</c:v>
                </c:pt>
                <c:pt idx="7">
                  <c:v>84779</c:v>
                </c:pt>
                <c:pt idx="8">
                  <c:v>90327</c:v>
                </c:pt>
                <c:pt idx="9">
                  <c:v>77363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B6-47A4-8A67-EDB097785F5E}"/>
            </c:ext>
          </c:extLst>
        </c:ser>
        <c:ser>
          <c:idx val="1"/>
          <c:order val="1"/>
          <c:tx>
            <c:v>Pronóstico Ventas</c:v>
          </c:tx>
          <c:marker>
            <c:symbol val="none"/>
          </c:marker>
          <c:cat>
            <c:numRef>
              <c:f>Regresion!$B$2:$B$11</c:f>
              <c:numCache>
                <c:formatCode>General</c:formatCod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numCache>
            </c:numRef>
          </c:cat>
          <c:val>
            <c:numRef>
              <c:f>Regresion!$B$49:$B$58</c:f>
              <c:numCache>
                <c:formatCode>General</c:formatCode>
                <c:ptCount val="10"/>
                <c:pt idx="0">
                  <c:v>71790.854545454495</c:v>
                </c:pt>
                <c:pt idx="1">
                  <c:v>73234.842424242292</c:v>
                </c:pt>
                <c:pt idx="2">
                  <c:v>74678.830303030089</c:v>
                </c:pt>
                <c:pt idx="3">
                  <c:v>76122.818181818351</c:v>
                </c:pt>
                <c:pt idx="4">
                  <c:v>77566.806060606148</c:v>
                </c:pt>
                <c:pt idx="5">
                  <c:v>79010.793939393945</c:v>
                </c:pt>
                <c:pt idx="6">
                  <c:v>80454.781818181742</c:v>
                </c:pt>
                <c:pt idx="7">
                  <c:v>81898.769696969539</c:v>
                </c:pt>
                <c:pt idx="8">
                  <c:v>83342.757575757336</c:v>
                </c:pt>
                <c:pt idx="9">
                  <c:v>84786.745454545598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B6-47A4-8A67-EDB097785F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6232335"/>
        <c:axId val="1286232751"/>
      </c:lineChart>
      <c:catAx>
        <c:axId val="12862323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Año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86232751"/>
        <c:crosses val="autoZero"/>
        <c:auto val="1"/>
        <c:lblAlgn val="ctr"/>
        <c:lblOffset val="100"/>
        <c:noMultiLvlLbl val="0"/>
      </c:catAx>
      <c:valAx>
        <c:axId val="128623275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Ventas</a:t>
                </a:r>
              </a:p>
            </c:rich>
          </c:tx>
          <c:overlay val="0"/>
        </c:title>
        <c:numFmt formatCode="_(&quot;$&quot;* #,##0.00_);_(&quot;$&quot;* \(#,##0.00\);_(&quot;$&quot;* &quot;-&quot;??_);_(@_)" sourceLinked="1"/>
        <c:majorTickMark val="out"/>
        <c:minorTickMark val="none"/>
        <c:tickLblPos val="nextTo"/>
        <c:crossAx val="1286232335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Razones!$D$31</c:f>
              <c:strCache>
                <c:ptCount val="1"/>
                <c:pt idx="0">
                  <c:v>Capital de trabajo a activos totales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Razones!$E$30:$N$30</c:f>
              <c:numCache>
                <c:formatCode>General</c:formatCod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numCache>
            </c:numRef>
          </c:cat>
          <c:val>
            <c:numRef>
              <c:f>Razones!$E$31:$N$31</c:f>
              <c:numCache>
                <c:formatCode>0.0%</c:formatCode>
                <c:ptCount val="10"/>
                <c:pt idx="0">
                  <c:v>-3.3879947877003269E-2</c:v>
                </c:pt>
                <c:pt idx="1">
                  <c:v>5.5666638895831601E-2</c:v>
                </c:pt>
                <c:pt idx="2">
                  <c:v>3.5073400585463529E-2</c:v>
                </c:pt>
                <c:pt idx="3">
                  <c:v>2.934149696449441E-2</c:v>
                </c:pt>
                <c:pt idx="4">
                  <c:v>9.2324519076111434E-3</c:v>
                </c:pt>
                <c:pt idx="5">
                  <c:v>8.0005408816370683E-4</c:v>
                </c:pt>
                <c:pt idx="6">
                  <c:v>2.0256856946076246E-3</c:v>
                </c:pt>
                <c:pt idx="7">
                  <c:v>1.4793628877163569E-4</c:v>
                </c:pt>
                <c:pt idx="8">
                  <c:v>2.0871600498582724E-2</c:v>
                </c:pt>
                <c:pt idx="9">
                  <c:v>-2.2610610495017058E-2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E8-465E-9C12-92214D5822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4201152"/>
        <c:axId val="334199488"/>
      </c:lineChart>
      <c:catAx>
        <c:axId val="334201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34199488"/>
        <c:crosses val="autoZero"/>
        <c:auto val="1"/>
        <c:lblAlgn val="ctr"/>
        <c:lblOffset val="100"/>
        <c:noMultiLvlLbl val="0"/>
      </c:catAx>
      <c:valAx>
        <c:axId val="33419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34201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Razones!$D$37</c:f>
              <c:strCache>
                <c:ptCount val="1"/>
                <c:pt idx="0">
                  <c:v>Costo operativo diario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Razones!$E$36:$N$36</c:f>
              <c:numCache>
                <c:formatCode>General</c:formatCod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numCache>
            </c:numRef>
          </c:cat>
          <c:val>
            <c:numRef>
              <c:f>Razones!$E$37:$N$37</c:f>
              <c:numCache>
                <c:formatCode>0</c:formatCode>
                <c:ptCount val="10"/>
                <c:pt idx="0">
                  <c:v>118.27569772761935</c:v>
                </c:pt>
                <c:pt idx="1">
                  <c:v>140.58637539522852</c:v>
                </c:pt>
                <c:pt idx="2">
                  <c:v>150.29543193817432</c:v>
                </c:pt>
                <c:pt idx="3">
                  <c:v>144.07466718654263</c:v>
                </c:pt>
                <c:pt idx="4">
                  <c:v>130.11297120112386</c:v>
                </c:pt>
                <c:pt idx="5">
                  <c:v>139.90124630333756</c:v>
                </c:pt>
                <c:pt idx="6">
                  <c:v>195.15923075604616</c:v>
                </c:pt>
                <c:pt idx="7">
                  <c:v>172.14142483150448</c:v>
                </c:pt>
                <c:pt idx="8">
                  <c:v>182.91486120866827</c:v>
                </c:pt>
                <c:pt idx="9">
                  <c:v>205.11076860401957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D1-4DDC-87B5-D255A01421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4187008"/>
        <c:axId val="334169120"/>
      </c:lineChart>
      <c:catAx>
        <c:axId val="334187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34169120"/>
        <c:crosses val="autoZero"/>
        <c:auto val="1"/>
        <c:lblAlgn val="ctr"/>
        <c:lblOffset val="100"/>
        <c:noMultiLvlLbl val="0"/>
      </c:catAx>
      <c:valAx>
        <c:axId val="33416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34187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Razones!$D$47</c:f>
              <c:strCache>
                <c:ptCount val="1"/>
                <c:pt idx="0">
                  <c:v>Razón de deuda 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Razones!$E$46:$N$46</c:f>
              <c:numCache>
                <c:formatCode>General</c:formatCod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numCache>
            </c:numRef>
          </c:cat>
          <c:val>
            <c:numRef>
              <c:f>Razones!$E$47:$N$47</c:f>
              <c:numCache>
                <c:formatCode>0%</c:formatCode>
                <c:ptCount val="10"/>
                <c:pt idx="0">
                  <c:v>0.63618825201807383</c:v>
                </c:pt>
                <c:pt idx="1">
                  <c:v>0.61205531950345748</c:v>
                </c:pt>
                <c:pt idx="2">
                  <c:v>0.59658515882602592</c:v>
                </c:pt>
                <c:pt idx="3">
                  <c:v>0.60261249987071952</c:v>
                </c:pt>
                <c:pt idx="4">
                  <c:v>0.61285895043856831</c:v>
                </c:pt>
                <c:pt idx="5">
                  <c:v>0.61299918867754444</c:v>
                </c:pt>
                <c:pt idx="6">
                  <c:v>0.63873921322367622</c:v>
                </c:pt>
                <c:pt idx="7">
                  <c:v>0.64975590512352677</c:v>
                </c:pt>
                <c:pt idx="8">
                  <c:v>0.67176773123941735</c:v>
                </c:pt>
                <c:pt idx="9">
                  <c:v>0.67850859920033368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A8-4A96-8BF3-C3962864F8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473904"/>
        <c:axId val="172479312"/>
      </c:lineChart>
      <c:catAx>
        <c:axId val="172473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2479312"/>
        <c:crosses val="autoZero"/>
        <c:auto val="1"/>
        <c:lblAlgn val="ctr"/>
        <c:lblOffset val="100"/>
        <c:noMultiLvlLbl val="0"/>
      </c:catAx>
      <c:valAx>
        <c:axId val="17247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2473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Razones!$D$53</c:f>
              <c:strCache>
                <c:ptCount val="1"/>
                <c:pt idx="0">
                  <c:v>Razón de deuda a capital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Razones!$E$52:$N$52</c:f>
              <c:numCache>
                <c:formatCode>General</c:formatCod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numCache>
            </c:numRef>
          </c:cat>
          <c:val>
            <c:numRef>
              <c:f>Razones!$E$53:$N$53</c:f>
              <c:numCache>
                <c:formatCode>0.00</c:formatCode>
                <c:ptCount val="10"/>
                <c:pt idx="0">
                  <c:v>1.7486742952832821</c:v>
                </c:pt>
                <c:pt idx="1">
                  <c:v>1.5776871040481049</c:v>
                </c:pt>
                <c:pt idx="2">
                  <c:v>1.4788379056405276</c:v>
                </c:pt>
                <c:pt idx="3">
                  <c:v>1.516435468339276</c:v>
                </c:pt>
                <c:pt idx="4">
                  <c:v>1.5830378905384446</c:v>
                </c:pt>
                <c:pt idx="5">
                  <c:v>1.6002824027769607</c:v>
                </c:pt>
                <c:pt idx="6">
                  <c:v>1.7680834361332287</c:v>
                </c:pt>
                <c:pt idx="7">
                  <c:v>1.8551516346126771</c:v>
                </c:pt>
                <c:pt idx="8">
                  <c:v>2.046623062918334</c:v>
                </c:pt>
                <c:pt idx="9">
                  <c:v>2.1105031036993069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DD-4815-B379-DE3F1620DE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8072944"/>
        <c:axId val="568065456"/>
      </c:lineChart>
      <c:catAx>
        <c:axId val="568072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68065456"/>
        <c:crosses val="autoZero"/>
        <c:auto val="1"/>
        <c:lblAlgn val="ctr"/>
        <c:lblOffset val="100"/>
        <c:noMultiLvlLbl val="0"/>
      </c:catAx>
      <c:valAx>
        <c:axId val="56806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68072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Razones!$D$60</c:f>
              <c:strCache>
                <c:ptCount val="1"/>
                <c:pt idx="0">
                  <c:v>Multiplicador del capital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Razones!$E$59:$N$59</c:f>
              <c:numCache>
                <c:formatCode>General</c:formatCod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numCache>
            </c:numRef>
          </c:cat>
          <c:val>
            <c:numRef>
              <c:f>Razones!$E$60:$N$60</c:f>
              <c:numCache>
                <c:formatCode>0.00</c:formatCode>
                <c:ptCount val="10"/>
                <c:pt idx="0">
                  <c:v>2.7486742952832821</c:v>
                </c:pt>
                <c:pt idx="1">
                  <c:v>2.5776871040481049</c:v>
                </c:pt>
                <c:pt idx="2">
                  <c:v>2.4788379056405274</c:v>
                </c:pt>
                <c:pt idx="3">
                  <c:v>2.5164354683392758</c:v>
                </c:pt>
                <c:pt idx="4">
                  <c:v>2.5830378905384443</c:v>
                </c:pt>
                <c:pt idx="5">
                  <c:v>2.6105783373536506</c:v>
                </c:pt>
                <c:pt idx="6">
                  <c:v>2.7680834361332285</c:v>
                </c:pt>
                <c:pt idx="7">
                  <c:v>2.8551516346126768</c:v>
                </c:pt>
                <c:pt idx="8">
                  <c:v>3.046623062918334</c:v>
                </c:pt>
                <c:pt idx="9">
                  <c:v>3.1105031036993069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33-4C73-AB21-F6C088AB1A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7025296"/>
        <c:axId val="977031120"/>
      </c:lineChart>
      <c:catAx>
        <c:axId val="977025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77031120"/>
        <c:crosses val="autoZero"/>
        <c:auto val="1"/>
        <c:lblAlgn val="ctr"/>
        <c:lblOffset val="100"/>
        <c:noMultiLvlLbl val="0"/>
      </c:catAx>
      <c:valAx>
        <c:axId val="97703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77025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52330555555555558"/>
          <c:y val="0.1296296296296296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Razones!$D$67</c:f>
              <c:strCache>
                <c:ptCount val="1"/>
                <c:pt idx="0">
                  <c:v>Razón de deuda a largo plazo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Razones!$E$66:$N$66</c:f>
              <c:numCache>
                <c:formatCode>General</c:formatCod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numCache>
            </c:numRef>
          </c:cat>
          <c:val>
            <c:numRef>
              <c:f>Razones!$E$67:$N$67</c:f>
              <c:numCache>
                <c:formatCode>0%</c:formatCode>
                <c:ptCount val="10"/>
                <c:pt idx="0">
                  <c:v>0.46376992342420992</c:v>
                </c:pt>
                <c:pt idx="1">
                  <c:v>0.47529438278212854</c:v>
                </c:pt>
                <c:pt idx="2">
                  <c:v>0.45650867187614536</c:v>
                </c:pt>
                <c:pt idx="3">
                  <c:v>0.46019949423995504</c:v>
                </c:pt>
                <c:pt idx="4">
                  <c:v>0.45882423479329676</c:v>
                </c:pt>
                <c:pt idx="5">
                  <c:v>0.46094319875677903</c:v>
                </c:pt>
                <c:pt idx="6">
                  <c:v>0.47343401685932357</c:v>
                </c:pt>
                <c:pt idx="7">
                  <c:v>0.47420864054958395</c:v>
                </c:pt>
                <c:pt idx="8">
                  <c:v>0.4988558856778928</c:v>
                </c:pt>
                <c:pt idx="9">
                  <c:v>0.4970999793515008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32-4128-B534-B89618915C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5078976"/>
        <c:axId val="485081056"/>
      </c:lineChart>
      <c:catAx>
        <c:axId val="485078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85081056"/>
        <c:crosses val="autoZero"/>
        <c:auto val="1"/>
        <c:lblAlgn val="ctr"/>
        <c:lblOffset val="100"/>
        <c:noMultiLvlLbl val="0"/>
      </c:catAx>
      <c:valAx>
        <c:axId val="48508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85078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Razones!$D$73</c:f>
              <c:strCache>
                <c:ptCount val="1"/>
                <c:pt idx="0">
                  <c:v>Razón de cobertura de intereses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Razones!$E$72:$N$72</c:f>
              <c:numCache>
                <c:formatCode>General</c:formatCod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numCache>
            </c:numRef>
          </c:cat>
          <c:val>
            <c:numRef>
              <c:f>Razones!$E$73:$N$73</c:f>
              <c:numCache>
                <c:formatCode>0.00</c:formatCode>
                <c:ptCount val="10"/>
                <c:pt idx="0">
                  <c:v>6.2948571428571425</c:v>
                </c:pt>
                <c:pt idx="1">
                  <c:v>6.6349775784753362</c:v>
                </c:pt>
                <c:pt idx="2">
                  <c:v>7.8093525179856114</c:v>
                </c:pt>
                <c:pt idx="3">
                  <c:v>4.5404530744336569</c:v>
                </c:pt>
                <c:pt idx="4">
                  <c:v>4.4253393665158374</c:v>
                </c:pt>
                <c:pt idx="5">
                  <c:v>3.628654970760234</c:v>
                </c:pt>
                <c:pt idx="6">
                  <c:v>1.3130841121495327</c:v>
                </c:pt>
                <c:pt idx="7">
                  <c:v>6.374259440991531E-2</c:v>
                </c:pt>
                <c:pt idx="8">
                  <c:v>0.13203280569712106</c:v>
                </c:pt>
                <c:pt idx="9">
                  <c:v>5.8586788466758723E-2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F6-425E-823D-AD89C5C061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7102256"/>
        <c:axId val="977118064"/>
      </c:lineChart>
      <c:catAx>
        <c:axId val="977102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77118064"/>
        <c:crosses val="autoZero"/>
        <c:auto val="1"/>
        <c:lblAlgn val="ctr"/>
        <c:lblOffset val="100"/>
        <c:noMultiLvlLbl val="0"/>
      </c:catAx>
      <c:valAx>
        <c:axId val="9771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77102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Razones!$D$81</c:f>
              <c:strCache>
                <c:ptCount val="1"/>
                <c:pt idx="0">
                  <c:v>Razón de cobertura efectivo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Razones!$E$80:$N$80</c:f>
              <c:numCache>
                <c:formatCode>General</c:formatCod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numCache>
            </c:numRef>
          </c:cat>
          <c:val>
            <c:numRef>
              <c:f>Razones!$E$81:$N$81</c:f>
              <c:numCache>
                <c:formatCode>0.0</c:formatCode>
                <c:ptCount val="10"/>
                <c:pt idx="0">
                  <c:v>10.619428571428571</c:v>
                </c:pt>
                <c:pt idx="1">
                  <c:v>10.768609865470852</c:v>
                </c:pt>
                <c:pt idx="2">
                  <c:v>13.089928057553957</c:v>
                </c:pt>
                <c:pt idx="3">
                  <c:v>8.6310679611650478</c:v>
                </c:pt>
                <c:pt idx="4">
                  <c:v>7.9128959276018103</c:v>
                </c:pt>
                <c:pt idx="5">
                  <c:v>8.0723684210526319</c:v>
                </c:pt>
                <c:pt idx="6">
                  <c:v>5.8698264352469964</c:v>
                </c:pt>
                <c:pt idx="7">
                  <c:v>3.0715752553338422</c:v>
                </c:pt>
                <c:pt idx="8">
                  <c:v>5.5237605049107295</c:v>
                </c:pt>
                <c:pt idx="9">
                  <c:v>4.4250492747465451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9E-4BF6-B8F5-93D197CC35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8086080"/>
        <c:axId val="338086496"/>
      </c:lineChart>
      <c:catAx>
        <c:axId val="338086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38086496"/>
        <c:crosses val="autoZero"/>
        <c:auto val="1"/>
        <c:lblAlgn val="ctr"/>
        <c:lblOffset val="100"/>
        <c:noMultiLvlLbl val="0"/>
      </c:catAx>
      <c:valAx>
        <c:axId val="33808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38086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Razones!$D$198</c:f>
              <c:strCache>
                <c:ptCount val="1"/>
                <c:pt idx="0">
                  <c:v>UPA (pesos x acción)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Razones!$E$197:$N$197</c:f>
              <c:numCache>
                <c:formatCode>General</c:formatCod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numCache>
            </c:numRef>
          </c:cat>
          <c:val>
            <c:numRef>
              <c:f>Razones!$E$198:$N$198</c:f>
              <c:numCache>
                <c:formatCode>0.00</c:formatCode>
                <c:ptCount val="10"/>
                <c:pt idx="0">
                  <c:v>1.3632810093142387</c:v>
                </c:pt>
                <c:pt idx="1">
                  <c:v>1.6537216828478964</c:v>
                </c:pt>
                <c:pt idx="2">
                  <c:v>1.7559234014930216</c:v>
                </c:pt>
                <c:pt idx="3">
                  <c:v>1.1987658330626827</c:v>
                </c:pt>
                <c:pt idx="4">
                  <c:v>1.1250405975966222</c:v>
                </c:pt>
                <c:pt idx="5">
                  <c:v>0.81020474488137795</c:v>
                </c:pt>
                <c:pt idx="6">
                  <c:v>-0.30321741956451087</c:v>
                </c:pt>
                <c:pt idx="7">
                  <c:v>1.1987658330626827</c:v>
                </c:pt>
                <c:pt idx="8">
                  <c:v>1.1250405975966222</c:v>
                </c:pt>
                <c:pt idx="9">
                  <c:v>0.81020474488137795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41-4897-853F-35563ACBEA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5644192"/>
        <c:axId val="555633376"/>
      </c:lineChart>
      <c:catAx>
        <c:axId val="555644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55633376"/>
        <c:crosses val="autoZero"/>
        <c:auto val="1"/>
        <c:lblAlgn val="ctr"/>
        <c:lblOffset val="100"/>
        <c:noMultiLvlLbl val="0"/>
      </c:catAx>
      <c:valAx>
        <c:axId val="55563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55644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Razones!$D$204</c:f>
              <c:strCache>
                <c:ptCount val="1"/>
                <c:pt idx="0">
                  <c:v>Razón precio utilidad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Razones!$E$203:$N$203</c:f>
              <c:numCache>
                <c:formatCode>General</c:formatCod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numCache>
            </c:numRef>
          </c:cat>
          <c:val>
            <c:numRef>
              <c:f>Razones!$E$204:$N$204</c:f>
              <c:numCache>
                <c:formatCode>0.0</c:formatCode>
                <c:ptCount val="10"/>
                <c:pt idx="0">
                  <c:v>27.375133772876957</c:v>
                </c:pt>
                <c:pt idx="1">
                  <c:v>20.741095890410957</c:v>
                </c:pt>
                <c:pt idx="2">
                  <c:v>15.222759704251388</c:v>
                </c:pt>
                <c:pt idx="3">
                  <c:v>17.69319696559198</c:v>
                </c:pt>
                <c:pt idx="4">
                  <c:v>12.737318129330255</c:v>
                </c:pt>
                <c:pt idx="5">
                  <c:v>10.059185720016046</c:v>
                </c:pt>
                <c:pt idx="6">
                  <c:v>-21.139946409431943</c:v>
                </c:pt>
                <c:pt idx="7">
                  <c:v>5.0635410457870496</c:v>
                </c:pt>
                <c:pt idx="8">
                  <c:v>5.1375923787528874</c:v>
                </c:pt>
                <c:pt idx="9">
                  <c:v>5.1715322904131575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8E-4963-B3C2-FF2FB93D03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400144"/>
        <c:axId val="176400560"/>
      </c:lineChart>
      <c:catAx>
        <c:axId val="176400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6400560"/>
        <c:crosses val="autoZero"/>
        <c:auto val="1"/>
        <c:lblAlgn val="ctr"/>
        <c:lblOffset val="100"/>
        <c:noMultiLvlLbl val="0"/>
      </c:catAx>
      <c:valAx>
        <c:axId val="17640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6400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Ventas netas Curva de regresión ajustada</a:t>
            </a:r>
          </a:p>
        </c:rich>
      </c:tx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Costo de ventas</c:v>
          </c:tx>
          <c:marker>
            <c:symbol val="none"/>
          </c:marker>
          <c:cat>
            <c:numRef>
              <c:f>Regresion!$R$3:$R$12</c:f>
              <c:numCache>
                <c:formatCode>_("$"* #,##0.00_);_("$"* \(#,##0.00\);_("$"* "-"??_);_(@_)</c:formatCode>
                <c:ptCount val="10"/>
                <c:pt idx="0">
                  <c:v>61490</c:v>
                </c:pt>
                <c:pt idx="1">
                  <c:v>70891</c:v>
                </c:pt>
                <c:pt idx="2">
                  <c:v>79244</c:v>
                </c:pt>
                <c:pt idx="3">
                  <c:v>84779</c:v>
                </c:pt>
                <c:pt idx="4">
                  <c:v>90327</c:v>
                </c:pt>
                <c:pt idx="5">
                  <c:v>77363</c:v>
                </c:pt>
                <c:pt idx="6">
                  <c:v>66325</c:v>
                </c:pt>
                <c:pt idx="7">
                  <c:v>84779</c:v>
                </c:pt>
                <c:pt idx="8">
                  <c:v>90327</c:v>
                </c:pt>
                <c:pt idx="9">
                  <c:v>77363</c:v>
                </c:pt>
              </c:numCache>
            </c:numRef>
          </c:cat>
          <c:val>
            <c:numRef>
              <c:f>Regresion!$S$3:$S$12</c:f>
              <c:numCache>
                <c:formatCode>_("$"* #,##0.00_);_("$"* \(#,##0.00\);_("$"* "-"??_);_(@_)</c:formatCode>
                <c:ptCount val="10"/>
                <c:pt idx="0">
                  <c:v>52456</c:v>
                </c:pt>
                <c:pt idx="1">
                  <c:v>59143</c:v>
                </c:pt>
                <c:pt idx="2">
                  <c:v>65345</c:v>
                </c:pt>
                <c:pt idx="3">
                  <c:v>71812</c:v>
                </c:pt>
                <c:pt idx="4">
                  <c:v>76878</c:v>
                </c:pt>
                <c:pt idx="5">
                  <c:v>66276</c:v>
                </c:pt>
                <c:pt idx="6">
                  <c:v>58343</c:v>
                </c:pt>
                <c:pt idx="7">
                  <c:v>71812</c:v>
                </c:pt>
                <c:pt idx="8">
                  <c:v>76878</c:v>
                </c:pt>
                <c:pt idx="9">
                  <c:v>66276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B4-4AC3-8D4E-5BD9FD5E512D}"/>
            </c:ext>
          </c:extLst>
        </c:ser>
        <c:ser>
          <c:idx val="1"/>
          <c:order val="1"/>
          <c:tx>
            <c:v>Pronóstico Costo de ventas</c:v>
          </c:tx>
          <c:marker>
            <c:symbol val="none"/>
          </c:marker>
          <c:cat>
            <c:numRef>
              <c:f>Regresion!$R$3:$R$12</c:f>
              <c:numCache>
                <c:formatCode>_("$"* #,##0.00_);_("$"* \(#,##0.00\);_("$"* "-"??_);_(@_)</c:formatCode>
                <c:ptCount val="10"/>
                <c:pt idx="0">
                  <c:v>61490</c:v>
                </c:pt>
                <c:pt idx="1">
                  <c:v>70891</c:v>
                </c:pt>
                <c:pt idx="2">
                  <c:v>79244</c:v>
                </c:pt>
                <c:pt idx="3">
                  <c:v>84779</c:v>
                </c:pt>
                <c:pt idx="4">
                  <c:v>90327</c:v>
                </c:pt>
                <c:pt idx="5">
                  <c:v>77363</c:v>
                </c:pt>
                <c:pt idx="6">
                  <c:v>66325</c:v>
                </c:pt>
                <c:pt idx="7">
                  <c:v>84779</c:v>
                </c:pt>
                <c:pt idx="8">
                  <c:v>90327</c:v>
                </c:pt>
                <c:pt idx="9">
                  <c:v>77363</c:v>
                </c:pt>
              </c:numCache>
            </c:numRef>
          </c:cat>
          <c:val>
            <c:numRef>
              <c:f>Regresion!$R$55:$R$64</c:f>
              <c:numCache>
                <c:formatCode>General</c:formatCode>
                <c:ptCount val="10"/>
                <c:pt idx="0">
                  <c:v>52677.963832740701</c:v>
                </c:pt>
                <c:pt idx="1">
                  <c:v>60425.353164621818</c:v>
                </c:pt>
                <c:pt idx="2">
                  <c:v>67309.082883715862</c:v>
                </c:pt>
                <c:pt idx="3">
                  <c:v>71870.491239418654</c:v>
                </c:pt>
                <c:pt idx="4">
                  <c:v>76442.612930012896</c:v>
                </c:pt>
                <c:pt idx="5">
                  <c:v>65758.945735192465</c:v>
                </c:pt>
                <c:pt idx="6">
                  <c:v>56662.500309673494</c:v>
                </c:pt>
                <c:pt idx="7">
                  <c:v>71870.491239418654</c:v>
                </c:pt>
                <c:pt idx="8">
                  <c:v>76442.612930012896</c:v>
                </c:pt>
                <c:pt idx="9">
                  <c:v>65758.945735192465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B4-4AC3-8D4E-5BD9FD5E51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3032256"/>
        <c:axId val="963031424"/>
      </c:lineChart>
      <c:catAx>
        <c:axId val="963032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Ventas netas</a:t>
                </a:r>
              </a:p>
            </c:rich>
          </c:tx>
          <c:overlay val="0"/>
        </c:title>
        <c:numFmt formatCode="_(&quot;$&quot;* #,##0.00_);_(&quot;$&quot;* \(#,##0.00\);_(&quot;$&quot;* &quot;-&quot;??_);_(@_)" sourceLinked="1"/>
        <c:majorTickMark val="out"/>
        <c:minorTickMark val="none"/>
        <c:tickLblPos val="nextTo"/>
        <c:crossAx val="963031424"/>
        <c:crosses val="autoZero"/>
        <c:auto val="1"/>
        <c:lblAlgn val="ctr"/>
        <c:lblOffset val="100"/>
        <c:noMultiLvlLbl val="0"/>
      </c:catAx>
      <c:valAx>
        <c:axId val="9630314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Costo de ventas</a:t>
                </a:r>
              </a:p>
            </c:rich>
          </c:tx>
          <c:overlay val="0"/>
        </c:title>
        <c:numFmt formatCode="_(&quot;$&quot;* #,##0.00_);_(&quot;$&quot;* \(#,##0.00\);_(&quot;$&quot;* &quot;-&quot;??_);_(@_)" sourceLinked="1"/>
        <c:majorTickMark val="out"/>
        <c:minorTickMark val="none"/>
        <c:tickLblPos val="nextTo"/>
        <c:crossAx val="963032256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Razones!$D$214</c:f>
              <c:strCache>
                <c:ptCount val="1"/>
                <c:pt idx="0">
                  <c:v>Razón Precio - Venta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Razones!$E$213:$N$213</c:f>
              <c:numCache>
                <c:formatCode>General</c:formatCod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numCache>
            </c:numRef>
          </c:cat>
          <c:val>
            <c:numRef>
              <c:f>Razones!$E$214:$N$214</c:f>
              <c:numCache>
                <c:formatCode>0.00</c:formatCode>
                <c:ptCount val="10"/>
                <c:pt idx="0">
                  <c:v>1.5087709929464952</c:v>
                </c:pt>
                <c:pt idx="1">
                  <c:v>1.7450001501534154</c:v>
                </c:pt>
                <c:pt idx="2">
                  <c:v>1.1711828868840393</c:v>
                </c:pt>
                <c:pt idx="3">
                  <c:v>0.77515261964435744</c:v>
                </c:pt>
                <c:pt idx="4">
                  <c:v>0.37027315960393919</c:v>
                </c:pt>
                <c:pt idx="5">
                  <c:v>0.18104209534238719</c:v>
                </c:pt>
                <c:pt idx="6">
                  <c:v>0.12551982615582799</c:v>
                </c:pt>
                <c:pt idx="7">
                  <c:v>0.11191669171433889</c:v>
                </c:pt>
                <c:pt idx="8">
                  <c:v>8.4369345872225054E-2</c:v>
                </c:pt>
                <c:pt idx="9">
                  <c:v>9.1265794509211601E-2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86-4C84-8BDC-D2B98BE62D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9005248"/>
        <c:axId val="969005664"/>
      </c:lineChart>
      <c:catAx>
        <c:axId val="969005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69005664"/>
        <c:crosses val="autoZero"/>
        <c:auto val="1"/>
        <c:lblAlgn val="ctr"/>
        <c:lblOffset val="100"/>
        <c:noMultiLvlLbl val="0"/>
      </c:catAx>
      <c:valAx>
        <c:axId val="96900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69005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Razones!$D$90</c:f>
              <c:strCache>
                <c:ptCount val="1"/>
                <c:pt idx="0">
                  <c:v>Rotación de inventario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Razones!$E$89:$N$89</c:f>
              <c:numCache>
                <c:formatCode>General</c:formatCod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numCache>
            </c:numRef>
          </c:cat>
          <c:val>
            <c:numRef>
              <c:f>Razones!$E$90:$N$90</c:f>
              <c:numCache>
                <c:formatCode>0.0</c:formatCode>
                <c:ptCount val="10"/>
                <c:pt idx="0">
                  <c:v>6.191690273843248</c:v>
                </c:pt>
                <c:pt idx="1">
                  <c:v>6.8239298488519671</c:v>
                </c:pt>
                <c:pt idx="2">
                  <c:v>5.545230821452817</c:v>
                </c:pt>
                <c:pt idx="3">
                  <c:v>5.6571608634000317</c:v>
                </c:pt>
                <c:pt idx="4">
                  <c:v>6.1413963891995529</c:v>
                </c:pt>
                <c:pt idx="5">
                  <c:v>5.9461690292481606</c:v>
                </c:pt>
                <c:pt idx="6">
                  <c:v>4.6193982581155977</c:v>
                </c:pt>
                <c:pt idx="7">
                  <c:v>4.2254780817887614</c:v>
                </c:pt>
                <c:pt idx="8">
                  <c:v>4.5416038989809477</c:v>
                </c:pt>
                <c:pt idx="9">
                  <c:v>3.6655092810234846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D4-46BB-BCAC-9C6757D170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221776"/>
        <c:axId val="2134219696"/>
      </c:lineChart>
      <c:catAx>
        <c:axId val="2134221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134219696"/>
        <c:crosses val="autoZero"/>
        <c:auto val="1"/>
        <c:lblAlgn val="ctr"/>
        <c:lblOffset val="100"/>
        <c:noMultiLvlLbl val="0"/>
      </c:catAx>
      <c:valAx>
        <c:axId val="213421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134221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Razones!$D$97</c:f>
              <c:strCache>
                <c:ptCount val="1"/>
                <c:pt idx="0">
                  <c:v>Dias de inventario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Razones!$E$96:$N$96</c:f>
              <c:numCache>
                <c:formatCode>General</c:formatCod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numCache>
            </c:numRef>
          </c:cat>
          <c:val>
            <c:numRef>
              <c:f>Razones!$E$97:$N$97</c:f>
              <c:numCache>
                <c:formatCode>0</c:formatCode>
                <c:ptCount val="10"/>
                <c:pt idx="0">
                  <c:v>58.949977123684619</c:v>
                </c:pt>
                <c:pt idx="1">
                  <c:v>53.488240366569165</c:v>
                </c:pt>
                <c:pt idx="2">
                  <c:v>65.822327645573495</c:v>
                </c:pt>
                <c:pt idx="3">
                  <c:v>64.519996657940169</c:v>
                </c:pt>
                <c:pt idx="4">
                  <c:v>59.432737584224355</c:v>
                </c:pt>
                <c:pt idx="5">
                  <c:v>61.384060595087213</c:v>
                </c:pt>
                <c:pt idx="6">
                  <c:v>79.014620434328023</c:v>
                </c:pt>
                <c:pt idx="7">
                  <c:v>86.380758090569827</c:v>
                </c:pt>
                <c:pt idx="8">
                  <c:v>80.368083196753304</c:v>
                </c:pt>
                <c:pt idx="9">
                  <c:v>99.576886052266275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27-45BD-95E0-D532CB95B4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2577808"/>
        <c:axId val="902571152"/>
      </c:lineChart>
      <c:catAx>
        <c:axId val="902577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02571152"/>
        <c:crosses val="autoZero"/>
        <c:auto val="1"/>
        <c:lblAlgn val="ctr"/>
        <c:lblOffset val="100"/>
        <c:noMultiLvlLbl val="0"/>
      </c:catAx>
      <c:valAx>
        <c:axId val="9025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02577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Razones!$D$104</c:f>
              <c:strCache>
                <c:ptCount val="1"/>
                <c:pt idx="0">
                  <c:v>Rotacion CXC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Razones!$E$103:$N$103</c:f>
              <c:numCache>
                <c:formatCode>General</c:formatCod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numCache>
            </c:numRef>
          </c:cat>
          <c:val>
            <c:numRef>
              <c:f>Razones!$E$104:$N$104</c:f>
              <c:numCache>
                <c:formatCode>0.0</c:formatCode>
                <c:ptCount val="10"/>
                <c:pt idx="0">
                  <c:v>8.9090118806143153</c:v>
                </c:pt>
                <c:pt idx="1">
                  <c:v>6.6129664179104477</c:v>
                </c:pt>
                <c:pt idx="2">
                  <c:v>6.8425869959416286</c:v>
                </c:pt>
                <c:pt idx="3">
                  <c:v>7.4328423636682448</c:v>
                </c:pt>
                <c:pt idx="4">
                  <c:v>8.8149702351907884</c:v>
                </c:pt>
                <c:pt idx="5">
                  <c:v>9.8426208651399492</c:v>
                </c:pt>
                <c:pt idx="6">
                  <c:v>7.1865857622711022</c:v>
                </c:pt>
                <c:pt idx="7">
                  <c:v>8.1604581769178939</c:v>
                </c:pt>
                <c:pt idx="8">
                  <c:v>7.1025975312680369</c:v>
                </c:pt>
                <c:pt idx="9">
                  <c:v>6.3866901782854351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06-41DD-A36E-0246D31A79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5571392"/>
        <c:axId val="555577632"/>
      </c:lineChart>
      <c:catAx>
        <c:axId val="555571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55577632"/>
        <c:crosses val="autoZero"/>
        <c:auto val="1"/>
        <c:lblAlgn val="ctr"/>
        <c:lblOffset val="100"/>
        <c:noMultiLvlLbl val="0"/>
      </c:catAx>
      <c:valAx>
        <c:axId val="55557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55571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Razones!$D$111</c:f>
              <c:strCache>
                <c:ptCount val="1"/>
                <c:pt idx="0">
                  <c:v>Dias en CXC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Razones!$E$110:$N$110</c:f>
              <c:numCache>
                <c:formatCode>General</c:formatCod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numCache>
            </c:numRef>
          </c:cat>
          <c:val>
            <c:numRef>
              <c:f>Razones!$E$111:$N$111</c:f>
              <c:numCache>
                <c:formatCode>0.00</c:formatCode>
                <c:ptCount val="10"/>
                <c:pt idx="0">
                  <c:v>40.969751179053503</c:v>
                </c:pt>
                <c:pt idx="1">
                  <c:v>55.194594518345063</c:v>
                </c:pt>
                <c:pt idx="2">
                  <c:v>53.342398162636918</c:v>
                </c:pt>
                <c:pt idx="3">
                  <c:v>49.106382476792604</c:v>
                </c:pt>
                <c:pt idx="4">
                  <c:v>41.406832951387734</c:v>
                </c:pt>
                <c:pt idx="5">
                  <c:v>37.083618784173311</c:v>
                </c:pt>
                <c:pt idx="6">
                  <c:v>50.789068978514884</c:v>
                </c:pt>
                <c:pt idx="7">
                  <c:v>44.727880725179588</c:v>
                </c:pt>
                <c:pt idx="8">
                  <c:v>51.389649827847705</c:v>
                </c:pt>
                <c:pt idx="9">
                  <c:v>57.150102762302389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59-445B-95E1-B732E83DAC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5626304"/>
        <c:axId val="555645856"/>
      </c:lineChart>
      <c:catAx>
        <c:axId val="55562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55645856"/>
        <c:crosses val="autoZero"/>
        <c:auto val="1"/>
        <c:lblAlgn val="ctr"/>
        <c:lblOffset val="100"/>
        <c:noMultiLvlLbl val="0"/>
      </c:catAx>
      <c:valAx>
        <c:axId val="55564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55626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Razones!$D$118</c:f>
              <c:strCache>
                <c:ptCount val="1"/>
                <c:pt idx="0">
                  <c:v>R de CXP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Razones!$E$117:$N$117</c:f>
              <c:numCache>
                <c:formatCode>General</c:formatCod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numCache>
            </c:numRef>
          </c:cat>
          <c:val>
            <c:numRef>
              <c:f>Razones!$E$118:$N$118</c:f>
              <c:numCache>
                <c:formatCode>0.00</c:formatCode>
                <c:ptCount val="10"/>
                <c:pt idx="0">
                  <c:v>4.1183952265054566</c:v>
                </c:pt>
                <c:pt idx="1">
                  <c:v>3.5811686345746292</c:v>
                </c:pt>
                <c:pt idx="2">
                  <c:v>3.4585053456123638</c:v>
                </c:pt>
                <c:pt idx="3">
                  <c:v>3.1291995293912587</c:v>
                </c:pt>
                <c:pt idx="4">
                  <c:v>3.4198398576512457</c:v>
                </c:pt>
                <c:pt idx="5">
                  <c:v>3.1312482282906546</c:v>
                </c:pt>
                <c:pt idx="6">
                  <c:v>2.3351210726435863</c:v>
                </c:pt>
                <c:pt idx="7">
                  <c:v>2.5477896828212589</c:v>
                </c:pt>
                <c:pt idx="8">
                  <c:v>2.4372196712330854</c:v>
                </c:pt>
                <c:pt idx="9">
                  <c:v>2.068467019879455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CB-49A9-9FE0-0C0A32BCF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401392"/>
        <c:axId val="176410544"/>
      </c:lineChart>
      <c:catAx>
        <c:axId val="176401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6410544"/>
        <c:crosses val="autoZero"/>
        <c:auto val="1"/>
        <c:lblAlgn val="ctr"/>
        <c:lblOffset val="100"/>
        <c:noMultiLvlLbl val="0"/>
      </c:catAx>
      <c:valAx>
        <c:axId val="17641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6401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Razones!$D$124</c:f>
              <c:strCache>
                <c:ptCount val="1"/>
                <c:pt idx="0">
                  <c:v>Dias en CXP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Razones!$E$123:$N$123</c:f>
              <c:numCache>
                <c:formatCode>General</c:formatCod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numCache>
            </c:numRef>
          </c:cat>
          <c:val>
            <c:numRef>
              <c:f>Razones!$E$124:$N$124</c:f>
              <c:numCache>
                <c:formatCode>0.0</c:formatCode>
                <c:ptCount val="10"/>
                <c:pt idx="0">
                  <c:v>88.626753850846427</c:v>
                </c:pt>
                <c:pt idx="1">
                  <c:v>101.92203642020188</c:v>
                </c:pt>
                <c:pt idx="2">
                  <c:v>105.53691942765322</c:v>
                </c:pt>
                <c:pt idx="3">
                  <c:v>116.64324903915781</c:v>
                </c:pt>
                <c:pt idx="4">
                  <c:v>106.73014386430448</c:v>
                </c:pt>
                <c:pt idx="5">
                  <c:v>116.56693222282577</c:v>
                </c:pt>
                <c:pt idx="6">
                  <c:v>156.30881168263545</c:v>
                </c:pt>
                <c:pt idx="7">
                  <c:v>143.26143262964405</c:v>
                </c:pt>
                <c:pt idx="8">
                  <c:v>149.7608132365566</c:v>
                </c:pt>
                <c:pt idx="9">
                  <c:v>176.45918281127405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BB-418E-A035-33246588B3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7071888"/>
        <c:axId val="977046096"/>
      </c:lineChart>
      <c:catAx>
        <c:axId val="977071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77046096"/>
        <c:crosses val="autoZero"/>
        <c:auto val="1"/>
        <c:lblAlgn val="ctr"/>
        <c:lblOffset val="100"/>
        <c:noMultiLvlLbl val="0"/>
      </c:catAx>
      <c:valAx>
        <c:axId val="97704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77071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Razones!$D$131</c:f>
              <c:strCache>
                <c:ptCount val="1"/>
                <c:pt idx="0">
                  <c:v>días de Ciclo de efectivo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Razones!$E$130:$N$130</c:f>
              <c:numCache>
                <c:formatCode>General</c:formatCod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numCache>
            </c:numRef>
          </c:cat>
          <c:val>
            <c:numRef>
              <c:f>Razones!$E$131:$N$131</c:f>
              <c:numCache>
                <c:formatCode>0.0_ ;[Red]\-0.0\ </c:formatCode>
                <c:ptCount val="10"/>
                <c:pt idx="0">
                  <c:v>11.292974451891695</c:v>
                </c:pt>
                <c:pt idx="1">
                  <c:v>6.7607984647123516</c:v>
                </c:pt>
                <c:pt idx="2">
                  <c:v>13.627806380557203</c:v>
                </c:pt>
                <c:pt idx="3">
                  <c:v>-3.016869904425036</c:v>
                </c:pt>
                <c:pt idx="4">
                  <c:v>-5.8905733286923834</c:v>
                </c:pt>
                <c:pt idx="5">
                  <c:v>-18.099252843565253</c:v>
                </c:pt>
                <c:pt idx="6">
                  <c:v>-26.505122269792537</c:v>
                </c:pt>
                <c:pt idx="7">
                  <c:v>-12.152793813894618</c:v>
                </c:pt>
                <c:pt idx="8">
                  <c:v>-18.003080211955591</c:v>
                </c:pt>
                <c:pt idx="9">
                  <c:v>-19.732193996705377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8B-4197-99C1-6ED7214CC8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3464976"/>
        <c:axId val="553476624"/>
      </c:lineChart>
      <c:catAx>
        <c:axId val="553464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53476624"/>
        <c:crosses val="autoZero"/>
        <c:auto val="1"/>
        <c:lblAlgn val="ctr"/>
        <c:lblOffset val="100"/>
        <c:noMultiLvlLbl val="0"/>
      </c:catAx>
      <c:valAx>
        <c:axId val="55347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;[Red]\-0.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53464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Razones!$D$137</c:f>
              <c:strCache>
                <c:ptCount val="1"/>
                <c:pt idx="0">
                  <c:v>RCTN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Razones!$E$136:$N$136</c:f>
              <c:numCache>
                <c:formatCode>General</c:formatCod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numCache>
            </c:numRef>
          </c:cat>
          <c:val>
            <c:numRef>
              <c:f>Razones!$E$137:$N$137</c:f>
              <c:numCache>
                <c:formatCode>#,##0.0_ ;\-#,##0.0\ </c:formatCode>
                <c:ptCount val="10"/>
                <c:pt idx="0">
                  <c:v>-30.714285714285715</c:v>
                </c:pt>
                <c:pt idx="1">
                  <c:v>17.68296333250187</c:v>
                </c:pt>
                <c:pt idx="2">
                  <c:v>24.58703071672355</c:v>
                </c:pt>
                <c:pt idx="3">
                  <c:v>29.883327458583011</c:v>
                </c:pt>
                <c:pt idx="4">
                  <c:v>104.90940766550523</c:v>
                </c:pt>
                <c:pt idx="5">
                  <c:v>1089.6197183098591</c:v>
                </c:pt>
                <c:pt idx="6">
                  <c:v>331.625</c:v>
                </c:pt>
                <c:pt idx="7">
                  <c:v>5651.9333333333334</c:v>
                </c:pt>
                <c:pt idx="8">
                  <c:v>41.102940507285389</c:v>
                </c:pt>
                <c:pt idx="9">
                  <c:v>-31.062242529852554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13-443E-B17E-797851C167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8058384"/>
        <c:axId val="568058800"/>
      </c:lineChart>
      <c:catAx>
        <c:axId val="568058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68058800"/>
        <c:crosses val="autoZero"/>
        <c:auto val="1"/>
        <c:lblAlgn val="ctr"/>
        <c:lblOffset val="100"/>
        <c:noMultiLvlLbl val="0"/>
      </c:catAx>
      <c:valAx>
        <c:axId val="56805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_ ;\-#,##0.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68058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Razones!$D$143</c:f>
              <c:strCache>
                <c:ptCount val="1"/>
                <c:pt idx="0">
                  <c:v>Rotacion de activos totales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Razones!$E$142:$N$142</c:f>
              <c:numCache>
                <c:formatCode>General</c:formatCod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numCache>
            </c:numRef>
          </c:cat>
          <c:val>
            <c:numRef>
              <c:f>Razones!$E$143:$N$143</c:f>
              <c:numCache>
                <c:formatCode>0.0%</c:formatCode>
                <c:ptCount val="10"/>
                <c:pt idx="0">
                  <c:v>1.0405983990793861</c:v>
                </c:pt>
                <c:pt idx="1">
                  <c:v>0.98435113443861255</c:v>
                </c:pt>
                <c:pt idx="2">
                  <c:v>0.86235077753474154</c:v>
                </c:pt>
                <c:pt idx="3">
                  <c:v>0.87682156191500582</c:v>
                </c:pt>
                <c:pt idx="4">
                  <c:v>0.96857106092774881</c:v>
                </c:pt>
                <c:pt idx="5">
                  <c:v>0.87175471017758943</c:v>
                </c:pt>
                <c:pt idx="6">
                  <c:v>0.67176801847425349</c:v>
                </c:pt>
                <c:pt idx="7">
                  <c:v>0.8361260417180334</c:v>
                </c:pt>
                <c:pt idx="8">
                  <c:v>0.85788415358507375</c:v>
                </c:pt>
                <c:pt idx="9">
                  <c:v>0.70233626694424944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0E-4255-A4A8-6AFBCBF7C2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9036448"/>
        <c:axId val="969039360"/>
      </c:lineChart>
      <c:catAx>
        <c:axId val="969036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69039360"/>
        <c:crosses val="autoZero"/>
        <c:auto val="1"/>
        <c:lblAlgn val="ctr"/>
        <c:lblOffset val="100"/>
        <c:noMultiLvlLbl val="0"/>
      </c:catAx>
      <c:valAx>
        <c:axId val="96903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69036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Ventas netas Curva de regresión ajustada</a:t>
            </a:r>
          </a:p>
        </c:rich>
      </c:tx>
      <c:layout>
        <c:manualLayout>
          <c:xMode val="edge"/>
          <c:yMode val="edge"/>
          <c:x val="8.7410109368623867E-2"/>
          <c:y val="0.91358702757878696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Costos de operación</c:v>
          </c:tx>
          <c:marker>
            <c:symbol val="none"/>
          </c:marker>
          <c:cat>
            <c:numRef>
              <c:f>Regresion!$AM$3:$AM$12</c:f>
              <c:numCache>
                <c:formatCode>_("$"* #,##0.00_);_("$"* \(#,##0.00\);_("$"* "-"??_);_(@_)</c:formatCode>
                <c:ptCount val="10"/>
                <c:pt idx="0">
                  <c:v>61490</c:v>
                </c:pt>
                <c:pt idx="1">
                  <c:v>70891</c:v>
                </c:pt>
                <c:pt idx="2">
                  <c:v>79244</c:v>
                </c:pt>
                <c:pt idx="3">
                  <c:v>84779</c:v>
                </c:pt>
                <c:pt idx="4">
                  <c:v>90327</c:v>
                </c:pt>
                <c:pt idx="5">
                  <c:v>77363</c:v>
                </c:pt>
                <c:pt idx="6">
                  <c:v>66325</c:v>
                </c:pt>
                <c:pt idx="7">
                  <c:v>84779</c:v>
                </c:pt>
                <c:pt idx="8">
                  <c:v>90327</c:v>
                </c:pt>
                <c:pt idx="9">
                  <c:v>77363</c:v>
                </c:pt>
              </c:numCache>
            </c:numRef>
          </c:cat>
          <c:val>
            <c:numRef>
              <c:f>Regresion!$AN$3:$AN$12</c:f>
              <c:numCache>
                <c:formatCode>_("$"* #,##0.00_);_("$"* \(#,##0.00\);_("$"* "-"??_);_(@_)</c:formatCode>
                <c:ptCount val="10"/>
                <c:pt idx="0">
                  <c:v>3587</c:v>
                </c:pt>
                <c:pt idx="1">
                  <c:v>4393</c:v>
                </c:pt>
                <c:pt idx="2">
                  <c:v>4957</c:v>
                </c:pt>
                <c:pt idx="3">
                  <c:v>5818</c:v>
                </c:pt>
                <c:pt idx="4">
                  <c:v>5746</c:v>
                </c:pt>
                <c:pt idx="5">
                  <c:v>5328</c:v>
                </c:pt>
                <c:pt idx="6">
                  <c:v>4980</c:v>
                </c:pt>
                <c:pt idx="7">
                  <c:v>5818</c:v>
                </c:pt>
                <c:pt idx="8">
                  <c:v>5746</c:v>
                </c:pt>
                <c:pt idx="9">
                  <c:v>5328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32-4846-BA49-7E68FACBBBC9}"/>
            </c:ext>
          </c:extLst>
        </c:ser>
        <c:ser>
          <c:idx val="1"/>
          <c:order val="1"/>
          <c:tx>
            <c:v>Pronóstico Costos de operación</c:v>
          </c:tx>
          <c:marker>
            <c:symbol val="none"/>
          </c:marker>
          <c:cat>
            <c:numRef>
              <c:f>Regresion!$AM$3:$AM$12</c:f>
              <c:numCache>
                <c:formatCode>_("$"* #,##0.00_);_("$"* \(#,##0.00\);_("$"* "-"??_);_(@_)</c:formatCode>
                <c:ptCount val="10"/>
                <c:pt idx="0">
                  <c:v>61490</c:v>
                </c:pt>
                <c:pt idx="1">
                  <c:v>70891</c:v>
                </c:pt>
                <c:pt idx="2">
                  <c:v>79244</c:v>
                </c:pt>
                <c:pt idx="3">
                  <c:v>84779</c:v>
                </c:pt>
                <c:pt idx="4">
                  <c:v>90327</c:v>
                </c:pt>
                <c:pt idx="5">
                  <c:v>77363</c:v>
                </c:pt>
                <c:pt idx="6">
                  <c:v>66325</c:v>
                </c:pt>
                <c:pt idx="7">
                  <c:v>84779</c:v>
                </c:pt>
                <c:pt idx="8">
                  <c:v>90327</c:v>
                </c:pt>
                <c:pt idx="9">
                  <c:v>77363</c:v>
                </c:pt>
              </c:numCache>
            </c:numRef>
          </c:cat>
          <c:val>
            <c:numRef>
              <c:f>Regresion!$AM$55:$AM$64</c:f>
              <c:numCache>
                <c:formatCode>General</c:formatCode>
                <c:ptCount val="10"/>
                <c:pt idx="0">
                  <c:v>4064.3142117445636</c:v>
                </c:pt>
                <c:pt idx="1">
                  <c:v>4683.1377107676699</c:v>
                </c:pt>
                <c:pt idx="2">
                  <c:v>5232.9763116973591</c:v>
                </c:pt>
                <c:pt idx="3">
                  <c:v>5597.3192610743281</c:v>
                </c:pt>
                <c:pt idx="4">
                  <c:v>5962.5179391490219</c:v>
                </c:pt>
                <c:pt idx="5">
                  <c:v>5109.1589516651857</c:v>
                </c:pt>
                <c:pt idx="6">
                  <c:v>4382.5794620133347</c:v>
                </c:pt>
                <c:pt idx="7">
                  <c:v>5597.3192610743281</c:v>
                </c:pt>
                <c:pt idx="8">
                  <c:v>5962.5179391490219</c:v>
                </c:pt>
                <c:pt idx="9">
                  <c:v>5109.1589516651857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32-4846-BA49-7E68FACBBB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4874544"/>
        <c:axId val="1014861232"/>
      </c:lineChart>
      <c:catAx>
        <c:axId val="1014874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Ventas netas</a:t>
                </a:r>
              </a:p>
            </c:rich>
          </c:tx>
          <c:overlay val="0"/>
        </c:title>
        <c:numFmt formatCode="_(&quot;$&quot;* #,##0.00_);_(&quot;$&quot;* \(#,##0.00\);_(&quot;$&quot;* &quot;-&quot;??_);_(@_)" sourceLinked="1"/>
        <c:majorTickMark val="out"/>
        <c:minorTickMark val="none"/>
        <c:tickLblPos val="nextTo"/>
        <c:crossAx val="1014861232"/>
        <c:crosses val="autoZero"/>
        <c:auto val="1"/>
        <c:lblAlgn val="ctr"/>
        <c:lblOffset val="100"/>
        <c:noMultiLvlLbl val="0"/>
      </c:catAx>
      <c:valAx>
        <c:axId val="10148612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Costos de operación</a:t>
                </a:r>
              </a:p>
            </c:rich>
          </c:tx>
          <c:overlay val="0"/>
        </c:title>
        <c:numFmt formatCode="_(&quot;$&quot;* #,##0.00_);_(&quot;$&quot;* \(#,##0.00\);_(&quot;$&quot;* &quot;-&quot;??_);_(@_)" sourceLinked="1"/>
        <c:majorTickMark val="out"/>
        <c:minorTickMark val="none"/>
        <c:tickLblPos val="nextTo"/>
        <c:crossAx val="101487454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Razones!$D$152</c:f>
              <c:strCache>
                <c:ptCount val="1"/>
                <c:pt idx="0">
                  <c:v>Margen de utilidad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Razones!$E$151:$N$151</c:f>
              <c:numCache>
                <c:formatCode>General</c:formatCod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numCache>
            </c:numRef>
          </c:cat>
          <c:val>
            <c:numRef>
              <c:f>Razones!$E$152:$N$152</c:f>
              <c:numCache>
                <c:formatCode>0.00%</c:formatCode>
                <c:ptCount val="10"/>
                <c:pt idx="0">
                  <c:v>5.5114652789071392E-2</c:v>
                </c:pt>
                <c:pt idx="1">
                  <c:v>6.4874243557010061E-2</c:v>
                </c:pt>
                <c:pt idx="2">
                  <c:v>6.8270152945333396E-2</c:v>
                </c:pt>
                <c:pt idx="3">
                  <c:v>4.3536724896495592E-2</c:v>
                </c:pt>
                <c:pt idx="4">
                  <c:v>3.8349552182625347E-2</c:v>
                </c:pt>
                <c:pt idx="5">
                  <c:v>3.2224706901231852E-2</c:v>
                </c:pt>
                <c:pt idx="6">
                  <c:v>-1.4067093856012063E-2</c:v>
                </c:pt>
                <c:pt idx="7">
                  <c:v>4.3536724896495592E-2</c:v>
                </c:pt>
                <c:pt idx="8">
                  <c:v>3.8349552182625347E-2</c:v>
                </c:pt>
                <c:pt idx="9">
                  <c:v>3.2224706901231852E-2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43-4773-9AC8-B9A69E31EB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5545872"/>
        <c:axId val="925562096"/>
      </c:lineChart>
      <c:catAx>
        <c:axId val="925545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25562096"/>
        <c:crosses val="autoZero"/>
        <c:auto val="1"/>
        <c:lblAlgn val="ctr"/>
        <c:lblOffset val="100"/>
        <c:noMultiLvlLbl val="0"/>
      </c:catAx>
      <c:valAx>
        <c:axId val="92556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25545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Razones!$D$158</c:f>
              <c:strCache>
                <c:ptCount val="1"/>
                <c:pt idx="0">
                  <c:v>Rendimiento sobre los Activos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Razones!$E$157:$N$157</c:f>
              <c:numCache>
                <c:formatCode>General</c:formatCod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numCache>
            </c:numRef>
          </c:cat>
          <c:val>
            <c:numRef>
              <c:f>Razones!$E$158:$N$158</c:f>
              <c:numCache>
                <c:formatCode>0.00%</c:formatCode>
                <c:ptCount val="10"/>
                <c:pt idx="0">
                  <c:v>5.735221945812391E-2</c:v>
                </c:pt>
                <c:pt idx="1">
                  <c:v>6.3859035241189702E-2</c:v>
                </c:pt>
                <c:pt idx="2">
                  <c:v>5.8872819474823979E-2</c:v>
                </c:pt>
                <c:pt idx="3">
                  <c:v>3.8173939124409188E-2</c:v>
                </c:pt>
                <c:pt idx="4">
                  <c:v>3.7144266443629503E-2</c:v>
                </c:pt>
                <c:pt idx="5">
                  <c:v>2.8092040025241145E-2</c:v>
                </c:pt>
                <c:pt idx="6">
                  <c:v>-9.4498237653445685E-3</c:v>
                </c:pt>
                <c:pt idx="7">
                  <c:v>3.6402189457073818E-2</c:v>
                </c:pt>
                <c:pt idx="8">
                  <c:v>3.2899473114558167E-2</c:v>
                </c:pt>
                <c:pt idx="9">
                  <c:v>2.2632580348383773E-2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B6-4C41-A452-CC21A0ACBB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910240"/>
        <c:axId val="182910656"/>
      </c:lineChart>
      <c:catAx>
        <c:axId val="182910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2910656"/>
        <c:crosses val="autoZero"/>
        <c:auto val="1"/>
        <c:lblAlgn val="ctr"/>
        <c:lblOffset val="100"/>
        <c:noMultiLvlLbl val="0"/>
      </c:catAx>
      <c:valAx>
        <c:axId val="18291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2910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Razones!$D$164</c:f>
              <c:strCache>
                <c:ptCount val="1"/>
                <c:pt idx="0">
                  <c:v>Rendimiento sobre el capital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Razones!$E$163:$N$163</c:f>
              <c:numCache>
                <c:formatCode>General</c:formatCod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numCache>
            </c:numRef>
          </c:cat>
          <c:val>
            <c:numRef>
              <c:f>Razones!$E$164:$N$164</c:f>
              <c:numCache>
                <c:formatCode>0.00%</c:formatCode>
                <c:ptCount val="10"/>
                <c:pt idx="0">
                  <c:v>0.15764257140199089</c:v>
                </c:pt>
                <c:pt idx="1">
                  <c:v>0.16460861161816814</c:v>
                </c:pt>
                <c:pt idx="2">
                  <c:v>0.14593617652612553</c:v>
                </c:pt>
                <c:pt idx="3">
                  <c:v>9.6062254378887643E-2</c:v>
                </c:pt>
                <c:pt idx="4">
                  <c:v>9.5945047640150674E-2</c:v>
                </c:pt>
                <c:pt idx="5">
                  <c:v>7.3336471141966231E-2</c:v>
                </c:pt>
                <c:pt idx="6">
                  <c:v>-2.6157900639228439E-2</c:v>
                </c:pt>
                <c:pt idx="7">
                  <c:v>0.10393377073184468</c:v>
                </c:pt>
                <c:pt idx="8">
                  <c:v>0.10023229354867458</c:v>
                </c:pt>
                <c:pt idx="9">
                  <c:v>7.0398711418371659E-2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E4-4DB6-B9E0-C7D7E85ED7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5690368"/>
        <c:axId val="555687872"/>
      </c:lineChart>
      <c:catAx>
        <c:axId val="555690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55687872"/>
        <c:crosses val="autoZero"/>
        <c:auto val="1"/>
        <c:lblAlgn val="ctr"/>
        <c:lblOffset val="100"/>
        <c:noMultiLvlLbl val="0"/>
      </c:catAx>
      <c:valAx>
        <c:axId val="55568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55690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ventas y costo de ventas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FCD!$D$7</c:f>
              <c:strCache>
                <c:ptCount val="1"/>
                <c:pt idx="0">
                  <c:v>Ventas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FCD!$E$6:$V$6</c:f>
              <c:numCache>
                <c:formatCode>General</c:formatCode>
                <c:ptCount val="18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</c:numCache>
            </c:numRef>
          </c:cat>
          <c:val>
            <c:numRef>
              <c:f>FCD!$E$7:$V$7</c:f>
              <c:numCache>
                <c:formatCode>_-"$"* #,##0.0_-;\-"$"* #,##0.0_-;_-"$"* "-"??_-;_-@_-</c:formatCode>
                <c:ptCount val="18"/>
                <c:pt idx="0">
                  <c:v>61490</c:v>
                </c:pt>
                <c:pt idx="1">
                  <c:v>70891</c:v>
                </c:pt>
                <c:pt idx="2">
                  <c:v>79244</c:v>
                </c:pt>
                <c:pt idx="3">
                  <c:v>84779</c:v>
                </c:pt>
                <c:pt idx="4">
                  <c:v>90327</c:v>
                </c:pt>
                <c:pt idx="5">
                  <c:v>77363</c:v>
                </c:pt>
                <c:pt idx="6">
                  <c:v>66325</c:v>
                </c:pt>
                <c:pt idx="7">
                  <c:v>84779</c:v>
                </c:pt>
                <c:pt idx="8">
                  <c:v>90327</c:v>
                </c:pt>
                <c:pt idx="9">
                  <c:v>77363</c:v>
                </c:pt>
                <c:pt idx="10">
                  <c:v>86230.733333333395</c:v>
                </c:pt>
                <c:pt idx="11">
                  <c:v>87674.721212121192</c:v>
                </c:pt>
                <c:pt idx="12">
                  <c:v>89118.709090908989</c:v>
                </c:pt>
                <c:pt idx="13">
                  <c:v>90562.696969696786</c:v>
                </c:pt>
                <c:pt idx="14">
                  <c:v>92006.684848484583</c:v>
                </c:pt>
                <c:pt idx="15">
                  <c:v>93450.672727272846</c:v>
                </c:pt>
                <c:pt idx="16">
                  <c:v>94894.660606060643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DF-4B60-B801-BF12763EE427}"/>
            </c:ext>
          </c:extLst>
        </c:ser>
        <c:ser>
          <c:idx val="1"/>
          <c:order val="1"/>
          <c:tx>
            <c:strRef>
              <c:f>FCD!$D$8</c:f>
              <c:strCache>
                <c:ptCount val="1"/>
                <c:pt idx="0">
                  <c:v>Costo de ventas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FCD!$E$6:$V$6</c:f>
              <c:numCache>
                <c:formatCode>General</c:formatCode>
                <c:ptCount val="18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</c:numCache>
            </c:numRef>
          </c:cat>
          <c:val>
            <c:numRef>
              <c:f>FCD!$E$8:$V$8</c:f>
              <c:numCache>
                <c:formatCode>_-"$"* #,##0.0_-;\-"$"* #,##0.0_-;_-"$"* "-"??_-;_-@_-</c:formatCode>
                <c:ptCount val="18"/>
                <c:pt idx="0">
                  <c:v>52456</c:v>
                </c:pt>
                <c:pt idx="1">
                  <c:v>59143</c:v>
                </c:pt>
                <c:pt idx="2">
                  <c:v>65345</c:v>
                </c:pt>
                <c:pt idx="3">
                  <c:v>71812</c:v>
                </c:pt>
                <c:pt idx="4">
                  <c:v>76878</c:v>
                </c:pt>
                <c:pt idx="5">
                  <c:v>66276</c:v>
                </c:pt>
                <c:pt idx="6">
                  <c:v>58343</c:v>
                </c:pt>
                <c:pt idx="7">
                  <c:v>71812</c:v>
                </c:pt>
                <c:pt idx="8">
                  <c:v>76878</c:v>
                </c:pt>
                <c:pt idx="9">
                  <c:v>66276</c:v>
                </c:pt>
                <c:pt idx="10">
                  <c:v>73066.868575808752</c:v>
                </c:pt>
                <c:pt idx="11">
                  <c:v>74256.862862319365</c:v>
                </c:pt>
                <c:pt idx="12">
                  <c:v>75446.857148829979</c:v>
                </c:pt>
                <c:pt idx="13">
                  <c:v>76636.851435340577</c:v>
                </c:pt>
                <c:pt idx="14">
                  <c:v>77826.84572185119</c:v>
                </c:pt>
                <c:pt idx="15">
                  <c:v>79016.840008362182</c:v>
                </c:pt>
                <c:pt idx="16">
                  <c:v>80206.834294872795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DF-4B60-B801-BF12763EE4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4297040"/>
        <c:axId val="544230064"/>
      </c:lineChart>
      <c:catAx>
        <c:axId val="544297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44230064"/>
        <c:crosses val="autoZero"/>
        <c:auto val="1"/>
        <c:lblAlgn val="ctr"/>
        <c:lblOffset val="100"/>
        <c:noMultiLvlLbl val="0"/>
      </c:catAx>
      <c:valAx>
        <c:axId val="54423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$&quot;* #,##0.0_-;\-&quot;$&quot;* #,##0.0_-;_-&quot;$&quot;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44297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FCD!$D$20</c:f>
              <c:strCache>
                <c:ptCount val="1"/>
                <c:pt idx="0">
                  <c:v>Efectivo (disponibilidades)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FCD!$E$19:$U$19</c:f>
              <c:numCache>
                <c:formatCode>General</c:formatCode>
                <c:ptCount val="1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</c:numCache>
            </c:numRef>
          </c:cat>
          <c:val>
            <c:numRef>
              <c:f>FCD!$E$20:$U$20</c:f>
              <c:numCache>
                <c:formatCode>_("$"* #,##0.00_);_("$"* \(#,##0.00\);_("$"* "-"??_);_(@_)</c:formatCode>
                <c:ptCount val="17"/>
                <c:pt idx="0">
                  <c:v>976</c:v>
                </c:pt>
                <c:pt idx="1">
                  <c:v>1793</c:v>
                </c:pt>
                <c:pt idx="2">
                  <c:v>2661</c:v>
                </c:pt>
                <c:pt idx="3">
                  <c:v>3757</c:v>
                </c:pt>
                <c:pt idx="4">
                  <c:v>3555</c:v>
                </c:pt>
                <c:pt idx="5">
                  <c:v>5883</c:v>
                </c:pt>
                <c:pt idx="6">
                  <c:v>8720</c:v>
                </c:pt>
                <c:pt idx="7">
                  <c:v>5799</c:v>
                </c:pt>
                <c:pt idx="8">
                  <c:v>8331.08</c:v>
                </c:pt>
                <c:pt idx="9">
                  <c:v>6452.12</c:v>
                </c:pt>
                <c:pt idx="10" formatCode="#,##0">
                  <c:v>6999.1672923643027</c:v>
                </c:pt>
                <c:pt idx="11" formatCode="#,##0">
                  <c:v>7592.5963538344367</c:v>
                </c:pt>
                <c:pt idx="12" formatCode="#,##0">
                  <c:v>8236.3396936018635</c:v>
                </c:pt>
                <c:pt idx="13" formatCode="#,##0">
                  <c:v>8934.6632412695344</c:v>
                </c:pt>
                <c:pt idx="14" formatCode="#,##0">
                  <c:v>9692.1946161235919</c:v>
                </c:pt>
                <c:pt idx="15" formatCode="#,##0">
                  <c:v>10513.953793234106</c:v>
                </c:pt>
                <c:pt idx="16" formatCode="#,##0">
                  <c:v>11405.386369601581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E9-4C7F-BA91-3737CB1F43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7066064"/>
        <c:axId val="977145936"/>
      </c:lineChart>
      <c:catAx>
        <c:axId val="977066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77145936"/>
        <c:crosses val="autoZero"/>
        <c:auto val="1"/>
        <c:lblAlgn val="ctr"/>
        <c:lblOffset val="100"/>
        <c:noMultiLvlLbl val="0"/>
      </c:catAx>
      <c:valAx>
        <c:axId val="97714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77066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FCD!$D$21</c:f>
              <c:strCache>
                <c:ptCount val="1"/>
                <c:pt idx="0">
                  <c:v>Clientes (cuentas por cobrar)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FCD!$E$21:$U$21</c:f>
              <c:numCache>
                <c:formatCode>_("$"* #,##0.00_);_("$"* \(#,##0.00\);_("$"* "-"??_);_(@_)</c:formatCode>
                <c:ptCount val="17"/>
                <c:pt idx="0">
                  <c:v>6902</c:v>
                </c:pt>
                <c:pt idx="1">
                  <c:v>10720</c:v>
                </c:pt>
                <c:pt idx="2">
                  <c:v>11581</c:v>
                </c:pt>
                <c:pt idx="3">
                  <c:v>11406</c:v>
                </c:pt>
                <c:pt idx="4">
                  <c:v>10247</c:v>
                </c:pt>
                <c:pt idx="5">
                  <c:v>7860</c:v>
                </c:pt>
                <c:pt idx="6">
                  <c:v>9229</c:v>
                </c:pt>
                <c:pt idx="7">
                  <c:v>10389</c:v>
                </c:pt>
                <c:pt idx="8">
                  <c:v>12717.46</c:v>
                </c:pt>
                <c:pt idx="9">
                  <c:v>12113.16</c:v>
                </c:pt>
                <c:pt idx="10" formatCode="#,##0">
                  <c:v>13953.817486545702</c:v>
                </c:pt>
                <c:pt idx="11" formatCode="#,##0">
                  <c:v>13727.724183366958</c:v>
                </c:pt>
                <c:pt idx="12" formatCode="#,##0">
                  <c:v>13953.817486545702</c:v>
                </c:pt>
                <c:pt idx="13" formatCode="#,##0">
                  <c:v>14179.910789724447</c:v>
                </c:pt>
                <c:pt idx="14" formatCode="#,##0">
                  <c:v>14406.004092903191</c:v>
                </c:pt>
                <c:pt idx="15" formatCode="#,##0">
                  <c:v>14632.097396082007</c:v>
                </c:pt>
                <c:pt idx="16" formatCode="#,##0">
                  <c:v>14858.190699260751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A0-4EC1-AD9E-95A2266354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413040"/>
        <c:axId val="176416784"/>
      </c:lineChart>
      <c:catAx>
        <c:axId val="1764130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6416784"/>
        <c:crosses val="autoZero"/>
        <c:auto val="1"/>
        <c:lblAlgn val="ctr"/>
        <c:lblOffset val="100"/>
        <c:noMultiLvlLbl val="0"/>
      </c:catAx>
      <c:valAx>
        <c:axId val="17641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6413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FCD!$D$22</c:f>
              <c:strCache>
                <c:ptCount val="1"/>
                <c:pt idx="0">
                  <c:v>Inventarios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FCD!$E$22:$U$22</c:f>
              <c:numCache>
                <c:formatCode>_("$"* #,##0.00_);_("$"* \(#,##0.00\);_("$"* "-"??_);_(@_)</c:formatCode>
                <c:ptCount val="17"/>
                <c:pt idx="0">
                  <c:v>8472</c:v>
                </c:pt>
                <c:pt idx="1">
                  <c:v>8667</c:v>
                </c:pt>
                <c:pt idx="2">
                  <c:v>11784</c:v>
                </c:pt>
                <c:pt idx="3">
                  <c:v>12694</c:v>
                </c:pt>
                <c:pt idx="4">
                  <c:v>12518</c:v>
                </c:pt>
                <c:pt idx="5">
                  <c:v>11146</c:v>
                </c:pt>
                <c:pt idx="6">
                  <c:v>12630</c:v>
                </c:pt>
                <c:pt idx="7">
                  <c:v>16995</c:v>
                </c:pt>
                <c:pt idx="8">
                  <c:v>16927.5</c:v>
                </c:pt>
                <c:pt idx="9">
                  <c:v>18080.98</c:v>
                </c:pt>
                <c:pt idx="10" formatCode="#,##0">
                  <c:v>20582.912595371661</c:v>
                </c:pt>
                <c:pt idx="11" formatCode="#,##0">
                  <c:v>20258.266224219016</c:v>
                </c:pt>
                <c:pt idx="12" formatCode="#,##0">
                  <c:v>20582.912595371661</c:v>
                </c:pt>
                <c:pt idx="13" formatCode="#,##0">
                  <c:v>20907.558966524299</c:v>
                </c:pt>
                <c:pt idx="14" formatCode="#,##0">
                  <c:v>21232.205337676944</c:v>
                </c:pt>
                <c:pt idx="15" formatCode="#,##0">
                  <c:v>21556.851708829694</c:v>
                </c:pt>
                <c:pt idx="16" formatCode="#,##0">
                  <c:v>21881.498079982335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59-4BB0-8258-1B338D59F0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223024"/>
        <c:axId val="93385840"/>
      </c:lineChart>
      <c:catAx>
        <c:axId val="21342230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3385840"/>
        <c:crosses val="autoZero"/>
        <c:auto val="1"/>
        <c:lblAlgn val="ctr"/>
        <c:lblOffset val="100"/>
        <c:noMultiLvlLbl val="0"/>
      </c:catAx>
      <c:valAx>
        <c:axId val="9338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134223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FCD!$D$41</c:f>
              <c:strCache>
                <c:ptCount val="1"/>
                <c:pt idx="0">
                  <c:v>Proveedores (CxP)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FCD!$E$41:$X$41</c:f>
              <c:numCache>
                <c:formatCode>_("$"* #,##0.00_);_("$"* \(#,##0.00\);_("$"* "-"??_);_(@_)</c:formatCode>
                <c:ptCount val="20"/>
                <c:pt idx="0">
                  <c:v>12737</c:v>
                </c:pt>
                <c:pt idx="1">
                  <c:v>16515</c:v>
                </c:pt>
                <c:pt idx="2">
                  <c:v>18894</c:v>
                </c:pt>
                <c:pt idx="3">
                  <c:v>22949</c:v>
                </c:pt>
                <c:pt idx="4">
                  <c:v>22480</c:v>
                </c:pt>
                <c:pt idx="5">
                  <c:v>21166</c:v>
                </c:pt>
                <c:pt idx="6">
                  <c:v>24985</c:v>
                </c:pt>
                <c:pt idx="7">
                  <c:v>28186</c:v>
                </c:pt>
                <c:pt idx="8">
                  <c:v>31543.32</c:v>
                </c:pt>
                <c:pt idx="9">
                  <c:v>32041.119999999999</c:v>
                </c:pt>
                <c:pt idx="10" formatCode="#,##0">
                  <c:v>36474.769200442381</c:v>
                </c:pt>
                <c:pt idx="11" formatCode="#,##0">
                  <c:v>35899.466681681428</c:v>
                </c:pt>
                <c:pt idx="12" formatCode="#,##0">
                  <c:v>36474.769200442381</c:v>
                </c:pt>
                <c:pt idx="13" formatCode="#,##0">
                  <c:v>37050.071719203326</c:v>
                </c:pt>
                <c:pt idx="14" formatCode="#,##0">
                  <c:v>37625.374237964279</c:v>
                </c:pt>
                <c:pt idx="15" formatCode="#,##0">
                  <c:v>38200.676756725414</c:v>
                </c:pt>
                <c:pt idx="16" formatCode="#,##0">
                  <c:v>38775.979275486367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59-40FB-A4E0-BBF4FA36FF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9692096"/>
        <c:axId val="979694176"/>
      </c:lineChart>
      <c:catAx>
        <c:axId val="9796920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79694176"/>
        <c:crosses val="autoZero"/>
        <c:auto val="1"/>
        <c:lblAlgn val="ctr"/>
        <c:lblOffset val="100"/>
        <c:noMultiLvlLbl val="0"/>
      </c:catAx>
      <c:valAx>
        <c:axId val="97969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79692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FCD!$M$60</c:f>
              <c:strCache>
                <c:ptCount val="1"/>
                <c:pt idx="0">
                  <c:v>AC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FCD!$N$59:$U$59</c:f>
              <c:numCache>
                <c:formatCode>General</c:formatCode>
                <c:ptCount val="8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</c:numCache>
            </c:numRef>
          </c:cat>
          <c:val>
            <c:numRef>
              <c:f>FCD!$N$60:$U$60</c:f>
              <c:numCache>
                <c:formatCode>#,##0</c:formatCode>
                <c:ptCount val="8"/>
                <c:pt idx="0">
                  <c:v>36646.26</c:v>
                </c:pt>
                <c:pt idx="1">
                  <c:v>41535.897374281667</c:v>
                </c:pt>
                <c:pt idx="2">
                  <c:v>41578.586761420411</c:v>
                </c:pt>
                <c:pt idx="3">
                  <c:v>42773.069775519223</c:v>
                </c:pt>
                <c:pt idx="4">
                  <c:v>44022.132997518274</c:v>
                </c:pt>
                <c:pt idx="5">
                  <c:v>45330.404046703727</c:v>
                </c:pt>
                <c:pt idx="6">
                  <c:v>46702.902898145803</c:v>
                </c:pt>
                <c:pt idx="7">
                  <c:v>48145.075148844669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3D-4A46-AB66-6EC7A4632058}"/>
            </c:ext>
          </c:extLst>
        </c:ser>
        <c:ser>
          <c:idx val="1"/>
          <c:order val="1"/>
          <c:tx>
            <c:strRef>
              <c:f>FCD!$M$61</c:f>
              <c:strCache>
                <c:ptCount val="1"/>
                <c:pt idx="0">
                  <c:v>PC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FCD!$N$59:$U$59</c:f>
              <c:numCache>
                <c:formatCode>General</c:formatCode>
                <c:ptCount val="8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</c:numCache>
            </c:numRef>
          </c:cat>
          <c:val>
            <c:numRef>
              <c:f>FCD!$N$61:$U$61</c:f>
              <c:numCache>
                <c:formatCode>#,##0</c:formatCode>
                <c:ptCount val="8"/>
                <c:pt idx="0">
                  <c:v>32041.119999999999</c:v>
                </c:pt>
                <c:pt idx="1">
                  <c:v>36474.769200442381</c:v>
                </c:pt>
                <c:pt idx="2">
                  <c:v>35899.466681681428</c:v>
                </c:pt>
                <c:pt idx="3">
                  <c:v>36474.769200442381</c:v>
                </c:pt>
                <c:pt idx="4">
                  <c:v>37050.071719203326</c:v>
                </c:pt>
                <c:pt idx="5">
                  <c:v>37625.374237964279</c:v>
                </c:pt>
                <c:pt idx="6">
                  <c:v>38200.676756725414</c:v>
                </c:pt>
                <c:pt idx="7">
                  <c:v>38775.979275486367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3D-4A46-AB66-6EC7A46320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3339008"/>
        <c:axId val="973343584"/>
      </c:lineChart>
      <c:catAx>
        <c:axId val="97333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73343584"/>
        <c:crosses val="autoZero"/>
        <c:auto val="1"/>
        <c:lblAlgn val="ctr"/>
        <c:lblOffset val="100"/>
        <c:noMultiLvlLbl val="0"/>
      </c:catAx>
      <c:valAx>
        <c:axId val="97334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73339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198399562904731"/>
          <c:y val="4.9773755656108594E-2"/>
          <c:w val="0.803016009839018"/>
          <c:h val="0.8124288310115082"/>
        </c:manualLayout>
      </c:layout>
      <c:lineChart>
        <c:grouping val="standard"/>
        <c:varyColors val="0"/>
        <c:ser>
          <c:idx val="1"/>
          <c:order val="0"/>
          <c:tx>
            <c:v>Costos de venta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Regresion!$X$3:$X$22</c:f>
              <c:numCache>
                <c:formatCode>General</c:formatCode>
                <c:ptCount val="2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</c:numCache>
            </c:numRef>
          </c:cat>
          <c:val>
            <c:numRef>
              <c:f>Regresion!$Y$3:$Y$22</c:f>
              <c:numCache>
                <c:formatCode>_("$"* #,##0.00_);_("$"* \(#,##0.00\);_("$"* "-"??_);_(@_)</c:formatCode>
                <c:ptCount val="20"/>
                <c:pt idx="0">
                  <c:v>52456</c:v>
                </c:pt>
                <c:pt idx="1">
                  <c:v>59143</c:v>
                </c:pt>
                <c:pt idx="2">
                  <c:v>65345</c:v>
                </c:pt>
                <c:pt idx="3">
                  <c:v>71812</c:v>
                </c:pt>
                <c:pt idx="4">
                  <c:v>76878</c:v>
                </c:pt>
                <c:pt idx="5">
                  <c:v>66276</c:v>
                </c:pt>
                <c:pt idx="6">
                  <c:v>58343</c:v>
                </c:pt>
                <c:pt idx="7">
                  <c:v>71812</c:v>
                </c:pt>
                <c:pt idx="8">
                  <c:v>76878</c:v>
                </c:pt>
                <c:pt idx="9">
                  <c:v>66276</c:v>
                </c:pt>
                <c:pt idx="10">
                  <c:v>73066.868575808752</c:v>
                </c:pt>
                <c:pt idx="11">
                  <c:v>74256.862862319365</c:v>
                </c:pt>
                <c:pt idx="12">
                  <c:v>75446.857148829979</c:v>
                </c:pt>
                <c:pt idx="13">
                  <c:v>76636.851435340577</c:v>
                </c:pt>
                <c:pt idx="14">
                  <c:v>77826.84572185119</c:v>
                </c:pt>
                <c:pt idx="15">
                  <c:v>79016.840008362182</c:v>
                </c:pt>
                <c:pt idx="16">
                  <c:v>80206.834294872795</c:v>
                </c:pt>
                <c:pt idx="17">
                  <c:v>81396.828581383408</c:v>
                </c:pt>
                <c:pt idx="18">
                  <c:v>82586.822867894007</c:v>
                </c:pt>
                <c:pt idx="19">
                  <c:v>83776.81715440462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534-49F3-9904-CD09DE88EF5A}"/>
            </c:ext>
          </c:extLst>
        </c:ser>
        <c:ser>
          <c:idx val="0"/>
          <c:order val="1"/>
          <c:tx>
            <c:strRef>
              <c:f>Regresion!$Z$2</c:f>
              <c:strCache>
                <c:ptCount val="1"/>
                <c:pt idx="0">
                  <c:v>Costo de ventas Estimado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Regresion!$X$3:$X$22</c:f>
              <c:numCache>
                <c:formatCode>General</c:formatCode>
                <c:ptCount val="2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</c:numCache>
            </c:numRef>
          </c:cat>
          <c:val>
            <c:numRef>
              <c:f>Regresion!$Z$3:$Z$22</c:f>
              <c:numCache>
                <c:formatCode>_("$"* #,##0.00_);_("$"* \(#,##0.00\);_("$"* "-"??_);_(@_)</c:formatCode>
                <c:ptCount val="20"/>
                <c:pt idx="0">
                  <c:v>52677.963832740701</c:v>
                </c:pt>
                <c:pt idx="1">
                  <c:v>60425.353164621818</c:v>
                </c:pt>
                <c:pt idx="2">
                  <c:v>67309.082883715862</c:v>
                </c:pt>
                <c:pt idx="3">
                  <c:v>71870.491239418654</c:v>
                </c:pt>
                <c:pt idx="4">
                  <c:v>76442.612930012896</c:v>
                </c:pt>
                <c:pt idx="5">
                  <c:v>65758.945735192465</c:v>
                </c:pt>
                <c:pt idx="6">
                  <c:v>56662.500309673494</c:v>
                </c:pt>
                <c:pt idx="7">
                  <c:v>71870.491239418654</c:v>
                </c:pt>
                <c:pt idx="8">
                  <c:v>76442.612930012896</c:v>
                </c:pt>
                <c:pt idx="9">
                  <c:v>65758.945735192465</c:v>
                </c:pt>
                <c:pt idx="10">
                  <c:v>73066.868575808752</c:v>
                </c:pt>
                <c:pt idx="11">
                  <c:v>74256.862862319365</c:v>
                </c:pt>
                <c:pt idx="12">
                  <c:v>75446.857148829979</c:v>
                </c:pt>
                <c:pt idx="13">
                  <c:v>76636.851435340577</c:v>
                </c:pt>
                <c:pt idx="14">
                  <c:v>77826.84572185119</c:v>
                </c:pt>
                <c:pt idx="15">
                  <c:v>79016.840008362182</c:v>
                </c:pt>
                <c:pt idx="16">
                  <c:v>80206.834294872795</c:v>
                </c:pt>
                <c:pt idx="17">
                  <c:v>81396.828581383408</c:v>
                </c:pt>
                <c:pt idx="18">
                  <c:v>82586.822867894007</c:v>
                </c:pt>
                <c:pt idx="19">
                  <c:v>83776.81715440462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34-49F3-9904-CD09DE88EF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3854224"/>
        <c:axId val="1353847152"/>
      </c:lineChart>
      <c:catAx>
        <c:axId val="1353854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53847152"/>
        <c:crosses val="autoZero"/>
        <c:auto val="1"/>
        <c:lblAlgn val="ctr"/>
        <c:lblOffset val="100"/>
        <c:noMultiLvlLbl val="0"/>
      </c:catAx>
      <c:valAx>
        <c:axId val="135384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53854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Regresion!$AT$2</c:f>
              <c:strCache>
                <c:ptCount val="1"/>
                <c:pt idx="0">
                  <c:v>Costos de operación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Regresion!$AT$3:$AT$22</c:f>
              <c:numCache>
                <c:formatCode>_("$"* #,##0.00_);_("$"* \(#,##0.00\);_("$"* "-"??_);_(@_)</c:formatCode>
                <c:ptCount val="20"/>
                <c:pt idx="0">
                  <c:v>3587</c:v>
                </c:pt>
                <c:pt idx="1">
                  <c:v>4393</c:v>
                </c:pt>
                <c:pt idx="2">
                  <c:v>4957</c:v>
                </c:pt>
                <c:pt idx="3">
                  <c:v>5818</c:v>
                </c:pt>
                <c:pt idx="4">
                  <c:v>5746</c:v>
                </c:pt>
                <c:pt idx="5">
                  <c:v>5328</c:v>
                </c:pt>
                <c:pt idx="6">
                  <c:v>4980</c:v>
                </c:pt>
                <c:pt idx="7">
                  <c:v>5818</c:v>
                </c:pt>
                <c:pt idx="8">
                  <c:v>5746</c:v>
                </c:pt>
                <c:pt idx="9">
                  <c:v>5328</c:v>
                </c:pt>
                <c:pt idx="10">
                  <c:v>5692.88002067244</c:v>
                </c:pt>
                <c:pt idx="11">
                  <c:v>5787.9309335219687</c:v>
                </c:pt>
                <c:pt idx="12">
                  <c:v>5882.9818463714973</c:v>
                </c:pt>
                <c:pt idx="13">
                  <c:v>5978.032759221026</c:v>
                </c:pt>
                <c:pt idx="14">
                  <c:v>6073.0836720705538</c:v>
                </c:pt>
                <c:pt idx="15">
                  <c:v>6168.1345849201134</c:v>
                </c:pt>
                <c:pt idx="16">
                  <c:v>6263.1854977696421</c:v>
                </c:pt>
                <c:pt idx="17">
                  <c:v>6358.2364106191708</c:v>
                </c:pt>
                <c:pt idx="18">
                  <c:v>6453.2873234686986</c:v>
                </c:pt>
                <c:pt idx="19">
                  <c:v>6548.3382363182272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80-41BC-A1BA-229F81C1F4E8}"/>
            </c:ext>
          </c:extLst>
        </c:ser>
        <c:ser>
          <c:idx val="1"/>
          <c:order val="1"/>
          <c:tx>
            <c:strRef>
              <c:f>Regresion!$AU$2</c:f>
              <c:strCache>
                <c:ptCount val="1"/>
                <c:pt idx="0">
                  <c:v>costos de operación EstimAdos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Regresion!$AU$3:$AU$22</c:f>
              <c:numCache>
                <c:formatCode>_("$"* #,##0.00_);_("$"* \(#,##0.00\);_("$"* "-"??_);_(@_)</c:formatCode>
                <c:ptCount val="20"/>
                <c:pt idx="0">
                  <c:v>4064.3142117445636</c:v>
                </c:pt>
                <c:pt idx="1">
                  <c:v>4683.1377107676699</c:v>
                </c:pt>
                <c:pt idx="2">
                  <c:v>5232.9763116973591</c:v>
                </c:pt>
                <c:pt idx="3">
                  <c:v>5597.3192610743281</c:v>
                </c:pt>
                <c:pt idx="4">
                  <c:v>5962.5179391490219</c:v>
                </c:pt>
                <c:pt idx="5">
                  <c:v>5109.1589516651857</c:v>
                </c:pt>
                <c:pt idx="6">
                  <c:v>4382.5794620133347</c:v>
                </c:pt>
                <c:pt idx="7">
                  <c:v>5597.3192610743281</c:v>
                </c:pt>
                <c:pt idx="8">
                  <c:v>5962.5179391490219</c:v>
                </c:pt>
                <c:pt idx="9">
                  <c:v>5109.1589516651857</c:v>
                </c:pt>
                <c:pt idx="10">
                  <c:v>5692.88002067244</c:v>
                </c:pt>
                <c:pt idx="11">
                  <c:v>5787.9309335219687</c:v>
                </c:pt>
                <c:pt idx="12">
                  <c:v>5882.9818463714973</c:v>
                </c:pt>
                <c:pt idx="13">
                  <c:v>5978.032759221026</c:v>
                </c:pt>
                <c:pt idx="14">
                  <c:v>6073.0836720705538</c:v>
                </c:pt>
                <c:pt idx="15">
                  <c:v>6168.1345849201134</c:v>
                </c:pt>
                <c:pt idx="16">
                  <c:v>6263.1854977696421</c:v>
                </c:pt>
                <c:pt idx="17">
                  <c:v>6358.2364106191708</c:v>
                </c:pt>
                <c:pt idx="18">
                  <c:v>6453.2873234686986</c:v>
                </c:pt>
                <c:pt idx="19">
                  <c:v>6548.3382363182272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80-41BC-A1BA-229F81C1F4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3973200"/>
        <c:axId val="1353976528"/>
      </c:lineChart>
      <c:catAx>
        <c:axId val="13539732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53976528"/>
        <c:crosses val="autoZero"/>
        <c:auto val="1"/>
        <c:lblAlgn val="ctr"/>
        <c:lblOffset val="100"/>
        <c:noMultiLvlLbl val="0"/>
      </c:catAx>
      <c:valAx>
        <c:axId val="135397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53973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[1]Razones!$D$81</c:f>
              <c:strCache>
                <c:ptCount val="1"/>
                <c:pt idx="0">
                  <c:v>Razón de cobertura efectivo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[1]Razones!$E$80:$P$80</c:f>
              <c:numCache>
                <c:formatCode>General</c:formatCode>
                <c:ptCount val="12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[1]Razones!$E$81:$P$81</c:f>
              <c:numCache>
                <c:formatCode>General</c:formatCode>
                <c:ptCount val="12"/>
                <c:pt idx="0">
                  <c:v>7.7044712871287127</c:v>
                </c:pt>
                <c:pt idx="1">
                  <c:v>6.9578297872340427</c:v>
                </c:pt>
                <c:pt idx="2">
                  <c:v>7.9788812949640286</c:v>
                </c:pt>
                <c:pt idx="3">
                  <c:v>10.386345898004434</c:v>
                </c:pt>
                <c:pt idx="4">
                  <c:v>9.8063425196850389</c:v>
                </c:pt>
                <c:pt idx="5">
                  <c:v>9.9267720207253891</c:v>
                </c:pt>
                <c:pt idx="6">
                  <c:v>10.066361666666667</c:v>
                </c:pt>
                <c:pt idx="7">
                  <c:v>3.7076528497409327</c:v>
                </c:pt>
                <c:pt idx="8">
                  <c:v>4.0012994300745284</c:v>
                </c:pt>
                <c:pt idx="9">
                  <c:v>4.9714069124423963</c:v>
                </c:pt>
                <c:pt idx="10">
                  <c:v>5.5441149425287355</c:v>
                </c:pt>
                <c:pt idx="11">
                  <c:v>6.8829874718920658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5A-4580-8983-54E19BD8DA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4377375"/>
        <c:axId val="1754374047"/>
      </c:lineChart>
      <c:catAx>
        <c:axId val="1754377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54374047"/>
        <c:crosses val="autoZero"/>
        <c:auto val="1"/>
        <c:lblAlgn val="ctr"/>
        <c:lblOffset val="100"/>
        <c:noMultiLvlLbl val="0"/>
      </c:catAx>
      <c:valAx>
        <c:axId val="1754374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543773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Razones!$D$10</c:f>
              <c:strCache>
                <c:ptCount val="1"/>
                <c:pt idx="0">
                  <c:v>Razón de circulante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Razones!$E$10:$N$10</c:f>
              <c:numCache>
                <c:formatCode>0.00</c:formatCode>
                <c:ptCount val="10"/>
                <c:pt idx="0">
                  <c:v>0.89463157894736844</c:v>
                </c:pt>
                <c:pt idx="1">
                  <c:v>1.213574130307389</c:v>
                </c:pt>
                <c:pt idx="2">
                  <c:v>1.1360834318527275</c:v>
                </c:pt>
                <c:pt idx="3">
                  <c:v>1.1112156493786507</c:v>
                </c:pt>
                <c:pt idx="4">
                  <c:v>1.0324367088607596</c:v>
                </c:pt>
                <c:pt idx="5">
                  <c:v>1.0028027790936365</c:v>
                </c:pt>
                <c:pt idx="6">
                  <c:v>1.0064526536538152</c:v>
                </c:pt>
                <c:pt idx="7">
                  <c:v>1.0004430921927157</c:v>
                </c:pt>
                <c:pt idx="8">
                  <c:v>1.0604914007619297</c:v>
                </c:pt>
                <c:pt idx="9">
                  <c:v>0.93731898465301944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3F-4728-8FBA-EB0C127059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628544"/>
        <c:axId val="84632704"/>
      </c:lineChart>
      <c:catAx>
        <c:axId val="846285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4632704"/>
        <c:crosses val="autoZero"/>
        <c:auto val="1"/>
        <c:lblAlgn val="ctr"/>
        <c:lblOffset val="100"/>
        <c:noMultiLvlLbl val="0"/>
      </c:catAx>
      <c:valAx>
        <c:axId val="8463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4628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Razones!$D$17</c:f>
              <c:strCache>
                <c:ptCount val="1"/>
                <c:pt idx="0">
                  <c:v>Prueba del acido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Razones!$E$17:$N$17</c:f>
              <c:numCache>
                <c:formatCode>0.00</c:formatCode>
                <c:ptCount val="10"/>
                <c:pt idx="0">
                  <c:v>0.44873684210526316</c:v>
                </c:pt>
                <c:pt idx="1">
                  <c:v>0.75185125992222046</c:v>
                </c:pt>
                <c:pt idx="2">
                  <c:v>0.63853234250971125</c:v>
                </c:pt>
                <c:pt idx="3">
                  <c:v>0.61358736132345448</c:v>
                </c:pt>
                <c:pt idx="4">
                  <c:v>0.56084237492465339</c:v>
                </c:pt>
                <c:pt idx="5">
                  <c:v>0.56280593715458704</c:v>
                </c:pt>
                <c:pt idx="6">
                  <c:v>0.59896757541538959</c:v>
                </c:pt>
                <c:pt idx="7">
                  <c:v>0.49841963784598114</c:v>
                </c:pt>
                <c:pt idx="8">
                  <c:v>0.59453876813987794</c:v>
                </c:pt>
                <c:pt idx="9">
                  <c:v>0.48227068872658829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35-4417-95FE-CE5FA81B84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004288"/>
        <c:axId val="176005536"/>
      </c:lineChart>
      <c:catAx>
        <c:axId val="1760042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6005536"/>
        <c:crosses val="autoZero"/>
        <c:auto val="1"/>
        <c:lblAlgn val="ctr"/>
        <c:lblOffset val="100"/>
        <c:noMultiLvlLbl val="0"/>
      </c:catAx>
      <c:valAx>
        <c:axId val="17600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6004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Razones!$D$23</c:f>
              <c:strCache>
                <c:ptCount val="1"/>
                <c:pt idx="0">
                  <c:v>Capital de trabajo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Razones!$E$22:$N$22</c:f>
              <c:numCache>
                <c:formatCode>General</c:formatCod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numCache>
            </c:numRef>
          </c:cat>
          <c:val>
            <c:numRef>
              <c:f>Razones!$E$23:$N$23</c:f>
              <c:numCache>
                <c:formatCode>#,##0</c:formatCode>
                <c:ptCount val="10"/>
                <c:pt idx="0">
                  <c:v>-2002</c:v>
                </c:pt>
                <c:pt idx="1">
                  <c:v>4009</c:v>
                </c:pt>
                <c:pt idx="2">
                  <c:v>3223</c:v>
                </c:pt>
                <c:pt idx="3">
                  <c:v>2837</c:v>
                </c:pt>
                <c:pt idx="4">
                  <c:v>861</c:v>
                </c:pt>
                <c:pt idx="5">
                  <c:v>71</c:v>
                </c:pt>
                <c:pt idx="6">
                  <c:v>200</c:v>
                </c:pt>
                <c:pt idx="7">
                  <c:v>15</c:v>
                </c:pt>
                <c:pt idx="8">
                  <c:v>2197.5799999999945</c:v>
                </c:pt>
                <c:pt idx="9">
                  <c:v>-2490.5799999999945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CD-4402-B695-B532D1F04F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4210512"/>
        <c:axId val="544220496"/>
      </c:lineChart>
      <c:catAx>
        <c:axId val="544210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44220496"/>
        <c:crosses val="autoZero"/>
        <c:auto val="1"/>
        <c:lblAlgn val="ctr"/>
        <c:lblOffset val="100"/>
        <c:noMultiLvlLbl val="0"/>
      </c:catAx>
      <c:valAx>
        <c:axId val="54422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44210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3.xml"/><Relationship Id="rId13" Type="http://schemas.openxmlformats.org/officeDocument/2006/relationships/chart" Target="../charts/chart18.xml"/><Relationship Id="rId18" Type="http://schemas.openxmlformats.org/officeDocument/2006/relationships/chart" Target="../charts/chart23.xml"/><Relationship Id="rId26" Type="http://schemas.openxmlformats.org/officeDocument/2006/relationships/chart" Target="../charts/chart31.xml"/><Relationship Id="rId3" Type="http://schemas.openxmlformats.org/officeDocument/2006/relationships/chart" Target="../charts/chart8.xml"/><Relationship Id="rId21" Type="http://schemas.openxmlformats.org/officeDocument/2006/relationships/chart" Target="../charts/chart26.xml"/><Relationship Id="rId7" Type="http://schemas.openxmlformats.org/officeDocument/2006/relationships/chart" Target="../charts/chart12.xml"/><Relationship Id="rId12" Type="http://schemas.openxmlformats.org/officeDocument/2006/relationships/chart" Target="../charts/chart17.xml"/><Relationship Id="rId17" Type="http://schemas.openxmlformats.org/officeDocument/2006/relationships/chart" Target="../charts/chart22.xml"/><Relationship Id="rId25" Type="http://schemas.openxmlformats.org/officeDocument/2006/relationships/chart" Target="../charts/chart30.xml"/><Relationship Id="rId2" Type="http://schemas.openxmlformats.org/officeDocument/2006/relationships/chart" Target="../charts/chart7.xml"/><Relationship Id="rId16" Type="http://schemas.openxmlformats.org/officeDocument/2006/relationships/chart" Target="../charts/chart21.xml"/><Relationship Id="rId20" Type="http://schemas.openxmlformats.org/officeDocument/2006/relationships/chart" Target="../charts/chart25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11" Type="http://schemas.openxmlformats.org/officeDocument/2006/relationships/chart" Target="../charts/chart16.xml"/><Relationship Id="rId24" Type="http://schemas.openxmlformats.org/officeDocument/2006/relationships/chart" Target="../charts/chart29.xml"/><Relationship Id="rId5" Type="http://schemas.openxmlformats.org/officeDocument/2006/relationships/chart" Target="../charts/chart10.xml"/><Relationship Id="rId15" Type="http://schemas.openxmlformats.org/officeDocument/2006/relationships/chart" Target="../charts/chart20.xml"/><Relationship Id="rId23" Type="http://schemas.openxmlformats.org/officeDocument/2006/relationships/chart" Target="../charts/chart28.xml"/><Relationship Id="rId10" Type="http://schemas.openxmlformats.org/officeDocument/2006/relationships/chart" Target="../charts/chart15.xml"/><Relationship Id="rId19" Type="http://schemas.openxmlformats.org/officeDocument/2006/relationships/chart" Target="../charts/chart24.xml"/><Relationship Id="rId4" Type="http://schemas.openxmlformats.org/officeDocument/2006/relationships/chart" Target="../charts/chart9.xml"/><Relationship Id="rId9" Type="http://schemas.openxmlformats.org/officeDocument/2006/relationships/chart" Target="../charts/chart14.xml"/><Relationship Id="rId14" Type="http://schemas.openxmlformats.org/officeDocument/2006/relationships/chart" Target="../charts/chart19.xml"/><Relationship Id="rId22" Type="http://schemas.openxmlformats.org/officeDocument/2006/relationships/chart" Target="../charts/chart27.xml"/><Relationship Id="rId27" Type="http://schemas.openxmlformats.org/officeDocument/2006/relationships/chart" Target="../charts/chart3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7.xml"/><Relationship Id="rId3" Type="http://schemas.openxmlformats.org/officeDocument/2006/relationships/image" Target="../media/image3.jpeg"/><Relationship Id="rId7" Type="http://schemas.openxmlformats.org/officeDocument/2006/relationships/chart" Target="../charts/chart36.xml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chart" Target="../charts/chart35.xml"/><Relationship Id="rId5" Type="http://schemas.openxmlformats.org/officeDocument/2006/relationships/chart" Target="../charts/chart34.xml"/><Relationship Id="rId4" Type="http://schemas.openxmlformats.org/officeDocument/2006/relationships/chart" Target="../charts/chart33.xml"/><Relationship Id="rId9" Type="http://schemas.openxmlformats.org/officeDocument/2006/relationships/chart" Target="../charts/chart3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190500</xdr:colOff>
      <xdr:row>0</xdr:row>
      <xdr:rowOff>30693</xdr:rowOff>
    </xdr:from>
    <xdr:to>
      <xdr:col>14</xdr:col>
      <xdr:colOff>74082</xdr:colOff>
      <xdr:row>20</xdr:row>
      <xdr:rowOff>111125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D5EC5FC-D9B5-F69E-8A22-4EF2BF8A5E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1053253</xdr:colOff>
      <xdr:row>22</xdr:row>
      <xdr:rowOff>149012</xdr:rowOff>
    </xdr:from>
    <xdr:to>
      <xdr:col>32</xdr:col>
      <xdr:colOff>276014</xdr:colOff>
      <xdr:row>45</xdr:row>
      <xdr:rowOff>16932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6893E69A-287A-28EA-53E3-0FA7B55DC8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46</xdr:col>
      <xdr:colOff>637118</xdr:colOff>
      <xdr:row>23</xdr:row>
      <xdr:rowOff>135466</xdr:rowOff>
    </xdr:from>
    <xdr:to>
      <xdr:col>56</xdr:col>
      <xdr:colOff>628861</xdr:colOff>
      <xdr:row>48</xdr:row>
      <xdr:rowOff>78951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E2B6F42F-A223-C188-4298-BB880244E1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23283</xdr:colOff>
      <xdr:row>1</xdr:row>
      <xdr:rowOff>38100</xdr:rowOff>
    </xdr:from>
    <xdr:to>
      <xdr:col>31</xdr:col>
      <xdr:colOff>700616</xdr:colOff>
      <xdr:row>16</xdr:row>
      <xdr:rowOff>50800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9CF41608-2753-DCDB-E2B9-53F60D2625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47</xdr:col>
      <xdr:colOff>393700</xdr:colOff>
      <xdr:row>1</xdr:row>
      <xdr:rowOff>93133</xdr:rowOff>
    </xdr:from>
    <xdr:to>
      <xdr:col>53</xdr:col>
      <xdr:colOff>292100</xdr:colOff>
      <xdr:row>16</xdr:row>
      <xdr:rowOff>42333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9E53786C-1B32-A3C8-B579-495990704E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152400</xdr:colOff>
      <xdr:row>72</xdr:row>
      <xdr:rowOff>19050</xdr:rowOff>
    </xdr:from>
    <xdr:to>
      <xdr:col>22</xdr:col>
      <xdr:colOff>152400</xdr:colOff>
      <xdr:row>86</xdr:row>
      <xdr:rowOff>66675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6964F355-12F5-48A5-AE2C-BD007F2CAF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746123</xdr:colOff>
      <xdr:row>2</xdr:row>
      <xdr:rowOff>215898</xdr:rowOff>
    </xdr:from>
    <xdr:to>
      <xdr:col>22</xdr:col>
      <xdr:colOff>365123</xdr:colOff>
      <xdr:row>15</xdr:row>
      <xdr:rowOff>175683</xdr:rowOff>
    </xdr:to>
    <xdr:graphicFrame macro="">
      <xdr:nvGraphicFramePr>
        <xdr:cNvPr id="27" name="Gráfico 26">
          <a:extLst>
            <a:ext uri="{FF2B5EF4-FFF2-40B4-BE49-F238E27FC236}">
              <a16:creationId xmlns:a16="http://schemas.microsoft.com/office/drawing/2014/main" id="{D6B5BB77-BC26-A93D-8903-B6417B325C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153456</xdr:colOff>
      <xdr:row>2</xdr:row>
      <xdr:rowOff>162981</xdr:rowOff>
    </xdr:from>
    <xdr:to>
      <xdr:col>28</xdr:col>
      <xdr:colOff>597956</xdr:colOff>
      <xdr:row>15</xdr:row>
      <xdr:rowOff>122766</xdr:rowOff>
    </xdr:to>
    <xdr:graphicFrame macro="">
      <xdr:nvGraphicFramePr>
        <xdr:cNvPr id="28" name="Gráfico 27">
          <a:extLst>
            <a:ext uri="{FF2B5EF4-FFF2-40B4-BE49-F238E27FC236}">
              <a16:creationId xmlns:a16="http://schemas.microsoft.com/office/drawing/2014/main" id="{9B126F79-3B83-64DD-5FAB-43EDF52E97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216956</xdr:colOff>
      <xdr:row>16</xdr:row>
      <xdr:rowOff>162982</xdr:rowOff>
    </xdr:from>
    <xdr:to>
      <xdr:col>21</xdr:col>
      <xdr:colOff>661456</xdr:colOff>
      <xdr:row>30</xdr:row>
      <xdr:rowOff>154514</xdr:rowOff>
    </xdr:to>
    <xdr:graphicFrame macro="">
      <xdr:nvGraphicFramePr>
        <xdr:cNvPr id="29" name="Gráfico 28">
          <a:extLst>
            <a:ext uri="{FF2B5EF4-FFF2-40B4-BE49-F238E27FC236}">
              <a16:creationId xmlns:a16="http://schemas.microsoft.com/office/drawing/2014/main" id="{BFE92016-8DAB-BAF8-9FB4-687546956D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458610</xdr:colOff>
      <xdr:row>18</xdr:row>
      <xdr:rowOff>148871</xdr:rowOff>
    </xdr:from>
    <xdr:to>
      <xdr:col>28</xdr:col>
      <xdr:colOff>77610</xdr:colOff>
      <xdr:row>32</xdr:row>
      <xdr:rowOff>119238</xdr:rowOff>
    </xdr:to>
    <xdr:graphicFrame macro="">
      <xdr:nvGraphicFramePr>
        <xdr:cNvPr id="30" name="Gráfico 29">
          <a:extLst>
            <a:ext uri="{FF2B5EF4-FFF2-40B4-BE49-F238E27FC236}">
              <a16:creationId xmlns:a16="http://schemas.microsoft.com/office/drawing/2014/main" id="{D787A28A-DC50-C437-BB9B-E483CE5946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599721</xdr:colOff>
      <xdr:row>29</xdr:row>
      <xdr:rowOff>141816</xdr:rowOff>
    </xdr:from>
    <xdr:to>
      <xdr:col>21</xdr:col>
      <xdr:colOff>218721</xdr:colOff>
      <xdr:row>42</xdr:row>
      <xdr:rowOff>91016</xdr:rowOff>
    </xdr:to>
    <xdr:graphicFrame macro="">
      <xdr:nvGraphicFramePr>
        <xdr:cNvPr id="31" name="Gráfico 30">
          <a:extLst>
            <a:ext uri="{FF2B5EF4-FFF2-40B4-BE49-F238E27FC236}">
              <a16:creationId xmlns:a16="http://schemas.microsoft.com/office/drawing/2014/main" id="{379CC5A7-DEC4-772B-9BFC-C6799B8337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790221</xdr:colOff>
      <xdr:row>42</xdr:row>
      <xdr:rowOff>120648</xdr:rowOff>
    </xdr:from>
    <xdr:to>
      <xdr:col>20</xdr:col>
      <xdr:colOff>409221</xdr:colOff>
      <xdr:row>55</xdr:row>
      <xdr:rowOff>69848</xdr:rowOff>
    </xdr:to>
    <xdr:graphicFrame macro="">
      <xdr:nvGraphicFramePr>
        <xdr:cNvPr id="32" name="Gráfico 31">
          <a:extLst>
            <a:ext uri="{FF2B5EF4-FFF2-40B4-BE49-F238E27FC236}">
              <a16:creationId xmlns:a16="http://schemas.microsoft.com/office/drawing/2014/main" id="{912058A8-DF0D-298C-9597-312BA51286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606777</xdr:colOff>
      <xdr:row>43</xdr:row>
      <xdr:rowOff>71259</xdr:rowOff>
    </xdr:from>
    <xdr:to>
      <xdr:col>26</xdr:col>
      <xdr:colOff>225777</xdr:colOff>
      <xdr:row>55</xdr:row>
      <xdr:rowOff>203904</xdr:rowOff>
    </xdr:to>
    <xdr:graphicFrame macro="">
      <xdr:nvGraphicFramePr>
        <xdr:cNvPr id="33" name="Gráfico 32">
          <a:extLst>
            <a:ext uri="{FF2B5EF4-FFF2-40B4-BE49-F238E27FC236}">
              <a16:creationId xmlns:a16="http://schemas.microsoft.com/office/drawing/2014/main" id="{D9BF9796-DB0B-0E53-D010-1D0B74641F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790221</xdr:colOff>
      <xdr:row>42</xdr:row>
      <xdr:rowOff>170038</xdr:rowOff>
    </xdr:from>
    <xdr:to>
      <xdr:col>32</xdr:col>
      <xdr:colOff>409221</xdr:colOff>
      <xdr:row>55</xdr:row>
      <xdr:rowOff>119238</xdr:rowOff>
    </xdr:to>
    <xdr:graphicFrame macro="">
      <xdr:nvGraphicFramePr>
        <xdr:cNvPr id="34" name="Gráfico 33">
          <a:extLst>
            <a:ext uri="{FF2B5EF4-FFF2-40B4-BE49-F238E27FC236}">
              <a16:creationId xmlns:a16="http://schemas.microsoft.com/office/drawing/2014/main" id="{C24E3661-9A42-692D-7F5A-A86E0DB6D5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345721</xdr:colOff>
      <xdr:row>55</xdr:row>
      <xdr:rowOff>162981</xdr:rowOff>
    </xdr:from>
    <xdr:to>
      <xdr:col>20</xdr:col>
      <xdr:colOff>790221</xdr:colOff>
      <xdr:row>68</xdr:row>
      <xdr:rowOff>112181</xdr:rowOff>
    </xdr:to>
    <xdr:graphicFrame macro="">
      <xdr:nvGraphicFramePr>
        <xdr:cNvPr id="35" name="Gráfico 34">
          <a:extLst>
            <a:ext uri="{FF2B5EF4-FFF2-40B4-BE49-F238E27FC236}">
              <a16:creationId xmlns:a16="http://schemas.microsoft.com/office/drawing/2014/main" id="{ADC57362-8FE7-478E-4CE2-7841628D9D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22</xdr:col>
      <xdr:colOff>77610</xdr:colOff>
      <xdr:row>56</xdr:row>
      <xdr:rowOff>64203</xdr:rowOff>
    </xdr:from>
    <xdr:to>
      <xdr:col>27</xdr:col>
      <xdr:colOff>522110</xdr:colOff>
      <xdr:row>69</xdr:row>
      <xdr:rowOff>13403</xdr:rowOff>
    </xdr:to>
    <xdr:graphicFrame macro="">
      <xdr:nvGraphicFramePr>
        <xdr:cNvPr id="36" name="Gráfico 35">
          <a:extLst>
            <a:ext uri="{FF2B5EF4-FFF2-40B4-BE49-F238E27FC236}">
              <a16:creationId xmlns:a16="http://schemas.microsoft.com/office/drawing/2014/main" id="{CC0573BB-888B-9FBF-CE01-857E841733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28</xdr:col>
      <xdr:colOff>204610</xdr:colOff>
      <xdr:row>74</xdr:row>
      <xdr:rowOff>205316</xdr:rowOff>
    </xdr:from>
    <xdr:to>
      <xdr:col>33</xdr:col>
      <xdr:colOff>649110</xdr:colOff>
      <xdr:row>86</xdr:row>
      <xdr:rowOff>133349</xdr:rowOff>
    </xdr:to>
    <xdr:graphicFrame macro="">
      <xdr:nvGraphicFramePr>
        <xdr:cNvPr id="37" name="Gráfico 36">
          <a:extLst>
            <a:ext uri="{FF2B5EF4-FFF2-40B4-BE49-F238E27FC236}">
              <a16:creationId xmlns:a16="http://schemas.microsoft.com/office/drawing/2014/main" id="{EA277683-73FB-7A76-1F7E-271738E816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14</xdr:col>
      <xdr:colOff>649110</xdr:colOff>
      <xdr:row>194</xdr:row>
      <xdr:rowOff>28926</xdr:rowOff>
    </xdr:from>
    <xdr:to>
      <xdr:col>20</xdr:col>
      <xdr:colOff>268110</xdr:colOff>
      <xdr:row>206</xdr:row>
      <xdr:rowOff>161571</xdr:rowOff>
    </xdr:to>
    <xdr:graphicFrame macro="">
      <xdr:nvGraphicFramePr>
        <xdr:cNvPr id="38" name="Gráfico 37">
          <a:extLst>
            <a:ext uri="{FF2B5EF4-FFF2-40B4-BE49-F238E27FC236}">
              <a16:creationId xmlns:a16="http://schemas.microsoft.com/office/drawing/2014/main" id="{B7B73940-1A93-90D8-24C2-AC06FFA0F3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19</xdr:col>
      <xdr:colOff>592666</xdr:colOff>
      <xdr:row>195</xdr:row>
      <xdr:rowOff>148870</xdr:rowOff>
    </xdr:from>
    <xdr:to>
      <xdr:col>25</xdr:col>
      <xdr:colOff>211666</xdr:colOff>
      <xdr:row>207</xdr:row>
      <xdr:rowOff>76904</xdr:rowOff>
    </xdr:to>
    <xdr:graphicFrame macro="">
      <xdr:nvGraphicFramePr>
        <xdr:cNvPr id="39" name="Gráfico 38">
          <a:extLst>
            <a:ext uri="{FF2B5EF4-FFF2-40B4-BE49-F238E27FC236}">
              <a16:creationId xmlns:a16="http://schemas.microsoft.com/office/drawing/2014/main" id="{A3779953-3965-B58A-4CA6-2B14C511BB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16</xdr:col>
      <xdr:colOff>190499</xdr:colOff>
      <xdr:row>207</xdr:row>
      <xdr:rowOff>71260</xdr:rowOff>
    </xdr:from>
    <xdr:to>
      <xdr:col>21</xdr:col>
      <xdr:colOff>634999</xdr:colOff>
      <xdr:row>221</xdr:row>
      <xdr:rowOff>41626</xdr:rowOff>
    </xdr:to>
    <xdr:graphicFrame macro="">
      <xdr:nvGraphicFramePr>
        <xdr:cNvPr id="40" name="Gráfico 39">
          <a:extLst>
            <a:ext uri="{FF2B5EF4-FFF2-40B4-BE49-F238E27FC236}">
              <a16:creationId xmlns:a16="http://schemas.microsoft.com/office/drawing/2014/main" id="{1CD03853-B3B1-E487-A44E-427EE89620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17</xdr:col>
      <xdr:colOff>77610</xdr:colOff>
      <xdr:row>88</xdr:row>
      <xdr:rowOff>43037</xdr:rowOff>
    </xdr:from>
    <xdr:to>
      <xdr:col>22</xdr:col>
      <xdr:colOff>522110</xdr:colOff>
      <xdr:row>100</xdr:row>
      <xdr:rowOff>175680</xdr:rowOff>
    </xdr:to>
    <xdr:graphicFrame macro="">
      <xdr:nvGraphicFramePr>
        <xdr:cNvPr id="41" name="Gráfico 40">
          <a:extLst>
            <a:ext uri="{FF2B5EF4-FFF2-40B4-BE49-F238E27FC236}">
              <a16:creationId xmlns:a16="http://schemas.microsoft.com/office/drawing/2014/main" id="{12576325-B695-1545-6FB6-6B380D34C9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23</xdr:col>
      <xdr:colOff>225776</xdr:colOff>
      <xdr:row>86</xdr:row>
      <xdr:rowOff>99481</xdr:rowOff>
    </xdr:from>
    <xdr:to>
      <xdr:col>28</xdr:col>
      <xdr:colOff>670276</xdr:colOff>
      <xdr:row>99</xdr:row>
      <xdr:rowOff>48681</xdr:rowOff>
    </xdr:to>
    <xdr:graphicFrame macro="">
      <xdr:nvGraphicFramePr>
        <xdr:cNvPr id="42" name="Gráfico 41">
          <a:extLst>
            <a:ext uri="{FF2B5EF4-FFF2-40B4-BE49-F238E27FC236}">
              <a16:creationId xmlns:a16="http://schemas.microsoft.com/office/drawing/2014/main" id="{4BBED6B3-196E-0888-FACA-39340042EC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17</xdr:col>
      <xdr:colOff>14110</xdr:colOff>
      <xdr:row>102</xdr:row>
      <xdr:rowOff>71259</xdr:rowOff>
    </xdr:from>
    <xdr:to>
      <xdr:col>22</xdr:col>
      <xdr:colOff>458610</xdr:colOff>
      <xdr:row>115</xdr:row>
      <xdr:rowOff>20459</xdr:rowOff>
    </xdr:to>
    <xdr:graphicFrame macro="">
      <xdr:nvGraphicFramePr>
        <xdr:cNvPr id="43" name="Gráfico 42">
          <a:extLst>
            <a:ext uri="{FF2B5EF4-FFF2-40B4-BE49-F238E27FC236}">
              <a16:creationId xmlns:a16="http://schemas.microsoft.com/office/drawing/2014/main" id="{329820C6-818B-FD55-476B-566A93BA7F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22</xdr:col>
      <xdr:colOff>825498</xdr:colOff>
      <xdr:row>103</xdr:row>
      <xdr:rowOff>78313</xdr:rowOff>
    </xdr:from>
    <xdr:to>
      <xdr:col>28</xdr:col>
      <xdr:colOff>444498</xdr:colOff>
      <xdr:row>116</xdr:row>
      <xdr:rowOff>27513</xdr:rowOff>
    </xdr:to>
    <xdr:graphicFrame macro="">
      <xdr:nvGraphicFramePr>
        <xdr:cNvPr id="44" name="Gráfico 43">
          <a:extLst>
            <a:ext uri="{FF2B5EF4-FFF2-40B4-BE49-F238E27FC236}">
              <a16:creationId xmlns:a16="http://schemas.microsoft.com/office/drawing/2014/main" id="{7813DC55-C82D-CF5B-DB72-AD0E1C21EC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16</xdr:col>
      <xdr:colOff>705555</xdr:colOff>
      <xdr:row>117</xdr:row>
      <xdr:rowOff>21873</xdr:rowOff>
    </xdr:from>
    <xdr:to>
      <xdr:col>22</xdr:col>
      <xdr:colOff>324555</xdr:colOff>
      <xdr:row>130</xdr:row>
      <xdr:rowOff>175683</xdr:rowOff>
    </xdr:to>
    <xdr:graphicFrame macro="">
      <xdr:nvGraphicFramePr>
        <xdr:cNvPr id="45" name="Gráfico 44">
          <a:extLst>
            <a:ext uri="{FF2B5EF4-FFF2-40B4-BE49-F238E27FC236}">
              <a16:creationId xmlns:a16="http://schemas.microsoft.com/office/drawing/2014/main" id="{3B02D8F8-A294-903A-573D-6D86C7B5FA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23</xdr:col>
      <xdr:colOff>430388</xdr:colOff>
      <xdr:row>117</xdr:row>
      <xdr:rowOff>78316</xdr:rowOff>
    </xdr:from>
    <xdr:to>
      <xdr:col>29</xdr:col>
      <xdr:colOff>49388</xdr:colOff>
      <xdr:row>131</xdr:row>
      <xdr:rowOff>48682</xdr:rowOff>
    </xdr:to>
    <xdr:graphicFrame macro="">
      <xdr:nvGraphicFramePr>
        <xdr:cNvPr id="46" name="Gráfico 45">
          <a:extLst>
            <a:ext uri="{FF2B5EF4-FFF2-40B4-BE49-F238E27FC236}">
              <a16:creationId xmlns:a16="http://schemas.microsoft.com/office/drawing/2014/main" id="{048F70C8-24E9-95A8-CD74-350F12063B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19</xdr:col>
      <xdr:colOff>366888</xdr:colOff>
      <xdr:row>132</xdr:row>
      <xdr:rowOff>318204</xdr:rowOff>
    </xdr:from>
    <xdr:to>
      <xdr:col>24</xdr:col>
      <xdr:colOff>811388</xdr:colOff>
      <xdr:row>145</xdr:row>
      <xdr:rowOff>62793</xdr:rowOff>
    </xdr:to>
    <xdr:graphicFrame macro="">
      <xdr:nvGraphicFramePr>
        <xdr:cNvPr id="47" name="Gráfico 46">
          <a:extLst>
            <a:ext uri="{FF2B5EF4-FFF2-40B4-BE49-F238E27FC236}">
              <a16:creationId xmlns:a16="http://schemas.microsoft.com/office/drawing/2014/main" id="{9E144E50-8157-820F-F2D1-DB602F3DA5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25</xdr:col>
      <xdr:colOff>359832</xdr:colOff>
      <xdr:row>135</xdr:row>
      <xdr:rowOff>64203</xdr:rowOff>
    </xdr:from>
    <xdr:to>
      <xdr:col>30</xdr:col>
      <xdr:colOff>804332</xdr:colOff>
      <xdr:row>147</xdr:row>
      <xdr:rowOff>13403</xdr:rowOff>
    </xdr:to>
    <xdr:graphicFrame macro="">
      <xdr:nvGraphicFramePr>
        <xdr:cNvPr id="48" name="Gráfico 47">
          <a:extLst>
            <a:ext uri="{FF2B5EF4-FFF2-40B4-BE49-F238E27FC236}">
              <a16:creationId xmlns:a16="http://schemas.microsoft.com/office/drawing/2014/main" id="{ED7932B1-CFE0-8B0E-ED4B-7E30A8545F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21</xdr:col>
      <xdr:colOff>373943</xdr:colOff>
      <xdr:row>144</xdr:row>
      <xdr:rowOff>99482</xdr:rowOff>
    </xdr:from>
    <xdr:to>
      <xdr:col>26</xdr:col>
      <xdr:colOff>818443</xdr:colOff>
      <xdr:row>156</xdr:row>
      <xdr:rowOff>48682</xdr:rowOff>
    </xdr:to>
    <xdr:graphicFrame macro="">
      <xdr:nvGraphicFramePr>
        <xdr:cNvPr id="49" name="Gráfico 48">
          <a:extLst>
            <a:ext uri="{FF2B5EF4-FFF2-40B4-BE49-F238E27FC236}">
              <a16:creationId xmlns:a16="http://schemas.microsoft.com/office/drawing/2014/main" id="{7D4BBAC6-9BC7-FCA4-0B56-026AB1D0DE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14</xdr:col>
      <xdr:colOff>331610</xdr:colOff>
      <xdr:row>145</xdr:row>
      <xdr:rowOff>57149</xdr:rowOff>
    </xdr:from>
    <xdr:to>
      <xdr:col>19</xdr:col>
      <xdr:colOff>776110</xdr:colOff>
      <xdr:row>157</xdr:row>
      <xdr:rowOff>6349</xdr:rowOff>
    </xdr:to>
    <xdr:graphicFrame macro="">
      <xdr:nvGraphicFramePr>
        <xdr:cNvPr id="50" name="Gráfico 49">
          <a:extLst>
            <a:ext uri="{FF2B5EF4-FFF2-40B4-BE49-F238E27FC236}">
              <a16:creationId xmlns:a16="http://schemas.microsoft.com/office/drawing/2014/main" id="{93B3E308-9F37-6468-F973-91AECF4471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21</xdr:col>
      <xdr:colOff>747888</xdr:colOff>
      <xdr:row>157</xdr:row>
      <xdr:rowOff>212372</xdr:rowOff>
    </xdr:from>
    <xdr:to>
      <xdr:col>27</xdr:col>
      <xdr:colOff>366888</xdr:colOff>
      <xdr:row>169</xdr:row>
      <xdr:rowOff>140405</xdr:rowOff>
    </xdr:to>
    <xdr:graphicFrame macro="">
      <xdr:nvGraphicFramePr>
        <xdr:cNvPr id="51" name="Gráfico 50">
          <a:extLst>
            <a:ext uri="{FF2B5EF4-FFF2-40B4-BE49-F238E27FC236}">
              <a16:creationId xmlns:a16="http://schemas.microsoft.com/office/drawing/2014/main" id="{17A5A379-EC0B-AAEF-EBD6-5360DE822E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15</xdr:col>
      <xdr:colOff>49388</xdr:colOff>
      <xdr:row>158</xdr:row>
      <xdr:rowOff>7761</xdr:rowOff>
    </xdr:from>
    <xdr:to>
      <xdr:col>20</xdr:col>
      <xdr:colOff>493888</xdr:colOff>
      <xdr:row>170</xdr:row>
      <xdr:rowOff>140406</xdr:rowOff>
    </xdr:to>
    <xdr:graphicFrame macro="">
      <xdr:nvGraphicFramePr>
        <xdr:cNvPr id="52" name="Gráfico 51">
          <a:extLst>
            <a:ext uri="{FF2B5EF4-FFF2-40B4-BE49-F238E27FC236}">
              <a16:creationId xmlns:a16="http://schemas.microsoft.com/office/drawing/2014/main" id="{5A64B4BD-B780-1248-D61E-06E8CEB588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7</xdr:row>
      <xdr:rowOff>9525</xdr:rowOff>
    </xdr:from>
    <xdr:to>
      <xdr:col>7</xdr:col>
      <xdr:colOff>0</xdr:colOff>
      <xdr:row>7</xdr:row>
      <xdr:rowOff>9525</xdr:rowOff>
    </xdr:to>
    <xdr:sp macro="" textlink="">
      <xdr:nvSpPr>
        <xdr:cNvPr id="2" name="Line 3">
          <a:extLst>
            <a:ext uri="{FF2B5EF4-FFF2-40B4-BE49-F238E27FC236}">
              <a16:creationId xmlns:a16="http://schemas.microsoft.com/office/drawing/2014/main" id="{4F228CFE-CE62-4FDD-93AF-598D738949A7}"/>
            </a:ext>
          </a:extLst>
        </xdr:cNvPr>
        <xdr:cNvSpPr>
          <a:spLocks noChangeShapeType="1"/>
        </xdr:cNvSpPr>
      </xdr:nvSpPr>
      <xdr:spPr bwMode="auto">
        <a:xfrm>
          <a:off x="9038167" y="1287992"/>
          <a:ext cx="0" cy="0"/>
        </a:xfrm>
        <a:prstGeom prst="line">
          <a:avLst/>
        </a:prstGeom>
        <a:noFill/>
        <a:ln w="9144">
          <a:solidFill>
            <a:srgbClr val="00008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447675</xdr:colOff>
      <xdr:row>104</xdr:row>
      <xdr:rowOff>152399</xdr:rowOff>
    </xdr:from>
    <xdr:to>
      <xdr:col>20</xdr:col>
      <xdr:colOff>371475</xdr:colOff>
      <xdr:row>108</xdr:row>
      <xdr:rowOff>43158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Rectángulo 8">
              <a:extLst>
                <a:ext uri="{FF2B5EF4-FFF2-40B4-BE49-F238E27FC236}">
                  <a16:creationId xmlns:a16="http://schemas.microsoft.com/office/drawing/2014/main" id="{A990052B-E53E-43BD-B151-075A54AE788E}"/>
                </a:ext>
              </a:extLst>
            </xdr:cNvPr>
            <xdr:cNvSpPr/>
          </xdr:nvSpPr>
          <xdr:spPr>
            <a:xfrm>
              <a:off x="19501908" y="19490266"/>
              <a:ext cx="2806700" cy="618892"/>
            </a:xfrm>
            <a:prstGeom prst="rect">
              <a:avLst/>
            </a:prstGeom>
            <a:ln>
              <a:noFill/>
            </a:ln>
            <a:effectLst>
              <a:outerShdw blurRad="149987" dist="250190" dir="8460000" algn="ctr">
                <a:srgbClr val="000000">
                  <a:alpha val="28000"/>
                </a:srgbClr>
              </a:outerShdw>
            </a:effectLst>
            <a:scene3d>
              <a:camera prst="orthographicFront">
                <a:rot lat="0" lon="0" rev="0"/>
              </a:camera>
              <a:lightRig rig="contrasting" dir="t">
                <a:rot lat="0" lon="0" rev="1500000"/>
              </a:lightRig>
            </a:scene3d>
            <a:sp3d prstMaterial="metal">
              <a:bevelT w="88900" h="88900"/>
            </a:sp3d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s-MX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>
                <a:lnSpc>
                  <a:spcPct val="106000"/>
                </a:lnSpc>
                <a:spcAft>
                  <a:spcPts val="800"/>
                </a:spcAft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MX" sz="1600" b="1" i="1">
                            <a:effectLst/>
                            <a:latin typeface="Cambria Math" panose="02040503050406030204" pitchFamily="18" charset="0"/>
                            <a:ea typeface="Arial Unicode MS"/>
                          </a:rPr>
                        </m:ctrlPr>
                      </m:sSubPr>
                      <m:e>
                        <m:r>
                          <a:rPr lang="en-US" sz="1600" b="1" i="1">
                            <a:effectLst/>
                            <a:latin typeface="Cambria Math" panose="02040503050406030204" pitchFamily="18" charset="0"/>
                            <a:ea typeface="Arial Unicode MS"/>
                          </a:rPr>
                          <m:t>𝑲</m:t>
                        </m:r>
                      </m:e>
                      <m:sub>
                        <m:r>
                          <a:rPr lang="en-US" sz="1600" b="1" i="1">
                            <a:effectLst/>
                            <a:latin typeface="Cambria Math" panose="02040503050406030204" pitchFamily="18" charset="0"/>
                            <a:ea typeface="Arial Unicode MS"/>
                          </a:rPr>
                          <m:t>𝒅</m:t>
                        </m:r>
                      </m:sub>
                    </m:sSub>
                    <m:r>
                      <a:rPr lang="en-US" sz="1600" b="1" i="1">
                        <a:effectLst/>
                        <a:latin typeface="Cambria Math" panose="02040503050406030204" pitchFamily="18" charset="0"/>
                        <a:ea typeface="Arial Unicode MS"/>
                      </a:rPr>
                      <m:t>∗</m:t>
                    </m:r>
                    <m:f>
                      <m:fPr>
                        <m:ctrlPr>
                          <a:rPr lang="es-MX" sz="1600" b="1" i="1">
                            <a:effectLst/>
                            <a:latin typeface="Cambria Math" panose="02040503050406030204" pitchFamily="18" charset="0"/>
                            <a:ea typeface="Arial Unicode MS"/>
                          </a:rPr>
                        </m:ctrlPr>
                      </m:fPr>
                      <m:num>
                        <m:r>
                          <a:rPr lang="en-US" sz="1600" b="1" i="1">
                            <a:effectLst/>
                            <a:latin typeface="Cambria Math" panose="02040503050406030204" pitchFamily="18" charset="0"/>
                            <a:ea typeface="Arial Unicode MS"/>
                          </a:rPr>
                          <m:t>𝑫</m:t>
                        </m:r>
                      </m:num>
                      <m:den>
                        <m:r>
                          <a:rPr lang="en-US" sz="1600" b="1" i="1">
                            <a:effectLst/>
                            <a:latin typeface="Cambria Math" panose="02040503050406030204" pitchFamily="18" charset="0"/>
                            <a:ea typeface="Arial Unicode MS"/>
                          </a:rPr>
                          <m:t>𝑬</m:t>
                        </m:r>
                        <m:r>
                          <a:rPr lang="en-US" sz="1600" b="1" i="1">
                            <a:effectLst/>
                            <a:latin typeface="Cambria Math" panose="02040503050406030204" pitchFamily="18" charset="0"/>
                            <a:ea typeface="Arial Unicode MS"/>
                          </a:rPr>
                          <m:t>+</m:t>
                        </m:r>
                        <m:r>
                          <a:rPr lang="en-US" sz="1600" b="1" i="1">
                            <a:effectLst/>
                            <a:latin typeface="Cambria Math" panose="02040503050406030204" pitchFamily="18" charset="0"/>
                            <a:ea typeface="Arial Unicode MS"/>
                          </a:rPr>
                          <m:t>𝑫</m:t>
                        </m:r>
                      </m:den>
                    </m:f>
                    <m:r>
                      <a:rPr lang="en-US" sz="1600" b="1" i="1">
                        <a:effectLst/>
                        <a:latin typeface="Cambria Math" panose="02040503050406030204" pitchFamily="18" charset="0"/>
                        <a:ea typeface="Arial Unicode MS"/>
                      </a:rPr>
                      <m:t>∗</m:t>
                    </m:r>
                    <m:d>
                      <m:dPr>
                        <m:ctrlPr>
                          <a:rPr lang="es-MX" sz="1600" b="1" i="1">
                            <a:effectLst/>
                            <a:latin typeface="Cambria Math" panose="02040503050406030204" pitchFamily="18" charset="0"/>
                            <a:ea typeface="Arial Unicode MS"/>
                          </a:rPr>
                        </m:ctrlPr>
                      </m:dPr>
                      <m:e>
                        <m:r>
                          <a:rPr lang="en-US" sz="1600" b="1" i="1">
                            <a:effectLst/>
                            <a:latin typeface="Cambria Math" panose="02040503050406030204" pitchFamily="18" charset="0"/>
                            <a:ea typeface="Arial Unicode MS"/>
                          </a:rPr>
                          <m:t>𝟏</m:t>
                        </m:r>
                        <m:r>
                          <a:rPr lang="en-US" sz="1600" b="1" i="1">
                            <a:effectLst/>
                            <a:latin typeface="Cambria Math" panose="02040503050406030204" pitchFamily="18" charset="0"/>
                            <a:ea typeface="Arial Unicode MS"/>
                          </a:rPr>
                          <m:t>−</m:t>
                        </m:r>
                        <m:r>
                          <a:rPr lang="en-US" sz="1600" b="1" i="1">
                            <a:effectLst/>
                            <a:latin typeface="Cambria Math" panose="02040503050406030204" pitchFamily="18" charset="0"/>
                            <a:ea typeface="Arial Unicode MS"/>
                          </a:rPr>
                          <m:t>𝑻</m:t>
                        </m:r>
                      </m:e>
                    </m:d>
                  </m:oMath>
                </m:oMathPara>
              </a14:m>
              <a:endParaRPr lang="es-MX" sz="1600">
                <a:effectLst/>
                <a:latin typeface="Times New Roman" panose="02020603050405020304" pitchFamily="18" charset="0"/>
                <a:ea typeface="Arial Unicode MS"/>
              </a:endParaRPr>
            </a:p>
          </xdr:txBody>
        </xdr:sp>
      </mc:Choice>
      <mc:Fallback xmlns="">
        <xdr:sp macro="" textlink="">
          <xdr:nvSpPr>
            <xdr:cNvPr id="9" name="Rectángulo 8">
              <a:extLst>
                <a:ext uri="{FF2B5EF4-FFF2-40B4-BE49-F238E27FC236}">
                  <a16:creationId xmlns:a16="http://schemas.microsoft.com/office/drawing/2014/main" id="{A990052B-E53E-43BD-B151-075A54AE788E}"/>
                </a:ext>
              </a:extLst>
            </xdr:cNvPr>
            <xdr:cNvSpPr/>
          </xdr:nvSpPr>
          <xdr:spPr>
            <a:xfrm>
              <a:off x="19501908" y="19490266"/>
              <a:ext cx="2806700" cy="618892"/>
            </a:xfrm>
            <a:prstGeom prst="rect">
              <a:avLst/>
            </a:prstGeom>
            <a:ln>
              <a:noFill/>
            </a:ln>
            <a:effectLst>
              <a:outerShdw blurRad="149987" dist="250190" dir="8460000" algn="ctr">
                <a:srgbClr val="000000">
                  <a:alpha val="28000"/>
                </a:srgbClr>
              </a:outerShdw>
            </a:effectLst>
            <a:scene3d>
              <a:camera prst="orthographicFront">
                <a:rot lat="0" lon="0" rev="0"/>
              </a:camera>
              <a:lightRig rig="contrasting" dir="t">
                <a:rot lat="0" lon="0" rev="1500000"/>
              </a:lightRig>
            </a:scene3d>
            <a:sp3d prstMaterial="metal">
              <a:bevelT w="88900" h="88900"/>
            </a:sp3d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s-MX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>
                <a:lnSpc>
                  <a:spcPct val="106000"/>
                </a:lnSpc>
                <a:spcAft>
                  <a:spcPts val="800"/>
                </a:spcAft>
              </a:pPr>
              <a:r>
                <a:rPr lang="en-US" sz="1600" b="1" i="0">
                  <a:effectLst/>
                  <a:latin typeface="Cambria Math" panose="02040503050406030204" pitchFamily="18" charset="0"/>
                  <a:ea typeface="Arial Unicode MS"/>
                </a:rPr>
                <a:t>𝑲</a:t>
              </a:r>
              <a:r>
                <a:rPr lang="es-MX" sz="1600" b="1" i="0">
                  <a:effectLst/>
                  <a:latin typeface="Cambria Math" panose="02040503050406030204" pitchFamily="18" charset="0"/>
                  <a:ea typeface="Arial Unicode MS"/>
                </a:rPr>
                <a:t>_</a:t>
              </a:r>
              <a:r>
                <a:rPr lang="en-US" sz="1600" b="1" i="0">
                  <a:effectLst/>
                  <a:latin typeface="Cambria Math" panose="02040503050406030204" pitchFamily="18" charset="0"/>
                  <a:ea typeface="Arial Unicode MS"/>
                </a:rPr>
                <a:t>𝒅∗𝑫</a:t>
              </a:r>
              <a:r>
                <a:rPr lang="es-MX" sz="1600" b="1" i="0">
                  <a:effectLst/>
                  <a:latin typeface="Cambria Math" panose="02040503050406030204" pitchFamily="18" charset="0"/>
                  <a:ea typeface="Arial Unicode MS"/>
                </a:rPr>
                <a:t>/(</a:t>
              </a:r>
              <a:r>
                <a:rPr lang="en-US" sz="1600" b="1" i="0">
                  <a:effectLst/>
                  <a:latin typeface="Cambria Math" panose="02040503050406030204" pitchFamily="18" charset="0"/>
                  <a:ea typeface="Arial Unicode MS"/>
                </a:rPr>
                <a:t>𝑬+𝑫</a:t>
              </a:r>
              <a:r>
                <a:rPr lang="es-MX" sz="1600" b="1" i="0">
                  <a:effectLst/>
                  <a:latin typeface="Cambria Math" panose="02040503050406030204" pitchFamily="18" charset="0"/>
                  <a:ea typeface="Arial Unicode MS"/>
                </a:rPr>
                <a:t>)</a:t>
              </a:r>
              <a:r>
                <a:rPr lang="en-US" sz="1600" b="1" i="0">
                  <a:effectLst/>
                  <a:latin typeface="Cambria Math" panose="02040503050406030204" pitchFamily="18" charset="0"/>
                  <a:ea typeface="Arial Unicode MS"/>
                </a:rPr>
                <a:t>∗</a:t>
              </a:r>
              <a:r>
                <a:rPr lang="es-MX" sz="1600" b="1" i="0">
                  <a:effectLst/>
                  <a:latin typeface="Cambria Math" panose="02040503050406030204" pitchFamily="18" charset="0"/>
                </a:rPr>
                <a:t>(</a:t>
              </a:r>
              <a:r>
                <a:rPr lang="en-US" sz="1600" b="1" i="0">
                  <a:effectLst/>
                  <a:latin typeface="Cambria Math" panose="02040503050406030204" pitchFamily="18" charset="0"/>
                  <a:ea typeface="Arial Unicode MS"/>
                </a:rPr>
                <a:t>𝟏−𝑻)</a:t>
              </a:r>
              <a:endParaRPr lang="es-MX" sz="1600">
                <a:effectLst/>
                <a:latin typeface="Times New Roman" panose="02020603050405020304" pitchFamily="18" charset="0"/>
                <a:ea typeface="Arial Unicode MS"/>
              </a:endParaRPr>
            </a:p>
          </xdr:txBody>
        </xdr:sp>
      </mc:Fallback>
    </mc:AlternateContent>
    <xdr:clientData/>
  </xdr:twoCellAnchor>
  <xdr:twoCellAnchor>
    <xdr:from>
      <xdr:col>17</xdr:col>
      <xdr:colOff>266700</xdr:colOff>
      <xdr:row>110</xdr:row>
      <xdr:rowOff>9525</xdr:rowOff>
    </xdr:from>
    <xdr:to>
      <xdr:col>18</xdr:col>
      <xdr:colOff>638175</xdr:colOff>
      <xdr:row>113</xdr:row>
      <xdr:rowOff>133350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Rectángulo 9">
              <a:extLst>
                <a:ext uri="{FF2B5EF4-FFF2-40B4-BE49-F238E27FC236}">
                  <a16:creationId xmlns:a16="http://schemas.microsoft.com/office/drawing/2014/main" id="{EE989913-1D8D-48FF-9D5F-D682506E7AC2}"/>
                </a:ext>
              </a:extLst>
            </xdr:cNvPr>
            <xdr:cNvSpPr/>
          </xdr:nvSpPr>
          <xdr:spPr>
            <a:xfrm>
              <a:off x="19320933" y="20439592"/>
              <a:ext cx="1404409" cy="695325"/>
            </a:xfrm>
            <a:prstGeom prst="rect">
              <a:avLst/>
            </a:prstGeom>
            <a:ln>
              <a:noFill/>
            </a:ln>
            <a:effectLst>
              <a:outerShdw blurRad="149987" dist="250190" dir="8460000" algn="ctr">
                <a:srgbClr val="000000">
                  <a:alpha val="28000"/>
                </a:srgbClr>
              </a:outerShdw>
            </a:effectLst>
            <a:scene3d>
              <a:camera prst="orthographicFront">
                <a:rot lat="0" lon="0" rev="0"/>
              </a:camera>
              <a:lightRig rig="contrasting" dir="t">
                <a:rot lat="0" lon="0" rev="1500000"/>
              </a:lightRig>
            </a:scene3d>
            <a:sp3d prstMaterial="metal">
              <a:bevelT w="88900" h="88900"/>
            </a:sp3d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s-MX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>
                <a:lnSpc>
                  <a:spcPct val="106000"/>
                </a:lnSpc>
                <a:spcAft>
                  <a:spcPts val="800"/>
                </a:spcAft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MX" sz="1600" b="1" i="1">
                            <a:effectLst/>
                            <a:latin typeface="Cambria Math" panose="02040503050406030204" pitchFamily="18" charset="0"/>
                            <a:ea typeface="Arial Unicode MS"/>
                          </a:rPr>
                        </m:ctrlPr>
                      </m:sSubPr>
                      <m:e>
                        <m:r>
                          <a:rPr lang="en-US" sz="1600" b="1" i="1">
                            <a:effectLst/>
                            <a:latin typeface="Cambria Math" panose="02040503050406030204" pitchFamily="18" charset="0"/>
                            <a:ea typeface="Arial Unicode MS"/>
                          </a:rPr>
                          <m:t>𝑲</m:t>
                        </m:r>
                      </m:e>
                      <m:sub>
                        <m:r>
                          <a:rPr lang="en-US" sz="1600" b="1" i="1">
                            <a:effectLst/>
                            <a:latin typeface="Cambria Math" panose="02040503050406030204" pitchFamily="18" charset="0"/>
                            <a:ea typeface="Arial Unicode MS"/>
                          </a:rPr>
                          <m:t>𝒆</m:t>
                        </m:r>
                      </m:sub>
                    </m:sSub>
                    <m:r>
                      <a:rPr lang="en-US" sz="1600" b="1" i="1">
                        <a:effectLst/>
                        <a:latin typeface="Cambria Math" panose="02040503050406030204" pitchFamily="18" charset="0"/>
                        <a:ea typeface="Arial Unicode MS"/>
                      </a:rPr>
                      <m:t>∗</m:t>
                    </m:r>
                    <m:f>
                      <m:fPr>
                        <m:ctrlPr>
                          <a:rPr lang="es-MX" sz="1600" b="1" i="1">
                            <a:effectLst/>
                            <a:latin typeface="Cambria Math" panose="02040503050406030204" pitchFamily="18" charset="0"/>
                            <a:ea typeface="Arial Unicode MS"/>
                          </a:rPr>
                        </m:ctrlPr>
                      </m:fPr>
                      <m:num>
                        <m:r>
                          <a:rPr lang="en-US" sz="1600" b="1" i="1">
                            <a:effectLst/>
                            <a:latin typeface="Cambria Math" panose="02040503050406030204" pitchFamily="18" charset="0"/>
                            <a:ea typeface="Arial Unicode MS"/>
                          </a:rPr>
                          <m:t>𝑬</m:t>
                        </m:r>
                      </m:num>
                      <m:den>
                        <m:r>
                          <a:rPr lang="en-US" sz="1600" b="1" i="1">
                            <a:effectLst/>
                            <a:latin typeface="Cambria Math" panose="02040503050406030204" pitchFamily="18" charset="0"/>
                            <a:ea typeface="Arial Unicode MS"/>
                          </a:rPr>
                          <m:t>𝑬</m:t>
                        </m:r>
                        <m:r>
                          <a:rPr lang="en-US" sz="1600" b="1" i="1">
                            <a:effectLst/>
                            <a:latin typeface="Cambria Math" panose="02040503050406030204" pitchFamily="18" charset="0"/>
                            <a:ea typeface="Arial Unicode MS"/>
                          </a:rPr>
                          <m:t>+</m:t>
                        </m:r>
                        <m:r>
                          <a:rPr lang="en-US" sz="1600" b="1" i="1">
                            <a:effectLst/>
                            <a:latin typeface="Cambria Math" panose="02040503050406030204" pitchFamily="18" charset="0"/>
                            <a:ea typeface="Arial Unicode MS"/>
                          </a:rPr>
                          <m:t>𝑫</m:t>
                        </m:r>
                      </m:den>
                    </m:f>
                  </m:oMath>
                </m:oMathPara>
              </a14:m>
              <a:endParaRPr lang="es-MX" sz="1600">
                <a:effectLst/>
                <a:latin typeface="Times New Roman" panose="02020603050405020304" pitchFamily="18" charset="0"/>
                <a:ea typeface="Arial Unicode MS"/>
              </a:endParaRPr>
            </a:p>
          </xdr:txBody>
        </xdr:sp>
      </mc:Choice>
      <mc:Fallback xmlns="">
        <xdr:sp macro="" textlink="">
          <xdr:nvSpPr>
            <xdr:cNvPr id="10" name="Rectángulo 9">
              <a:extLst>
                <a:ext uri="{FF2B5EF4-FFF2-40B4-BE49-F238E27FC236}">
                  <a16:creationId xmlns:a16="http://schemas.microsoft.com/office/drawing/2014/main" id="{EE989913-1D8D-48FF-9D5F-D682506E7AC2}"/>
                </a:ext>
              </a:extLst>
            </xdr:cNvPr>
            <xdr:cNvSpPr/>
          </xdr:nvSpPr>
          <xdr:spPr>
            <a:xfrm>
              <a:off x="19320933" y="20439592"/>
              <a:ext cx="1404409" cy="695325"/>
            </a:xfrm>
            <a:prstGeom prst="rect">
              <a:avLst/>
            </a:prstGeom>
            <a:ln>
              <a:noFill/>
            </a:ln>
            <a:effectLst>
              <a:outerShdw blurRad="149987" dist="250190" dir="8460000" algn="ctr">
                <a:srgbClr val="000000">
                  <a:alpha val="28000"/>
                </a:srgbClr>
              </a:outerShdw>
            </a:effectLst>
            <a:scene3d>
              <a:camera prst="orthographicFront">
                <a:rot lat="0" lon="0" rev="0"/>
              </a:camera>
              <a:lightRig rig="contrasting" dir="t">
                <a:rot lat="0" lon="0" rev="1500000"/>
              </a:lightRig>
            </a:scene3d>
            <a:sp3d prstMaterial="metal">
              <a:bevelT w="88900" h="88900"/>
            </a:sp3d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s-MX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>
                <a:lnSpc>
                  <a:spcPct val="106000"/>
                </a:lnSpc>
                <a:spcAft>
                  <a:spcPts val="800"/>
                </a:spcAft>
              </a:pPr>
              <a:r>
                <a:rPr lang="en-US" sz="1600" b="1" i="0">
                  <a:effectLst/>
                  <a:latin typeface="Cambria Math" panose="02040503050406030204" pitchFamily="18" charset="0"/>
                  <a:ea typeface="Arial Unicode MS"/>
                </a:rPr>
                <a:t>𝑲</a:t>
              </a:r>
              <a:r>
                <a:rPr lang="es-MX" sz="1600" b="1" i="0">
                  <a:effectLst/>
                  <a:latin typeface="Cambria Math" panose="02040503050406030204" pitchFamily="18" charset="0"/>
                  <a:ea typeface="Arial Unicode MS"/>
                </a:rPr>
                <a:t>_</a:t>
              </a:r>
              <a:r>
                <a:rPr lang="en-US" sz="1600" b="1" i="0">
                  <a:effectLst/>
                  <a:latin typeface="Cambria Math" panose="02040503050406030204" pitchFamily="18" charset="0"/>
                  <a:ea typeface="Arial Unicode MS"/>
                </a:rPr>
                <a:t>𝒆∗𝑬</a:t>
              </a:r>
              <a:r>
                <a:rPr lang="es-MX" sz="1600" b="1" i="0">
                  <a:effectLst/>
                  <a:latin typeface="Cambria Math" panose="02040503050406030204" pitchFamily="18" charset="0"/>
                  <a:ea typeface="Arial Unicode MS"/>
                </a:rPr>
                <a:t>/(</a:t>
              </a:r>
              <a:r>
                <a:rPr lang="en-US" sz="1600" b="1" i="0">
                  <a:effectLst/>
                  <a:latin typeface="Cambria Math" panose="02040503050406030204" pitchFamily="18" charset="0"/>
                  <a:ea typeface="Arial Unicode MS"/>
                </a:rPr>
                <a:t>𝑬+𝑫</a:t>
              </a:r>
              <a:r>
                <a:rPr lang="es-MX" sz="1600" b="1" i="0">
                  <a:effectLst/>
                  <a:latin typeface="Cambria Math" panose="02040503050406030204" pitchFamily="18" charset="0"/>
                  <a:ea typeface="Arial Unicode MS"/>
                </a:rPr>
                <a:t>)</a:t>
              </a:r>
              <a:endParaRPr lang="es-MX" sz="1600">
                <a:effectLst/>
                <a:latin typeface="Times New Roman" panose="02020603050405020304" pitchFamily="18" charset="0"/>
                <a:ea typeface="Arial Unicode MS"/>
              </a:endParaRPr>
            </a:p>
          </xdr:txBody>
        </xdr:sp>
      </mc:Fallback>
    </mc:AlternateContent>
    <xdr:clientData/>
  </xdr:twoCellAnchor>
  <xdr:twoCellAnchor>
    <xdr:from>
      <xdr:col>16</xdr:col>
      <xdr:colOff>704849</xdr:colOff>
      <xdr:row>115</xdr:row>
      <xdr:rowOff>28574</xdr:rowOff>
    </xdr:from>
    <xdr:to>
      <xdr:col>21</xdr:col>
      <xdr:colOff>761999</xdr:colOff>
      <xdr:row>118</xdr:row>
      <xdr:rowOff>45633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Rectángulo 10">
              <a:extLst>
                <a:ext uri="{FF2B5EF4-FFF2-40B4-BE49-F238E27FC236}">
                  <a16:creationId xmlns:a16="http://schemas.microsoft.com/office/drawing/2014/main" id="{57EC641F-E361-462D-B812-2B558F635F6C}"/>
                </a:ext>
              </a:extLst>
            </xdr:cNvPr>
            <xdr:cNvSpPr/>
          </xdr:nvSpPr>
          <xdr:spPr>
            <a:xfrm>
              <a:off x="18603382" y="21419607"/>
              <a:ext cx="5052484" cy="588559"/>
            </a:xfrm>
            <a:prstGeom prst="rect">
              <a:avLst/>
            </a:prstGeom>
          </xdr:spPr>
          <xdr:txBody>
            <a:bodyPr wrap="square">
              <a:spAutoFit/>
            </a:bodyPr>
            <a:lstStyle>
              <a:defPPr>
                <a:defRPr lang="es-MX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MX" sz="28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280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b>
                        <m:r>
                          <a:rPr lang="es-MX" sz="2800" i="1">
                            <a:latin typeface="Cambria Math" panose="02040503050406030204" pitchFamily="18" charset="0"/>
                          </a:rPr>
                          <m:t>𝐸</m:t>
                        </m:r>
                      </m:sub>
                    </m:sSub>
                    <m:r>
                      <a:rPr lang="es-MX" sz="2800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s-MX" sz="28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280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b>
                        <m:r>
                          <a:rPr lang="es-MX" sz="2800" i="1">
                            <a:latin typeface="Cambria Math" panose="02040503050406030204" pitchFamily="18" charset="0"/>
                          </a:rPr>
                          <m:t>𝑓</m:t>
                        </m:r>
                      </m:sub>
                    </m:sSub>
                    <m:r>
                      <a:rPr lang="es-MX" sz="2800">
                        <a:latin typeface="Cambria Math" panose="02040503050406030204" pitchFamily="18" charset="0"/>
                      </a:rPr>
                      <m:t>+</m:t>
                    </m:r>
                    <m:r>
                      <a:rPr lang="es-MX" sz="2800" i="1">
                        <a:latin typeface="Cambria Math" panose="02040503050406030204" pitchFamily="18" charset="0"/>
                      </a:rPr>
                      <m:t>𝛽</m:t>
                    </m:r>
                    <m:r>
                      <a:rPr lang="es-MX" sz="2800" i="1">
                        <a:latin typeface="Cambria Math" panose="02040503050406030204" pitchFamily="18" charset="0"/>
                      </a:rPr>
                      <m:t> </m:t>
                    </m:r>
                    <m:d>
                      <m:dPr>
                        <m:ctrlPr>
                          <a:rPr lang="es-MX" sz="28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s-MX" sz="28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MX" sz="2800" i="1">
                                <a:latin typeface="Cambria Math" panose="02040503050406030204" pitchFamily="18" charset="0"/>
                              </a:rPr>
                              <m:t>𝑅</m:t>
                            </m:r>
                          </m:e>
                          <m:sub>
                            <m:r>
                              <a:rPr lang="es-MX" sz="2800" i="1">
                                <a:latin typeface="Cambria Math" panose="02040503050406030204" pitchFamily="18" charset="0"/>
                              </a:rPr>
                              <m:t>𝑀</m:t>
                            </m:r>
                          </m:sub>
                        </m:sSub>
                        <m:r>
                          <a:rPr lang="es-MX" sz="2800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s-MX" sz="28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MX" sz="2800" i="1">
                                <a:latin typeface="Cambria Math" panose="02040503050406030204" pitchFamily="18" charset="0"/>
                              </a:rPr>
                              <m:t>𝑅</m:t>
                            </m:r>
                          </m:e>
                          <m:sub>
                            <m:r>
                              <a:rPr lang="es-MX" sz="2800" i="1">
                                <a:latin typeface="Cambria Math" panose="02040503050406030204" pitchFamily="18" charset="0"/>
                              </a:rPr>
                              <m:t>𝑓</m:t>
                            </m:r>
                          </m:sub>
                        </m:sSub>
                      </m:e>
                    </m:d>
                  </m:oMath>
                </m:oMathPara>
              </a14:m>
              <a:endParaRPr lang="es-MX" sz="2800"/>
            </a:p>
          </xdr:txBody>
        </xdr:sp>
      </mc:Choice>
      <mc:Fallback xmlns="">
        <xdr:sp macro="" textlink="">
          <xdr:nvSpPr>
            <xdr:cNvPr id="11" name="Rectángulo 10">
              <a:extLst>
                <a:ext uri="{FF2B5EF4-FFF2-40B4-BE49-F238E27FC236}">
                  <a16:creationId xmlns:a16="http://schemas.microsoft.com/office/drawing/2014/main" id="{57EC641F-E361-462D-B812-2B558F635F6C}"/>
                </a:ext>
              </a:extLst>
            </xdr:cNvPr>
            <xdr:cNvSpPr/>
          </xdr:nvSpPr>
          <xdr:spPr>
            <a:xfrm>
              <a:off x="18603382" y="21419607"/>
              <a:ext cx="5052484" cy="588559"/>
            </a:xfrm>
            <a:prstGeom prst="rect">
              <a:avLst/>
            </a:prstGeom>
          </xdr:spPr>
          <xdr:txBody>
            <a:bodyPr wrap="square">
              <a:spAutoFit/>
            </a:bodyPr>
            <a:lstStyle>
              <a:defPPr>
                <a:defRPr lang="es-MX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s-MX" sz="2800" i="0">
                  <a:latin typeface="Cambria Math" panose="02040503050406030204" pitchFamily="18" charset="0"/>
                </a:rPr>
                <a:t>𝑅_𝐸=𝑅_𝑓+𝛽 (𝑅_𝑀−𝑅_𝑓 )</a:t>
              </a:r>
              <a:endParaRPr lang="es-MX" sz="2800"/>
            </a:p>
          </xdr:txBody>
        </xdr:sp>
      </mc:Fallback>
    </mc:AlternateContent>
    <xdr:clientData/>
  </xdr:twoCellAnchor>
  <xdr:twoCellAnchor>
    <xdr:from>
      <xdr:col>16</xdr:col>
      <xdr:colOff>590550</xdr:colOff>
      <xdr:row>118</xdr:row>
      <xdr:rowOff>104775</xdr:rowOff>
    </xdr:from>
    <xdr:to>
      <xdr:col>22</xdr:col>
      <xdr:colOff>361831</xdr:colOff>
      <xdr:row>121</xdr:row>
      <xdr:rowOff>52684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Rectángulo 11">
              <a:extLst>
                <a:ext uri="{FF2B5EF4-FFF2-40B4-BE49-F238E27FC236}">
                  <a16:creationId xmlns:a16="http://schemas.microsoft.com/office/drawing/2014/main" id="{A4871E8A-5EF3-442E-9A5F-7F601EBB07D9}"/>
                </a:ext>
              </a:extLst>
            </xdr:cNvPr>
            <xdr:cNvSpPr/>
          </xdr:nvSpPr>
          <xdr:spPr>
            <a:xfrm>
              <a:off x="18489083" y="22067308"/>
              <a:ext cx="5740281" cy="637943"/>
            </a:xfrm>
            <a:prstGeom prst="rect">
              <a:avLst/>
            </a:prstGeom>
            <a:ln>
              <a:noFill/>
            </a:ln>
            <a:effectLst>
              <a:outerShdw blurRad="149987" dist="250190" dir="8460000" algn="ctr">
                <a:srgbClr val="000000">
                  <a:alpha val="28000"/>
                </a:srgbClr>
              </a:outerShdw>
            </a:effectLst>
            <a:scene3d>
              <a:camera prst="orthographicFront">
                <a:rot lat="0" lon="0" rev="0"/>
              </a:camera>
              <a:lightRig rig="contrasting" dir="t">
                <a:rot lat="0" lon="0" rev="1500000"/>
              </a:lightRig>
            </a:scene3d>
            <a:sp3d prstMaterial="metal">
              <a:bevelT w="88900" h="88900"/>
            </a:sp3d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s-MX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>
                <a:lnSpc>
                  <a:spcPct val="106000"/>
                </a:lnSpc>
                <a:spcAft>
                  <a:spcPts val="800"/>
                </a:spcAft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600" b="1" i="1">
                        <a:effectLst/>
                        <a:latin typeface="Cambria Math" panose="02040503050406030204" pitchFamily="18" charset="0"/>
                        <a:ea typeface="Arial Unicode MS"/>
                      </a:rPr>
                      <m:t>𝑾𝑨𝑪𝑪</m:t>
                    </m:r>
                    <m:r>
                      <a:rPr lang="en-US" sz="1600" b="1" i="1">
                        <a:effectLst/>
                        <a:latin typeface="Cambria Math" panose="02040503050406030204" pitchFamily="18" charset="0"/>
                        <a:ea typeface="Arial Unicode MS"/>
                      </a:rPr>
                      <m:t>=</m:t>
                    </m:r>
                    <m:sSub>
                      <m:sSubPr>
                        <m:ctrlPr>
                          <a:rPr lang="es-MX" sz="1600" b="1" i="1">
                            <a:effectLst/>
                            <a:latin typeface="Cambria Math" panose="02040503050406030204" pitchFamily="18" charset="0"/>
                            <a:ea typeface="Arial Unicode MS"/>
                          </a:rPr>
                        </m:ctrlPr>
                      </m:sSubPr>
                      <m:e>
                        <m:r>
                          <a:rPr lang="en-US" sz="1600" b="1" i="1">
                            <a:effectLst/>
                            <a:latin typeface="Cambria Math" panose="02040503050406030204" pitchFamily="18" charset="0"/>
                            <a:ea typeface="Arial Unicode MS"/>
                          </a:rPr>
                          <m:t>𝑲</m:t>
                        </m:r>
                      </m:e>
                      <m:sub>
                        <m:r>
                          <a:rPr lang="en-US" sz="1600" b="1" i="1">
                            <a:effectLst/>
                            <a:latin typeface="Cambria Math" panose="02040503050406030204" pitchFamily="18" charset="0"/>
                            <a:ea typeface="Arial Unicode MS"/>
                          </a:rPr>
                          <m:t>𝒆</m:t>
                        </m:r>
                      </m:sub>
                    </m:sSub>
                    <m:r>
                      <a:rPr lang="en-US" sz="1600" b="1" i="1">
                        <a:effectLst/>
                        <a:latin typeface="Cambria Math" panose="02040503050406030204" pitchFamily="18" charset="0"/>
                        <a:ea typeface="Arial Unicode MS"/>
                      </a:rPr>
                      <m:t>∗</m:t>
                    </m:r>
                    <m:f>
                      <m:fPr>
                        <m:ctrlPr>
                          <a:rPr lang="es-MX" sz="1600" b="1" i="1">
                            <a:effectLst/>
                            <a:latin typeface="Cambria Math" panose="02040503050406030204" pitchFamily="18" charset="0"/>
                            <a:ea typeface="Arial Unicode MS"/>
                          </a:rPr>
                        </m:ctrlPr>
                      </m:fPr>
                      <m:num>
                        <m:r>
                          <a:rPr lang="en-US" sz="1600" b="1" i="1">
                            <a:effectLst/>
                            <a:latin typeface="Cambria Math" panose="02040503050406030204" pitchFamily="18" charset="0"/>
                            <a:ea typeface="Arial Unicode MS"/>
                          </a:rPr>
                          <m:t>𝑬</m:t>
                        </m:r>
                      </m:num>
                      <m:den>
                        <m:r>
                          <a:rPr lang="en-US" sz="1600" b="1" i="1">
                            <a:effectLst/>
                            <a:latin typeface="Cambria Math" panose="02040503050406030204" pitchFamily="18" charset="0"/>
                            <a:ea typeface="Arial Unicode MS"/>
                          </a:rPr>
                          <m:t>𝑬</m:t>
                        </m:r>
                        <m:r>
                          <a:rPr lang="en-US" sz="1600" b="1" i="1">
                            <a:effectLst/>
                            <a:latin typeface="Cambria Math" panose="02040503050406030204" pitchFamily="18" charset="0"/>
                            <a:ea typeface="Arial Unicode MS"/>
                          </a:rPr>
                          <m:t>+</m:t>
                        </m:r>
                        <m:r>
                          <a:rPr lang="en-US" sz="1600" b="1" i="1">
                            <a:effectLst/>
                            <a:latin typeface="Cambria Math" panose="02040503050406030204" pitchFamily="18" charset="0"/>
                            <a:ea typeface="Arial Unicode MS"/>
                          </a:rPr>
                          <m:t>𝑫</m:t>
                        </m:r>
                      </m:den>
                    </m:f>
                    <m:r>
                      <a:rPr lang="en-US" sz="1600" b="1" i="1">
                        <a:effectLst/>
                        <a:latin typeface="Cambria Math" panose="02040503050406030204" pitchFamily="18" charset="0"/>
                        <a:ea typeface="Arial Unicode MS"/>
                      </a:rPr>
                      <m:t>+</m:t>
                    </m:r>
                    <m:sSub>
                      <m:sSubPr>
                        <m:ctrlPr>
                          <a:rPr lang="es-MX" sz="1600" b="1" i="1">
                            <a:effectLst/>
                            <a:latin typeface="Cambria Math" panose="02040503050406030204" pitchFamily="18" charset="0"/>
                            <a:ea typeface="Arial Unicode MS"/>
                          </a:rPr>
                        </m:ctrlPr>
                      </m:sSubPr>
                      <m:e>
                        <m:r>
                          <a:rPr lang="en-US" sz="1600" b="1" i="1">
                            <a:effectLst/>
                            <a:latin typeface="Cambria Math" panose="02040503050406030204" pitchFamily="18" charset="0"/>
                            <a:ea typeface="Arial Unicode MS"/>
                          </a:rPr>
                          <m:t>𝑲</m:t>
                        </m:r>
                      </m:e>
                      <m:sub>
                        <m:r>
                          <a:rPr lang="en-US" sz="1600" b="1" i="1">
                            <a:effectLst/>
                            <a:latin typeface="Cambria Math" panose="02040503050406030204" pitchFamily="18" charset="0"/>
                            <a:ea typeface="Arial Unicode MS"/>
                          </a:rPr>
                          <m:t>𝒅</m:t>
                        </m:r>
                      </m:sub>
                    </m:sSub>
                    <m:r>
                      <a:rPr lang="en-US" sz="1600" b="1" i="1">
                        <a:effectLst/>
                        <a:latin typeface="Cambria Math" panose="02040503050406030204" pitchFamily="18" charset="0"/>
                        <a:ea typeface="Arial Unicode MS"/>
                      </a:rPr>
                      <m:t>∗</m:t>
                    </m:r>
                    <m:f>
                      <m:fPr>
                        <m:ctrlPr>
                          <a:rPr lang="es-MX" sz="1600" b="1" i="1">
                            <a:effectLst/>
                            <a:latin typeface="Cambria Math" panose="02040503050406030204" pitchFamily="18" charset="0"/>
                            <a:ea typeface="Arial Unicode MS"/>
                          </a:rPr>
                        </m:ctrlPr>
                      </m:fPr>
                      <m:num>
                        <m:r>
                          <a:rPr lang="en-US" sz="1600" b="1" i="1">
                            <a:effectLst/>
                            <a:latin typeface="Cambria Math" panose="02040503050406030204" pitchFamily="18" charset="0"/>
                            <a:ea typeface="Arial Unicode MS"/>
                          </a:rPr>
                          <m:t>𝑫</m:t>
                        </m:r>
                      </m:num>
                      <m:den>
                        <m:r>
                          <a:rPr lang="en-US" sz="1600" b="1" i="1">
                            <a:effectLst/>
                            <a:latin typeface="Cambria Math" panose="02040503050406030204" pitchFamily="18" charset="0"/>
                            <a:ea typeface="Arial Unicode MS"/>
                          </a:rPr>
                          <m:t>𝑬</m:t>
                        </m:r>
                        <m:r>
                          <a:rPr lang="en-US" sz="1600" b="1" i="1">
                            <a:effectLst/>
                            <a:latin typeface="Cambria Math" panose="02040503050406030204" pitchFamily="18" charset="0"/>
                            <a:ea typeface="Arial Unicode MS"/>
                          </a:rPr>
                          <m:t>+</m:t>
                        </m:r>
                        <m:r>
                          <a:rPr lang="en-US" sz="1600" b="1" i="1">
                            <a:effectLst/>
                            <a:latin typeface="Cambria Math" panose="02040503050406030204" pitchFamily="18" charset="0"/>
                            <a:ea typeface="Arial Unicode MS"/>
                          </a:rPr>
                          <m:t>𝑫</m:t>
                        </m:r>
                      </m:den>
                    </m:f>
                    <m:r>
                      <a:rPr lang="en-US" sz="1600" b="1" i="1">
                        <a:effectLst/>
                        <a:latin typeface="Cambria Math" panose="02040503050406030204" pitchFamily="18" charset="0"/>
                        <a:ea typeface="Arial Unicode MS"/>
                      </a:rPr>
                      <m:t>∗</m:t>
                    </m:r>
                    <m:d>
                      <m:dPr>
                        <m:ctrlPr>
                          <a:rPr lang="es-MX" sz="1600" b="1" i="1">
                            <a:effectLst/>
                            <a:latin typeface="Cambria Math" panose="02040503050406030204" pitchFamily="18" charset="0"/>
                            <a:ea typeface="Arial Unicode MS"/>
                          </a:rPr>
                        </m:ctrlPr>
                      </m:dPr>
                      <m:e>
                        <m:r>
                          <a:rPr lang="en-US" sz="1600" b="1" i="1">
                            <a:effectLst/>
                            <a:latin typeface="Cambria Math" panose="02040503050406030204" pitchFamily="18" charset="0"/>
                            <a:ea typeface="Arial Unicode MS"/>
                          </a:rPr>
                          <m:t>𝟏</m:t>
                        </m:r>
                        <m:r>
                          <a:rPr lang="en-US" sz="1600" b="1" i="1">
                            <a:effectLst/>
                            <a:latin typeface="Cambria Math" panose="02040503050406030204" pitchFamily="18" charset="0"/>
                            <a:ea typeface="Arial Unicode MS"/>
                          </a:rPr>
                          <m:t>−</m:t>
                        </m:r>
                        <m:r>
                          <a:rPr lang="en-US" sz="1600" b="1" i="1">
                            <a:effectLst/>
                            <a:latin typeface="Cambria Math" panose="02040503050406030204" pitchFamily="18" charset="0"/>
                            <a:ea typeface="Arial Unicode MS"/>
                          </a:rPr>
                          <m:t>𝑻</m:t>
                        </m:r>
                      </m:e>
                    </m:d>
                  </m:oMath>
                </m:oMathPara>
              </a14:m>
              <a:endParaRPr lang="es-MX" sz="1600">
                <a:effectLst/>
                <a:latin typeface="Times New Roman" panose="02020603050405020304" pitchFamily="18" charset="0"/>
                <a:ea typeface="Arial Unicode MS"/>
              </a:endParaRPr>
            </a:p>
          </xdr:txBody>
        </xdr:sp>
      </mc:Choice>
      <mc:Fallback xmlns="">
        <xdr:sp macro="" textlink="">
          <xdr:nvSpPr>
            <xdr:cNvPr id="12" name="Rectángulo 11">
              <a:extLst>
                <a:ext uri="{FF2B5EF4-FFF2-40B4-BE49-F238E27FC236}">
                  <a16:creationId xmlns:a16="http://schemas.microsoft.com/office/drawing/2014/main" id="{A4871E8A-5EF3-442E-9A5F-7F601EBB07D9}"/>
                </a:ext>
              </a:extLst>
            </xdr:cNvPr>
            <xdr:cNvSpPr/>
          </xdr:nvSpPr>
          <xdr:spPr>
            <a:xfrm>
              <a:off x="18489083" y="22067308"/>
              <a:ext cx="5740281" cy="637943"/>
            </a:xfrm>
            <a:prstGeom prst="rect">
              <a:avLst/>
            </a:prstGeom>
            <a:ln>
              <a:noFill/>
            </a:ln>
            <a:effectLst>
              <a:outerShdw blurRad="149987" dist="250190" dir="8460000" algn="ctr">
                <a:srgbClr val="000000">
                  <a:alpha val="28000"/>
                </a:srgbClr>
              </a:outerShdw>
            </a:effectLst>
            <a:scene3d>
              <a:camera prst="orthographicFront">
                <a:rot lat="0" lon="0" rev="0"/>
              </a:camera>
              <a:lightRig rig="contrasting" dir="t">
                <a:rot lat="0" lon="0" rev="1500000"/>
              </a:lightRig>
            </a:scene3d>
            <a:sp3d prstMaterial="metal">
              <a:bevelT w="88900" h="88900"/>
            </a:sp3d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s-MX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>
                <a:lnSpc>
                  <a:spcPct val="106000"/>
                </a:lnSpc>
                <a:spcAft>
                  <a:spcPts val="800"/>
                </a:spcAft>
              </a:pPr>
              <a:r>
                <a:rPr lang="en-US" sz="1600" b="1" i="0">
                  <a:effectLst/>
                  <a:latin typeface="Cambria Math" panose="02040503050406030204" pitchFamily="18" charset="0"/>
                  <a:ea typeface="Arial Unicode MS"/>
                </a:rPr>
                <a:t>𝑾𝑨𝑪𝑪=𝑲</a:t>
              </a:r>
              <a:r>
                <a:rPr lang="es-MX" sz="1600" b="1" i="0">
                  <a:effectLst/>
                  <a:latin typeface="Cambria Math" panose="02040503050406030204" pitchFamily="18" charset="0"/>
                  <a:ea typeface="Arial Unicode MS"/>
                </a:rPr>
                <a:t>_</a:t>
              </a:r>
              <a:r>
                <a:rPr lang="en-US" sz="1600" b="1" i="0">
                  <a:effectLst/>
                  <a:latin typeface="Cambria Math" panose="02040503050406030204" pitchFamily="18" charset="0"/>
                  <a:ea typeface="Arial Unicode MS"/>
                </a:rPr>
                <a:t>𝒆∗𝑬</a:t>
              </a:r>
              <a:r>
                <a:rPr lang="es-MX" sz="1600" b="1" i="0">
                  <a:effectLst/>
                  <a:latin typeface="Cambria Math" panose="02040503050406030204" pitchFamily="18" charset="0"/>
                  <a:ea typeface="Arial Unicode MS"/>
                </a:rPr>
                <a:t>/(</a:t>
              </a:r>
              <a:r>
                <a:rPr lang="en-US" sz="1600" b="1" i="0">
                  <a:effectLst/>
                  <a:latin typeface="Cambria Math" panose="02040503050406030204" pitchFamily="18" charset="0"/>
                  <a:ea typeface="Arial Unicode MS"/>
                </a:rPr>
                <a:t>𝑬+𝑫</a:t>
              </a:r>
              <a:r>
                <a:rPr lang="es-MX" sz="1600" b="1" i="0">
                  <a:effectLst/>
                  <a:latin typeface="Cambria Math" panose="02040503050406030204" pitchFamily="18" charset="0"/>
                  <a:ea typeface="Arial Unicode MS"/>
                </a:rPr>
                <a:t>)</a:t>
              </a:r>
              <a:r>
                <a:rPr lang="en-US" sz="1600" b="1" i="0">
                  <a:effectLst/>
                  <a:latin typeface="Cambria Math" panose="02040503050406030204" pitchFamily="18" charset="0"/>
                  <a:ea typeface="Arial Unicode MS"/>
                </a:rPr>
                <a:t>+𝑲</a:t>
              </a:r>
              <a:r>
                <a:rPr lang="es-MX" sz="1600" b="1" i="0">
                  <a:effectLst/>
                  <a:latin typeface="Cambria Math" panose="02040503050406030204" pitchFamily="18" charset="0"/>
                  <a:ea typeface="Arial Unicode MS"/>
                </a:rPr>
                <a:t>_</a:t>
              </a:r>
              <a:r>
                <a:rPr lang="en-US" sz="1600" b="1" i="0">
                  <a:effectLst/>
                  <a:latin typeface="Cambria Math" panose="02040503050406030204" pitchFamily="18" charset="0"/>
                  <a:ea typeface="Arial Unicode MS"/>
                </a:rPr>
                <a:t>𝒅∗𝑫</a:t>
              </a:r>
              <a:r>
                <a:rPr lang="es-MX" sz="1600" b="1" i="0">
                  <a:effectLst/>
                  <a:latin typeface="Cambria Math" panose="02040503050406030204" pitchFamily="18" charset="0"/>
                  <a:ea typeface="Arial Unicode MS"/>
                </a:rPr>
                <a:t>/(</a:t>
              </a:r>
              <a:r>
                <a:rPr lang="en-US" sz="1600" b="1" i="0">
                  <a:effectLst/>
                  <a:latin typeface="Cambria Math" panose="02040503050406030204" pitchFamily="18" charset="0"/>
                  <a:ea typeface="Arial Unicode MS"/>
                </a:rPr>
                <a:t>𝑬+𝑫</a:t>
              </a:r>
              <a:r>
                <a:rPr lang="es-MX" sz="1600" b="1" i="0">
                  <a:effectLst/>
                  <a:latin typeface="Cambria Math" panose="02040503050406030204" pitchFamily="18" charset="0"/>
                  <a:ea typeface="Arial Unicode MS"/>
                </a:rPr>
                <a:t>)</a:t>
              </a:r>
              <a:r>
                <a:rPr lang="en-US" sz="1600" b="1" i="0">
                  <a:effectLst/>
                  <a:latin typeface="Cambria Math" panose="02040503050406030204" pitchFamily="18" charset="0"/>
                  <a:ea typeface="Arial Unicode MS"/>
                </a:rPr>
                <a:t>∗</a:t>
              </a:r>
              <a:r>
                <a:rPr lang="es-MX" sz="1600" b="1" i="0">
                  <a:effectLst/>
                  <a:latin typeface="Cambria Math" panose="02040503050406030204" pitchFamily="18" charset="0"/>
                </a:rPr>
                <a:t>(</a:t>
              </a:r>
              <a:r>
                <a:rPr lang="en-US" sz="1600" b="1" i="0">
                  <a:effectLst/>
                  <a:latin typeface="Cambria Math" panose="02040503050406030204" pitchFamily="18" charset="0"/>
                  <a:ea typeface="Arial Unicode MS"/>
                </a:rPr>
                <a:t>𝟏−𝑻)</a:t>
              </a:r>
              <a:endParaRPr lang="es-MX" sz="1600">
                <a:effectLst/>
                <a:latin typeface="Times New Roman" panose="02020603050405020304" pitchFamily="18" charset="0"/>
                <a:ea typeface="Arial Unicode MS"/>
              </a:endParaRPr>
            </a:p>
          </xdr:txBody>
        </xdr:sp>
      </mc:Fallback>
    </mc:AlternateContent>
    <xdr:clientData/>
  </xdr:twoCellAnchor>
  <xdr:twoCellAnchor editAs="oneCell">
    <xdr:from>
      <xdr:col>13</xdr:col>
      <xdr:colOff>462644</xdr:colOff>
      <xdr:row>132</xdr:row>
      <xdr:rowOff>172357</xdr:rowOff>
    </xdr:from>
    <xdr:to>
      <xdr:col>15</xdr:col>
      <xdr:colOff>222635</xdr:colOff>
      <xdr:row>136</xdr:row>
      <xdr:rowOff>93708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38EC4CBA-65BB-45CF-A2A3-677D8E3CC67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54696"/>
        <a:stretch/>
      </xdr:blipFill>
      <xdr:spPr>
        <a:xfrm>
          <a:off x="15275077" y="24988157"/>
          <a:ext cx="2324333" cy="649483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137</xdr:row>
      <xdr:rowOff>136071</xdr:rowOff>
    </xdr:from>
    <xdr:to>
      <xdr:col>15</xdr:col>
      <xdr:colOff>88593</xdr:colOff>
      <xdr:row>141</xdr:row>
      <xdr:rowOff>102648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57C25EE3-63A1-4D50-89CE-03002E6D1C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845367" y="25887438"/>
          <a:ext cx="1615768" cy="694710"/>
        </a:xfrm>
        <a:prstGeom prst="rect">
          <a:avLst/>
        </a:prstGeom>
      </xdr:spPr>
    </xdr:pic>
    <xdr:clientData/>
  </xdr:twoCellAnchor>
  <xdr:twoCellAnchor editAs="oneCell">
    <xdr:from>
      <xdr:col>13</xdr:col>
      <xdr:colOff>353786</xdr:colOff>
      <xdr:row>143</xdr:row>
      <xdr:rowOff>117930</xdr:rowOff>
    </xdr:from>
    <xdr:to>
      <xdr:col>15</xdr:col>
      <xdr:colOff>638708</xdr:colOff>
      <xdr:row>148</xdr:row>
      <xdr:rowOff>24140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6EBE848D-A8AB-4E44-B7C5-97214D8C85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166219" y="26961497"/>
          <a:ext cx="2849265" cy="816375"/>
        </a:xfrm>
        <a:prstGeom prst="rect">
          <a:avLst/>
        </a:prstGeom>
      </xdr:spPr>
    </xdr:pic>
    <xdr:clientData/>
  </xdr:twoCellAnchor>
  <xdr:twoCellAnchor>
    <xdr:from>
      <xdr:col>23</xdr:col>
      <xdr:colOff>1039813</xdr:colOff>
      <xdr:row>0</xdr:row>
      <xdr:rowOff>28045</xdr:rowOff>
    </xdr:from>
    <xdr:to>
      <xdr:col>29</xdr:col>
      <xdr:colOff>674688</xdr:colOff>
      <xdr:row>15</xdr:row>
      <xdr:rowOff>72495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7E304338-88EC-B8F2-F33A-2CD03D534C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190499</xdr:colOff>
      <xdr:row>0</xdr:row>
      <xdr:rowOff>170921</xdr:rowOff>
    </xdr:from>
    <xdr:to>
      <xdr:col>35</xdr:col>
      <xdr:colOff>95249</xdr:colOff>
      <xdr:row>16</xdr:row>
      <xdr:rowOff>35455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20BAEF07-C730-B7D1-CC1F-797C0F75B5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</xdr:col>
      <xdr:colOff>253999</xdr:colOff>
      <xdr:row>15</xdr:row>
      <xdr:rowOff>25399</xdr:rowOff>
    </xdr:from>
    <xdr:to>
      <xdr:col>32</xdr:col>
      <xdr:colOff>126999</xdr:colOff>
      <xdr:row>30</xdr:row>
      <xdr:rowOff>59266</xdr:rowOff>
    </xdr:to>
    <xdr:graphicFrame macro="">
      <xdr:nvGraphicFramePr>
        <xdr:cNvPr id="20" name="Gráfico 19">
          <a:extLst>
            <a:ext uri="{FF2B5EF4-FFF2-40B4-BE49-F238E27FC236}">
              <a16:creationId xmlns:a16="http://schemas.microsoft.com/office/drawing/2014/main" id="{033921FD-BC2E-16F5-2D96-2F36C05C89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26</xdr:col>
      <xdr:colOff>391582</xdr:colOff>
      <xdr:row>14</xdr:row>
      <xdr:rowOff>88898</xdr:rowOff>
    </xdr:from>
    <xdr:to>
      <xdr:col>32</xdr:col>
      <xdr:colOff>264582</xdr:colOff>
      <xdr:row>29</xdr:row>
      <xdr:rowOff>122763</xdr:rowOff>
    </xdr:to>
    <xdr:graphicFrame macro="">
      <xdr:nvGraphicFramePr>
        <xdr:cNvPr id="21" name="Gráfico 20">
          <a:extLst>
            <a:ext uri="{FF2B5EF4-FFF2-40B4-BE49-F238E27FC236}">
              <a16:creationId xmlns:a16="http://schemas.microsoft.com/office/drawing/2014/main" id="{A350A019-273C-DF67-56FF-A4D90F09EF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507999</xdr:colOff>
      <xdr:row>28</xdr:row>
      <xdr:rowOff>131232</xdr:rowOff>
    </xdr:from>
    <xdr:to>
      <xdr:col>32</xdr:col>
      <xdr:colOff>380999</xdr:colOff>
      <xdr:row>43</xdr:row>
      <xdr:rowOff>175682</xdr:rowOff>
    </xdr:to>
    <xdr:graphicFrame macro="">
      <xdr:nvGraphicFramePr>
        <xdr:cNvPr id="22" name="Gráfico 21">
          <a:extLst>
            <a:ext uri="{FF2B5EF4-FFF2-40B4-BE49-F238E27FC236}">
              <a16:creationId xmlns:a16="http://schemas.microsoft.com/office/drawing/2014/main" id="{94F174C8-BF2C-3F2B-2E53-78889BAA0A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22</xdr:col>
      <xdr:colOff>814915</xdr:colOff>
      <xdr:row>43</xdr:row>
      <xdr:rowOff>46565</xdr:rowOff>
    </xdr:from>
    <xdr:to>
      <xdr:col>27</xdr:col>
      <xdr:colOff>338665</xdr:colOff>
      <xdr:row>58</xdr:row>
      <xdr:rowOff>91015</xdr:rowOff>
    </xdr:to>
    <xdr:graphicFrame macro="">
      <xdr:nvGraphicFramePr>
        <xdr:cNvPr id="24" name="Gráfico 23">
          <a:extLst>
            <a:ext uri="{FF2B5EF4-FFF2-40B4-BE49-F238E27FC236}">
              <a16:creationId xmlns:a16="http://schemas.microsoft.com/office/drawing/2014/main" id="{F7B85ED4-362E-A79E-BC57-749D0826C4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/Switch/Chedraui%20Estados%20Proyecci&#243;n%20AM_Exame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#ACCIONES"/>
      <sheetName val="Balance (2)"/>
      <sheetName val="Resultados (2)"/>
      <sheetName val="proyecciones"/>
      <sheetName val="Balance general"/>
      <sheetName val="Estado de resultados"/>
      <sheetName val="Razones"/>
      <sheetName val="FCD"/>
      <sheetName val="Calculo de la Beta"/>
      <sheetName val="Pronostico 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80">
          <cell r="E80">
            <v>2011</v>
          </cell>
          <cell r="F80">
            <v>2012</v>
          </cell>
          <cell r="G80">
            <v>2013</v>
          </cell>
          <cell r="H80">
            <v>2014</v>
          </cell>
          <cell r="I80">
            <v>2015</v>
          </cell>
          <cell r="J80">
            <v>2016</v>
          </cell>
          <cell r="K80">
            <v>2017</v>
          </cell>
          <cell r="L80">
            <v>2018</v>
          </cell>
          <cell r="M80">
            <v>2019</v>
          </cell>
          <cell r="N80">
            <v>2020</v>
          </cell>
          <cell r="O80">
            <v>2021</v>
          </cell>
          <cell r="P80">
            <v>2022</v>
          </cell>
        </row>
        <row r="81">
          <cell r="D81" t="str">
            <v>Razón de cobertura efectivo</v>
          </cell>
          <cell r="E81">
            <v>7.7044712871287127</v>
          </cell>
          <cell r="F81">
            <v>6.9578297872340427</v>
          </cell>
          <cell r="G81">
            <v>7.9788812949640286</v>
          </cell>
          <cell r="H81">
            <v>10.386345898004434</v>
          </cell>
          <cell r="I81">
            <v>9.8063425196850389</v>
          </cell>
          <cell r="J81">
            <v>9.9267720207253891</v>
          </cell>
          <cell r="K81">
            <v>10.066361666666667</v>
          </cell>
          <cell r="L81">
            <v>3.7076528497409327</v>
          </cell>
          <cell r="M81">
            <v>4.0012994300745284</v>
          </cell>
          <cell r="N81">
            <v>4.9714069124423963</v>
          </cell>
          <cell r="O81">
            <v>5.5441149425287355</v>
          </cell>
          <cell r="P81">
            <v>6.8829874718920658</v>
          </cell>
        </row>
      </sheetData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420C0C-BF62-4F3D-A7AE-A667CAF24A9A}">
  <dimension ref="B3:Q50"/>
  <sheetViews>
    <sheetView topLeftCell="A21" zoomScale="79" zoomScaleNormal="80" workbookViewId="0">
      <selection activeCell="L50" sqref="L50"/>
    </sheetView>
  </sheetViews>
  <sheetFormatPr baseColWidth="10" defaultRowHeight="14.35" x14ac:dyDescent="0.5"/>
  <cols>
    <col min="2" max="2" width="53.52734375" customWidth="1"/>
    <col min="10" max="10" width="12.52734375" customWidth="1"/>
    <col min="11" max="11" width="12.234375" bestFit="1" customWidth="1"/>
    <col min="12" max="12" width="13.3515625" bestFit="1" customWidth="1"/>
  </cols>
  <sheetData>
    <row r="3" spans="2:13" x14ac:dyDescent="0.5">
      <c r="B3" s="1" t="s">
        <v>38</v>
      </c>
      <c r="M3" s="2"/>
    </row>
    <row r="4" spans="2:13" x14ac:dyDescent="0.5">
      <c r="B4" s="1" t="s">
        <v>0</v>
      </c>
    </row>
    <row r="5" spans="2:13" ht="14.7" thickBot="1" x14ac:dyDescent="0.55000000000000004">
      <c r="B5" s="1" t="s">
        <v>56</v>
      </c>
      <c r="C5" s="3">
        <v>1</v>
      </c>
      <c r="D5" s="3">
        <v>2</v>
      </c>
      <c r="E5" s="3">
        <v>3</v>
      </c>
      <c r="F5" s="3">
        <v>4</v>
      </c>
      <c r="G5" s="3">
        <v>5</v>
      </c>
      <c r="H5" s="3">
        <v>6</v>
      </c>
      <c r="I5" s="3">
        <v>7</v>
      </c>
      <c r="J5" s="3">
        <v>8</v>
      </c>
      <c r="K5" s="3">
        <v>9</v>
      </c>
      <c r="L5" s="3">
        <v>10</v>
      </c>
    </row>
    <row r="6" spans="2:13" x14ac:dyDescent="0.5">
      <c r="B6" s="5" t="s">
        <v>1</v>
      </c>
      <c r="C6" s="10">
        <v>2014</v>
      </c>
      <c r="D6" s="10">
        <v>2015</v>
      </c>
      <c r="E6" s="10">
        <v>2016</v>
      </c>
      <c r="F6" s="10">
        <v>2017</v>
      </c>
      <c r="G6" s="10">
        <v>2018</v>
      </c>
      <c r="H6" s="10">
        <v>2019</v>
      </c>
      <c r="I6" s="10">
        <v>2020</v>
      </c>
      <c r="J6" s="10">
        <v>2021</v>
      </c>
      <c r="K6" s="4">
        <v>2022</v>
      </c>
      <c r="L6" s="4">
        <v>2023</v>
      </c>
    </row>
    <row r="7" spans="2:13" x14ac:dyDescent="0.5">
      <c r="B7" s="11" t="s">
        <v>2</v>
      </c>
      <c r="C7" s="12"/>
      <c r="D7" s="12"/>
      <c r="E7" s="12"/>
      <c r="F7" s="12"/>
      <c r="G7" s="12"/>
      <c r="H7" s="12"/>
      <c r="I7" s="12"/>
      <c r="J7" s="12"/>
      <c r="K7" s="25"/>
      <c r="L7" s="9"/>
    </row>
    <row r="8" spans="2:13" x14ac:dyDescent="0.5">
      <c r="B8" s="13" t="s">
        <v>5</v>
      </c>
      <c r="C8" s="14">
        <v>976</v>
      </c>
      <c r="D8" s="14">
        <v>1793</v>
      </c>
      <c r="E8" s="14">
        <v>2661</v>
      </c>
      <c r="F8" s="14">
        <v>3757</v>
      </c>
      <c r="G8" s="14">
        <v>3555</v>
      </c>
      <c r="H8" s="17">
        <v>5883</v>
      </c>
      <c r="I8" s="14">
        <v>8720</v>
      </c>
      <c r="J8" s="14">
        <v>5799</v>
      </c>
      <c r="K8" s="27">
        <v>8331.08</v>
      </c>
      <c r="L8" s="14">
        <v>6452.12</v>
      </c>
    </row>
    <row r="9" spans="2:13" x14ac:dyDescent="0.5">
      <c r="B9" s="13" t="s">
        <v>6</v>
      </c>
      <c r="C9" s="14">
        <v>390</v>
      </c>
      <c r="D9" s="14">
        <v>323</v>
      </c>
      <c r="E9" s="14">
        <v>474</v>
      </c>
      <c r="F9" s="14">
        <v>113</v>
      </c>
      <c r="G9" s="14">
        <v>617</v>
      </c>
      <c r="H9" s="17">
        <v>72</v>
      </c>
      <c r="I9" s="14">
        <v>121</v>
      </c>
      <c r="J9" s="14">
        <v>100</v>
      </c>
      <c r="K9" s="27">
        <v>31.08</v>
      </c>
      <c r="L9" s="14">
        <v>20.78</v>
      </c>
    </row>
    <row r="10" spans="2:13" x14ac:dyDescent="0.5">
      <c r="B10" s="13" t="s">
        <v>7</v>
      </c>
      <c r="C10" s="14">
        <v>6902</v>
      </c>
      <c r="D10" s="14">
        <v>10720</v>
      </c>
      <c r="E10" s="14">
        <v>11581</v>
      </c>
      <c r="F10" s="14">
        <v>11406</v>
      </c>
      <c r="G10" s="14">
        <v>10247</v>
      </c>
      <c r="H10" s="17">
        <v>7860</v>
      </c>
      <c r="I10" s="14">
        <v>9229</v>
      </c>
      <c r="J10" s="14">
        <v>10389</v>
      </c>
      <c r="K10" s="14">
        <v>12717.46</v>
      </c>
      <c r="L10" s="27">
        <v>12113.16</v>
      </c>
    </row>
    <row r="11" spans="2:13" x14ac:dyDescent="0.5">
      <c r="B11" s="13" t="s">
        <v>8</v>
      </c>
      <c r="C11" s="14">
        <v>8472</v>
      </c>
      <c r="D11" s="14">
        <v>8667</v>
      </c>
      <c r="E11" s="14">
        <v>11784</v>
      </c>
      <c r="F11" s="14">
        <v>12694</v>
      </c>
      <c r="G11" s="14">
        <v>12518</v>
      </c>
      <c r="H11" s="17">
        <v>11146</v>
      </c>
      <c r="I11" s="14">
        <v>12630</v>
      </c>
      <c r="J11" s="14">
        <v>16995</v>
      </c>
      <c r="K11" s="14">
        <v>16927.5</v>
      </c>
      <c r="L11" s="27">
        <v>18080.98</v>
      </c>
    </row>
    <row r="12" spans="2:13" x14ac:dyDescent="0.5">
      <c r="B12" s="13" t="s">
        <v>9</v>
      </c>
      <c r="C12" s="14">
        <v>8</v>
      </c>
      <c r="D12" s="14">
        <v>0</v>
      </c>
      <c r="E12" s="14">
        <v>40</v>
      </c>
      <c r="F12" s="14">
        <v>32</v>
      </c>
      <c r="G12" s="14">
        <v>0</v>
      </c>
      <c r="H12" s="17">
        <v>0</v>
      </c>
      <c r="I12" s="14">
        <v>0</v>
      </c>
      <c r="J12" s="14">
        <v>185</v>
      </c>
      <c r="K12" s="14">
        <v>119.76</v>
      </c>
      <c r="L12" s="27">
        <v>0.2</v>
      </c>
    </row>
    <row r="13" spans="2:13" x14ac:dyDescent="0.5">
      <c r="B13" s="13" t="s">
        <v>10</v>
      </c>
      <c r="C13" s="14">
        <v>250</v>
      </c>
      <c r="D13" s="14">
        <v>277</v>
      </c>
      <c r="E13" s="14">
        <v>367</v>
      </c>
      <c r="F13" s="14">
        <v>434</v>
      </c>
      <c r="G13" s="14">
        <v>468</v>
      </c>
      <c r="H13" s="17">
        <v>394</v>
      </c>
      <c r="I13" s="14">
        <v>436</v>
      </c>
      <c r="J13" s="14">
        <v>400</v>
      </c>
      <c r="K13" s="14">
        <v>399.5</v>
      </c>
      <c r="L13" s="27">
        <v>576.38</v>
      </c>
    </row>
    <row r="14" spans="2:13" x14ac:dyDescent="0.5">
      <c r="B14" s="13" t="s">
        <v>11</v>
      </c>
      <c r="C14" s="14">
        <v>16998</v>
      </c>
      <c r="D14" s="14">
        <v>22780</v>
      </c>
      <c r="E14" s="14">
        <v>26907</v>
      </c>
      <c r="F14" s="14">
        <v>28346</v>
      </c>
      <c r="G14" s="14">
        <v>27405</v>
      </c>
      <c r="H14" s="17">
        <v>25403</v>
      </c>
      <c r="I14" s="14">
        <v>31195</v>
      </c>
      <c r="J14" s="14">
        <v>33868</v>
      </c>
      <c r="K14" s="14">
        <v>38526.379999999997</v>
      </c>
      <c r="L14" s="27">
        <v>37243.620000000003</v>
      </c>
    </row>
    <row r="15" spans="2:13" x14ac:dyDescent="0.5">
      <c r="B15" s="12" t="s">
        <v>39</v>
      </c>
      <c r="C15" s="15"/>
      <c r="D15" s="15"/>
      <c r="E15" s="15"/>
      <c r="F15" s="15"/>
      <c r="G15" s="15"/>
      <c r="H15" s="18"/>
      <c r="I15" s="12"/>
      <c r="J15" s="12"/>
      <c r="K15" s="15">
        <v>0</v>
      </c>
      <c r="L15" s="15">
        <v>0</v>
      </c>
    </row>
    <row r="16" spans="2:13" x14ac:dyDescent="0.5">
      <c r="B16" s="13" t="s">
        <v>3</v>
      </c>
      <c r="C16" s="14">
        <v>32534</v>
      </c>
      <c r="D16" s="14">
        <v>38263</v>
      </c>
      <c r="E16" s="14">
        <v>50094</v>
      </c>
      <c r="F16" s="14">
        <v>52274</v>
      </c>
      <c r="G16" s="14">
        <v>51629</v>
      </c>
      <c r="H16" s="17">
        <v>48140</v>
      </c>
      <c r="I16" s="14">
        <v>51491</v>
      </c>
      <c r="J16" s="14">
        <v>52679</v>
      </c>
      <c r="K16" s="14">
        <v>52619.199999999997</v>
      </c>
      <c r="L16" s="27">
        <v>57356.36</v>
      </c>
    </row>
    <row r="17" spans="2:12" x14ac:dyDescent="0.5">
      <c r="B17" s="13" t="s">
        <v>12</v>
      </c>
      <c r="C17" s="14">
        <v>0</v>
      </c>
      <c r="D17" s="14">
        <v>0</v>
      </c>
      <c r="E17" s="22">
        <v>0</v>
      </c>
      <c r="F17" s="14">
        <v>0</v>
      </c>
      <c r="G17" s="14">
        <v>0</v>
      </c>
      <c r="H17" s="17">
        <v>1763</v>
      </c>
      <c r="I17" s="14">
        <v>1797</v>
      </c>
      <c r="J17" s="14">
        <v>1867</v>
      </c>
      <c r="K17" s="14">
        <v>1989.88</v>
      </c>
      <c r="L17" s="27">
        <v>1971.62</v>
      </c>
    </row>
    <row r="18" spans="2:12" x14ac:dyDescent="0.5">
      <c r="B18" s="13" t="s">
        <v>13</v>
      </c>
      <c r="C18" s="14">
        <v>6911</v>
      </c>
      <c r="D18" s="14">
        <v>9216</v>
      </c>
      <c r="E18" s="14">
        <v>12057</v>
      </c>
      <c r="F18" s="14">
        <v>12782</v>
      </c>
      <c r="G18" s="14">
        <v>11307</v>
      </c>
      <c r="H18" s="17">
        <v>11182</v>
      </c>
      <c r="I18" s="14">
        <v>12221</v>
      </c>
      <c r="J18" s="14">
        <v>11895</v>
      </c>
      <c r="K18" s="14">
        <v>11164.1</v>
      </c>
      <c r="L18" s="27">
        <v>10985.46</v>
      </c>
    </row>
    <row r="19" spans="2:12" x14ac:dyDescent="0.5">
      <c r="B19" s="13" t="s">
        <v>14</v>
      </c>
      <c r="C19" s="14">
        <v>1173</v>
      </c>
      <c r="D19" s="14">
        <v>1321</v>
      </c>
      <c r="E19" s="14">
        <v>1520</v>
      </c>
      <c r="F19" s="14">
        <v>1002</v>
      </c>
      <c r="G19" s="14">
        <v>701</v>
      </c>
      <c r="H19" s="17">
        <v>1057</v>
      </c>
      <c r="I19" s="14">
        <v>1030</v>
      </c>
      <c r="J19" s="14">
        <v>125</v>
      </c>
      <c r="K19" s="14">
        <v>512.52</v>
      </c>
      <c r="L19" s="27">
        <v>1883.46</v>
      </c>
    </row>
    <row r="20" spans="2:12" x14ac:dyDescent="0.5">
      <c r="B20" s="13" t="s">
        <v>15</v>
      </c>
      <c r="C20" s="14">
        <v>513</v>
      </c>
      <c r="D20" s="14">
        <v>0</v>
      </c>
      <c r="E20" s="14">
        <v>720</v>
      </c>
      <c r="F20" s="14">
        <v>688</v>
      </c>
      <c r="G20" s="14">
        <v>706</v>
      </c>
      <c r="H20" s="17">
        <v>0</v>
      </c>
      <c r="I20" s="14">
        <v>0</v>
      </c>
      <c r="J20" s="14">
        <v>0</v>
      </c>
      <c r="K20" s="27">
        <v>0</v>
      </c>
      <c r="L20" s="27">
        <v>0</v>
      </c>
    </row>
    <row r="21" spans="2:12" x14ac:dyDescent="0.5">
      <c r="B21" s="23" t="s">
        <v>35</v>
      </c>
      <c r="C21" s="16">
        <v>27</v>
      </c>
      <c r="D21" s="16">
        <v>0</v>
      </c>
      <c r="E21" s="16">
        <v>0</v>
      </c>
      <c r="F21" s="16">
        <v>0</v>
      </c>
      <c r="G21" s="16">
        <v>0</v>
      </c>
      <c r="H21" s="24">
        <v>0</v>
      </c>
      <c r="I21" s="16">
        <v>0</v>
      </c>
      <c r="J21" s="16">
        <v>0</v>
      </c>
      <c r="K21" s="27">
        <v>0</v>
      </c>
      <c r="L21" s="27">
        <v>0</v>
      </c>
    </row>
    <row r="22" spans="2:12" x14ac:dyDescent="0.5">
      <c r="B22" s="13" t="s">
        <v>16</v>
      </c>
      <c r="C22" s="14">
        <v>935</v>
      </c>
      <c r="D22" s="14">
        <v>439</v>
      </c>
      <c r="E22" s="14">
        <v>595</v>
      </c>
      <c r="F22" s="14">
        <v>1507</v>
      </c>
      <c r="G22" s="14">
        <v>1510</v>
      </c>
      <c r="H22" s="17">
        <v>1197</v>
      </c>
      <c r="I22" s="14">
        <v>1002</v>
      </c>
      <c r="J22" s="14">
        <v>961</v>
      </c>
      <c r="K22" s="27">
        <v>698.36</v>
      </c>
      <c r="L22" s="27">
        <v>710.42</v>
      </c>
    </row>
    <row r="23" spans="2:12" x14ac:dyDescent="0.5">
      <c r="B23" s="36" t="s">
        <v>17</v>
      </c>
      <c r="C23" s="16">
        <v>42093</v>
      </c>
      <c r="D23" s="14">
        <v>49238</v>
      </c>
      <c r="E23" s="14">
        <v>64986</v>
      </c>
      <c r="F23" s="14">
        <v>68253</v>
      </c>
      <c r="G23" s="14">
        <v>65853</v>
      </c>
      <c r="H23" s="17">
        <v>63341</v>
      </c>
      <c r="I23" s="14">
        <v>67541</v>
      </c>
      <c r="J23" s="14">
        <v>67527</v>
      </c>
      <c r="K23" s="27">
        <v>66764.06</v>
      </c>
      <c r="L23" s="27">
        <v>72907.320000000007</v>
      </c>
    </row>
    <row r="24" spans="2:12" x14ac:dyDescent="0.5">
      <c r="B24" s="13" t="s">
        <v>18</v>
      </c>
      <c r="C24" s="14">
        <v>59091</v>
      </c>
      <c r="D24" s="14">
        <v>72018</v>
      </c>
      <c r="E24" s="14">
        <v>91893</v>
      </c>
      <c r="F24" s="14">
        <v>96689</v>
      </c>
      <c r="G24" s="14">
        <v>93258</v>
      </c>
      <c r="H24" s="17">
        <v>88744</v>
      </c>
      <c r="I24" s="14">
        <v>98732</v>
      </c>
      <c r="J24" s="14">
        <v>101395</v>
      </c>
      <c r="K24" s="27">
        <v>105290.44</v>
      </c>
      <c r="L24" s="27">
        <v>110150.94</v>
      </c>
    </row>
    <row r="25" spans="2:12" x14ac:dyDescent="0.5">
      <c r="B25" s="12" t="s">
        <v>36</v>
      </c>
      <c r="C25" s="15"/>
      <c r="D25" s="15"/>
      <c r="E25" s="15"/>
      <c r="F25" s="15"/>
      <c r="G25" s="15"/>
      <c r="H25" s="18"/>
      <c r="I25" s="12"/>
      <c r="J25" s="12"/>
      <c r="K25" s="15">
        <v>0</v>
      </c>
      <c r="L25" s="15">
        <v>0</v>
      </c>
    </row>
    <row r="26" spans="2:12" x14ac:dyDescent="0.5">
      <c r="B26" s="13" t="s">
        <v>19</v>
      </c>
      <c r="C26" s="14">
        <v>4784</v>
      </c>
      <c r="D26" s="14">
        <v>952</v>
      </c>
      <c r="E26" s="14">
        <v>3699</v>
      </c>
      <c r="F26" s="14">
        <v>1494</v>
      </c>
      <c r="G26" s="14">
        <v>2806</v>
      </c>
      <c r="H26" s="17">
        <v>2297</v>
      </c>
      <c r="I26" s="14">
        <v>4490</v>
      </c>
      <c r="J26" s="14">
        <v>4116</v>
      </c>
      <c r="K26" s="27">
        <v>2139.42</v>
      </c>
      <c r="L26" s="27">
        <v>6076.12</v>
      </c>
    </row>
    <row r="27" spans="2:12" x14ac:dyDescent="0.5">
      <c r="B27" s="13" t="s">
        <v>20</v>
      </c>
      <c r="C27" s="8">
        <v>0</v>
      </c>
      <c r="D27" s="14">
        <v>0</v>
      </c>
      <c r="E27" s="16">
        <v>0</v>
      </c>
      <c r="F27" s="14">
        <v>0</v>
      </c>
      <c r="G27" s="14">
        <v>0</v>
      </c>
      <c r="H27" s="17">
        <v>372</v>
      </c>
      <c r="I27" s="14">
        <v>422</v>
      </c>
      <c r="J27" s="14">
        <v>441</v>
      </c>
      <c r="K27" s="27">
        <v>311.7</v>
      </c>
      <c r="L27" s="27">
        <v>553.29999999999995</v>
      </c>
    </row>
    <row r="28" spans="2:12" x14ac:dyDescent="0.5">
      <c r="B28" s="13" t="s">
        <v>21</v>
      </c>
      <c r="C28" s="14">
        <v>12737</v>
      </c>
      <c r="D28" s="14">
        <v>16515</v>
      </c>
      <c r="E28" s="14">
        <v>18894</v>
      </c>
      <c r="F28" s="14">
        <v>22949</v>
      </c>
      <c r="G28" s="14">
        <v>22480</v>
      </c>
      <c r="H28" s="17">
        <v>21166</v>
      </c>
      <c r="I28" s="14">
        <v>24985</v>
      </c>
      <c r="J28" s="14">
        <v>28186</v>
      </c>
      <c r="K28" s="27">
        <v>31543.32</v>
      </c>
      <c r="L28" s="27">
        <v>32041.119999999999</v>
      </c>
    </row>
    <row r="29" spans="2:12" x14ac:dyDescent="0.5">
      <c r="B29" s="13" t="s">
        <v>35</v>
      </c>
      <c r="C29">
        <v>3</v>
      </c>
      <c r="D29" s="14">
        <v>0</v>
      </c>
      <c r="E29" s="16">
        <v>0</v>
      </c>
      <c r="F29" s="14">
        <v>274</v>
      </c>
      <c r="G29" s="14">
        <v>0</v>
      </c>
      <c r="H29" s="17">
        <v>0</v>
      </c>
      <c r="I29" s="14">
        <v>0</v>
      </c>
      <c r="J29" s="14">
        <v>0</v>
      </c>
      <c r="K29" s="27">
        <v>0</v>
      </c>
      <c r="L29" s="27">
        <v>0</v>
      </c>
    </row>
    <row r="30" spans="2:12" x14ac:dyDescent="0.5">
      <c r="B30" s="13" t="s">
        <v>22</v>
      </c>
      <c r="C30" s="14">
        <v>630</v>
      </c>
      <c r="D30" s="14">
        <v>311</v>
      </c>
      <c r="E30" s="14">
        <v>549</v>
      </c>
      <c r="F30" s="14">
        <v>9</v>
      </c>
      <c r="G30" s="14">
        <v>452</v>
      </c>
      <c r="H30" s="17">
        <v>883</v>
      </c>
      <c r="I30" s="14">
        <v>682</v>
      </c>
      <c r="J30" s="14">
        <v>718</v>
      </c>
      <c r="K30" s="27">
        <v>1603.68</v>
      </c>
      <c r="L30" s="27">
        <v>546.54</v>
      </c>
    </row>
    <row r="31" spans="2:12" x14ac:dyDescent="0.5">
      <c r="B31" s="13" t="s">
        <v>23</v>
      </c>
      <c r="C31" s="14">
        <v>846</v>
      </c>
      <c r="D31" s="14">
        <v>993</v>
      </c>
      <c r="E31" s="14">
        <v>542</v>
      </c>
      <c r="F31" s="14">
        <v>783</v>
      </c>
      <c r="G31" s="14">
        <v>806</v>
      </c>
      <c r="H31" s="17">
        <v>614</v>
      </c>
      <c r="I31" s="14">
        <v>0</v>
      </c>
      <c r="J31" s="14">
        <v>392</v>
      </c>
      <c r="K31" s="27">
        <v>730.68</v>
      </c>
      <c r="L31" s="27">
        <v>517.12</v>
      </c>
    </row>
    <row r="32" spans="2:12" x14ac:dyDescent="0.5">
      <c r="B32" s="13" t="s">
        <v>24</v>
      </c>
      <c r="C32" s="14">
        <v>19000</v>
      </c>
      <c r="D32" s="14">
        <v>18771</v>
      </c>
      <c r="E32" s="14">
        <v>23684</v>
      </c>
      <c r="F32" s="14">
        <v>25509</v>
      </c>
      <c r="G32" s="14">
        <v>26544</v>
      </c>
      <c r="H32" s="17">
        <v>25332</v>
      </c>
      <c r="I32" s="14">
        <v>30995</v>
      </c>
      <c r="J32" s="14">
        <v>33853</v>
      </c>
      <c r="K32" s="27">
        <v>36328.800000000003</v>
      </c>
      <c r="L32" s="27">
        <v>39734.199999999997</v>
      </c>
    </row>
    <row r="33" spans="2:17" x14ac:dyDescent="0.5">
      <c r="B33" s="12" t="s">
        <v>37</v>
      </c>
      <c r="C33" s="15"/>
      <c r="D33" s="15"/>
      <c r="E33" s="15"/>
      <c r="F33" s="15"/>
      <c r="G33" s="15"/>
      <c r="H33" s="18"/>
      <c r="I33" s="12"/>
      <c r="J33" s="12"/>
      <c r="K33" s="15">
        <v>0</v>
      </c>
      <c r="L33" s="15">
        <v>0</v>
      </c>
    </row>
    <row r="34" spans="2:17" x14ac:dyDescent="0.5">
      <c r="B34" s="13" t="s">
        <v>19</v>
      </c>
      <c r="C34" s="14">
        <v>15087</v>
      </c>
      <c r="D34" s="14">
        <v>21758</v>
      </c>
      <c r="E34" s="14">
        <v>25310</v>
      </c>
      <c r="F34" s="14">
        <v>27905</v>
      </c>
      <c r="G34" s="14">
        <v>26352</v>
      </c>
      <c r="H34" s="17">
        <v>24440</v>
      </c>
      <c r="I34" s="14">
        <v>26723</v>
      </c>
      <c r="J34" s="14">
        <v>26466</v>
      </c>
      <c r="K34" s="27">
        <v>28797.200000000001</v>
      </c>
      <c r="L34" s="27">
        <v>29072.560000000001</v>
      </c>
    </row>
    <row r="35" spans="2:17" x14ac:dyDescent="0.5">
      <c r="B35" s="13" t="s">
        <v>20</v>
      </c>
      <c r="C35" s="14">
        <v>0</v>
      </c>
      <c r="D35" s="14">
        <v>0</v>
      </c>
      <c r="E35" s="14">
        <v>0</v>
      </c>
      <c r="F35" s="14">
        <v>0</v>
      </c>
      <c r="G35" s="14">
        <v>0</v>
      </c>
      <c r="H35" s="17">
        <v>1481</v>
      </c>
      <c r="I35" s="14">
        <v>1554</v>
      </c>
      <c r="J35" s="14">
        <v>1642</v>
      </c>
      <c r="K35" s="27">
        <v>1703.6</v>
      </c>
      <c r="L35" s="27">
        <v>1723</v>
      </c>
    </row>
    <row r="36" spans="2:17" x14ac:dyDescent="0.5">
      <c r="B36" s="23" t="s">
        <v>35</v>
      </c>
      <c r="C36" s="16">
        <v>804</v>
      </c>
      <c r="D36" s="16">
        <v>0</v>
      </c>
      <c r="E36" s="16">
        <v>0</v>
      </c>
      <c r="F36" s="16">
        <v>0</v>
      </c>
      <c r="G36" s="16">
        <v>0</v>
      </c>
      <c r="H36" s="16">
        <v>0</v>
      </c>
      <c r="I36" s="16">
        <v>0</v>
      </c>
      <c r="J36" s="16">
        <v>0</v>
      </c>
      <c r="K36" s="27">
        <v>0</v>
      </c>
      <c r="L36" s="27">
        <v>0</v>
      </c>
    </row>
    <row r="37" spans="2:17" x14ac:dyDescent="0.5">
      <c r="B37" s="13" t="s">
        <v>25</v>
      </c>
      <c r="C37" s="14">
        <v>690</v>
      </c>
      <c r="D37" s="14">
        <v>779</v>
      </c>
      <c r="E37" s="14">
        <v>1058</v>
      </c>
      <c r="F37" s="14">
        <v>1225</v>
      </c>
      <c r="G37" s="14">
        <v>1238</v>
      </c>
      <c r="H37" s="17">
        <v>1408</v>
      </c>
      <c r="I37" s="14">
        <v>1568</v>
      </c>
      <c r="J37" s="14">
        <v>1454</v>
      </c>
      <c r="K37" s="27">
        <v>1486.08</v>
      </c>
      <c r="L37" s="27">
        <v>1797.32</v>
      </c>
    </row>
    <row r="38" spans="2:17" x14ac:dyDescent="0.5">
      <c r="B38" s="13" t="s">
        <v>14</v>
      </c>
      <c r="C38" s="14">
        <v>1955</v>
      </c>
      <c r="D38" s="14">
        <v>2765</v>
      </c>
      <c r="E38" s="14">
        <v>4152</v>
      </c>
      <c r="F38" s="14">
        <v>3346</v>
      </c>
      <c r="G38" s="14">
        <v>2806</v>
      </c>
      <c r="H38" s="17">
        <v>1955</v>
      </c>
      <c r="I38" s="14">
        <v>1951</v>
      </c>
      <c r="J38" s="14">
        <v>2242</v>
      </c>
      <c r="K38" s="27">
        <v>2264.5</v>
      </c>
      <c r="L38" s="27">
        <v>2071.36</v>
      </c>
    </row>
    <row r="39" spans="2:17" x14ac:dyDescent="0.5">
      <c r="B39" s="13" t="s">
        <v>26</v>
      </c>
      <c r="C39" s="14">
        <v>57</v>
      </c>
      <c r="D39" s="14">
        <v>6</v>
      </c>
      <c r="E39" s="14">
        <v>618</v>
      </c>
      <c r="F39" s="14">
        <v>281</v>
      </c>
      <c r="G39" s="14">
        <v>214</v>
      </c>
      <c r="H39" s="17">
        <v>184</v>
      </c>
      <c r="I39" s="14">
        <v>273</v>
      </c>
      <c r="J39" s="14">
        <v>225</v>
      </c>
      <c r="K39" s="27">
        <v>150.54</v>
      </c>
      <c r="L39" s="27">
        <v>339.92</v>
      </c>
      <c r="Q39">
        <f>0.3*0.25</f>
        <v>7.4999999999999997E-2</v>
      </c>
    </row>
    <row r="40" spans="2:17" x14ac:dyDescent="0.5">
      <c r="B40" s="13" t="s">
        <v>27</v>
      </c>
      <c r="C40" s="14">
        <v>18593</v>
      </c>
      <c r="D40" s="14">
        <v>25308</v>
      </c>
      <c r="E40" s="14">
        <v>31138</v>
      </c>
      <c r="F40" s="14">
        <v>32757</v>
      </c>
      <c r="G40" s="14">
        <v>30610</v>
      </c>
      <c r="H40" s="17">
        <v>29068</v>
      </c>
      <c r="I40" s="14">
        <v>32069</v>
      </c>
      <c r="J40" s="14">
        <v>32029</v>
      </c>
      <c r="K40" s="27">
        <v>34401.919999999998</v>
      </c>
      <c r="L40" s="27">
        <v>35004.160000000003</v>
      </c>
    </row>
    <row r="41" spans="2:17" x14ac:dyDescent="0.5">
      <c r="B41" s="13" t="s">
        <v>28</v>
      </c>
      <c r="C41" s="14">
        <v>37593</v>
      </c>
      <c r="D41" s="14">
        <v>44079</v>
      </c>
      <c r="E41" s="14">
        <v>54822</v>
      </c>
      <c r="F41" s="14">
        <v>58266</v>
      </c>
      <c r="G41" s="14">
        <v>57154</v>
      </c>
      <c r="H41" s="17">
        <v>54400</v>
      </c>
      <c r="I41" s="14">
        <v>63064</v>
      </c>
      <c r="J41" s="14">
        <v>65882</v>
      </c>
      <c r="K41" s="27">
        <v>70730.720000000001</v>
      </c>
      <c r="L41" s="27">
        <v>74738.36</v>
      </c>
    </row>
    <row r="42" spans="2:17" x14ac:dyDescent="0.5">
      <c r="B42" s="12" t="s">
        <v>29</v>
      </c>
      <c r="C42" s="15"/>
      <c r="D42" s="15"/>
      <c r="E42" s="15"/>
      <c r="F42" s="15"/>
      <c r="G42" s="15"/>
      <c r="H42" s="19"/>
      <c r="I42" s="15"/>
      <c r="J42" s="15"/>
      <c r="K42" s="15">
        <v>0</v>
      </c>
      <c r="L42" s="15">
        <v>0</v>
      </c>
    </row>
    <row r="43" spans="2:17" x14ac:dyDescent="0.5">
      <c r="B43" s="13" t="s">
        <v>30</v>
      </c>
      <c r="C43" s="14">
        <v>874</v>
      </c>
      <c r="D43" s="14">
        <v>6607</v>
      </c>
      <c r="E43" s="14">
        <v>6607</v>
      </c>
      <c r="F43" s="14">
        <v>6604</v>
      </c>
      <c r="G43" s="14">
        <v>6604</v>
      </c>
      <c r="H43" s="17">
        <v>6599</v>
      </c>
      <c r="I43" s="14">
        <v>6599</v>
      </c>
      <c r="J43" s="14">
        <v>6553</v>
      </c>
      <c r="K43" s="27">
        <v>8676.32</v>
      </c>
      <c r="L43" s="27">
        <v>8634.68</v>
      </c>
    </row>
    <row r="44" spans="2:17" x14ac:dyDescent="0.5">
      <c r="B44" s="13" t="s">
        <v>31</v>
      </c>
      <c r="C44" s="14">
        <v>0</v>
      </c>
      <c r="D44" s="14">
        <v>10443</v>
      </c>
      <c r="E44" s="14">
        <v>10434</v>
      </c>
      <c r="F44" s="14">
        <v>10434</v>
      </c>
      <c r="G44" s="14">
        <v>10434</v>
      </c>
      <c r="H44" s="17">
        <v>10434</v>
      </c>
      <c r="I44" s="14">
        <v>10434</v>
      </c>
      <c r="J44" s="14">
        <v>10434</v>
      </c>
      <c r="K44" s="27">
        <v>12821.84</v>
      </c>
      <c r="L44" s="27">
        <v>12821.84</v>
      </c>
    </row>
    <row r="45" spans="2:17" x14ac:dyDescent="0.5">
      <c r="B45" s="13" t="s">
        <v>32</v>
      </c>
      <c r="C45" s="14">
        <v>19505</v>
      </c>
      <c r="D45" s="14">
        <v>8645</v>
      </c>
      <c r="E45" s="14">
        <v>12309</v>
      </c>
      <c r="F45" s="14">
        <v>12722</v>
      </c>
      <c r="G45" s="14">
        <v>11567</v>
      </c>
      <c r="H45" s="17">
        <v>11373</v>
      </c>
      <c r="I45" s="14">
        <v>10211</v>
      </c>
      <c r="J45" s="14">
        <v>9970</v>
      </c>
      <c r="K45" s="27">
        <v>19233.18</v>
      </c>
      <c r="L45" s="27">
        <v>19250.32</v>
      </c>
    </row>
    <row r="46" spans="2:17" x14ac:dyDescent="0.5">
      <c r="B46" s="13" t="s">
        <v>33</v>
      </c>
      <c r="C46" s="14">
        <v>1101</v>
      </c>
      <c r="D46" s="14">
        <v>2244</v>
      </c>
      <c r="E46" s="14">
        <v>7721</v>
      </c>
      <c r="F46" s="14">
        <v>8663</v>
      </c>
      <c r="G46" s="14">
        <v>7499</v>
      </c>
      <c r="H46" s="17">
        <v>8008</v>
      </c>
      <c r="I46" s="14">
        <v>8423</v>
      </c>
      <c r="J46" s="14">
        <v>8556</v>
      </c>
      <c r="K46" s="27">
        <v>6171.62</v>
      </c>
      <c r="L46" s="27">
        <v>5074.26</v>
      </c>
    </row>
    <row r="47" spans="2:17" x14ac:dyDescent="0.5">
      <c r="B47" s="13" t="s">
        <v>4</v>
      </c>
      <c r="C47" s="14">
        <v>21498</v>
      </c>
      <c r="D47" s="14">
        <v>27939</v>
      </c>
      <c r="E47" s="14">
        <v>37071</v>
      </c>
      <c r="F47" s="14">
        <v>38423</v>
      </c>
      <c r="G47" s="14">
        <v>36104</v>
      </c>
      <c r="H47" s="17">
        <v>33994</v>
      </c>
      <c r="I47" s="14">
        <v>35668</v>
      </c>
      <c r="J47" s="14">
        <v>35513</v>
      </c>
      <c r="K47" s="27">
        <v>34559.72</v>
      </c>
      <c r="L47" s="27">
        <v>35412.58</v>
      </c>
    </row>
    <row r="48" spans="2:17" x14ac:dyDescent="0.5">
      <c r="B48" s="13" t="s">
        <v>34</v>
      </c>
      <c r="C48" s="14">
        <v>59091</v>
      </c>
      <c r="D48" s="14">
        <v>72018</v>
      </c>
      <c r="E48" s="14">
        <v>91839</v>
      </c>
      <c r="F48" s="20">
        <v>96689</v>
      </c>
      <c r="G48" s="20">
        <v>93258</v>
      </c>
      <c r="H48" s="17">
        <v>88744</v>
      </c>
      <c r="I48" s="14">
        <v>98732</v>
      </c>
      <c r="J48" s="14">
        <v>101395</v>
      </c>
      <c r="K48" s="27">
        <v>105290.44</v>
      </c>
      <c r="L48" s="27">
        <v>110150.94</v>
      </c>
    </row>
    <row r="50" spans="2:12" x14ac:dyDescent="0.5">
      <c r="B50" t="s">
        <v>181</v>
      </c>
      <c r="C50">
        <v>37.32</v>
      </c>
      <c r="D50">
        <v>34.299999999999997</v>
      </c>
      <c r="E50" s="73">
        <v>26.73</v>
      </c>
      <c r="F50">
        <v>21.21</v>
      </c>
      <c r="G50">
        <v>14.33</v>
      </c>
      <c r="H50">
        <v>8.15</v>
      </c>
      <c r="I50">
        <v>6.41</v>
      </c>
      <c r="J50">
        <v>6.07</v>
      </c>
      <c r="K50">
        <v>5.78</v>
      </c>
      <c r="L50">
        <v>4.1900000000000004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39E40-8F04-47A4-8B28-420AF3CEE67B}">
  <dimension ref="B2:Q50"/>
  <sheetViews>
    <sheetView workbookViewId="0">
      <selection activeCell="B28" sqref="B28"/>
    </sheetView>
  </sheetViews>
  <sheetFormatPr baseColWidth="10" defaultRowHeight="14.35" x14ac:dyDescent="0.5"/>
  <cols>
    <col min="2" max="2" width="51.52734375" customWidth="1"/>
    <col min="3" max="3" width="16.87890625" bestFit="1" customWidth="1"/>
    <col min="4" max="4" width="18.3515625" customWidth="1"/>
    <col min="5" max="5" width="13.64453125" customWidth="1"/>
    <col min="6" max="6" width="13.87890625" customWidth="1"/>
    <col min="7" max="7" width="14.1171875" customWidth="1"/>
    <col min="8" max="8" width="13.41015625" customWidth="1"/>
    <col min="9" max="9" width="10.87890625" bestFit="1" customWidth="1"/>
    <col min="10" max="12" width="13.3515625" customWidth="1"/>
    <col min="14" max="14" width="15.3515625" bestFit="1" customWidth="1"/>
    <col min="15" max="15" width="15.41015625" customWidth="1"/>
    <col min="16" max="16" width="15.52734375" customWidth="1"/>
  </cols>
  <sheetData>
    <row r="2" spans="2:17" x14ac:dyDescent="0.5">
      <c r="E2">
        <f>D7*20/1000</f>
        <v>1417.82</v>
      </c>
    </row>
    <row r="3" spans="2:17" x14ac:dyDescent="0.5">
      <c r="B3" s="1" t="s">
        <v>38</v>
      </c>
      <c r="C3" s="7"/>
      <c r="D3" s="7"/>
      <c r="E3" s="6"/>
      <c r="F3" s="7"/>
      <c r="G3" s="7"/>
      <c r="H3" s="7"/>
      <c r="I3" s="7"/>
      <c r="J3" s="7"/>
      <c r="K3" s="7"/>
      <c r="L3" s="7"/>
      <c r="M3" s="7"/>
      <c r="N3" s="7"/>
    </row>
    <row r="4" spans="2:17" x14ac:dyDescent="0.5">
      <c r="B4" s="28" t="s">
        <v>52</v>
      </c>
      <c r="C4" s="7"/>
      <c r="D4" s="7"/>
      <c r="E4" s="6"/>
      <c r="F4" s="7"/>
      <c r="G4" s="7"/>
      <c r="H4" s="7"/>
      <c r="I4" s="7"/>
      <c r="J4" s="7"/>
      <c r="K4" s="7"/>
      <c r="L4" s="7"/>
      <c r="M4" s="7"/>
      <c r="N4" s="7"/>
      <c r="O4" s="8"/>
      <c r="P4" s="8"/>
      <c r="Q4" s="8"/>
    </row>
    <row r="5" spans="2:17" x14ac:dyDescent="0.5">
      <c r="B5" s="28" t="s">
        <v>279</v>
      </c>
      <c r="C5" s="29">
        <v>1</v>
      </c>
      <c r="D5" s="3">
        <v>2</v>
      </c>
      <c r="E5" s="3">
        <v>3</v>
      </c>
      <c r="F5" s="3">
        <v>4</v>
      </c>
      <c r="G5" s="3">
        <v>5</v>
      </c>
      <c r="H5" s="3">
        <v>6</v>
      </c>
      <c r="I5" s="3">
        <v>7</v>
      </c>
      <c r="J5" s="3">
        <v>8</v>
      </c>
      <c r="K5" s="3">
        <v>9</v>
      </c>
      <c r="L5" s="3">
        <v>10</v>
      </c>
    </row>
    <row r="6" spans="2:17" x14ac:dyDescent="0.5">
      <c r="B6" s="34" t="s">
        <v>1</v>
      </c>
      <c r="C6" s="35">
        <v>2014</v>
      </c>
      <c r="D6" s="35">
        <v>2015</v>
      </c>
      <c r="E6" s="35">
        <v>2016</v>
      </c>
      <c r="F6" s="35">
        <v>2017</v>
      </c>
      <c r="G6" s="35">
        <v>2018</v>
      </c>
      <c r="H6" s="35">
        <v>2019</v>
      </c>
      <c r="I6" s="35">
        <v>2020</v>
      </c>
      <c r="J6" s="35">
        <v>2021</v>
      </c>
      <c r="K6" s="35">
        <v>2022</v>
      </c>
      <c r="L6" s="35">
        <v>2023</v>
      </c>
    </row>
    <row r="7" spans="2:17" x14ac:dyDescent="0.5">
      <c r="B7" s="37" t="s">
        <v>40</v>
      </c>
      <c r="C7" s="14">
        <v>61490</v>
      </c>
      <c r="D7" s="14">
        <v>70891</v>
      </c>
      <c r="E7" s="14">
        <v>79244</v>
      </c>
      <c r="F7" s="14">
        <v>84779</v>
      </c>
      <c r="G7" s="14">
        <v>90327</v>
      </c>
      <c r="H7" s="14">
        <v>77363</v>
      </c>
      <c r="I7" s="14">
        <v>66325</v>
      </c>
      <c r="J7" s="14">
        <v>84779</v>
      </c>
      <c r="K7" s="14">
        <v>90327</v>
      </c>
      <c r="L7" s="14">
        <v>77363</v>
      </c>
      <c r="M7" s="8"/>
      <c r="N7" s="26"/>
      <c r="O7" s="26"/>
      <c r="P7" s="26"/>
    </row>
    <row r="8" spans="2:17" x14ac:dyDescent="0.5">
      <c r="B8" s="37" t="s">
        <v>41</v>
      </c>
      <c r="C8" s="14">
        <v>-52456</v>
      </c>
      <c r="D8" s="14">
        <v>-59143</v>
      </c>
      <c r="E8" s="14">
        <v>-65345</v>
      </c>
      <c r="F8" s="14">
        <v>-71812</v>
      </c>
      <c r="G8" s="14">
        <v>-76878</v>
      </c>
      <c r="H8" s="14">
        <v>-66276</v>
      </c>
      <c r="I8" s="14">
        <v>-58343</v>
      </c>
      <c r="J8" s="14">
        <v>-71812</v>
      </c>
      <c r="K8" s="14">
        <v>-76878</v>
      </c>
      <c r="L8" s="14">
        <v>-66276</v>
      </c>
      <c r="M8" s="8"/>
      <c r="N8" s="26"/>
      <c r="O8" s="26"/>
      <c r="P8" s="26"/>
    </row>
    <row r="9" spans="2:17" x14ac:dyDescent="0.5">
      <c r="B9" s="38" t="s">
        <v>42</v>
      </c>
      <c r="C9" s="14">
        <v>9034</v>
      </c>
      <c r="D9" s="14">
        <v>11748</v>
      </c>
      <c r="E9" s="14">
        <v>13899</v>
      </c>
      <c r="F9" s="14">
        <v>12967</v>
      </c>
      <c r="G9" s="14">
        <v>13449</v>
      </c>
      <c r="H9" s="14">
        <v>11087</v>
      </c>
      <c r="I9" s="14">
        <v>7982</v>
      </c>
      <c r="J9" s="14">
        <v>12967</v>
      </c>
      <c r="K9" s="14">
        <v>13449</v>
      </c>
      <c r="L9" s="14">
        <v>11087</v>
      </c>
      <c r="M9" s="8"/>
      <c r="N9" s="26"/>
      <c r="O9" s="26"/>
      <c r="P9" s="26"/>
    </row>
    <row r="10" spans="2:17" x14ac:dyDescent="0.5">
      <c r="B10" s="37" t="s">
        <v>43</v>
      </c>
      <c r="C10" s="14">
        <v>-3587</v>
      </c>
      <c r="D10" s="14">
        <v>-4393</v>
      </c>
      <c r="E10" s="14">
        <v>-4957</v>
      </c>
      <c r="F10" s="14">
        <v>-5818</v>
      </c>
      <c r="G10" s="14">
        <v>-5746</v>
      </c>
      <c r="H10" s="14">
        <v>-5328</v>
      </c>
      <c r="I10" s="14">
        <v>-4980</v>
      </c>
      <c r="J10" s="14">
        <v>-5818</v>
      </c>
      <c r="K10" s="14">
        <v>-5746</v>
      </c>
      <c r="L10" s="14">
        <v>-5328</v>
      </c>
      <c r="M10" s="8"/>
      <c r="N10" s="26"/>
      <c r="O10" s="26"/>
      <c r="P10" s="26"/>
    </row>
    <row r="11" spans="2:17" x14ac:dyDescent="0.5">
      <c r="B11" s="37" t="s">
        <v>53</v>
      </c>
      <c r="C11" s="14">
        <v>61</v>
      </c>
      <c r="D11" s="14">
        <v>43</v>
      </c>
      <c r="E11" s="14">
        <v>-258</v>
      </c>
      <c r="F11" s="14">
        <v>-134</v>
      </c>
      <c r="G11" s="14">
        <v>121</v>
      </c>
      <c r="H11" s="14">
        <v>-795</v>
      </c>
      <c r="I11" s="14">
        <v>-1035</v>
      </c>
      <c r="J11" s="14">
        <v>-134</v>
      </c>
      <c r="K11" s="14">
        <v>121</v>
      </c>
      <c r="L11" s="14">
        <v>-795</v>
      </c>
      <c r="M11" s="8"/>
      <c r="N11" s="26"/>
      <c r="O11" s="26"/>
      <c r="P11" s="26"/>
    </row>
    <row r="12" spans="2:17" x14ac:dyDescent="0.5">
      <c r="B12" s="37" t="s">
        <v>95</v>
      </c>
      <c r="C12" s="14">
        <v>5508</v>
      </c>
      <c r="D12" s="14">
        <v>7398</v>
      </c>
      <c r="E12" s="14">
        <v>8684</v>
      </c>
      <c r="F12" s="14">
        <v>7015</v>
      </c>
      <c r="G12" s="14">
        <v>7824</v>
      </c>
      <c r="H12" s="14">
        <v>4964</v>
      </c>
      <c r="I12" s="14">
        <v>1967</v>
      </c>
      <c r="J12" s="14">
        <v>7015</v>
      </c>
      <c r="K12" s="14">
        <v>7824</v>
      </c>
      <c r="L12" s="14">
        <v>4964</v>
      </c>
      <c r="M12" s="8"/>
      <c r="N12" s="26"/>
      <c r="O12" s="26"/>
      <c r="P12" s="26"/>
    </row>
    <row r="13" spans="2:17" x14ac:dyDescent="0.5">
      <c r="B13" s="37" t="s">
        <v>44</v>
      </c>
      <c r="C13" s="14">
        <v>299</v>
      </c>
      <c r="D13" s="14">
        <v>6245</v>
      </c>
      <c r="E13" s="14">
        <v>14657</v>
      </c>
      <c r="F13" s="14">
        <v>417</v>
      </c>
      <c r="G13" s="14">
        <v>200</v>
      </c>
      <c r="H13" s="14">
        <v>242</v>
      </c>
      <c r="I13" s="14">
        <v>76</v>
      </c>
      <c r="J13" s="14">
        <v>417</v>
      </c>
      <c r="K13" s="14">
        <v>200</v>
      </c>
      <c r="L13" s="14">
        <v>242</v>
      </c>
      <c r="M13" s="8"/>
      <c r="N13" s="26"/>
      <c r="O13" s="26"/>
      <c r="P13" s="26"/>
    </row>
    <row r="14" spans="2:17" x14ac:dyDescent="0.5">
      <c r="B14" s="37" t="s">
        <v>45</v>
      </c>
      <c r="C14" s="14">
        <v>-998</v>
      </c>
      <c r="D14" s="14">
        <v>-7538</v>
      </c>
      <c r="E14" s="14">
        <v>-16096</v>
      </c>
      <c r="F14" s="14">
        <v>-1542</v>
      </c>
      <c r="G14" s="14">
        <v>-1955</v>
      </c>
      <c r="H14" s="14">
        <v>-1576</v>
      </c>
      <c r="I14" s="14">
        <v>-1746</v>
      </c>
      <c r="J14" s="14">
        <v>-1542</v>
      </c>
      <c r="K14" s="14">
        <v>-1955</v>
      </c>
      <c r="L14" s="14">
        <v>-1576</v>
      </c>
      <c r="M14" s="8"/>
      <c r="N14" s="26"/>
      <c r="O14" s="26"/>
      <c r="P14" s="26"/>
    </row>
    <row r="15" spans="2:17" x14ac:dyDescent="0.5">
      <c r="B15" s="37" t="s">
        <v>46</v>
      </c>
      <c r="C15" s="14">
        <v>0</v>
      </c>
      <c r="D15" s="14">
        <v>0</v>
      </c>
      <c r="E15" s="14">
        <v>0</v>
      </c>
      <c r="F15" s="14">
        <v>-775</v>
      </c>
      <c r="G15" s="14">
        <v>-465</v>
      </c>
      <c r="H15" s="14">
        <v>-34</v>
      </c>
      <c r="I15" s="14">
        <v>-1020</v>
      </c>
      <c r="J15" s="14">
        <v>-775</v>
      </c>
      <c r="K15" s="14">
        <v>-465</v>
      </c>
      <c r="L15" s="14">
        <v>-34</v>
      </c>
      <c r="M15" s="8"/>
      <c r="N15" s="26"/>
      <c r="O15" s="26"/>
      <c r="P15" s="26"/>
    </row>
    <row r="16" spans="2:17" x14ac:dyDescent="0.5">
      <c r="B16" s="37" t="s">
        <v>47</v>
      </c>
      <c r="C16" s="14">
        <v>-699</v>
      </c>
      <c r="D16" s="14">
        <v>-1293</v>
      </c>
      <c r="E16" s="14">
        <v>-1439</v>
      </c>
      <c r="F16" s="14">
        <v>-1900</v>
      </c>
      <c r="G16" s="14">
        <v>-2220</v>
      </c>
      <c r="H16" s="14">
        <v>-1368</v>
      </c>
      <c r="I16" s="14">
        <v>-2690</v>
      </c>
      <c r="J16" s="14">
        <v>-1900</v>
      </c>
      <c r="K16" s="14">
        <v>-2220</v>
      </c>
      <c r="L16" s="14">
        <v>-1368</v>
      </c>
      <c r="M16" s="8"/>
      <c r="N16" s="26"/>
      <c r="O16" s="26"/>
      <c r="P16" s="26"/>
    </row>
    <row r="17" spans="2:17" x14ac:dyDescent="0.5">
      <c r="B17" s="37" t="s">
        <v>48</v>
      </c>
      <c r="C17" s="14">
        <v>39</v>
      </c>
      <c r="D17" s="14">
        <v>48</v>
      </c>
      <c r="E17" s="14">
        <v>55</v>
      </c>
      <c r="F17" s="14">
        <v>60</v>
      </c>
      <c r="G17" s="14">
        <v>136</v>
      </c>
      <c r="H17" s="14">
        <v>41</v>
      </c>
      <c r="I17" s="14">
        <v>-29</v>
      </c>
      <c r="J17" s="14">
        <v>60</v>
      </c>
      <c r="K17" s="14">
        <v>136</v>
      </c>
      <c r="L17" s="14">
        <v>41</v>
      </c>
      <c r="M17" s="8"/>
      <c r="N17" s="26"/>
      <c r="O17" s="26"/>
      <c r="P17" s="26"/>
    </row>
    <row r="18" spans="2:17" x14ac:dyDescent="0.5">
      <c r="B18" s="38" t="s">
        <v>49</v>
      </c>
      <c r="C18" s="14">
        <v>4848</v>
      </c>
      <c r="D18" s="14">
        <v>6153</v>
      </c>
      <c r="E18" s="14">
        <v>7300</v>
      </c>
      <c r="F18" s="14">
        <v>5175</v>
      </c>
      <c r="G18" s="14">
        <v>5740</v>
      </c>
      <c r="H18" s="14">
        <v>3637</v>
      </c>
      <c r="I18" s="14">
        <v>752</v>
      </c>
      <c r="J18" s="14">
        <v>5175</v>
      </c>
      <c r="K18" s="14">
        <v>5740</v>
      </c>
      <c r="L18" s="14">
        <v>3637</v>
      </c>
      <c r="M18" s="8"/>
      <c r="N18" s="26"/>
      <c r="O18" s="26"/>
      <c r="P18" s="26"/>
    </row>
    <row r="19" spans="2:17" x14ac:dyDescent="0.5">
      <c r="B19" s="37" t="s">
        <v>50</v>
      </c>
      <c r="C19" s="14">
        <v>-1454</v>
      </c>
      <c r="D19" s="14">
        <v>-1552</v>
      </c>
      <c r="E19" s="14">
        <v>-1890</v>
      </c>
      <c r="F19" s="14">
        <v>-1484</v>
      </c>
      <c r="G19" s="14">
        <v>-2276</v>
      </c>
      <c r="H19" s="14">
        <v>-1144</v>
      </c>
      <c r="I19" s="14">
        <v>-181</v>
      </c>
      <c r="J19" s="14">
        <v>-1484</v>
      </c>
      <c r="K19" s="14">
        <v>-2276</v>
      </c>
      <c r="L19" s="14">
        <v>-1144</v>
      </c>
      <c r="M19" s="8"/>
      <c r="N19" s="26"/>
      <c r="O19" s="26"/>
      <c r="P19" s="26"/>
    </row>
    <row r="20" spans="2:17" x14ac:dyDescent="0.5">
      <c r="B20" s="38" t="s">
        <v>51</v>
      </c>
      <c r="C20" s="14">
        <v>3389</v>
      </c>
      <c r="D20" s="14">
        <v>4599</v>
      </c>
      <c r="E20" s="14">
        <v>5410</v>
      </c>
      <c r="F20" s="14">
        <v>3691</v>
      </c>
      <c r="G20" s="14">
        <v>3464</v>
      </c>
      <c r="H20" s="14">
        <v>2493</v>
      </c>
      <c r="I20" s="14">
        <v>-933</v>
      </c>
      <c r="J20" s="14">
        <v>3691</v>
      </c>
      <c r="K20" s="14">
        <v>3464</v>
      </c>
      <c r="L20" s="14">
        <v>2493</v>
      </c>
      <c r="M20" s="8"/>
      <c r="N20" s="26"/>
      <c r="O20" s="26"/>
      <c r="P20" s="26"/>
    </row>
    <row r="21" spans="2:17" x14ac:dyDescent="0.5">
      <c r="B21" s="38" t="s">
        <v>54</v>
      </c>
      <c r="C21" s="14">
        <v>1.37</v>
      </c>
      <c r="D21" s="14">
        <v>1.65</v>
      </c>
      <c r="E21" s="14">
        <v>1.76</v>
      </c>
      <c r="F21" s="14">
        <v>1.2</v>
      </c>
      <c r="G21" s="14">
        <v>1.1299999999999999</v>
      </c>
      <c r="H21" s="14">
        <v>0.81</v>
      </c>
      <c r="I21" s="14">
        <v>-0.3</v>
      </c>
      <c r="J21" s="14">
        <v>1.2</v>
      </c>
      <c r="K21" s="14">
        <v>1.1299999999999997</v>
      </c>
      <c r="L21" s="14">
        <v>0.81</v>
      </c>
      <c r="M21" s="8"/>
      <c r="N21" s="26"/>
      <c r="O21" s="26"/>
      <c r="P21" s="26"/>
    </row>
    <row r="22" spans="2:17" x14ac:dyDescent="0.5">
      <c r="B22" s="37" t="s">
        <v>55</v>
      </c>
      <c r="C22" s="72">
        <f>2485914479/1000000</f>
        <v>2485.914479</v>
      </c>
      <c r="D22" s="72">
        <v>2781</v>
      </c>
      <c r="E22" s="72">
        <v>3081</v>
      </c>
      <c r="F22" s="72">
        <v>3079</v>
      </c>
      <c r="G22" s="72">
        <v>3079</v>
      </c>
      <c r="H22" s="72">
        <v>3077</v>
      </c>
      <c r="I22" s="72">
        <v>3077</v>
      </c>
      <c r="J22" s="72">
        <v>3079</v>
      </c>
      <c r="K22" s="72">
        <v>3079</v>
      </c>
      <c r="L22" s="72">
        <v>3077</v>
      </c>
      <c r="M22" s="8"/>
      <c r="N22" s="26"/>
      <c r="O22" s="26"/>
      <c r="P22" s="26"/>
      <c r="Q22" s="26"/>
    </row>
    <row r="23" spans="2:17" x14ac:dyDescent="0.5">
      <c r="B23" s="71" t="s">
        <v>179</v>
      </c>
      <c r="C23" s="8">
        <v>3784</v>
      </c>
      <c r="D23" s="8">
        <v>4609</v>
      </c>
      <c r="E23" s="8">
        <v>5872</v>
      </c>
      <c r="F23" s="8">
        <v>6320</v>
      </c>
      <c r="G23" s="8">
        <v>6166</v>
      </c>
      <c r="H23" s="8">
        <v>6079</v>
      </c>
      <c r="I23" s="8">
        <v>6826</v>
      </c>
      <c r="J23" s="8">
        <v>6620.36</v>
      </c>
      <c r="K23" s="8">
        <v>6390.0599999999995</v>
      </c>
      <c r="L23" s="8">
        <v>7399.32</v>
      </c>
      <c r="M23" s="8"/>
      <c r="N23" s="8"/>
      <c r="O23" s="8"/>
      <c r="P23" s="26"/>
    </row>
    <row r="24" spans="2:17" x14ac:dyDescent="0.5">
      <c r="B24" s="71" t="s">
        <v>180</v>
      </c>
      <c r="C24" s="21">
        <v>875</v>
      </c>
      <c r="D24" s="8">
        <v>1115</v>
      </c>
      <c r="E24" s="8">
        <v>1112</v>
      </c>
      <c r="F24" s="8">
        <v>1545</v>
      </c>
      <c r="G24" s="8">
        <v>1768</v>
      </c>
      <c r="H24" s="8">
        <v>1368</v>
      </c>
      <c r="I24" s="8">
        <v>1498</v>
      </c>
      <c r="J24" s="8">
        <v>2201.04</v>
      </c>
      <c r="K24" s="8">
        <v>1185.1600000000001</v>
      </c>
      <c r="L24" s="8">
        <v>1694.58</v>
      </c>
    </row>
    <row r="25" spans="2:17" x14ac:dyDescent="0.5">
      <c r="B25" s="31"/>
      <c r="C25" s="21"/>
      <c r="D25" s="21"/>
      <c r="E25" s="21"/>
      <c r="F25" s="32"/>
      <c r="G25" s="31"/>
      <c r="H25" s="31"/>
      <c r="I25" s="31"/>
      <c r="J25" s="33"/>
      <c r="K25" s="33"/>
      <c r="L25" s="33"/>
    </row>
    <row r="26" spans="2:17" x14ac:dyDescent="0.5">
      <c r="C26" s="21"/>
      <c r="D26" s="21"/>
      <c r="E26" s="21"/>
      <c r="F26" s="30"/>
      <c r="J26" s="26"/>
      <c r="K26" s="26"/>
      <c r="L26" s="26"/>
      <c r="M26" s="7"/>
      <c r="N26" s="26"/>
      <c r="O26" s="26"/>
    </row>
    <row r="27" spans="2:17" x14ac:dyDescent="0.5"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7"/>
      <c r="N27" s="26"/>
      <c r="O27" s="26"/>
    </row>
    <row r="28" spans="2:17" x14ac:dyDescent="0.5">
      <c r="C28" s="21"/>
      <c r="D28" s="21"/>
      <c r="E28" s="21"/>
      <c r="F28" s="30"/>
      <c r="J28" s="26"/>
      <c r="K28" s="26"/>
      <c r="L28" s="26"/>
      <c r="M28" s="7"/>
      <c r="N28" s="26"/>
      <c r="O28" s="26"/>
    </row>
    <row r="29" spans="2:17" x14ac:dyDescent="0.5">
      <c r="C29" s="21"/>
      <c r="D29" s="21"/>
      <c r="E29" s="21"/>
      <c r="F29" s="30"/>
      <c r="J29" s="26"/>
      <c r="K29" s="26"/>
      <c r="L29" s="26"/>
      <c r="M29" s="7"/>
      <c r="N29" s="26"/>
      <c r="O29" s="26"/>
    </row>
    <row r="30" spans="2:17" x14ac:dyDescent="0.5">
      <c r="C30" s="21"/>
      <c r="D30" s="21"/>
      <c r="E30" s="21"/>
      <c r="F30" s="30"/>
      <c r="J30" s="26"/>
      <c r="K30" s="26"/>
      <c r="L30" s="8"/>
      <c r="M30" s="8"/>
      <c r="N30" s="8"/>
      <c r="O30" s="26"/>
    </row>
    <row r="31" spans="2:17" x14ac:dyDescent="0.5">
      <c r="C31" s="21"/>
      <c r="D31" s="21"/>
      <c r="E31" s="21"/>
      <c r="F31" s="30"/>
      <c r="J31" s="26"/>
      <c r="K31" s="26"/>
      <c r="L31" s="26"/>
      <c r="M31" s="7"/>
      <c r="N31" s="26"/>
      <c r="O31" s="26"/>
    </row>
    <row r="32" spans="2:17" x14ac:dyDescent="0.5">
      <c r="J32" s="26"/>
      <c r="K32" s="26"/>
      <c r="L32" s="26"/>
      <c r="M32" s="7"/>
      <c r="N32" s="26"/>
      <c r="O32" s="26"/>
    </row>
    <row r="33" spans="10:15" x14ac:dyDescent="0.5">
      <c r="J33" s="26"/>
      <c r="K33" s="26"/>
      <c r="L33" s="26"/>
      <c r="M33" s="7"/>
      <c r="N33" s="26"/>
      <c r="O33" s="26"/>
    </row>
    <row r="34" spans="10:15" x14ac:dyDescent="0.5">
      <c r="J34" s="26"/>
      <c r="K34" s="26"/>
      <c r="L34" s="26"/>
      <c r="M34" s="7"/>
      <c r="N34" s="26"/>
      <c r="O34" s="26"/>
    </row>
    <row r="35" spans="10:15" x14ac:dyDescent="0.5">
      <c r="J35" s="26"/>
      <c r="K35" s="26"/>
      <c r="L35" s="26"/>
      <c r="M35" s="7"/>
      <c r="N35" s="26"/>
      <c r="O35" s="26"/>
    </row>
    <row r="36" spans="10:15" x14ac:dyDescent="0.5">
      <c r="J36" s="26"/>
      <c r="K36" s="26"/>
      <c r="L36" s="26"/>
      <c r="M36" s="7"/>
      <c r="N36" s="26"/>
      <c r="O36" s="26"/>
    </row>
    <row r="37" spans="10:15" x14ac:dyDescent="0.5">
      <c r="J37" s="26"/>
      <c r="K37" s="26"/>
      <c r="L37" s="26"/>
      <c r="M37" s="7"/>
      <c r="N37" s="26"/>
      <c r="O37" s="26"/>
    </row>
    <row r="38" spans="10:15" x14ac:dyDescent="0.5">
      <c r="J38" s="26"/>
      <c r="K38" s="26"/>
      <c r="L38" s="26"/>
      <c r="M38" s="7"/>
      <c r="N38" s="26"/>
      <c r="O38" s="26"/>
    </row>
    <row r="39" spans="10:15" x14ac:dyDescent="0.5">
      <c r="J39" s="26"/>
      <c r="K39" s="26"/>
      <c r="L39" s="26"/>
      <c r="M39" s="7"/>
      <c r="N39" s="26"/>
      <c r="O39" s="26"/>
    </row>
    <row r="40" spans="10:15" x14ac:dyDescent="0.5">
      <c r="J40" s="26"/>
      <c r="K40" s="26"/>
      <c r="L40" s="26"/>
      <c r="M40" s="7"/>
      <c r="N40" s="26"/>
      <c r="O40" s="26"/>
    </row>
    <row r="41" spans="10:15" x14ac:dyDescent="0.5">
      <c r="J41" s="26"/>
      <c r="K41" s="26"/>
      <c r="L41" s="26"/>
      <c r="M41" s="7"/>
      <c r="N41" s="26"/>
      <c r="O41" s="26"/>
    </row>
    <row r="42" spans="10:15" x14ac:dyDescent="0.5">
      <c r="J42" s="26"/>
      <c r="M42" s="26"/>
      <c r="N42" s="26"/>
      <c r="O42" s="26"/>
    </row>
    <row r="43" spans="10:15" x14ac:dyDescent="0.5">
      <c r="J43" s="26"/>
    </row>
    <row r="44" spans="10:15" x14ac:dyDescent="0.5">
      <c r="J44" s="26"/>
    </row>
    <row r="45" spans="10:15" x14ac:dyDescent="0.5">
      <c r="J45" s="26"/>
    </row>
    <row r="46" spans="10:15" x14ac:dyDescent="0.5">
      <c r="J46" s="26"/>
    </row>
    <row r="47" spans="10:15" x14ac:dyDescent="0.5">
      <c r="J47" s="26"/>
    </row>
    <row r="48" spans="10:15" x14ac:dyDescent="0.5">
      <c r="J48" s="26"/>
    </row>
    <row r="49" spans="10:10" x14ac:dyDescent="0.5">
      <c r="J49" s="26"/>
    </row>
    <row r="50" spans="10:10" x14ac:dyDescent="0.5">
      <c r="J50" s="26"/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6C803-6F3E-42FB-85ED-3D10FD3F4ACA}">
  <dimension ref="A1:AU66"/>
  <sheetViews>
    <sheetView topLeftCell="Y1" zoomScale="80" zoomScaleNormal="80" workbookViewId="0">
      <selection activeCell="Z15" sqref="Z15"/>
    </sheetView>
  </sheetViews>
  <sheetFormatPr baseColWidth="10" defaultRowHeight="14.35" x14ac:dyDescent="0.5"/>
  <cols>
    <col min="2" max="2" width="21.64453125" customWidth="1"/>
    <col min="3" max="3" width="13.234375" customWidth="1"/>
    <col min="4" max="4" width="28.234375" customWidth="1"/>
    <col min="5" max="5" width="14.234375" customWidth="1"/>
    <col min="21" max="21" width="12.703125" customWidth="1"/>
    <col min="22" max="22" width="15.703125" customWidth="1"/>
    <col min="26" max="26" width="16.1171875" customWidth="1"/>
    <col min="40" max="40" width="16.41015625" customWidth="1"/>
    <col min="41" max="41" width="17.703125" customWidth="1"/>
    <col min="42" max="42" width="19.17578125" customWidth="1"/>
    <col min="43" max="43" width="21.52734375" customWidth="1"/>
    <col min="47" max="47" width="22.46875" customWidth="1"/>
  </cols>
  <sheetData>
    <row r="1" spans="1:47" x14ac:dyDescent="0.5">
      <c r="A1" s="13"/>
      <c r="B1" s="46" t="s">
        <v>57</v>
      </c>
      <c r="C1" s="46" t="s">
        <v>89</v>
      </c>
      <c r="D1" s="46" t="s">
        <v>90</v>
      </c>
      <c r="E1" s="46" t="s">
        <v>91</v>
      </c>
      <c r="F1" s="46" t="s">
        <v>92</v>
      </c>
      <c r="G1" s="46" t="s">
        <v>182</v>
      </c>
      <c r="H1" s="46" t="s">
        <v>93</v>
      </c>
    </row>
    <row r="2" spans="1:47" x14ac:dyDescent="0.5">
      <c r="A2" s="13">
        <v>1</v>
      </c>
      <c r="B2" s="40">
        <v>2014</v>
      </c>
      <c r="C2" s="40">
        <v>0</v>
      </c>
      <c r="D2" s="14">
        <v>61490</v>
      </c>
      <c r="E2" s="74">
        <f>$B$41+$B$42*B2</f>
        <v>71790.854545454495</v>
      </c>
      <c r="F2" s="45">
        <f>D2-E2</f>
        <v>-10300.854545454495</v>
      </c>
      <c r="G2" s="14">
        <f>7686.1*LN(A2)+66679</f>
        <v>66679</v>
      </c>
      <c r="H2" s="13"/>
      <c r="Q2" s="46" t="s">
        <v>57</v>
      </c>
      <c r="R2" s="46" t="s">
        <v>90</v>
      </c>
      <c r="S2" s="75" t="s">
        <v>41</v>
      </c>
      <c r="T2" s="9" t="s">
        <v>185</v>
      </c>
      <c r="U2" s="75" t="s">
        <v>186</v>
      </c>
      <c r="V2" s="75" t="s">
        <v>187</v>
      </c>
      <c r="X2" s="46" t="s">
        <v>57</v>
      </c>
      <c r="Y2" s="75" t="s">
        <v>41</v>
      </c>
      <c r="Z2" s="75" t="s">
        <v>188</v>
      </c>
      <c r="AL2" s="46" t="s">
        <v>57</v>
      </c>
      <c r="AM2" s="46" t="s">
        <v>90</v>
      </c>
      <c r="AN2" s="9" t="s">
        <v>189</v>
      </c>
      <c r="AO2" s="9" t="s">
        <v>192</v>
      </c>
      <c r="AP2" s="9" t="s">
        <v>194</v>
      </c>
      <c r="AQ2" s="9" t="s">
        <v>195</v>
      </c>
      <c r="AS2" s="46" t="s">
        <v>57</v>
      </c>
      <c r="AT2" s="9" t="s">
        <v>189</v>
      </c>
      <c r="AU2" s="9" t="s">
        <v>196</v>
      </c>
    </row>
    <row r="3" spans="1:47" x14ac:dyDescent="0.5">
      <c r="A3" s="13">
        <v>2</v>
      </c>
      <c r="B3" s="40">
        <v>2015</v>
      </c>
      <c r="C3" s="40">
        <v>0</v>
      </c>
      <c r="D3" s="14">
        <v>70891</v>
      </c>
      <c r="E3" s="74">
        <f t="shared" ref="E3:E21" si="0">$B$41+$B$42*B3</f>
        <v>73234.842424242292</v>
      </c>
      <c r="F3" s="45">
        <f t="shared" ref="F3:F11" si="1">D3-E3</f>
        <v>-2343.8424242422916</v>
      </c>
      <c r="G3" s="14">
        <f t="shared" ref="G3:G21" si="2">7686.1*LN(A3)+66679</f>
        <v>72006.598544501801</v>
      </c>
      <c r="H3" s="13"/>
      <c r="Q3" s="40">
        <v>2014</v>
      </c>
      <c r="R3" s="14">
        <v>61490</v>
      </c>
      <c r="S3" s="17">
        <v>52456</v>
      </c>
      <c r="T3" s="13">
        <f>$R$47</f>
        <v>2003.8897962158371</v>
      </c>
      <c r="U3" s="78">
        <f>R48</f>
        <v>0.82410268395714525</v>
      </c>
      <c r="V3" s="26">
        <f>T3+U3*R3</f>
        <v>52677.963832740701</v>
      </c>
      <c r="X3" s="40">
        <v>2014</v>
      </c>
      <c r="Y3" s="17">
        <v>52456</v>
      </c>
      <c r="Z3" s="26">
        <v>52677.963832740701</v>
      </c>
      <c r="AL3" s="40">
        <v>2014</v>
      </c>
      <c r="AM3" s="14">
        <v>61490</v>
      </c>
      <c r="AN3" s="14">
        <v>3587</v>
      </c>
      <c r="AO3" s="79">
        <f>AM47</f>
        <v>16.717471511525218</v>
      </c>
      <c r="AP3" s="79">
        <f>AM48</f>
        <v>6.5825284440283599E-2</v>
      </c>
      <c r="AQ3" s="26">
        <f>AO3+AP3*AM3</f>
        <v>4064.3142117445636</v>
      </c>
      <c r="AS3" s="40">
        <v>2014</v>
      </c>
      <c r="AT3" s="14">
        <v>3587</v>
      </c>
      <c r="AU3" s="14">
        <v>4064.3142117445636</v>
      </c>
    </row>
    <row r="4" spans="1:47" x14ac:dyDescent="0.5">
      <c r="A4" s="13">
        <v>3</v>
      </c>
      <c r="B4" s="40">
        <v>2016</v>
      </c>
      <c r="C4" s="40">
        <v>0</v>
      </c>
      <c r="D4" s="14">
        <v>79244</v>
      </c>
      <c r="E4" s="74">
        <f t="shared" si="0"/>
        <v>74678.830303030089</v>
      </c>
      <c r="F4" s="45">
        <f t="shared" si="1"/>
        <v>4565.1696969699115</v>
      </c>
      <c r="G4" s="14">
        <f t="shared" si="2"/>
        <v>75123.043911931964</v>
      </c>
      <c r="H4" s="13"/>
      <c r="Q4" s="40">
        <v>2015</v>
      </c>
      <c r="R4" s="14">
        <v>70891</v>
      </c>
      <c r="S4" s="17">
        <v>59143</v>
      </c>
      <c r="T4" s="13">
        <f t="shared" ref="T4:T22" si="3">$R$47</f>
        <v>2003.8897962158371</v>
      </c>
      <c r="U4" s="78">
        <f>U3</f>
        <v>0.82410268395714525</v>
      </c>
      <c r="V4" s="26">
        <f t="shared" ref="V4:V22" si="4">T4+U4*R4</f>
        <v>60425.353164621818</v>
      </c>
      <c r="X4" s="40">
        <v>2015</v>
      </c>
      <c r="Y4" s="17">
        <v>59143</v>
      </c>
      <c r="Z4" s="26">
        <v>60425.353164621818</v>
      </c>
      <c r="AL4" s="40">
        <v>2015</v>
      </c>
      <c r="AM4" s="14">
        <v>70891</v>
      </c>
      <c r="AN4" s="14">
        <v>4393</v>
      </c>
      <c r="AO4" s="79">
        <f>AO3</f>
        <v>16.717471511525218</v>
      </c>
      <c r="AP4" s="79">
        <f>AP3</f>
        <v>6.5825284440283599E-2</v>
      </c>
      <c r="AQ4" s="26">
        <f t="shared" ref="AQ4:AQ22" si="5">AO4+AP4*AM4</f>
        <v>4683.1377107676699</v>
      </c>
      <c r="AS4" s="40">
        <v>2015</v>
      </c>
      <c r="AT4" s="14">
        <v>4393</v>
      </c>
      <c r="AU4" s="14">
        <v>4683.1377107676699</v>
      </c>
    </row>
    <row r="5" spans="1:47" x14ac:dyDescent="0.5">
      <c r="A5" s="13">
        <v>4</v>
      </c>
      <c r="B5" s="40">
        <v>2017</v>
      </c>
      <c r="C5" s="40">
        <v>0</v>
      </c>
      <c r="D5" s="14">
        <v>84779</v>
      </c>
      <c r="E5" s="74">
        <f t="shared" si="0"/>
        <v>76122.818181818351</v>
      </c>
      <c r="F5" s="45">
        <f t="shared" si="1"/>
        <v>8656.1818181816489</v>
      </c>
      <c r="G5" s="14">
        <f t="shared" si="2"/>
        <v>77334.197089003588</v>
      </c>
      <c r="H5" s="13"/>
      <c r="Q5" s="40">
        <v>2016</v>
      </c>
      <c r="R5" s="14">
        <v>79244</v>
      </c>
      <c r="S5" s="17">
        <v>65345</v>
      </c>
      <c r="T5" s="13">
        <f t="shared" si="3"/>
        <v>2003.8897962158371</v>
      </c>
      <c r="U5" s="78">
        <f t="shared" ref="U5:U22" si="6">U4</f>
        <v>0.82410268395714525</v>
      </c>
      <c r="V5" s="26">
        <f t="shared" si="4"/>
        <v>67309.082883715862</v>
      </c>
      <c r="X5" s="40">
        <v>2016</v>
      </c>
      <c r="Y5" s="17">
        <v>65345</v>
      </c>
      <c r="Z5" s="26">
        <v>67309.082883715862</v>
      </c>
      <c r="AL5" s="40">
        <v>2016</v>
      </c>
      <c r="AM5" s="14">
        <v>79244</v>
      </c>
      <c r="AN5" s="14">
        <v>4957</v>
      </c>
      <c r="AO5" s="79">
        <f t="shared" ref="AO5:AO22" si="7">AO4</f>
        <v>16.717471511525218</v>
      </c>
      <c r="AP5" s="79">
        <f t="shared" ref="AP5:AP22" si="8">AP4</f>
        <v>6.5825284440283599E-2</v>
      </c>
      <c r="AQ5" s="26">
        <f t="shared" si="5"/>
        <v>5232.9763116973591</v>
      </c>
      <c r="AS5" s="40">
        <v>2016</v>
      </c>
      <c r="AT5" s="14">
        <v>4957</v>
      </c>
      <c r="AU5" s="14">
        <v>5232.9763116973591</v>
      </c>
    </row>
    <row r="6" spans="1:47" x14ac:dyDescent="0.5">
      <c r="A6" s="13">
        <v>5</v>
      </c>
      <c r="B6" s="40">
        <v>2018</v>
      </c>
      <c r="C6" s="40">
        <v>0</v>
      </c>
      <c r="D6" s="14">
        <v>90327</v>
      </c>
      <c r="E6" s="74">
        <f t="shared" si="0"/>
        <v>77566.806060606148</v>
      </c>
      <c r="F6" s="45">
        <f t="shared" si="1"/>
        <v>12760.193939393852</v>
      </c>
      <c r="G6" s="14">
        <f t="shared" si="2"/>
        <v>79049.300738759746</v>
      </c>
      <c r="H6" s="13"/>
      <c r="Q6" s="40">
        <v>2017</v>
      </c>
      <c r="R6" s="14">
        <v>84779</v>
      </c>
      <c r="S6" s="17">
        <v>71812</v>
      </c>
      <c r="T6" s="13">
        <f t="shared" si="3"/>
        <v>2003.8897962158371</v>
      </c>
      <c r="U6" s="78">
        <f t="shared" si="6"/>
        <v>0.82410268395714525</v>
      </c>
      <c r="V6" s="26">
        <f t="shared" si="4"/>
        <v>71870.491239418654</v>
      </c>
      <c r="X6" s="40">
        <v>2017</v>
      </c>
      <c r="Y6" s="17">
        <v>71812</v>
      </c>
      <c r="Z6" s="26">
        <v>71870.491239418654</v>
      </c>
      <c r="AL6" s="40">
        <v>2017</v>
      </c>
      <c r="AM6" s="14">
        <v>84779</v>
      </c>
      <c r="AN6" s="14">
        <v>5818</v>
      </c>
      <c r="AO6" s="79">
        <f t="shared" si="7"/>
        <v>16.717471511525218</v>
      </c>
      <c r="AP6" s="79">
        <f t="shared" si="8"/>
        <v>6.5825284440283599E-2</v>
      </c>
      <c r="AQ6" s="26">
        <f t="shared" si="5"/>
        <v>5597.3192610743281</v>
      </c>
      <c r="AS6" s="40">
        <v>2017</v>
      </c>
      <c r="AT6" s="14">
        <v>5818</v>
      </c>
      <c r="AU6" s="14">
        <v>5597.3192610743281</v>
      </c>
    </row>
    <row r="7" spans="1:47" x14ac:dyDescent="0.5">
      <c r="A7" s="13">
        <v>6</v>
      </c>
      <c r="B7" s="40">
        <v>2019</v>
      </c>
      <c r="C7" s="40">
        <v>0</v>
      </c>
      <c r="D7" s="14">
        <v>77363</v>
      </c>
      <c r="E7" s="74">
        <f t="shared" si="0"/>
        <v>79010.793939393945</v>
      </c>
      <c r="F7" s="45">
        <f t="shared" si="1"/>
        <v>-1647.793939393945</v>
      </c>
      <c r="G7" s="14">
        <f t="shared" si="2"/>
        <v>80450.64245643375</v>
      </c>
      <c r="H7" s="13"/>
      <c r="Q7" s="40">
        <v>2018</v>
      </c>
      <c r="R7" s="14">
        <v>90327</v>
      </c>
      <c r="S7" s="17">
        <v>76878</v>
      </c>
      <c r="T7" s="13">
        <f t="shared" si="3"/>
        <v>2003.8897962158371</v>
      </c>
      <c r="U7" s="78">
        <f t="shared" si="6"/>
        <v>0.82410268395714525</v>
      </c>
      <c r="V7" s="26">
        <f t="shared" si="4"/>
        <v>76442.612930012896</v>
      </c>
      <c r="X7" s="40">
        <v>2018</v>
      </c>
      <c r="Y7" s="17">
        <v>76878</v>
      </c>
      <c r="Z7" s="26">
        <v>76442.612930012896</v>
      </c>
      <c r="AL7" s="40">
        <v>2018</v>
      </c>
      <c r="AM7" s="14">
        <v>90327</v>
      </c>
      <c r="AN7" s="14">
        <v>5746</v>
      </c>
      <c r="AO7" s="79">
        <f t="shared" si="7"/>
        <v>16.717471511525218</v>
      </c>
      <c r="AP7" s="79">
        <f t="shared" si="8"/>
        <v>6.5825284440283599E-2</v>
      </c>
      <c r="AQ7" s="26">
        <f t="shared" si="5"/>
        <v>5962.5179391490219</v>
      </c>
      <c r="AS7" s="40">
        <v>2018</v>
      </c>
      <c r="AT7" s="14">
        <v>5746</v>
      </c>
      <c r="AU7" s="14">
        <v>5962.5179391490219</v>
      </c>
    </row>
    <row r="8" spans="1:47" x14ac:dyDescent="0.5">
      <c r="A8" s="13">
        <v>7</v>
      </c>
      <c r="B8" s="40">
        <v>2020</v>
      </c>
      <c r="C8" s="40">
        <v>0</v>
      </c>
      <c r="D8" s="14">
        <v>66325</v>
      </c>
      <c r="E8" s="74">
        <f t="shared" si="0"/>
        <v>80454.781818181742</v>
      </c>
      <c r="F8" s="45">
        <f t="shared" si="1"/>
        <v>-14129.781818181742</v>
      </c>
      <c r="G8" s="14">
        <f t="shared" si="2"/>
        <v>81635.459996654041</v>
      </c>
      <c r="H8" s="13"/>
      <c r="Q8" s="40">
        <v>2019</v>
      </c>
      <c r="R8" s="14">
        <v>77363</v>
      </c>
      <c r="S8" s="17">
        <v>66276</v>
      </c>
      <c r="T8" s="13">
        <f t="shared" si="3"/>
        <v>2003.8897962158371</v>
      </c>
      <c r="U8" s="78">
        <f t="shared" si="6"/>
        <v>0.82410268395714525</v>
      </c>
      <c r="V8" s="26">
        <f t="shared" si="4"/>
        <v>65758.945735192465</v>
      </c>
      <c r="X8" s="40">
        <v>2019</v>
      </c>
      <c r="Y8" s="17">
        <v>66276</v>
      </c>
      <c r="Z8" s="26">
        <v>65758.945735192465</v>
      </c>
      <c r="AL8" s="40">
        <v>2019</v>
      </c>
      <c r="AM8" s="14">
        <v>77363</v>
      </c>
      <c r="AN8" s="14">
        <v>5328</v>
      </c>
      <c r="AO8" s="79">
        <f t="shared" si="7"/>
        <v>16.717471511525218</v>
      </c>
      <c r="AP8" s="79">
        <f t="shared" si="8"/>
        <v>6.5825284440283599E-2</v>
      </c>
      <c r="AQ8" s="26">
        <f t="shared" si="5"/>
        <v>5109.1589516651857</v>
      </c>
      <c r="AS8" s="40">
        <v>2019</v>
      </c>
      <c r="AT8" s="14">
        <v>5328</v>
      </c>
      <c r="AU8" s="14">
        <v>5109.1589516651857</v>
      </c>
    </row>
    <row r="9" spans="1:47" x14ac:dyDescent="0.5">
      <c r="A9" s="13">
        <v>8</v>
      </c>
      <c r="B9" s="40">
        <v>2021</v>
      </c>
      <c r="C9" s="40">
        <v>0</v>
      </c>
      <c r="D9" s="14">
        <v>84779</v>
      </c>
      <c r="E9" s="74">
        <f t="shared" si="0"/>
        <v>81898.769696969539</v>
      </c>
      <c r="F9" s="45">
        <f t="shared" si="1"/>
        <v>2880.2303030304611</v>
      </c>
      <c r="G9" s="14">
        <f t="shared" si="2"/>
        <v>82661.79563350539</v>
      </c>
      <c r="H9" s="13"/>
      <c r="Q9" s="40">
        <v>2020</v>
      </c>
      <c r="R9" s="14">
        <v>66325</v>
      </c>
      <c r="S9" s="17">
        <v>58343</v>
      </c>
      <c r="T9" s="13">
        <f t="shared" si="3"/>
        <v>2003.8897962158371</v>
      </c>
      <c r="U9" s="78">
        <f t="shared" si="6"/>
        <v>0.82410268395714525</v>
      </c>
      <c r="V9" s="26">
        <f t="shared" si="4"/>
        <v>56662.500309673494</v>
      </c>
      <c r="X9" s="40">
        <v>2020</v>
      </c>
      <c r="Y9" s="17">
        <v>58343</v>
      </c>
      <c r="Z9" s="26">
        <v>56662.500309673494</v>
      </c>
      <c r="AL9" s="40">
        <v>2020</v>
      </c>
      <c r="AM9" s="14">
        <v>66325</v>
      </c>
      <c r="AN9" s="14">
        <v>4980</v>
      </c>
      <c r="AO9" s="79">
        <f t="shared" si="7"/>
        <v>16.717471511525218</v>
      </c>
      <c r="AP9" s="79">
        <f t="shared" si="8"/>
        <v>6.5825284440283599E-2</v>
      </c>
      <c r="AQ9" s="26">
        <f t="shared" si="5"/>
        <v>4382.5794620133347</v>
      </c>
      <c r="AS9" s="40">
        <v>2020</v>
      </c>
      <c r="AT9" s="14">
        <v>4980</v>
      </c>
      <c r="AU9" s="14">
        <v>4382.5794620133347</v>
      </c>
    </row>
    <row r="10" spans="1:47" x14ac:dyDescent="0.5">
      <c r="A10" s="13">
        <v>9</v>
      </c>
      <c r="B10" s="40">
        <v>2022</v>
      </c>
      <c r="C10" s="40">
        <v>0</v>
      </c>
      <c r="D10" s="14">
        <v>90327</v>
      </c>
      <c r="E10" s="74">
        <f>$B$41+$B$42*B10</f>
        <v>83342.757575757336</v>
      </c>
      <c r="F10" s="45">
        <f t="shared" si="1"/>
        <v>6984.2424242426641</v>
      </c>
      <c r="G10" s="14">
        <f t="shared" si="2"/>
        <v>83567.087823863927</v>
      </c>
      <c r="H10" s="13"/>
      <c r="Q10" s="40">
        <v>2021</v>
      </c>
      <c r="R10" s="14">
        <v>84779</v>
      </c>
      <c r="S10" s="17">
        <v>71812</v>
      </c>
      <c r="T10" s="13">
        <f t="shared" si="3"/>
        <v>2003.8897962158371</v>
      </c>
      <c r="U10" s="78">
        <f t="shared" si="6"/>
        <v>0.82410268395714525</v>
      </c>
      <c r="V10" s="26">
        <f t="shared" si="4"/>
        <v>71870.491239418654</v>
      </c>
      <c r="X10" s="40">
        <v>2021</v>
      </c>
      <c r="Y10" s="17">
        <v>71812</v>
      </c>
      <c r="Z10" s="26">
        <v>71870.491239418654</v>
      </c>
      <c r="AL10" s="40">
        <v>2021</v>
      </c>
      <c r="AM10" s="14">
        <v>84779</v>
      </c>
      <c r="AN10" s="14">
        <v>5818</v>
      </c>
      <c r="AO10" s="79">
        <f t="shared" si="7"/>
        <v>16.717471511525218</v>
      </c>
      <c r="AP10" s="79">
        <f t="shared" si="8"/>
        <v>6.5825284440283599E-2</v>
      </c>
      <c r="AQ10" s="26">
        <f t="shared" si="5"/>
        <v>5597.3192610743281</v>
      </c>
      <c r="AS10" s="40">
        <v>2021</v>
      </c>
      <c r="AT10" s="14">
        <v>5818</v>
      </c>
      <c r="AU10" s="14">
        <v>5597.3192610743281</v>
      </c>
    </row>
    <row r="11" spans="1:47" x14ac:dyDescent="0.5">
      <c r="A11" s="13">
        <v>10</v>
      </c>
      <c r="B11" s="40">
        <v>2023</v>
      </c>
      <c r="C11" s="40">
        <v>0</v>
      </c>
      <c r="D11" s="14">
        <v>77363</v>
      </c>
      <c r="E11" s="74">
        <f t="shared" si="0"/>
        <v>84786.745454545598</v>
      </c>
      <c r="F11" s="45">
        <f t="shared" si="1"/>
        <v>-7423.7454545455985</v>
      </c>
      <c r="G11" s="14">
        <f t="shared" si="2"/>
        <v>84376.899283261533</v>
      </c>
      <c r="H11" s="13"/>
      <c r="Q11" s="40">
        <v>2022</v>
      </c>
      <c r="R11" s="14">
        <v>90327</v>
      </c>
      <c r="S11" s="17">
        <v>76878</v>
      </c>
      <c r="T11" s="13">
        <f t="shared" si="3"/>
        <v>2003.8897962158371</v>
      </c>
      <c r="U11" s="78">
        <f t="shared" si="6"/>
        <v>0.82410268395714525</v>
      </c>
      <c r="V11" s="26">
        <f t="shared" si="4"/>
        <v>76442.612930012896</v>
      </c>
      <c r="X11" s="40">
        <v>2022</v>
      </c>
      <c r="Y11" s="17">
        <v>76878</v>
      </c>
      <c r="Z11" s="26">
        <v>76442.612930012896</v>
      </c>
      <c r="AL11" s="40">
        <v>2022</v>
      </c>
      <c r="AM11" s="14">
        <v>90327</v>
      </c>
      <c r="AN11" s="14">
        <v>5746</v>
      </c>
      <c r="AO11" s="79">
        <f t="shared" si="7"/>
        <v>16.717471511525218</v>
      </c>
      <c r="AP11" s="79">
        <f t="shared" si="8"/>
        <v>6.5825284440283599E-2</v>
      </c>
      <c r="AQ11" s="26">
        <f t="shared" si="5"/>
        <v>5962.5179391490219</v>
      </c>
      <c r="AS11" s="40">
        <v>2022</v>
      </c>
      <c r="AT11" s="14">
        <v>5746</v>
      </c>
      <c r="AU11" s="14">
        <v>5962.5179391490219</v>
      </c>
    </row>
    <row r="12" spans="1:47" x14ac:dyDescent="0.5">
      <c r="A12" s="13">
        <v>11</v>
      </c>
      <c r="B12" s="40">
        <v>2024</v>
      </c>
      <c r="C12" s="40">
        <v>0</v>
      </c>
      <c r="D12" s="74">
        <f>$B$41+$B$42*B12</f>
        <v>86230.733333333395</v>
      </c>
      <c r="E12" s="74">
        <f t="shared" si="0"/>
        <v>86230.733333333395</v>
      </c>
      <c r="F12" s="13"/>
      <c r="G12" s="14">
        <f t="shared" si="2"/>
        <v>85109.462856255559</v>
      </c>
      <c r="H12" s="13"/>
      <c r="Q12" s="40">
        <v>2023</v>
      </c>
      <c r="R12" s="14">
        <v>77363</v>
      </c>
      <c r="S12" s="17">
        <v>66276</v>
      </c>
      <c r="T12" s="13">
        <f t="shared" si="3"/>
        <v>2003.8897962158371</v>
      </c>
      <c r="U12" s="78">
        <f t="shared" si="6"/>
        <v>0.82410268395714525</v>
      </c>
      <c r="V12" s="26">
        <f t="shared" si="4"/>
        <v>65758.945735192465</v>
      </c>
      <c r="X12" s="40">
        <v>2023</v>
      </c>
      <c r="Y12" s="17">
        <v>66276</v>
      </c>
      <c r="Z12" s="26">
        <v>65758.945735192465</v>
      </c>
      <c r="AL12" s="40">
        <v>2023</v>
      </c>
      <c r="AM12" s="14">
        <v>77363</v>
      </c>
      <c r="AN12" s="14">
        <v>5328</v>
      </c>
      <c r="AO12" s="79">
        <f t="shared" si="7"/>
        <v>16.717471511525218</v>
      </c>
      <c r="AP12" s="79">
        <f t="shared" si="8"/>
        <v>6.5825284440283599E-2</v>
      </c>
      <c r="AQ12" s="26">
        <f t="shared" si="5"/>
        <v>5109.1589516651857</v>
      </c>
      <c r="AS12" s="40">
        <v>2023</v>
      </c>
      <c r="AT12" s="14">
        <v>5328</v>
      </c>
      <c r="AU12" s="14">
        <v>5109.1589516651857</v>
      </c>
    </row>
    <row r="13" spans="1:47" x14ac:dyDescent="0.5">
      <c r="A13" s="13">
        <v>12</v>
      </c>
      <c r="B13" s="40">
        <v>2025</v>
      </c>
      <c r="C13" s="40">
        <v>0</v>
      </c>
      <c r="D13" s="74">
        <f t="shared" ref="D13:D21" si="9">$B$41+$B$42*B13</f>
        <v>87674.721212121192</v>
      </c>
      <c r="E13" s="74">
        <f t="shared" si="0"/>
        <v>87674.721212121192</v>
      </c>
      <c r="F13" s="13"/>
      <c r="G13" s="14">
        <f t="shared" si="2"/>
        <v>85778.241000935552</v>
      </c>
      <c r="H13" s="13"/>
      <c r="Q13" s="40">
        <v>2024</v>
      </c>
      <c r="R13" s="74">
        <f>$B$41+$B$42*Q13</f>
        <v>86230.733333333395</v>
      </c>
      <c r="S13" s="77">
        <f>T13+R13*$R$48</f>
        <v>73066.868575808752</v>
      </c>
      <c r="T13" s="13">
        <f t="shared" si="3"/>
        <v>2003.8897962158371</v>
      </c>
      <c r="U13" s="78">
        <f t="shared" si="6"/>
        <v>0.82410268395714525</v>
      </c>
      <c r="V13" s="26">
        <f>T13+U13*R13</f>
        <v>73066.868575808752</v>
      </c>
      <c r="X13" s="40">
        <v>2024</v>
      </c>
      <c r="Y13" s="77">
        <f>T13+R13*$R$48</f>
        <v>73066.868575808752</v>
      </c>
      <c r="Z13" s="26">
        <v>73066.868575808752</v>
      </c>
      <c r="AL13" s="40">
        <v>2024</v>
      </c>
      <c r="AM13" s="74">
        <f>$B$41+$B$42*AL13</f>
        <v>86230.733333333395</v>
      </c>
      <c r="AN13" s="77">
        <f>$AM$47+$AM$48*AM13</f>
        <v>5692.88002067244</v>
      </c>
      <c r="AO13" s="79">
        <f t="shared" si="7"/>
        <v>16.717471511525218</v>
      </c>
      <c r="AP13" s="79">
        <f t="shared" si="8"/>
        <v>6.5825284440283599E-2</v>
      </c>
      <c r="AQ13" s="26">
        <f t="shared" si="5"/>
        <v>5692.88002067244</v>
      </c>
      <c r="AS13" s="40">
        <v>2024</v>
      </c>
      <c r="AT13" s="14">
        <v>5692.88002067244</v>
      </c>
      <c r="AU13" s="14">
        <v>5692.88002067244</v>
      </c>
    </row>
    <row r="14" spans="1:47" x14ac:dyDescent="0.5">
      <c r="A14" s="13">
        <v>13</v>
      </c>
      <c r="B14" s="40">
        <v>2026</v>
      </c>
      <c r="C14" s="40">
        <v>0</v>
      </c>
      <c r="D14" s="74">
        <f t="shared" si="9"/>
        <v>89118.709090908989</v>
      </c>
      <c r="E14" s="74">
        <f t="shared" si="0"/>
        <v>89118.709090908989</v>
      </c>
      <c r="F14" s="13"/>
      <c r="G14" s="14">
        <f t="shared" si="2"/>
        <v>86393.457256385125</v>
      </c>
      <c r="H14" s="13"/>
      <c r="Q14" s="40">
        <v>2025</v>
      </c>
      <c r="R14" s="74">
        <f t="shared" ref="R14:R22" si="10">$B$41+$B$42*Q14</f>
        <v>87674.721212121192</v>
      </c>
      <c r="S14" s="77">
        <f t="shared" ref="S14:S22" si="11">T14+R14*$R$48</f>
        <v>74256.862862319365</v>
      </c>
      <c r="T14" s="13">
        <f t="shared" si="3"/>
        <v>2003.8897962158371</v>
      </c>
      <c r="U14" s="78">
        <f t="shared" si="6"/>
        <v>0.82410268395714525</v>
      </c>
      <c r="V14" s="26">
        <f t="shared" si="4"/>
        <v>74256.862862319365</v>
      </c>
      <c r="X14" s="40">
        <v>2025</v>
      </c>
      <c r="Y14" s="77">
        <f t="shared" ref="Y14:Y22" si="12">T14+R14*$R$48</f>
        <v>74256.862862319365</v>
      </c>
      <c r="Z14" s="26">
        <v>74256.862862319365</v>
      </c>
      <c r="AL14" s="40">
        <v>2025</v>
      </c>
      <c r="AM14" s="74">
        <f t="shared" ref="AM14:AM22" si="13">$B$41+$B$42*AL14</f>
        <v>87674.721212121192</v>
      </c>
      <c r="AN14" s="77">
        <f t="shared" ref="AN14:AN22" si="14">$AM$47+$AM$48*AM14</f>
        <v>5787.9309335219687</v>
      </c>
      <c r="AO14" s="79">
        <f t="shared" si="7"/>
        <v>16.717471511525218</v>
      </c>
      <c r="AP14" s="79">
        <f t="shared" si="8"/>
        <v>6.5825284440283599E-2</v>
      </c>
      <c r="AQ14" s="26">
        <f t="shared" si="5"/>
        <v>5787.9309335219687</v>
      </c>
      <c r="AS14" s="40">
        <v>2025</v>
      </c>
      <c r="AT14" s="14">
        <v>5787.9309335219687</v>
      </c>
      <c r="AU14" s="14">
        <v>5787.9309335219687</v>
      </c>
    </row>
    <row r="15" spans="1:47" x14ac:dyDescent="0.5">
      <c r="A15" s="13">
        <v>14</v>
      </c>
      <c r="B15" s="40">
        <v>2027</v>
      </c>
      <c r="C15" s="13"/>
      <c r="D15" s="74">
        <f t="shared" si="9"/>
        <v>90562.696969696786</v>
      </c>
      <c r="E15" s="74">
        <f t="shared" si="0"/>
        <v>90562.696969696786</v>
      </c>
      <c r="F15" s="13"/>
      <c r="G15" s="14">
        <f t="shared" si="2"/>
        <v>86963.058541155842</v>
      </c>
      <c r="H15" s="13"/>
      <c r="Q15" s="40">
        <v>2026</v>
      </c>
      <c r="R15" s="74">
        <f t="shared" si="10"/>
        <v>89118.709090908989</v>
      </c>
      <c r="S15" s="77">
        <f t="shared" si="11"/>
        <v>75446.857148829979</v>
      </c>
      <c r="T15" s="13">
        <f t="shared" si="3"/>
        <v>2003.8897962158371</v>
      </c>
      <c r="U15" s="78">
        <f t="shared" si="6"/>
        <v>0.82410268395714525</v>
      </c>
      <c r="V15" s="26">
        <f t="shared" si="4"/>
        <v>75446.857148829979</v>
      </c>
      <c r="X15" s="40">
        <v>2026</v>
      </c>
      <c r="Y15" s="77">
        <f t="shared" si="12"/>
        <v>75446.857148829979</v>
      </c>
      <c r="Z15" s="26">
        <v>75446.857148829979</v>
      </c>
      <c r="AL15" s="40">
        <v>2026</v>
      </c>
      <c r="AM15" s="74">
        <f t="shared" si="13"/>
        <v>89118.709090908989</v>
      </c>
      <c r="AN15" s="77">
        <f t="shared" si="14"/>
        <v>5882.9818463714973</v>
      </c>
      <c r="AO15" s="79">
        <f t="shared" si="7"/>
        <v>16.717471511525218</v>
      </c>
      <c r="AP15" s="79">
        <f t="shared" si="8"/>
        <v>6.5825284440283599E-2</v>
      </c>
      <c r="AQ15" s="26">
        <f t="shared" si="5"/>
        <v>5882.9818463714973</v>
      </c>
      <c r="AS15" s="40">
        <v>2026</v>
      </c>
      <c r="AT15" s="14">
        <v>5882.9818463714973</v>
      </c>
      <c r="AU15" s="14">
        <v>5882.9818463714973</v>
      </c>
    </row>
    <row r="16" spans="1:47" x14ac:dyDescent="0.5">
      <c r="A16" s="13">
        <v>15</v>
      </c>
      <c r="B16" s="40">
        <v>2028</v>
      </c>
      <c r="C16" s="13"/>
      <c r="D16" s="74">
        <f t="shared" si="9"/>
        <v>92006.684848484583</v>
      </c>
      <c r="E16" s="74">
        <f t="shared" si="0"/>
        <v>92006.684848484583</v>
      </c>
      <c r="F16" s="13"/>
      <c r="G16" s="14">
        <f t="shared" si="2"/>
        <v>87493.344650691695</v>
      </c>
      <c r="H16" s="13"/>
      <c r="Q16" s="40">
        <v>2027</v>
      </c>
      <c r="R16" s="74">
        <f t="shared" si="10"/>
        <v>90562.696969696786</v>
      </c>
      <c r="S16" s="77">
        <f t="shared" si="11"/>
        <v>76636.851435340577</v>
      </c>
      <c r="T16" s="13">
        <f t="shared" si="3"/>
        <v>2003.8897962158371</v>
      </c>
      <c r="U16" s="78">
        <f t="shared" si="6"/>
        <v>0.82410268395714525</v>
      </c>
      <c r="V16" s="26">
        <f t="shared" si="4"/>
        <v>76636.851435340577</v>
      </c>
      <c r="X16" s="40">
        <v>2027</v>
      </c>
      <c r="Y16" s="77">
        <f t="shared" si="12"/>
        <v>76636.851435340577</v>
      </c>
      <c r="Z16" s="26">
        <v>76636.851435340577</v>
      </c>
      <c r="AL16" s="40">
        <v>2027</v>
      </c>
      <c r="AM16" s="74">
        <f t="shared" si="13"/>
        <v>90562.696969696786</v>
      </c>
      <c r="AN16" s="77">
        <f t="shared" si="14"/>
        <v>5978.032759221026</v>
      </c>
      <c r="AO16" s="79">
        <f t="shared" si="7"/>
        <v>16.717471511525218</v>
      </c>
      <c r="AP16" s="79">
        <f t="shared" si="8"/>
        <v>6.5825284440283599E-2</v>
      </c>
      <c r="AQ16" s="26">
        <f t="shared" si="5"/>
        <v>5978.032759221026</v>
      </c>
      <c r="AS16" s="40">
        <v>2027</v>
      </c>
      <c r="AT16" s="14">
        <v>5978.032759221026</v>
      </c>
      <c r="AU16" s="14">
        <v>5978.032759221026</v>
      </c>
    </row>
    <row r="17" spans="1:47" x14ac:dyDescent="0.5">
      <c r="A17" s="13">
        <v>16</v>
      </c>
      <c r="B17" s="40">
        <v>2029</v>
      </c>
      <c r="C17" s="13"/>
      <c r="D17" s="74">
        <f t="shared" si="9"/>
        <v>93450.672727272846</v>
      </c>
      <c r="E17" s="74">
        <f t="shared" si="0"/>
        <v>93450.672727272846</v>
      </c>
      <c r="F17" s="13"/>
      <c r="G17" s="14">
        <f t="shared" si="2"/>
        <v>87989.394178007176</v>
      </c>
      <c r="H17" s="13"/>
      <c r="Q17" s="40">
        <v>2028</v>
      </c>
      <c r="R17" s="74">
        <f t="shared" si="10"/>
        <v>92006.684848484583</v>
      </c>
      <c r="S17" s="77">
        <f t="shared" si="11"/>
        <v>77826.84572185119</v>
      </c>
      <c r="T17" s="13">
        <f t="shared" si="3"/>
        <v>2003.8897962158371</v>
      </c>
      <c r="U17" s="78">
        <f t="shared" si="6"/>
        <v>0.82410268395714525</v>
      </c>
      <c r="V17" s="26">
        <f t="shared" si="4"/>
        <v>77826.84572185119</v>
      </c>
      <c r="X17" s="40">
        <v>2028</v>
      </c>
      <c r="Y17" s="77">
        <f t="shared" si="12"/>
        <v>77826.84572185119</v>
      </c>
      <c r="Z17" s="26">
        <v>77826.84572185119</v>
      </c>
      <c r="AL17" s="40">
        <v>2028</v>
      </c>
      <c r="AM17" s="74">
        <f t="shared" si="13"/>
        <v>92006.684848484583</v>
      </c>
      <c r="AN17" s="77">
        <f t="shared" si="14"/>
        <v>6073.0836720705538</v>
      </c>
      <c r="AO17" s="79">
        <f t="shared" si="7"/>
        <v>16.717471511525218</v>
      </c>
      <c r="AP17" s="79">
        <f t="shared" si="8"/>
        <v>6.5825284440283599E-2</v>
      </c>
      <c r="AQ17" s="26">
        <f t="shared" si="5"/>
        <v>6073.0836720705538</v>
      </c>
      <c r="AS17" s="40">
        <v>2028</v>
      </c>
      <c r="AT17" s="14">
        <v>6073.0836720705538</v>
      </c>
      <c r="AU17" s="14">
        <v>6073.0836720705538</v>
      </c>
    </row>
    <row r="18" spans="1:47" x14ac:dyDescent="0.5">
      <c r="A18" s="13">
        <v>17</v>
      </c>
      <c r="B18" s="40">
        <v>2030</v>
      </c>
      <c r="C18" s="13"/>
      <c r="D18" s="74">
        <f t="shared" si="9"/>
        <v>94894.660606060643</v>
      </c>
      <c r="E18" s="74">
        <f t="shared" si="0"/>
        <v>94894.660606060643</v>
      </c>
      <c r="F18" s="13"/>
      <c r="G18" s="14">
        <f t="shared" si="2"/>
        <v>88455.361083750482</v>
      </c>
      <c r="H18" s="13"/>
      <c r="Q18" s="40">
        <v>2029</v>
      </c>
      <c r="R18" s="74">
        <f t="shared" si="10"/>
        <v>93450.672727272846</v>
      </c>
      <c r="S18" s="77">
        <f t="shared" si="11"/>
        <v>79016.840008362182</v>
      </c>
      <c r="T18" s="13">
        <f t="shared" si="3"/>
        <v>2003.8897962158371</v>
      </c>
      <c r="U18" s="78">
        <f t="shared" si="6"/>
        <v>0.82410268395714525</v>
      </c>
      <c r="V18" s="26">
        <f t="shared" si="4"/>
        <v>79016.840008362182</v>
      </c>
      <c r="X18" s="40">
        <v>2029</v>
      </c>
      <c r="Y18" s="77">
        <f t="shared" si="12"/>
        <v>79016.840008362182</v>
      </c>
      <c r="Z18" s="26">
        <v>79016.840008362182</v>
      </c>
      <c r="AL18" s="40">
        <v>2029</v>
      </c>
      <c r="AM18" s="74">
        <f t="shared" si="13"/>
        <v>93450.672727272846</v>
      </c>
      <c r="AN18" s="77">
        <f t="shared" si="14"/>
        <v>6168.1345849201134</v>
      </c>
      <c r="AO18" s="79">
        <f t="shared" si="7"/>
        <v>16.717471511525218</v>
      </c>
      <c r="AP18" s="79">
        <f t="shared" si="8"/>
        <v>6.5825284440283599E-2</v>
      </c>
      <c r="AQ18" s="26">
        <f t="shared" si="5"/>
        <v>6168.1345849201134</v>
      </c>
      <c r="AS18" s="40">
        <v>2029</v>
      </c>
      <c r="AT18" s="14">
        <v>6168.1345849201134</v>
      </c>
      <c r="AU18" s="14">
        <v>6168.1345849201134</v>
      </c>
    </row>
    <row r="19" spans="1:47" x14ac:dyDescent="0.5">
      <c r="A19" s="13">
        <v>18</v>
      </c>
      <c r="B19" s="40">
        <v>2031</v>
      </c>
      <c r="C19" s="13"/>
      <c r="D19" s="74">
        <f t="shared" si="9"/>
        <v>96338.64848484844</v>
      </c>
      <c r="E19" s="74">
        <f t="shared" si="0"/>
        <v>96338.64848484844</v>
      </c>
      <c r="F19" s="13"/>
      <c r="G19" s="14">
        <f t="shared" si="2"/>
        <v>88894.686368365714</v>
      </c>
      <c r="H19" s="13"/>
      <c r="Q19" s="40">
        <v>2030</v>
      </c>
      <c r="R19" s="74">
        <f t="shared" si="10"/>
        <v>94894.660606060643</v>
      </c>
      <c r="S19" s="77">
        <f t="shared" si="11"/>
        <v>80206.834294872795</v>
      </c>
      <c r="T19" s="13">
        <f t="shared" si="3"/>
        <v>2003.8897962158371</v>
      </c>
      <c r="U19" s="78">
        <f t="shared" si="6"/>
        <v>0.82410268395714525</v>
      </c>
      <c r="V19" s="26">
        <f t="shared" si="4"/>
        <v>80206.834294872795</v>
      </c>
      <c r="X19" s="40">
        <v>2030</v>
      </c>
      <c r="Y19" s="77">
        <f t="shared" si="12"/>
        <v>80206.834294872795</v>
      </c>
      <c r="Z19" s="26">
        <v>80206.834294872795</v>
      </c>
      <c r="AL19" s="40">
        <v>2030</v>
      </c>
      <c r="AM19" s="74">
        <f t="shared" si="13"/>
        <v>94894.660606060643</v>
      </c>
      <c r="AN19" s="77">
        <f t="shared" si="14"/>
        <v>6263.1854977696421</v>
      </c>
      <c r="AO19" s="79">
        <f t="shared" si="7"/>
        <v>16.717471511525218</v>
      </c>
      <c r="AP19" s="79">
        <f t="shared" si="8"/>
        <v>6.5825284440283599E-2</v>
      </c>
      <c r="AQ19" s="26">
        <f t="shared" si="5"/>
        <v>6263.1854977696421</v>
      </c>
      <c r="AS19" s="40">
        <v>2030</v>
      </c>
      <c r="AT19" s="14">
        <v>6263.1854977696421</v>
      </c>
      <c r="AU19" s="14">
        <v>6263.1854977696421</v>
      </c>
    </row>
    <row r="20" spans="1:47" x14ac:dyDescent="0.5">
      <c r="A20" s="13">
        <v>19</v>
      </c>
      <c r="B20" s="40">
        <v>2032</v>
      </c>
      <c r="C20" s="13"/>
      <c r="D20" s="74">
        <f t="shared" si="9"/>
        <v>97782.636363636237</v>
      </c>
      <c r="E20" s="74">
        <f t="shared" si="0"/>
        <v>97782.636363636237</v>
      </c>
      <c r="F20" s="13"/>
      <c r="G20" s="14">
        <f t="shared" si="2"/>
        <v>89310.252437771182</v>
      </c>
      <c r="H20" s="13"/>
      <c r="Q20" s="40">
        <v>2031</v>
      </c>
      <c r="R20" s="74">
        <f t="shared" si="10"/>
        <v>96338.64848484844</v>
      </c>
      <c r="S20" s="77">
        <f t="shared" si="11"/>
        <v>81396.828581383408</v>
      </c>
      <c r="T20" s="13">
        <f t="shared" si="3"/>
        <v>2003.8897962158371</v>
      </c>
      <c r="U20" s="78">
        <f t="shared" si="6"/>
        <v>0.82410268395714525</v>
      </c>
      <c r="V20" s="26">
        <f t="shared" si="4"/>
        <v>81396.828581383408</v>
      </c>
      <c r="X20" s="40">
        <v>2031</v>
      </c>
      <c r="Y20" s="77">
        <f t="shared" si="12"/>
        <v>81396.828581383408</v>
      </c>
      <c r="Z20" s="26">
        <v>81396.828581383408</v>
      </c>
      <c r="AL20" s="40">
        <v>2031</v>
      </c>
      <c r="AM20" s="74">
        <f t="shared" si="13"/>
        <v>96338.64848484844</v>
      </c>
      <c r="AN20" s="77">
        <f t="shared" si="14"/>
        <v>6358.2364106191708</v>
      </c>
      <c r="AO20" s="79">
        <f t="shared" si="7"/>
        <v>16.717471511525218</v>
      </c>
      <c r="AP20" s="79">
        <f t="shared" si="8"/>
        <v>6.5825284440283599E-2</v>
      </c>
      <c r="AQ20" s="26">
        <f t="shared" si="5"/>
        <v>6358.2364106191708</v>
      </c>
      <c r="AS20" s="40">
        <v>2031</v>
      </c>
      <c r="AT20" s="14">
        <v>6358.2364106191708</v>
      </c>
      <c r="AU20" s="14">
        <v>6358.2364106191708</v>
      </c>
    </row>
    <row r="21" spans="1:47" x14ac:dyDescent="0.5">
      <c r="A21" s="13">
        <v>20</v>
      </c>
      <c r="B21" s="40">
        <v>2033</v>
      </c>
      <c r="C21" s="13"/>
      <c r="D21" s="74">
        <f t="shared" si="9"/>
        <v>99226.624242424034</v>
      </c>
      <c r="E21" s="74">
        <f t="shared" si="0"/>
        <v>99226.624242424034</v>
      </c>
      <c r="F21" s="13"/>
      <c r="G21" s="14">
        <f t="shared" si="2"/>
        <v>89704.497827763334</v>
      </c>
      <c r="H21" s="13"/>
      <c r="Q21" s="40">
        <v>2032</v>
      </c>
      <c r="R21" s="74">
        <f t="shared" si="10"/>
        <v>97782.636363636237</v>
      </c>
      <c r="S21" s="77">
        <f t="shared" si="11"/>
        <v>82586.822867894007</v>
      </c>
      <c r="T21" s="13">
        <f t="shared" si="3"/>
        <v>2003.8897962158371</v>
      </c>
      <c r="U21" s="78">
        <f t="shared" si="6"/>
        <v>0.82410268395714525</v>
      </c>
      <c r="V21" s="26">
        <f t="shared" si="4"/>
        <v>82586.822867894007</v>
      </c>
      <c r="X21" s="40">
        <v>2032</v>
      </c>
      <c r="Y21" s="77">
        <f t="shared" si="12"/>
        <v>82586.822867894007</v>
      </c>
      <c r="Z21" s="26">
        <v>82586.822867894007</v>
      </c>
      <c r="AL21" s="40">
        <v>2032</v>
      </c>
      <c r="AM21" s="74">
        <f t="shared" si="13"/>
        <v>97782.636363636237</v>
      </c>
      <c r="AN21" s="77">
        <f t="shared" si="14"/>
        <v>6453.2873234686986</v>
      </c>
      <c r="AO21" s="79">
        <f t="shared" si="7"/>
        <v>16.717471511525218</v>
      </c>
      <c r="AP21" s="79">
        <f t="shared" si="8"/>
        <v>6.5825284440283599E-2</v>
      </c>
      <c r="AQ21" s="26">
        <f t="shared" si="5"/>
        <v>6453.2873234686986</v>
      </c>
      <c r="AS21" s="40">
        <v>2032</v>
      </c>
      <c r="AT21" s="14">
        <v>6453.2873234686986</v>
      </c>
      <c r="AU21" s="14">
        <v>6453.2873234686986</v>
      </c>
    </row>
    <row r="22" spans="1:47" x14ac:dyDescent="0.5">
      <c r="Q22" s="40">
        <v>2033</v>
      </c>
      <c r="R22" s="74">
        <f t="shared" si="10"/>
        <v>99226.624242424034</v>
      </c>
      <c r="S22" s="77">
        <f t="shared" si="11"/>
        <v>83776.81715440462</v>
      </c>
      <c r="T22" s="13">
        <f t="shared" si="3"/>
        <v>2003.8897962158371</v>
      </c>
      <c r="U22" s="78">
        <f t="shared" si="6"/>
        <v>0.82410268395714525</v>
      </c>
      <c r="V22" s="26">
        <f t="shared" si="4"/>
        <v>83776.81715440462</v>
      </c>
      <c r="X22" s="40">
        <v>2033</v>
      </c>
      <c r="Y22" s="77">
        <f t="shared" si="12"/>
        <v>83776.81715440462</v>
      </c>
      <c r="Z22" s="26">
        <v>83776.81715440462</v>
      </c>
      <c r="AL22" s="40">
        <v>2033</v>
      </c>
      <c r="AM22" s="74">
        <f t="shared" si="13"/>
        <v>99226.624242424034</v>
      </c>
      <c r="AN22" s="77">
        <f t="shared" si="14"/>
        <v>6548.3382363182272</v>
      </c>
      <c r="AO22" s="79">
        <f t="shared" si="7"/>
        <v>16.717471511525218</v>
      </c>
      <c r="AP22" s="79">
        <f t="shared" si="8"/>
        <v>6.5825284440283599E-2</v>
      </c>
      <c r="AQ22" s="26">
        <f t="shared" si="5"/>
        <v>6548.3382363182272</v>
      </c>
      <c r="AS22" s="40">
        <v>2033</v>
      </c>
      <c r="AT22" s="14">
        <v>6548.3382363182272</v>
      </c>
      <c r="AU22" s="14">
        <v>6548.3382363182272</v>
      </c>
    </row>
    <row r="25" spans="1:47" x14ac:dyDescent="0.5">
      <c r="A25" t="s">
        <v>59</v>
      </c>
    </row>
    <row r="26" spans="1:47" ht="14.7" thickBot="1" x14ac:dyDescent="0.55000000000000004"/>
    <row r="27" spans="1:47" x14ac:dyDescent="0.5">
      <c r="A27" s="44" t="s">
        <v>60</v>
      </c>
      <c r="B27" s="44"/>
    </row>
    <row r="28" spans="1:47" x14ac:dyDescent="0.5">
      <c r="A28" s="41" t="s">
        <v>61</v>
      </c>
      <c r="B28" s="41">
        <v>0.44808340643857791</v>
      </c>
    </row>
    <row r="29" spans="1:47" x14ac:dyDescent="0.5">
      <c r="A29" s="41" t="s">
        <v>62</v>
      </c>
      <c r="B29" s="41">
        <v>0.20077873912559982</v>
      </c>
      <c r="Q29" s="76"/>
      <c r="R29" s="76"/>
      <c r="S29" s="76"/>
      <c r="T29" s="76"/>
      <c r="U29" s="76"/>
      <c r="V29" s="76"/>
      <c r="W29" s="76"/>
      <c r="X29" s="76"/>
      <c r="Y29" s="76"/>
    </row>
    <row r="30" spans="1:47" x14ac:dyDescent="0.5">
      <c r="A30" s="41" t="s">
        <v>63</v>
      </c>
      <c r="B30" s="41">
        <v>0.10087608151629979</v>
      </c>
      <c r="Q30" s="76"/>
      <c r="R30" s="76"/>
      <c r="S30" s="76"/>
      <c r="T30" s="76"/>
      <c r="U30" s="76"/>
      <c r="V30" s="76"/>
      <c r="W30" s="76"/>
      <c r="X30" s="76"/>
      <c r="Y30" s="76"/>
      <c r="AB30" t="s">
        <v>191</v>
      </c>
    </row>
    <row r="31" spans="1:47" x14ac:dyDescent="0.5">
      <c r="A31" s="41" t="s">
        <v>64</v>
      </c>
      <c r="B31" s="41">
        <v>9251.6710219551605</v>
      </c>
      <c r="Q31" t="s">
        <v>59</v>
      </c>
      <c r="AL31" t="s">
        <v>59</v>
      </c>
    </row>
    <row r="32" spans="1:47" ht="14.7" thickBot="1" x14ac:dyDescent="0.55000000000000004">
      <c r="A32" s="42" t="s">
        <v>65</v>
      </c>
      <c r="B32" s="42">
        <v>10</v>
      </c>
    </row>
    <row r="33" spans="1:46" x14ac:dyDescent="0.5">
      <c r="Q33" s="44" t="s">
        <v>60</v>
      </c>
      <c r="R33" s="44"/>
      <c r="AL33" s="44" t="s">
        <v>60</v>
      </c>
      <c r="AM33" s="44"/>
    </row>
    <row r="34" spans="1:46" ht="14.7" thickBot="1" x14ac:dyDescent="0.55000000000000004">
      <c r="A34" t="s">
        <v>66</v>
      </c>
      <c r="Q34" s="41" t="s">
        <v>61</v>
      </c>
      <c r="R34" s="41">
        <v>0.99210637206499552</v>
      </c>
      <c r="AL34" s="41" t="s">
        <v>61</v>
      </c>
      <c r="AM34" s="41">
        <v>0.88457549733159502</v>
      </c>
    </row>
    <row r="35" spans="1:46" x14ac:dyDescent="0.5">
      <c r="A35" s="43"/>
      <c r="B35" s="43" t="s">
        <v>71</v>
      </c>
      <c r="C35" s="43" t="s">
        <v>72</v>
      </c>
      <c r="D35" s="43" t="s">
        <v>73</v>
      </c>
      <c r="E35" s="43" t="s">
        <v>74</v>
      </c>
      <c r="F35" s="43" t="s">
        <v>75</v>
      </c>
      <c r="Q35" s="41" t="s">
        <v>62</v>
      </c>
      <c r="R35" s="41">
        <v>0.98427505349196742</v>
      </c>
      <c r="AL35" s="41" t="s">
        <v>62</v>
      </c>
      <c r="AM35" s="41">
        <v>0.78247381047943876</v>
      </c>
    </row>
    <row r="36" spans="1:46" x14ac:dyDescent="0.5">
      <c r="A36" s="41" t="s">
        <v>67</v>
      </c>
      <c r="B36" s="41">
        <v>1</v>
      </c>
      <c r="C36" s="41">
        <v>172020832.01212108</v>
      </c>
      <c r="D36" s="41">
        <v>172020832.01212108</v>
      </c>
      <c r="E36" s="41">
        <v>2.0097437238437306</v>
      </c>
      <c r="F36" s="41">
        <v>0.19404276091294689</v>
      </c>
      <c r="Q36" s="41" t="s">
        <v>63</v>
      </c>
      <c r="R36" s="41">
        <v>0.98230943517846336</v>
      </c>
      <c r="AL36" s="41" t="s">
        <v>63</v>
      </c>
      <c r="AM36" s="41">
        <v>0.75528303678936859</v>
      </c>
    </row>
    <row r="37" spans="1:46" x14ac:dyDescent="0.5">
      <c r="A37" s="41" t="s">
        <v>68</v>
      </c>
      <c r="B37" s="41">
        <v>8</v>
      </c>
      <c r="C37" s="41">
        <v>684747333.58787882</v>
      </c>
      <c r="D37" s="41">
        <v>85593416.698484853</v>
      </c>
      <c r="E37" s="41"/>
      <c r="F37" s="41"/>
      <c r="Q37" s="41" t="s">
        <v>64</v>
      </c>
      <c r="R37" s="41">
        <v>1077.9642179976506</v>
      </c>
      <c r="AL37" s="41" t="s">
        <v>64</v>
      </c>
      <c r="AM37" s="41">
        <v>359.17018836026637</v>
      </c>
    </row>
    <row r="38" spans="1:46" ht="14.7" thickBot="1" x14ac:dyDescent="0.55000000000000004">
      <c r="A38" s="42" t="s">
        <v>69</v>
      </c>
      <c r="B38" s="42">
        <v>9</v>
      </c>
      <c r="C38" s="42">
        <v>856768165.5999999</v>
      </c>
      <c r="D38" s="42"/>
      <c r="E38" s="42"/>
      <c r="F38" s="42"/>
      <c r="Q38" s="42" t="s">
        <v>65</v>
      </c>
      <c r="R38" s="42">
        <v>10</v>
      </c>
      <c r="AL38" s="42" t="s">
        <v>65</v>
      </c>
      <c r="AM38" s="42">
        <v>10</v>
      </c>
    </row>
    <row r="39" spans="1:46" ht="14.7" thickBot="1" x14ac:dyDescent="0.55000000000000004"/>
    <row r="40" spans="1:46" ht="14.7" thickBot="1" x14ac:dyDescent="0.55000000000000004">
      <c r="A40" s="43"/>
      <c r="B40" s="43" t="s">
        <v>76</v>
      </c>
      <c r="C40" s="43" t="s">
        <v>64</v>
      </c>
      <c r="D40" s="43" t="s">
        <v>77</v>
      </c>
      <c r="E40" s="43" t="s">
        <v>78</v>
      </c>
      <c r="F40" s="43" t="s">
        <v>79</v>
      </c>
      <c r="G40" s="43" t="s">
        <v>80</v>
      </c>
      <c r="H40" s="43" t="s">
        <v>81</v>
      </c>
      <c r="I40" s="43" t="s">
        <v>82</v>
      </c>
      <c r="Q40" t="s">
        <v>66</v>
      </c>
      <c r="AL40" t="s">
        <v>66</v>
      </c>
    </row>
    <row r="41" spans="1:46" x14ac:dyDescent="0.5">
      <c r="A41" s="41" t="s">
        <v>70</v>
      </c>
      <c r="B41" s="41">
        <v>-2836400.7333333339</v>
      </c>
      <c r="C41" s="41">
        <v>2055996.6399046362</v>
      </c>
      <c r="D41" s="41">
        <v>-1.3795745957371288</v>
      </c>
      <c r="E41" s="41">
        <v>0.20504859946401616</v>
      </c>
      <c r="F41" s="41">
        <v>-7577537.4869192988</v>
      </c>
      <c r="G41" s="41">
        <v>1904736.0202526306</v>
      </c>
      <c r="H41" s="41">
        <v>-7577537.4869192988</v>
      </c>
      <c r="I41" s="41">
        <v>1904736.0202526306</v>
      </c>
      <c r="Q41" s="43"/>
      <c r="R41" s="43" t="s">
        <v>71</v>
      </c>
      <c r="S41" s="43" t="s">
        <v>72</v>
      </c>
      <c r="T41" s="43" t="s">
        <v>73</v>
      </c>
      <c r="U41" s="43" t="s">
        <v>74</v>
      </c>
      <c r="V41" s="43" t="s">
        <v>75</v>
      </c>
      <c r="AL41" s="43"/>
      <c r="AM41" s="43" t="s">
        <v>71</v>
      </c>
      <c r="AN41" s="43" t="s">
        <v>72</v>
      </c>
      <c r="AO41" s="43" t="s">
        <v>73</v>
      </c>
      <c r="AP41" s="43" t="s">
        <v>74</v>
      </c>
      <c r="AQ41" s="43" t="s">
        <v>75</v>
      </c>
    </row>
    <row r="42" spans="1:46" ht="14.7" thickBot="1" x14ac:dyDescent="0.55000000000000004">
      <c r="A42" s="42" t="s">
        <v>57</v>
      </c>
      <c r="B42" s="42">
        <v>1443.987878787879</v>
      </c>
      <c r="C42" s="42">
        <v>1018.5754562042199</v>
      </c>
      <c r="D42" s="42">
        <v>1.4176543033630351</v>
      </c>
      <c r="E42" s="42">
        <v>0.19404276091294684</v>
      </c>
      <c r="F42" s="42">
        <v>-904.85133523652325</v>
      </c>
      <c r="G42" s="42">
        <v>3792.8270928122811</v>
      </c>
      <c r="H42" s="42">
        <v>-904.85133523652325</v>
      </c>
      <c r="I42" s="42">
        <v>3792.8270928122811</v>
      </c>
      <c r="Q42" s="41" t="s">
        <v>67</v>
      </c>
      <c r="R42" s="41">
        <v>1</v>
      </c>
      <c r="S42" s="41">
        <v>581870016.05773365</v>
      </c>
      <c r="T42" s="41">
        <v>581870016.05773365</v>
      </c>
      <c r="U42" s="41">
        <v>500.74576876388505</v>
      </c>
      <c r="V42" s="41">
        <v>1.6825381163659381E-8</v>
      </c>
      <c r="AL42" s="41" t="s">
        <v>67</v>
      </c>
      <c r="AM42" s="41">
        <v>1</v>
      </c>
      <c r="AN42" s="41">
        <v>3712349.1063460065</v>
      </c>
      <c r="AO42" s="41">
        <v>3712349.1063460065</v>
      </c>
      <c r="AP42" s="41">
        <v>28.777180796631463</v>
      </c>
      <c r="AQ42" s="41">
        <v>6.7407919926514102E-4</v>
      </c>
    </row>
    <row r="43" spans="1:46" x14ac:dyDescent="0.5">
      <c r="Q43" s="41" t="s">
        <v>68</v>
      </c>
      <c r="R43" s="41">
        <v>8</v>
      </c>
      <c r="S43" s="41">
        <v>9296054.8422662895</v>
      </c>
      <c r="T43" s="41">
        <v>1162006.8552832862</v>
      </c>
      <c r="U43" s="41"/>
      <c r="V43" s="41"/>
      <c r="AL43" s="41" t="s">
        <v>68</v>
      </c>
      <c r="AM43" s="41">
        <v>8</v>
      </c>
      <c r="AN43" s="41">
        <v>1032025.7936539938</v>
      </c>
      <c r="AO43" s="41">
        <v>129003.22420674922</v>
      </c>
      <c r="AP43" s="41"/>
      <c r="AQ43" s="41"/>
    </row>
    <row r="44" spans="1:46" ht="14.7" thickBot="1" x14ac:dyDescent="0.55000000000000004">
      <c r="Q44" s="42" t="s">
        <v>69</v>
      </c>
      <c r="R44" s="42">
        <v>9</v>
      </c>
      <c r="S44" s="42">
        <v>591166070.89999998</v>
      </c>
      <c r="T44" s="42"/>
      <c r="U44" s="42"/>
      <c r="V44" s="42"/>
      <c r="AL44" s="42" t="s">
        <v>69</v>
      </c>
      <c r="AM44" s="42">
        <v>9</v>
      </c>
      <c r="AN44" s="42">
        <v>4744374.9000000004</v>
      </c>
      <c r="AO44" s="42"/>
      <c r="AP44" s="42"/>
      <c r="AQ44" s="42"/>
    </row>
    <row r="45" spans="1:46" ht="14.7" thickBot="1" x14ac:dyDescent="0.55000000000000004"/>
    <row r="46" spans="1:46" x14ac:dyDescent="0.5">
      <c r="A46" t="s">
        <v>83</v>
      </c>
      <c r="F46" t="s">
        <v>86</v>
      </c>
      <c r="Q46" s="43"/>
      <c r="R46" s="43" t="s">
        <v>76</v>
      </c>
      <c r="S46" s="43" t="s">
        <v>64</v>
      </c>
      <c r="T46" s="43" t="s">
        <v>77</v>
      </c>
      <c r="U46" s="43" t="s">
        <v>78</v>
      </c>
      <c r="V46" s="43" t="s">
        <v>79</v>
      </c>
      <c r="W46" s="43" t="s">
        <v>80</v>
      </c>
      <c r="X46" s="43" t="s">
        <v>81</v>
      </c>
      <c r="Y46" s="43" t="s">
        <v>82</v>
      </c>
      <c r="AL46" s="43"/>
      <c r="AM46" s="43" t="s">
        <v>76</v>
      </c>
      <c r="AN46" s="43" t="s">
        <v>64</v>
      </c>
      <c r="AO46" s="43" t="s">
        <v>77</v>
      </c>
      <c r="AP46" s="43" t="s">
        <v>78</v>
      </c>
      <c r="AQ46" s="43" t="s">
        <v>79</v>
      </c>
      <c r="AR46" s="43" t="s">
        <v>80</v>
      </c>
      <c r="AS46" s="43" t="s">
        <v>81</v>
      </c>
      <c r="AT46" s="43" t="s">
        <v>82</v>
      </c>
    </row>
    <row r="47" spans="1:46" ht="14.7" thickBot="1" x14ac:dyDescent="0.55000000000000004">
      <c r="Q47" s="41" t="s">
        <v>70</v>
      </c>
      <c r="R47" s="41">
        <v>2003.8897962158371</v>
      </c>
      <c r="S47" s="41">
        <v>2903.2652635412878</v>
      </c>
      <c r="T47" s="41">
        <v>0.69021932696965205</v>
      </c>
      <c r="U47" s="41">
        <v>0.50958087076332614</v>
      </c>
      <c r="V47" s="41">
        <v>-4691.0519071049885</v>
      </c>
      <c r="W47" s="41">
        <v>8698.8314995366636</v>
      </c>
      <c r="X47" s="41">
        <v>-4691.0519071049885</v>
      </c>
      <c r="Y47" s="41">
        <v>8698.8314995366636</v>
      </c>
      <c r="AL47" s="41" t="s">
        <v>70</v>
      </c>
      <c r="AM47" s="41">
        <v>16.717471511525218</v>
      </c>
      <c r="AN47" s="41">
        <v>967.34781559160763</v>
      </c>
      <c r="AO47" s="41">
        <v>1.7281758682941975E-2</v>
      </c>
      <c r="AP47" s="41">
        <v>0.98663507008676143</v>
      </c>
      <c r="AQ47" s="41">
        <v>-2213.99059142344</v>
      </c>
      <c r="AR47" s="41">
        <v>2247.4255344464905</v>
      </c>
      <c r="AS47" s="41">
        <v>-2213.99059142344</v>
      </c>
      <c r="AT47" s="41">
        <v>2247.4255344464905</v>
      </c>
    </row>
    <row r="48" spans="1:46" ht="14.7" thickBot="1" x14ac:dyDescent="0.55000000000000004">
      <c r="A48" s="43" t="s">
        <v>84</v>
      </c>
      <c r="B48" s="43" t="s">
        <v>88</v>
      </c>
      <c r="C48" s="43" t="s">
        <v>68</v>
      </c>
      <c r="D48" s="43" t="s">
        <v>85</v>
      </c>
      <c r="F48" s="43" t="s">
        <v>87</v>
      </c>
      <c r="G48" s="43" t="s">
        <v>58</v>
      </c>
      <c r="Q48" s="42" t="s">
        <v>90</v>
      </c>
      <c r="R48" s="42">
        <v>0.82410268395714525</v>
      </c>
      <c r="S48" s="42">
        <v>3.6827537841565734E-2</v>
      </c>
      <c r="T48" s="42">
        <v>22.377349457964964</v>
      </c>
      <c r="U48" s="42">
        <v>1.6825381163659381E-8</v>
      </c>
      <c r="V48" s="42">
        <v>0.73917822940510669</v>
      </c>
      <c r="W48" s="42">
        <v>0.90902713850918382</v>
      </c>
      <c r="X48" s="42">
        <v>0.73917822940510669</v>
      </c>
      <c r="Y48" s="42">
        <v>0.90902713850918382</v>
      </c>
      <c r="AL48" s="42" t="s">
        <v>90</v>
      </c>
      <c r="AM48" s="42">
        <v>6.5825284440283599E-2</v>
      </c>
      <c r="AN48" s="42">
        <v>1.2270679752218669E-2</v>
      </c>
      <c r="AO48" s="42">
        <v>5.3644366709498463</v>
      </c>
      <c r="AP48" s="42">
        <v>6.7407919926514037E-4</v>
      </c>
      <c r="AQ48" s="42">
        <v>3.7529046189901299E-2</v>
      </c>
      <c r="AR48" s="42">
        <v>9.4121522690665899E-2</v>
      </c>
      <c r="AS48" s="42">
        <v>3.7529046189901299E-2</v>
      </c>
      <c r="AT48" s="42">
        <v>9.4121522690665899E-2</v>
      </c>
    </row>
    <row r="49" spans="1:40" x14ac:dyDescent="0.5">
      <c r="A49" s="41">
        <v>1</v>
      </c>
      <c r="B49" s="41">
        <v>71790.854545454495</v>
      </c>
      <c r="C49" s="41">
        <v>-10300.854545454495</v>
      </c>
      <c r="D49" s="41">
        <v>-1.1809440830454201</v>
      </c>
      <c r="F49" s="41">
        <v>5</v>
      </c>
      <c r="G49" s="41">
        <v>61490</v>
      </c>
    </row>
    <row r="50" spans="1:40" x14ac:dyDescent="0.5">
      <c r="A50" s="41">
        <v>2</v>
      </c>
      <c r="B50" s="41">
        <v>73234.842424242292</v>
      </c>
      <c r="C50" s="41">
        <v>-2343.8424242422916</v>
      </c>
      <c r="D50" s="41">
        <v>-0.26871040944085484</v>
      </c>
      <c r="F50" s="41">
        <v>15</v>
      </c>
      <c r="G50" s="41">
        <v>66325</v>
      </c>
    </row>
    <row r="51" spans="1:40" x14ac:dyDescent="0.5">
      <c r="A51" s="41">
        <v>3</v>
      </c>
      <c r="B51" s="41">
        <v>74678.830303030089</v>
      </c>
      <c r="C51" s="41">
        <v>4565.1696969699115</v>
      </c>
      <c r="D51" s="41">
        <v>0.52337503824999398</v>
      </c>
      <c r="F51" s="41">
        <v>25</v>
      </c>
      <c r="G51" s="41">
        <v>70891</v>
      </c>
    </row>
    <row r="52" spans="1:40" x14ac:dyDescent="0.5">
      <c r="A52" s="41">
        <v>4</v>
      </c>
      <c r="B52" s="41">
        <v>76122.818181818351</v>
      </c>
      <c r="C52" s="41">
        <v>8656.1818181816489</v>
      </c>
      <c r="D52" s="41">
        <v>0.99239016091707455</v>
      </c>
      <c r="F52" s="41">
        <v>35</v>
      </c>
      <c r="G52" s="41">
        <v>77363</v>
      </c>
      <c r="Q52" t="s">
        <v>83</v>
      </c>
      <c r="AL52" t="s">
        <v>83</v>
      </c>
    </row>
    <row r="53" spans="1:40" ht="14.7" thickBot="1" x14ac:dyDescent="0.55000000000000004">
      <c r="A53" s="41">
        <v>5</v>
      </c>
      <c r="B53" s="41">
        <v>77566.806060606148</v>
      </c>
      <c r="C53" s="41">
        <v>12760.193939393852</v>
      </c>
      <c r="D53" s="41">
        <v>1.4628956718827566</v>
      </c>
      <c r="F53" s="41">
        <v>45</v>
      </c>
      <c r="G53" s="41">
        <v>77363</v>
      </c>
    </row>
    <row r="54" spans="1:40" x14ac:dyDescent="0.5">
      <c r="A54" s="41">
        <v>6</v>
      </c>
      <c r="B54" s="41">
        <v>79010.793939393945</v>
      </c>
      <c r="C54" s="41">
        <v>-1647.793939393945</v>
      </c>
      <c r="D54" s="41">
        <v>-0.18891175428392806</v>
      </c>
      <c r="F54" s="41">
        <v>55</v>
      </c>
      <c r="G54" s="41">
        <v>79244</v>
      </c>
      <c r="Q54" s="43" t="s">
        <v>84</v>
      </c>
      <c r="R54" s="43" t="s">
        <v>184</v>
      </c>
      <c r="S54" s="43" t="s">
        <v>68</v>
      </c>
      <c r="AL54" s="43" t="s">
        <v>84</v>
      </c>
      <c r="AM54" s="43" t="s">
        <v>190</v>
      </c>
      <c r="AN54" s="43" t="s">
        <v>68</v>
      </c>
    </row>
    <row r="55" spans="1:40" x14ac:dyDescent="0.5">
      <c r="A55" s="41">
        <v>7</v>
      </c>
      <c r="B55" s="41">
        <v>80454.781818181742</v>
      </c>
      <c r="C55" s="41">
        <v>-14129.781818181742</v>
      </c>
      <c r="D55" s="41">
        <v>-1.6199124217580383</v>
      </c>
      <c r="F55" s="41">
        <v>65</v>
      </c>
      <c r="G55" s="41">
        <v>84779</v>
      </c>
      <c r="Q55" s="41">
        <v>1</v>
      </c>
      <c r="R55" s="41">
        <v>52677.963832740701</v>
      </c>
      <c r="S55" s="41">
        <v>-221.96383274070104</v>
      </c>
      <c r="AL55" s="41">
        <v>1</v>
      </c>
      <c r="AM55" s="41">
        <v>4064.3142117445636</v>
      </c>
      <c r="AN55" s="41">
        <v>-477.31421174456364</v>
      </c>
    </row>
    <row r="56" spans="1:40" x14ac:dyDescent="0.5">
      <c r="A56" s="41">
        <v>8</v>
      </c>
      <c r="B56" s="41">
        <v>81898.769696969539</v>
      </c>
      <c r="C56" s="41">
        <v>2880.2303030304611</v>
      </c>
      <c r="D56" s="41">
        <v>0.33020473390461452</v>
      </c>
      <c r="F56" s="41">
        <v>75</v>
      </c>
      <c r="G56" s="41">
        <v>84779</v>
      </c>
      <c r="Q56" s="41">
        <v>2</v>
      </c>
      <c r="R56" s="41">
        <v>60425.353164621818</v>
      </c>
      <c r="S56" s="41">
        <v>-1282.353164621818</v>
      </c>
      <c r="AL56" s="41">
        <v>2</v>
      </c>
      <c r="AM56" s="41">
        <v>4683.1377107676699</v>
      </c>
      <c r="AN56" s="41">
        <v>-290.13771076766989</v>
      </c>
    </row>
    <row r="57" spans="1:40" x14ac:dyDescent="0.5">
      <c r="A57" s="41">
        <v>9</v>
      </c>
      <c r="B57" s="41">
        <v>83342.757575757336</v>
      </c>
      <c r="C57" s="41">
        <v>6984.2424242426641</v>
      </c>
      <c r="D57" s="41">
        <v>0.80071024487029652</v>
      </c>
      <c r="F57" s="41">
        <v>85</v>
      </c>
      <c r="G57" s="41">
        <v>90327</v>
      </c>
      <c r="Q57" s="41">
        <v>3</v>
      </c>
      <c r="R57" s="41">
        <v>67309.082883715862</v>
      </c>
      <c r="S57" s="41">
        <v>-1964.0828837158624</v>
      </c>
      <c r="AL57" s="41">
        <v>3</v>
      </c>
      <c r="AM57" s="41">
        <v>5232.9763116973591</v>
      </c>
      <c r="AN57" s="41">
        <v>-275.97631169735905</v>
      </c>
    </row>
    <row r="58" spans="1:40" ht="14.7" thickBot="1" x14ac:dyDescent="0.55000000000000004">
      <c r="A58" s="42">
        <v>10</v>
      </c>
      <c r="B58" s="42">
        <v>84786.745454545598</v>
      </c>
      <c r="C58" s="42">
        <v>-7423.7454545455985</v>
      </c>
      <c r="D58" s="42">
        <v>-0.85109718129644152</v>
      </c>
      <c r="F58" s="42">
        <v>95</v>
      </c>
      <c r="G58" s="42">
        <v>90327</v>
      </c>
      <c r="Q58" s="41">
        <v>4</v>
      </c>
      <c r="R58" s="41">
        <v>71870.491239418654</v>
      </c>
      <c r="S58" s="41">
        <v>-58.491239418654004</v>
      </c>
      <c r="AL58" s="41">
        <v>4</v>
      </c>
      <c r="AM58" s="41">
        <v>5597.3192610743281</v>
      </c>
      <c r="AN58" s="41">
        <v>220.6807389256719</v>
      </c>
    </row>
    <row r="59" spans="1:40" x14ac:dyDescent="0.5">
      <c r="Q59" s="41">
        <v>5</v>
      </c>
      <c r="R59" s="41">
        <v>76442.612930012896</v>
      </c>
      <c r="S59" s="41">
        <v>435.38706998710404</v>
      </c>
      <c r="AL59" s="41">
        <v>5</v>
      </c>
      <c r="AM59" s="41">
        <v>5962.5179391490219</v>
      </c>
      <c r="AN59" s="41">
        <v>-216.51793914902191</v>
      </c>
    </row>
    <row r="60" spans="1:40" x14ac:dyDescent="0.5">
      <c r="Q60" s="41">
        <v>6</v>
      </c>
      <c r="R60" s="41">
        <v>65758.945735192465</v>
      </c>
      <c r="S60" s="41">
        <v>517.05426480753522</v>
      </c>
      <c r="AL60" s="41">
        <v>6</v>
      </c>
      <c r="AM60" s="41">
        <v>5109.1589516651857</v>
      </c>
      <c r="AN60" s="41">
        <v>218.84104833481433</v>
      </c>
    </row>
    <row r="61" spans="1:40" x14ac:dyDescent="0.5">
      <c r="Q61" s="41">
        <v>7</v>
      </c>
      <c r="R61" s="41">
        <v>56662.500309673494</v>
      </c>
      <c r="S61" s="41">
        <v>1680.4996903265055</v>
      </c>
      <c r="AL61" s="41">
        <v>7</v>
      </c>
      <c r="AM61" s="41">
        <v>4382.5794620133347</v>
      </c>
      <c r="AN61" s="41">
        <v>597.42053798666529</v>
      </c>
    </row>
    <row r="62" spans="1:40" x14ac:dyDescent="0.5">
      <c r="Q62" s="41">
        <v>8</v>
      </c>
      <c r="R62" s="41">
        <v>71870.491239418654</v>
      </c>
      <c r="S62" s="41">
        <v>-58.491239418654004</v>
      </c>
      <c r="AL62" s="41">
        <v>8</v>
      </c>
      <c r="AM62" s="41">
        <v>5597.3192610743281</v>
      </c>
      <c r="AN62" s="41">
        <v>220.6807389256719</v>
      </c>
    </row>
    <row r="63" spans="1:40" x14ac:dyDescent="0.5">
      <c r="Q63" s="41">
        <v>9</v>
      </c>
      <c r="R63" s="41">
        <v>76442.612930012896</v>
      </c>
      <c r="S63" s="41">
        <v>435.38706998710404</v>
      </c>
      <c r="AL63" s="41">
        <v>9</v>
      </c>
      <c r="AM63" s="41">
        <v>5962.5179391490219</v>
      </c>
      <c r="AN63" s="41">
        <v>-216.51793914902191</v>
      </c>
    </row>
    <row r="64" spans="1:40" ht="14.7" thickBot="1" x14ac:dyDescent="0.55000000000000004">
      <c r="Q64" s="42">
        <v>10</v>
      </c>
      <c r="R64" s="42">
        <v>65758.945735192465</v>
      </c>
      <c r="S64" s="42">
        <v>517.05426480753522</v>
      </c>
      <c r="AL64" s="42">
        <v>10</v>
      </c>
      <c r="AM64" s="42">
        <v>5109.1589516651857</v>
      </c>
      <c r="AN64" s="42">
        <v>218.84104833481433</v>
      </c>
    </row>
    <row r="65" spans="38:46" x14ac:dyDescent="0.5">
      <c r="AL65" s="76"/>
      <c r="AM65" s="76"/>
      <c r="AN65" s="76"/>
      <c r="AO65" s="76"/>
      <c r="AP65" s="76"/>
      <c r="AQ65" s="76"/>
      <c r="AR65" s="76"/>
      <c r="AS65" s="76"/>
      <c r="AT65" s="76"/>
    </row>
    <row r="66" spans="38:46" x14ac:dyDescent="0.5">
      <c r="AL66" s="76"/>
      <c r="AM66" s="76"/>
      <c r="AN66" s="76"/>
      <c r="AO66" s="76"/>
      <c r="AP66" s="76"/>
      <c r="AQ66" s="76"/>
      <c r="AR66" s="76"/>
      <c r="AS66" s="76"/>
      <c r="AT66" s="76"/>
    </row>
  </sheetData>
  <sortState xmlns:xlrd2="http://schemas.microsoft.com/office/spreadsheetml/2017/richdata2" ref="G49:G58">
    <sortCondition ref="G49"/>
  </sortState>
  <pageMargins left="0.7" right="0.7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9AC51D-E023-4028-A185-AAC4F45BCB3D}">
  <dimension ref="B1:Q214"/>
  <sheetViews>
    <sheetView topLeftCell="D21" zoomScale="60" zoomScaleNormal="60" workbookViewId="0">
      <selection activeCell="E208" sqref="E208"/>
    </sheetView>
  </sheetViews>
  <sheetFormatPr baseColWidth="10" defaultColWidth="11.46875" defaultRowHeight="14.35" x14ac:dyDescent="0.5"/>
  <cols>
    <col min="1" max="1" width="11.46875" style="7"/>
    <col min="2" max="2" width="17.703125" style="7" bestFit="1" customWidth="1"/>
    <col min="3" max="3" width="11.46875" style="7"/>
    <col min="4" max="4" width="27.46875" style="7" customWidth="1"/>
    <col min="5" max="5" width="16.8203125" style="7" customWidth="1"/>
    <col min="6" max="9" width="11.46875" style="7"/>
    <col min="10" max="10" width="16.17578125" style="7" customWidth="1"/>
    <col min="11" max="16384" width="11.46875" style="7"/>
  </cols>
  <sheetData>
    <row r="1" spans="4:17" ht="14.7" thickBot="1" x14ac:dyDescent="0.55000000000000004">
      <c r="O1" s="76"/>
      <c r="P1" s="76"/>
    </row>
    <row r="2" spans="4:17" x14ac:dyDescent="0.5">
      <c r="E2" s="127"/>
      <c r="F2" s="127"/>
      <c r="G2" s="127"/>
      <c r="H2" s="127"/>
      <c r="I2" s="127"/>
      <c r="J2" s="127"/>
      <c r="K2" s="127"/>
      <c r="L2" s="127"/>
      <c r="M2" s="127"/>
      <c r="N2" s="127"/>
      <c r="O2" s="76"/>
      <c r="P2" s="76"/>
      <c r="Q2" s="49">
        <v>2023</v>
      </c>
    </row>
    <row r="3" spans="4:17" ht="30.7" x14ac:dyDescent="0.5">
      <c r="D3" s="224" t="s">
        <v>101</v>
      </c>
      <c r="O3" s="76"/>
      <c r="P3" s="76"/>
    </row>
    <row r="4" spans="4:17" x14ac:dyDescent="0.5">
      <c r="O4" s="76"/>
      <c r="P4" s="76"/>
    </row>
    <row r="5" spans="4:17" ht="30.7" x14ac:dyDescent="1">
      <c r="D5" s="225" t="s">
        <v>102</v>
      </c>
      <c r="O5" s="76"/>
      <c r="P5" s="76"/>
    </row>
    <row r="6" spans="4:17" x14ac:dyDescent="0.5">
      <c r="O6" s="76"/>
      <c r="P6" s="76"/>
    </row>
    <row r="7" spans="4:17" x14ac:dyDescent="0.5">
      <c r="D7" s="7" t="s">
        <v>103</v>
      </c>
      <c r="E7" s="14">
        <v>16998</v>
      </c>
      <c r="F7" s="14">
        <v>22780</v>
      </c>
      <c r="G7" s="14">
        <v>26907</v>
      </c>
      <c r="H7" s="14">
        <v>28346</v>
      </c>
      <c r="I7" s="14">
        <v>27405</v>
      </c>
      <c r="J7" s="17">
        <v>25403</v>
      </c>
      <c r="K7" s="14">
        <v>31195</v>
      </c>
      <c r="L7" s="14">
        <v>33868</v>
      </c>
      <c r="M7" s="14">
        <v>38526.379999999997</v>
      </c>
      <c r="N7" s="27">
        <v>37243.620000000003</v>
      </c>
      <c r="O7" s="76"/>
      <c r="P7" s="76"/>
    </row>
    <row r="8" spans="4:17" ht="14.7" thickBot="1" x14ac:dyDescent="0.55000000000000004">
      <c r="D8" s="7" t="s">
        <v>104</v>
      </c>
      <c r="E8" s="14">
        <v>19000</v>
      </c>
      <c r="F8" s="14">
        <v>18771</v>
      </c>
      <c r="G8" s="14">
        <v>23684</v>
      </c>
      <c r="H8" s="14">
        <v>25509</v>
      </c>
      <c r="I8" s="14">
        <v>26544</v>
      </c>
      <c r="J8" s="17">
        <v>25332</v>
      </c>
      <c r="K8" s="14">
        <v>30995</v>
      </c>
      <c r="L8" s="14">
        <v>33853</v>
      </c>
      <c r="M8" s="27">
        <v>36328.800000000003</v>
      </c>
      <c r="N8" s="27">
        <v>39734.199999999997</v>
      </c>
      <c r="O8" s="76"/>
      <c r="P8" s="76"/>
    </row>
    <row r="9" spans="4:17" x14ac:dyDescent="0.5">
      <c r="E9" s="127">
        <v>2014</v>
      </c>
      <c r="F9" s="127">
        <v>2015</v>
      </c>
      <c r="G9" s="127">
        <v>2016</v>
      </c>
      <c r="H9" s="127">
        <v>2017</v>
      </c>
      <c r="I9" s="127">
        <v>2018</v>
      </c>
      <c r="J9" s="127">
        <v>2019</v>
      </c>
      <c r="K9" s="127">
        <v>2020</v>
      </c>
      <c r="L9" s="127">
        <v>2021</v>
      </c>
      <c r="M9" s="127">
        <v>2022</v>
      </c>
      <c r="N9" s="127">
        <v>2023</v>
      </c>
      <c r="O9" s="76"/>
      <c r="P9" s="76"/>
    </row>
    <row r="10" spans="4:17" x14ac:dyDescent="0.5">
      <c r="D10" s="7" t="s">
        <v>102</v>
      </c>
      <c r="E10" s="50">
        <f>+E7/E8</f>
        <v>0.89463157894736844</v>
      </c>
      <c r="F10" s="50">
        <f t="shared" ref="F10:N10" si="0">+F7/F8</f>
        <v>1.213574130307389</v>
      </c>
      <c r="G10" s="50">
        <f t="shared" si="0"/>
        <v>1.1360834318527275</v>
      </c>
      <c r="H10" s="50">
        <f t="shared" si="0"/>
        <v>1.1112156493786507</v>
      </c>
      <c r="I10" s="50">
        <f t="shared" si="0"/>
        <v>1.0324367088607596</v>
      </c>
      <c r="J10" s="50">
        <f t="shared" si="0"/>
        <v>1.0028027790936365</v>
      </c>
      <c r="K10" s="50">
        <f t="shared" si="0"/>
        <v>1.0064526536538152</v>
      </c>
      <c r="L10" s="50">
        <f t="shared" si="0"/>
        <v>1.0004430921927157</v>
      </c>
      <c r="M10" s="50">
        <f t="shared" si="0"/>
        <v>1.0604914007619297</v>
      </c>
      <c r="N10" s="50">
        <f t="shared" si="0"/>
        <v>0.93731898465301944</v>
      </c>
      <c r="O10" s="76"/>
      <c r="P10" s="76"/>
    </row>
    <row r="11" spans="4:17" x14ac:dyDescent="0.5">
      <c r="O11" s="76"/>
      <c r="P11" s="76"/>
    </row>
    <row r="12" spans="4:17" x14ac:dyDescent="0.5">
      <c r="O12" s="76"/>
      <c r="P12" s="76"/>
    </row>
    <row r="13" spans="4:17" x14ac:dyDescent="0.5">
      <c r="D13" s="7" t="s">
        <v>103</v>
      </c>
      <c r="E13" s="14">
        <v>16998</v>
      </c>
      <c r="F13" s="14">
        <v>22780</v>
      </c>
      <c r="G13" s="14">
        <v>26907</v>
      </c>
      <c r="H13" s="14">
        <v>28346</v>
      </c>
      <c r="I13" s="14">
        <v>27405</v>
      </c>
      <c r="J13" s="17">
        <v>25403</v>
      </c>
      <c r="K13" s="14">
        <v>31195</v>
      </c>
      <c r="L13" s="14">
        <v>33868</v>
      </c>
      <c r="M13" s="14">
        <v>38526.379999999997</v>
      </c>
      <c r="N13" s="27">
        <v>37243.620000000003</v>
      </c>
      <c r="O13" s="76"/>
      <c r="P13" s="76"/>
      <c r="Q13" s="2">
        <f t="shared" ref="Q13" si="1">+Q7</f>
        <v>0</v>
      </c>
    </row>
    <row r="14" spans="4:17" x14ac:dyDescent="0.5">
      <c r="D14" s="7" t="s">
        <v>8</v>
      </c>
      <c r="E14" s="14">
        <v>8472</v>
      </c>
      <c r="F14" s="14">
        <v>8667</v>
      </c>
      <c r="G14" s="14">
        <v>11784</v>
      </c>
      <c r="H14" s="14">
        <v>12694</v>
      </c>
      <c r="I14" s="14">
        <v>12518</v>
      </c>
      <c r="J14" s="17">
        <v>11146</v>
      </c>
      <c r="K14" s="14">
        <v>12630</v>
      </c>
      <c r="L14" s="14">
        <v>16995</v>
      </c>
      <c r="M14" s="14">
        <v>16927.5</v>
      </c>
      <c r="N14" s="27">
        <v>18080.98</v>
      </c>
      <c r="O14" s="76"/>
      <c r="P14" s="76"/>
      <c r="Q14" s="2">
        <v>0</v>
      </c>
    </row>
    <row r="15" spans="4:17" ht="14.7" thickBot="1" x14ac:dyDescent="0.55000000000000004">
      <c r="D15" s="7" t="s">
        <v>104</v>
      </c>
      <c r="E15" s="14">
        <v>19000</v>
      </c>
      <c r="F15" s="14">
        <v>18771</v>
      </c>
      <c r="G15" s="14">
        <v>23684</v>
      </c>
      <c r="H15" s="14">
        <v>25509</v>
      </c>
      <c r="I15" s="14">
        <v>26544</v>
      </c>
      <c r="J15" s="17">
        <v>25332</v>
      </c>
      <c r="K15" s="14">
        <v>30995</v>
      </c>
      <c r="L15" s="14">
        <v>33853</v>
      </c>
      <c r="M15" s="27">
        <v>36328.800000000003</v>
      </c>
      <c r="N15" s="27">
        <v>39734.199999999997</v>
      </c>
      <c r="O15" s="76"/>
      <c r="P15" s="76"/>
      <c r="Q15" s="2">
        <f t="shared" ref="Q15" si="2">+Q8</f>
        <v>0</v>
      </c>
    </row>
    <row r="16" spans="4:17" x14ac:dyDescent="0.5">
      <c r="E16" s="127">
        <v>2014</v>
      </c>
      <c r="F16" s="127">
        <v>2015</v>
      </c>
      <c r="G16" s="127">
        <v>2016</v>
      </c>
      <c r="H16" s="127">
        <v>2017</v>
      </c>
      <c r="I16" s="127">
        <v>2018</v>
      </c>
      <c r="J16" s="127">
        <v>2019</v>
      </c>
      <c r="K16" s="127">
        <v>2020</v>
      </c>
      <c r="L16" s="127">
        <v>2021</v>
      </c>
      <c r="M16" s="127">
        <v>2022</v>
      </c>
      <c r="N16" s="127">
        <v>2023</v>
      </c>
      <c r="O16" s="76"/>
      <c r="P16" s="76"/>
      <c r="Q16" s="2"/>
    </row>
    <row r="17" spans="4:17" x14ac:dyDescent="0.5">
      <c r="D17" s="7" t="s">
        <v>105</v>
      </c>
      <c r="E17" s="50">
        <f>(E13-E14)/E15</f>
        <v>0.44873684210526316</v>
      </c>
      <c r="F17" s="50">
        <f t="shared" ref="F17:N17" si="3">(F13-F14)/F15</f>
        <v>0.75185125992222046</v>
      </c>
      <c r="G17" s="50">
        <f t="shared" si="3"/>
        <v>0.63853234250971125</v>
      </c>
      <c r="H17" s="50">
        <f t="shared" si="3"/>
        <v>0.61358736132345448</v>
      </c>
      <c r="I17" s="50">
        <f t="shared" si="3"/>
        <v>0.56084237492465339</v>
      </c>
      <c r="J17" s="50">
        <f t="shared" si="3"/>
        <v>0.56280593715458704</v>
      </c>
      <c r="K17" s="50">
        <f t="shared" si="3"/>
        <v>0.59896757541538959</v>
      </c>
      <c r="L17" s="50">
        <f t="shared" si="3"/>
        <v>0.49841963784598114</v>
      </c>
      <c r="M17" s="50">
        <f t="shared" si="3"/>
        <v>0.59453876813987794</v>
      </c>
      <c r="N17" s="50">
        <f t="shared" si="3"/>
        <v>0.48227068872658829</v>
      </c>
      <c r="O17" s="76"/>
      <c r="P17" s="76"/>
      <c r="Q17" s="50"/>
    </row>
    <row r="18" spans="4:17" x14ac:dyDescent="0.5">
      <c r="O18" s="76"/>
      <c r="P18" s="76"/>
    </row>
    <row r="19" spans="4:17" x14ac:dyDescent="0.5">
      <c r="O19" s="76"/>
      <c r="P19" s="76"/>
    </row>
    <row r="20" spans="4:17" x14ac:dyDescent="0.5">
      <c r="D20" s="7" t="s">
        <v>103</v>
      </c>
      <c r="E20" s="14">
        <v>16998</v>
      </c>
      <c r="F20" s="14">
        <v>22780</v>
      </c>
      <c r="G20" s="14">
        <v>26907</v>
      </c>
      <c r="H20" s="14">
        <v>28346</v>
      </c>
      <c r="I20" s="14">
        <v>27405</v>
      </c>
      <c r="J20" s="17">
        <v>25403</v>
      </c>
      <c r="K20" s="14">
        <v>31195</v>
      </c>
      <c r="L20" s="14">
        <v>33868</v>
      </c>
      <c r="M20" s="14">
        <v>38526.379999999997</v>
      </c>
      <c r="N20" s="27">
        <v>37243.620000000003</v>
      </c>
      <c r="O20" s="76"/>
      <c r="P20" s="76"/>
    </row>
    <row r="21" spans="4:17" ht="14.7" thickBot="1" x14ac:dyDescent="0.55000000000000004">
      <c r="D21" s="7" t="s">
        <v>104</v>
      </c>
      <c r="E21" s="14">
        <v>19000</v>
      </c>
      <c r="F21" s="14">
        <v>18771</v>
      </c>
      <c r="G21" s="14">
        <v>23684</v>
      </c>
      <c r="H21" s="14">
        <v>25509</v>
      </c>
      <c r="I21" s="14">
        <v>26544</v>
      </c>
      <c r="J21" s="17">
        <v>25332</v>
      </c>
      <c r="K21" s="14">
        <v>30995</v>
      </c>
      <c r="L21" s="14">
        <v>33853</v>
      </c>
      <c r="M21" s="27">
        <v>36328.800000000003</v>
      </c>
      <c r="N21" s="27">
        <v>39734.199999999997</v>
      </c>
      <c r="O21" s="76"/>
      <c r="P21" s="76"/>
    </row>
    <row r="22" spans="4:17" x14ac:dyDescent="0.5">
      <c r="E22" s="127">
        <v>2014</v>
      </c>
      <c r="F22" s="127">
        <v>2015</v>
      </c>
      <c r="G22" s="127">
        <v>2016</v>
      </c>
      <c r="H22" s="127">
        <v>2017</v>
      </c>
      <c r="I22" s="127">
        <v>2018</v>
      </c>
      <c r="J22" s="127">
        <v>2019</v>
      </c>
      <c r="K22" s="127">
        <v>2020</v>
      </c>
      <c r="L22" s="127">
        <v>2021</v>
      </c>
      <c r="M22" s="127">
        <v>2022</v>
      </c>
      <c r="N22" s="127">
        <v>2023</v>
      </c>
      <c r="O22" s="76"/>
      <c r="P22" s="76"/>
    </row>
    <row r="23" spans="4:17" x14ac:dyDescent="0.5">
      <c r="D23" s="7" t="s">
        <v>106</v>
      </c>
      <c r="E23" s="2">
        <f t="shared" ref="E23:N23" si="4">+E20-E21</f>
        <v>-2002</v>
      </c>
      <c r="F23" s="2">
        <f t="shared" si="4"/>
        <v>4009</v>
      </c>
      <c r="G23" s="2">
        <f t="shared" si="4"/>
        <v>3223</v>
      </c>
      <c r="H23" s="2">
        <f t="shared" si="4"/>
        <v>2837</v>
      </c>
      <c r="I23" s="2">
        <f t="shared" si="4"/>
        <v>861</v>
      </c>
      <c r="J23" s="2">
        <f t="shared" si="4"/>
        <v>71</v>
      </c>
      <c r="K23" s="2">
        <f t="shared" si="4"/>
        <v>200</v>
      </c>
      <c r="L23" s="2">
        <f t="shared" si="4"/>
        <v>15</v>
      </c>
      <c r="M23" s="2">
        <f t="shared" si="4"/>
        <v>2197.5799999999945</v>
      </c>
      <c r="N23" s="2">
        <f t="shared" si="4"/>
        <v>-2490.5799999999945</v>
      </c>
      <c r="O23" s="76"/>
      <c r="P23" s="76"/>
    </row>
    <row r="24" spans="4:17" x14ac:dyDescent="0.5">
      <c r="O24" s="76"/>
      <c r="P24" s="76"/>
    </row>
    <row r="25" spans="4:17" x14ac:dyDescent="0.5">
      <c r="O25" s="76"/>
      <c r="P25" s="76"/>
    </row>
    <row r="26" spans="4:17" ht="30.7" x14ac:dyDescent="0.5">
      <c r="D26" s="224" t="s">
        <v>107</v>
      </c>
      <c r="O26" s="76"/>
      <c r="P26" s="76"/>
    </row>
    <row r="27" spans="4:17" x14ac:dyDescent="0.5">
      <c r="O27" s="76"/>
      <c r="P27" s="76"/>
    </row>
    <row r="28" spans="4:17" x14ac:dyDescent="0.5">
      <c r="D28" s="7" t="s">
        <v>106</v>
      </c>
      <c r="E28" s="2">
        <f t="shared" ref="E28:N28" si="5">+E23</f>
        <v>-2002</v>
      </c>
      <c r="F28" s="2">
        <f t="shared" si="5"/>
        <v>4009</v>
      </c>
      <c r="G28" s="2">
        <f t="shared" si="5"/>
        <v>3223</v>
      </c>
      <c r="H28" s="2">
        <f t="shared" si="5"/>
        <v>2837</v>
      </c>
      <c r="I28" s="2">
        <f t="shared" si="5"/>
        <v>861</v>
      </c>
      <c r="J28" s="2">
        <f t="shared" si="5"/>
        <v>71</v>
      </c>
      <c r="K28" s="2">
        <f t="shared" si="5"/>
        <v>200</v>
      </c>
      <c r="L28" s="2">
        <f t="shared" si="5"/>
        <v>15</v>
      </c>
      <c r="M28" s="2">
        <f t="shared" si="5"/>
        <v>2197.5799999999945</v>
      </c>
      <c r="N28" s="2">
        <f t="shared" si="5"/>
        <v>-2490.5799999999945</v>
      </c>
      <c r="O28" s="76"/>
      <c r="P28" s="76"/>
    </row>
    <row r="29" spans="4:17" ht="14.7" thickBot="1" x14ac:dyDescent="0.55000000000000004">
      <c r="D29" s="7" t="s">
        <v>108</v>
      </c>
      <c r="E29" s="14">
        <v>59091</v>
      </c>
      <c r="F29" s="14">
        <v>72018</v>
      </c>
      <c r="G29" s="14">
        <v>91893</v>
      </c>
      <c r="H29" s="14">
        <v>96689</v>
      </c>
      <c r="I29" s="14">
        <v>93258</v>
      </c>
      <c r="J29" s="17">
        <v>88744</v>
      </c>
      <c r="K29" s="14">
        <v>98732</v>
      </c>
      <c r="L29" s="14">
        <v>101395</v>
      </c>
      <c r="M29" s="27">
        <v>105290.44</v>
      </c>
      <c r="N29" s="27">
        <v>110150.94</v>
      </c>
      <c r="O29" s="76"/>
      <c r="P29" s="76"/>
    </row>
    <row r="30" spans="4:17" x14ac:dyDescent="0.5">
      <c r="E30" s="127">
        <v>2014</v>
      </c>
      <c r="F30" s="127">
        <v>2015</v>
      </c>
      <c r="G30" s="127">
        <v>2016</v>
      </c>
      <c r="H30" s="127">
        <v>2017</v>
      </c>
      <c r="I30" s="127">
        <v>2018</v>
      </c>
      <c r="J30" s="127">
        <v>2019</v>
      </c>
      <c r="K30" s="127">
        <v>2020</v>
      </c>
      <c r="L30" s="127">
        <v>2021</v>
      </c>
      <c r="M30" s="127">
        <v>2022</v>
      </c>
      <c r="N30" s="127">
        <v>2023</v>
      </c>
      <c r="O30" s="76"/>
      <c r="P30" s="76"/>
    </row>
    <row r="31" spans="4:17" x14ac:dyDescent="0.5">
      <c r="D31" s="7" t="s">
        <v>107</v>
      </c>
      <c r="E31" s="51">
        <f t="shared" ref="E31:N31" si="6">+E28/E29</f>
        <v>-3.3879947877003269E-2</v>
      </c>
      <c r="F31" s="51">
        <f t="shared" si="6"/>
        <v>5.5666638895831601E-2</v>
      </c>
      <c r="G31" s="51">
        <f t="shared" si="6"/>
        <v>3.5073400585463529E-2</v>
      </c>
      <c r="H31" s="51">
        <f t="shared" si="6"/>
        <v>2.934149696449441E-2</v>
      </c>
      <c r="I31" s="51">
        <f t="shared" si="6"/>
        <v>9.2324519076111434E-3</v>
      </c>
      <c r="J31" s="51">
        <f t="shared" si="6"/>
        <v>8.0005408816370683E-4</v>
      </c>
      <c r="K31" s="51">
        <f t="shared" si="6"/>
        <v>2.0256856946076246E-3</v>
      </c>
      <c r="L31" s="51">
        <f t="shared" si="6"/>
        <v>1.4793628877163569E-4</v>
      </c>
      <c r="M31" s="51">
        <f t="shared" si="6"/>
        <v>2.0871600498582724E-2</v>
      </c>
      <c r="N31" s="51">
        <f t="shared" si="6"/>
        <v>-2.2610610495017058E-2</v>
      </c>
      <c r="O31" s="76"/>
      <c r="P31" s="76"/>
    </row>
    <row r="32" spans="4:17" x14ac:dyDescent="0.5">
      <c r="O32" s="76"/>
      <c r="P32" s="76"/>
    </row>
    <row r="33" spans="4:16" x14ac:dyDescent="0.5">
      <c r="D33" s="7" t="s">
        <v>103</v>
      </c>
      <c r="E33" s="2">
        <f t="shared" ref="E33:N33" si="7">+E20</f>
        <v>16998</v>
      </c>
      <c r="F33" s="2">
        <f t="shared" si="7"/>
        <v>22780</v>
      </c>
      <c r="G33" s="2">
        <f t="shared" si="7"/>
        <v>26907</v>
      </c>
      <c r="H33" s="2">
        <f t="shared" si="7"/>
        <v>28346</v>
      </c>
      <c r="I33" s="2">
        <f t="shared" si="7"/>
        <v>27405</v>
      </c>
      <c r="J33" s="2">
        <f t="shared" si="7"/>
        <v>25403</v>
      </c>
      <c r="K33" s="2">
        <f t="shared" si="7"/>
        <v>31195</v>
      </c>
      <c r="L33" s="2">
        <f t="shared" si="7"/>
        <v>33868</v>
      </c>
      <c r="M33" s="2">
        <f t="shared" si="7"/>
        <v>38526.379999999997</v>
      </c>
      <c r="N33" s="2">
        <f t="shared" si="7"/>
        <v>37243.620000000003</v>
      </c>
      <c r="O33" s="76"/>
      <c r="P33" s="76"/>
    </row>
    <row r="34" spans="4:16" x14ac:dyDescent="0.5">
      <c r="D34" s="7" t="s">
        <v>41</v>
      </c>
      <c r="E34" s="14">
        <v>52456</v>
      </c>
      <c r="F34" s="14">
        <v>59143</v>
      </c>
      <c r="G34" s="14">
        <v>65345</v>
      </c>
      <c r="H34" s="14">
        <v>71812</v>
      </c>
      <c r="I34" s="14">
        <v>76878</v>
      </c>
      <c r="J34" s="14">
        <v>66276</v>
      </c>
      <c r="K34" s="14">
        <v>58343</v>
      </c>
      <c r="L34" s="14">
        <v>71812</v>
      </c>
      <c r="M34" s="14">
        <v>76878</v>
      </c>
      <c r="N34" s="14">
        <v>66276</v>
      </c>
      <c r="O34" s="76"/>
      <c r="P34" s="76"/>
    </row>
    <row r="35" spans="4:16" ht="14.7" thickBot="1" x14ac:dyDescent="0.55000000000000004">
      <c r="D35" s="7">
        <v>365</v>
      </c>
      <c r="E35" s="7">
        <f>D35</f>
        <v>365</v>
      </c>
      <c r="F35" s="7">
        <f t="shared" ref="F35:N35" si="8">+E35</f>
        <v>365</v>
      </c>
      <c r="G35" s="7">
        <f t="shared" si="8"/>
        <v>365</v>
      </c>
      <c r="H35" s="7">
        <f t="shared" si="8"/>
        <v>365</v>
      </c>
      <c r="I35" s="7">
        <f t="shared" si="8"/>
        <v>365</v>
      </c>
      <c r="J35" s="7">
        <f t="shared" si="8"/>
        <v>365</v>
      </c>
      <c r="K35" s="7">
        <f t="shared" si="8"/>
        <v>365</v>
      </c>
      <c r="L35" s="7">
        <f t="shared" si="8"/>
        <v>365</v>
      </c>
      <c r="M35" s="7">
        <f t="shared" si="8"/>
        <v>365</v>
      </c>
      <c r="N35" s="7">
        <f t="shared" si="8"/>
        <v>365</v>
      </c>
      <c r="O35" s="76"/>
      <c r="P35" s="76"/>
    </row>
    <row r="36" spans="4:16" x14ac:dyDescent="0.5">
      <c r="E36" s="127">
        <v>2014</v>
      </c>
      <c r="F36" s="127">
        <v>2015</v>
      </c>
      <c r="G36" s="127">
        <v>2016</v>
      </c>
      <c r="H36" s="127">
        <v>2017</v>
      </c>
      <c r="I36" s="127">
        <v>2018</v>
      </c>
      <c r="J36" s="127">
        <v>2019</v>
      </c>
      <c r="K36" s="127">
        <v>2020</v>
      </c>
      <c r="L36" s="127">
        <v>2021</v>
      </c>
      <c r="M36" s="127">
        <v>2022</v>
      </c>
      <c r="N36" s="127">
        <v>2023</v>
      </c>
      <c r="O36" s="76"/>
      <c r="P36" s="76"/>
    </row>
    <row r="37" spans="4:16" x14ac:dyDescent="0.5">
      <c r="D37" s="7" t="s">
        <v>109</v>
      </c>
      <c r="E37" s="52">
        <f>+E33/(E34/E35)</f>
        <v>118.27569772761935</v>
      </c>
      <c r="F37" s="52">
        <f>+F33/(F34/F35)</f>
        <v>140.58637539522852</v>
      </c>
      <c r="G37" s="52">
        <f t="shared" ref="G37:N37" si="9">+G33/(G34/G35)</f>
        <v>150.29543193817432</v>
      </c>
      <c r="H37" s="52">
        <f t="shared" si="9"/>
        <v>144.07466718654263</v>
      </c>
      <c r="I37" s="52">
        <f t="shared" si="9"/>
        <v>130.11297120112386</v>
      </c>
      <c r="J37" s="52">
        <f t="shared" si="9"/>
        <v>139.90124630333756</v>
      </c>
      <c r="K37" s="52">
        <f t="shared" si="9"/>
        <v>195.15923075604616</v>
      </c>
      <c r="L37" s="52">
        <f t="shared" si="9"/>
        <v>172.14142483150448</v>
      </c>
      <c r="M37" s="52">
        <f t="shared" si="9"/>
        <v>182.91486120866827</v>
      </c>
      <c r="N37" s="52">
        <f t="shared" si="9"/>
        <v>205.11076860401957</v>
      </c>
      <c r="O37" s="76"/>
      <c r="P37" s="76"/>
    </row>
    <row r="38" spans="4:16" x14ac:dyDescent="0.5">
      <c r="O38" s="76"/>
      <c r="P38" s="76"/>
    </row>
    <row r="39" spans="4:16" x14ac:dyDescent="0.5">
      <c r="O39" s="76"/>
      <c r="P39" s="76"/>
    </row>
    <row r="40" spans="4:16" ht="30.7" x14ac:dyDescent="0.5">
      <c r="D40" s="224" t="s">
        <v>110</v>
      </c>
      <c r="O40" s="76"/>
      <c r="P40" s="76"/>
    </row>
    <row r="41" spans="4:16" x14ac:dyDescent="0.5">
      <c r="O41" s="76"/>
      <c r="P41" s="76"/>
    </row>
    <row r="42" spans="4:16" ht="30.7" x14ac:dyDescent="1">
      <c r="D42" s="225" t="s">
        <v>111</v>
      </c>
      <c r="O42" s="76"/>
      <c r="P42" s="76"/>
    </row>
    <row r="43" spans="4:16" x14ac:dyDescent="0.5">
      <c r="O43" s="76"/>
      <c r="P43" s="76"/>
    </row>
    <row r="44" spans="4:16" x14ac:dyDescent="0.5">
      <c r="D44" s="7" t="s">
        <v>112</v>
      </c>
      <c r="E44" s="14">
        <v>37593</v>
      </c>
      <c r="F44" s="14">
        <v>44079</v>
      </c>
      <c r="G44" s="14">
        <v>54822</v>
      </c>
      <c r="H44" s="14">
        <v>58266</v>
      </c>
      <c r="I44" s="14">
        <v>57154</v>
      </c>
      <c r="J44" s="17">
        <v>54400</v>
      </c>
      <c r="K44" s="14">
        <v>63064</v>
      </c>
      <c r="L44" s="14">
        <v>65882</v>
      </c>
      <c r="M44" s="27">
        <v>70730.720000000001</v>
      </c>
      <c r="N44" s="27">
        <v>74738.36</v>
      </c>
      <c r="O44" s="76"/>
      <c r="P44" s="76"/>
    </row>
    <row r="45" spans="4:16" ht="14.7" thickBot="1" x14ac:dyDescent="0.55000000000000004">
      <c r="D45" s="7" t="s">
        <v>108</v>
      </c>
      <c r="E45" s="2">
        <f t="shared" ref="E45:N45" si="10">+E29</f>
        <v>59091</v>
      </c>
      <c r="F45" s="2">
        <f t="shared" si="10"/>
        <v>72018</v>
      </c>
      <c r="G45" s="2">
        <f t="shared" si="10"/>
        <v>91893</v>
      </c>
      <c r="H45" s="2">
        <f t="shared" si="10"/>
        <v>96689</v>
      </c>
      <c r="I45" s="2">
        <f t="shared" si="10"/>
        <v>93258</v>
      </c>
      <c r="J45" s="2">
        <f t="shared" si="10"/>
        <v>88744</v>
      </c>
      <c r="K45" s="2">
        <f t="shared" si="10"/>
        <v>98732</v>
      </c>
      <c r="L45" s="2">
        <f t="shared" si="10"/>
        <v>101395</v>
      </c>
      <c r="M45" s="2">
        <f t="shared" si="10"/>
        <v>105290.44</v>
      </c>
      <c r="N45" s="2">
        <f t="shared" si="10"/>
        <v>110150.94</v>
      </c>
      <c r="O45" s="76"/>
      <c r="P45" s="76"/>
    </row>
    <row r="46" spans="4:16" x14ac:dyDescent="0.5">
      <c r="D46" s="142"/>
      <c r="E46" s="127">
        <v>2014</v>
      </c>
      <c r="F46" s="127">
        <v>2015</v>
      </c>
      <c r="G46" s="127">
        <v>2016</v>
      </c>
      <c r="H46" s="127">
        <v>2017</v>
      </c>
      <c r="I46" s="127">
        <v>2018</v>
      </c>
      <c r="J46" s="127">
        <v>2019</v>
      </c>
      <c r="K46" s="127">
        <v>2020</v>
      </c>
      <c r="L46" s="127">
        <v>2021</v>
      </c>
      <c r="M46" s="127">
        <v>2022</v>
      </c>
      <c r="N46" s="127">
        <v>2023</v>
      </c>
      <c r="O46" s="76"/>
      <c r="P46" s="76"/>
    </row>
    <row r="47" spans="4:16" ht="30.7" x14ac:dyDescent="1">
      <c r="D47" s="225" t="s">
        <v>111</v>
      </c>
      <c r="E47" s="47">
        <f t="shared" ref="E47:N47" si="11">+E44/E45</f>
        <v>0.63618825201807383</v>
      </c>
      <c r="F47" s="47">
        <f t="shared" si="11"/>
        <v>0.61205531950345748</v>
      </c>
      <c r="G47" s="47">
        <f t="shared" si="11"/>
        <v>0.59658515882602592</v>
      </c>
      <c r="H47" s="47">
        <f t="shared" si="11"/>
        <v>0.60261249987071952</v>
      </c>
      <c r="I47" s="47">
        <f t="shared" si="11"/>
        <v>0.61285895043856831</v>
      </c>
      <c r="J47" s="47">
        <f t="shared" si="11"/>
        <v>0.61299918867754444</v>
      </c>
      <c r="K47" s="47">
        <f t="shared" si="11"/>
        <v>0.63873921322367622</v>
      </c>
      <c r="L47" s="47">
        <f t="shared" si="11"/>
        <v>0.64975590512352677</v>
      </c>
      <c r="M47" s="47">
        <f t="shared" si="11"/>
        <v>0.67176773123941735</v>
      </c>
      <c r="N47" s="47">
        <f t="shared" si="11"/>
        <v>0.67850859920033368</v>
      </c>
      <c r="O47" s="76"/>
      <c r="P47" s="76"/>
    </row>
    <row r="48" spans="4:16" x14ac:dyDescent="0.5">
      <c r="O48" s="76"/>
      <c r="P48" s="76"/>
    </row>
    <row r="49" spans="4:16" ht="30.7" x14ac:dyDescent="1">
      <c r="D49" s="225" t="s">
        <v>113</v>
      </c>
      <c r="O49" s="76"/>
      <c r="P49" s="76"/>
    </row>
    <row r="50" spans="4:16" x14ac:dyDescent="0.5">
      <c r="D50" s="7" t="s">
        <v>112</v>
      </c>
      <c r="E50" s="2">
        <f t="shared" ref="E50:N50" si="12">+E44</f>
        <v>37593</v>
      </c>
      <c r="F50" s="2">
        <f t="shared" si="12"/>
        <v>44079</v>
      </c>
      <c r="G50" s="2">
        <f t="shared" si="12"/>
        <v>54822</v>
      </c>
      <c r="H50" s="2">
        <f t="shared" si="12"/>
        <v>58266</v>
      </c>
      <c r="I50" s="2">
        <f t="shared" si="12"/>
        <v>57154</v>
      </c>
      <c r="J50" s="2">
        <f t="shared" si="12"/>
        <v>54400</v>
      </c>
      <c r="K50" s="2">
        <f t="shared" si="12"/>
        <v>63064</v>
      </c>
      <c r="L50" s="2">
        <f t="shared" si="12"/>
        <v>65882</v>
      </c>
      <c r="M50" s="2">
        <f t="shared" si="12"/>
        <v>70730.720000000001</v>
      </c>
      <c r="N50" s="2">
        <f t="shared" si="12"/>
        <v>74738.36</v>
      </c>
      <c r="O50" s="76"/>
      <c r="P50" s="76"/>
    </row>
    <row r="51" spans="4:16" ht="14.7" thickBot="1" x14ac:dyDescent="0.55000000000000004">
      <c r="D51" s="7" t="s">
        <v>29</v>
      </c>
      <c r="E51" s="14">
        <v>21498</v>
      </c>
      <c r="F51" s="14">
        <v>27939</v>
      </c>
      <c r="G51" s="14">
        <v>37071</v>
      </c>
      <c r="H51" s="14">
        <v>38423</v>
      </c>
      <c r="I51" s="14">
        <v>36104</v>
      </c>
      <c r="J51" s="17">
        <v>33994</v>
      </c>
      <c r="K51" s="14">
        <v>35668</v>
      </c>
      <c r="L51" s="14">
        <v>35513</v>
      </c>
      <c r="M51" s="27">
        <v>34559.72</v>
      </c>
      <c r="N51" s="27">
        <v>35412.58</v>
      </c>
      <c r="O51" s="76"/>
      <c r="P51" s="76"/>
    </row>
    <row r="52" spans="4:16" x14ac:dyDescent="0.5">
      <c r="E52" s="127">
        <v>2014</v>
      </c>
      <c r="F52" s="127">
        <v>2015</v>
      </c>
      <c r="G52" s="127">
        <v>2016</v>
      </c>
      <c r="H52" s="127">
        <v>2017</v>
      </c>
      <c r="I52" s="127">
        <v>2018</v>
      </c>
      <c r="J52" s="127">
        <v>2019</v>
      </c>
      <c r="K52" s="127">
        <v>2020</v>
      </c>
      <c r="L52" s="127">
        <v>2021</v>
      </c>
      <c r="M52" s="127">
        <v>2022</v>
      </c>
      <c r="N52" s="127">
        <v>2023</v>
      </c>
      <c r="O52" s="76"/>
      <c r="P52" s="76"/>
    </row>
    <row r="53" spans="4:16" x14ac:dyDescent="0.5">
      <c r="D53" s="7" t="s">
        <v>113</v>
      </c>
      <c r="E53" s="50">
        <f>+E50/E51</f>
        <v>1.7486742952832821</v>
      </c>
      <c r="F53" s="50">
        <f t="shared" ref="F53:N53" si="13">+F50/F51</f>
        <v>1.5776871040481049</v>
      </c>
      <c r="G53" s="50">
        <f t="shared" si="13"/>
        <v>1.4788379056405276</v>
      </c>
      <c r="H53" s="50">
        <f t="shared" si="13"/>
        <v>1.516435468339276</v>
      </c>
      <c r="I53" s="50">
        <f t="shared" si="13"/>
        <v>1.5830378905384446</v>
      </c>
      <c r="J53" s="50">
        <f t="shared" si="13"/>
        <v>1.6002824027769607</v>
      </c>
      <c r="K53" s="50">
        <f t="shared" si="13"/>
        <v>1.7680834361332287</v>
      </c>
      <c r="L53" s="50">
        <f t="shared" si="13"/>
        <v>1.8551516346126771</v>
      </c>
      <c r="M53" s="50">
        <f t="shared" si="13"/>
        <v>2.046623062918334</v>
      </c>
      <c r="N53" s="50">
        <f t="shared" si="13"/>
        <v>2.1105031036993069</v>
      </c>
      <c r="O53" s="76"/>
      <c r="P53" s="76"/>
    </row>
    <row r="54" spans="4:16" x14ac:dyDescent="0.5">
      <c r="O54" s="76"/>
      <c r="P54" s="76"/>
    </row>
    <row r="55" spans="4:16" x14ac:dyDescent="0.5">
      <c r="O55" s="76"/>
      <c r="P55" s="76"/>
    </row>
    <row r="56" spans="4:16" ht="30.7" x14ac:dyDescent="1">
      <c r="D56" s="225" t="s">
        <v>114</v>
      </c>
      <c r="O56" s="76"/>
      <c r="P56" s="76"/>
    </row>
    <row r="57" spans="4:16" x14ac:dyDescent="0.5">
      <c r="D57" s="7" t="s">
        <v>108</v>
      </c>
      <c r="E57" s="2">
        <f>+E45</f>
        <v>59091</v>
      </c>
      <c r="F57" s="2">
        <f>+F45</f>
        <v>72018</v>
      </c>
      <c r="G57" s="2">
        <f t="shared" ref="G57:N57" si="14">+G45</f>
        <v>91893</v>
      </c>
      <c r="H57" s="2">
        <f t="shared" si="14"/>
        <v>96689</v>
      </c>
      <c r="I57" s="2">
        <f t="shared" si="14"/>
        <v>93258</v>
      </c>
      <c r="J57" s="2">
        <f t="shared" si="14"/>
        <v>88744</v>
      </c>
      <c r="K57" s="2">
        <f t="shared" si="14"/>
        <v>98732</v>
      </c>
      <c r="L57" s="2">
        <f t="shared" si="14"/>
        <v>101395</v>
      </c>
      <c r="M57" s="2">
        <f t="shared" si="14"/>
        <v>105290.44</v>
      </c>
      <c r="N57" s="2">
        <f t="shared" si="14"/>
        <v>110150.94</v>
      </c>
      <c r="O57" s="76"/>
      <c r="P57" s="76"/>
    </row>
    <row r="58" spans="4:16" ht="14.7" thickBot="1" x14ac:dyDescent="0.55000000000000004">
      <c r="D58" s="7" t="s">
        <v>29</v>
      </c>
      <c r="E58" s="2">
        <f t="shared" ref="E58:N58" si="15">+E51</f>
        <v>21498</v>
      </c>
      <c r="F58" s="2">
        <f t="shared" si="15"/>
        <v>27939</v>
      </c>
      <c r="G58" s="2">
        <f t="shared" si="15"/>
        <v>37071</v>
      </c>
      <c r="H58" s="2">
        <f t="shared" si="15"/>
        <v>38423</v>
      </c>
      <c r="I58" s="2">
        <f t="shared" si="15"/>
        <v>36104</v>
      </c>
      <c r="J58" s="2">
        <f t="shared" si="15"/>
        <v>33994</v>
      </c>
      <c r="K58" s="2">
        <f t="shared" si="15"/>
        <v>35668</v>
      </c>
      <c r="L58" s="2">
        <f t="shared" si="15"/>
        <v>35513</v>
      </c>
      <c r="M58" s="2">
        <f t="shared" si="15"/>
        <v>34559.72</v>
      </c>
      <c r="N58" s="2">
        <f t="shared" si="15"/>
        <v>35412.58</v>
      </c>
      <c r="O58" s="76"/>
      <c r="P58" s="76"/>
    </row>
    <row r="59" spans="4:16" x14ac:dyDescent="0.5">
      <c r="E59" s="127">
        <v>2014</v>
      </c>
      <c r="F59" s="127">
        <v>2015</v>
      </c>
      <c r="G59" s="127">
        <v>2016</v>
      </c>
      <c r="H59" s="127">
        <v>2017</v>
      </c>
      <c r="I59" s="127">
        <v>2018</v>
      </c>
      <c r="J59" s="127">
        <v>2019</v>
      </c>
      <c r="K59" s="127">
        <v>2020</v>
      </c>
      <c r="L59" s="127">
        <v>2021</v>
      </c>
      <c r="M59" s="127">
        <v>2022</v>
      </c>
      <c r="N59" s="127">
        <v>2023</v>
      </c>
      <c r="O59" s="76"/>
      <c r="P59" s="76"/>
    </row>
    <row r="60" spans="4:16" x14ac:dyDescent="0.5">
      <c r="D60" s="7" t="s">
        <v>114</v>
      </c>
      <c r="E60" s="50">
        <f>+E57/E58</f>
        <v>2.7486742952832821</v>
      </c>
      <c r="F60" s="50">
        <f t="shared" ref="F60:N60" si="16">+F57/F58</f>
        <v>2.5776871040481049</v>
      </c>
      <c r="G60" s="50">
        <f t="shared" si="16"/>
        <v>2.4788379056405274</v>
      </c>
      <c r="H60" s="50">
        <f t="shared" si="16"/>
        <v>2.5164354683392758</v>
      </c>
      <c r="I60" s="50">
        <f t="shared" si="16"/>
        <v>2.5830378905384443</v>
      </c>
      <c r="J60" s="50">
        <f t="shared" si="16"/>
        <v>2.6105783373536506</v>
      </c>
      <c r="K60" s="50">
        <f t="shared" si="16"/>
        <v>2.7680834361332285</v>
      </c>
      <c r="L60" s="50">
        <f t="shared" si="16"/>
        <v>2.8551516346126768</v>
      </c>
      <c r="M60" s="50">
        <f t="shared" si="16"/>
        <v>3.046623062918334</v>
      </c>
      <c r="N60" s="50">
        <f t="shared" si="16"/>
        <v>3.1105031036993069</v>
      </c>
      <c r="O60" s="76"/>
      <c r="P60" s="76"/>
    </row>
    <row r="61" spans="4:16" x14ac:dyDescent="0.5">
      <c r="O61" s="76"/>
      <c r="P61" s="76"/>
    </row>
    <row r="62" spans="4:16" ht="30.7" x14ac:dyDescent="1">
      <c r="D62" s="225" t="s">
        <v>115</v>
      </c>
      <c r="O62" s="76"/>
      <c r="P62" s="76"/>
    </row>
    <row r="63" spans="4:16" x14ac:dyDescent="0.5">
      <c r="D63" s="142" t="s">
        <v>116</v>
      </c>
      <c r="E63" s="14">
        <v>18593</v>
      </c>
      <c r="F63" s="14">
        <v>25308</v>
      </c>
      <c r="G63" s="14">
        <v>31138</v>
      </c>
      <c r="H63" s="14">
        <v>32757</v>
      </c>
      <c r="I63" s="14">
        <v>30610</v>
      </c>
      <c r="J63" s="17">
        <v>29068</v>
      </c>
      <c r="K63" s="14">
        <v>32069</v>
      </c>
      <c r="L63" s="14">
        <v>32029</v>
      </c>
      <c r="M63" s="27">
        <v>34401.919999999998</v>
      </c>
      <c r="N63" s="27">
        <v>35004.160000000003</v>
      </c>
      <c r="O63" s="76"/>
      <c r="P63" s="76"/>
    </row>
    <row r="64" spans="4:16" x14ac:dyDescent="0.5">
      <c r="D64" s="7" t="s">
        <v>29</v>
      </c>
      <c r="E64" s="2">
        <f t="shared" ref="E64:N64" si="17">+E58</f>
        <v>21498</v>
      </c>
      <c r="F64" s="2">
        <f t="shared" si="17"/>
        <v>27939</v>
      </c>
      <c r="G64" s="2">
        <f t="shared" si="17"/>
        <v>37071</v>
      </c>
      <c r="H64" s="2">
        <f t="shared" si="17"/>
        <v>38423</v>
      </c>
      <c r="I64" s="2">
        <f t="shared" si="17"/>
        <v>36104</v>
      </c>
      <c r="J64" s="2">
        <f t="shared" si="17"/>
        <v>33994</v>
      </c>
      <c r="K64" s="2">
        <f t="shared" si="17"/>
        <v>35668</v>
      </c>
      <c r="L64" s="2">
        <f t="shared" si="17"/>
        <v>35513</v>
      </c>
      <c r="M64" s="2">
        <f t="shared" si="17"/>
        <v>34559.72</v>
      </c>
      <c r="N64" s="2">
        <f t="shared" si="17"/>
        <v>35412.58</v>
      </c>
      <c r="O64" s="76"/>
      <c r="P64" s="76"/>
    </row>
    <row r="65" spans="4:16" ht="14.7" thickBot="1" x14ac:dyDescent="0.55000000000000004">
      <c r="D65" s="7" t="s">
        <v>117</v>
      </c>
      <c r="E65" s="2">
        <f>+E63+E64</f>
        <v>40091</v>
      </c>
      <c r="F65" s="2">
        <f t="shared" ref="F65:N65" si="18">+F63+F64</f>
        <v>53247</v>
      </c>
      <c r="G65" s="2">
        <f t="shared" si="18"/>
        <v>68209</v>
      </c>
      <c r="H65" s="2">
        <f t="shared" si="18"/>
        <v>71180</v>
      </c>
      <c r="I65" s="2">
        <f t="shared" si="18"/>
        <v>66714</v>
      </c>
      <c r="J65" s="2">
        <f t="shared" si="18"/>
        <v>63062</v>
      </c>
      <c r="K65" s="2">
        <f t="shared" si="18"/>
        <v>67737</v>
      </c>
      <c r="L65" s="2">
        <f t="shared" si="18"/>
        <v>67542</v>
      </c>
      <c r="M65" s="2">
        <f t="shared" si="18"/>
        <v>68961.64</v>
      </c>
      <c r="N65" s="2">
        <f t="shared" si="18"/>
        <v>70416.740000000005</v>
      </c>
      <c r="O65" s="76"/>
      <c r="P65" s="76"/>
    </row>
    <row r="66" spans="4:16" x14ac:dyDescent="0.5">
      <c r="E66" s="127">
        <v>2014</v>
      </c>
      <c r="F66" s="127">
        <v>2015</v>
      </c>
      <c r="G66" s="127">
        <v>2016</v>
      </c>
      <c r="H66" s="127">
        <v>2017</v>
      </c>
      <c r="I66" s="127">
        <v>2018</v>
      </c>
      <c r="J66" s="127">
        <v>2019</v>
      </c>
      <c r="K66" s="127">
        <v>2020</v>
      </c>
      <c r="L66" s="127">
        <v>2021</v>
      </c>
      <c r="M66" s="127">
        <v>2022</v>
      </c>
      <c r="N66" s="127">
        <v>2023</v>
      </c>
      <c r="O66" s="76"/>
      <c r="P66" s="76"/>
    </row>
    <row r="67" spans="4:16" x14ac:dyDescent="0.5">
      <c r="D67" s="7" t="s">
        <v>115</v>
      </c>
      <c r="E67" s="47">
        <f>+E63/E65</f>
        <v>0.46376992342420992</v>
      </c>
      <c r="F67" s="47">
        <f t="shared" ref="F67:N67" si="19">+F63/F65</f>
        <v>0.47529438278212854</v>
      </c>
      <c r="G67" s="47">
        <f t="shared" si="19"/>
        <v>0.45650867187614536</v>
      </c>
      <c r="H67" s="47">
        <f t="shared" si="19"/>
        <v>0.46019949423995504</v>
      </c>
      <c r="I67" s="47">
        <f t="shared" si="19"/>
        <v>0.45882423479329676</v>
      </c>
      <c r="J67" s="47">
        <f t="shared" si="19"/>
        <v>0.46094319875677903</v>
      </c>
      <c r="K67" s="47">
        <f t="shared" si="19"/>
        <v>0.47343401685932357</v>
      </c>
      <c r="L67" s="47">
        <f t="shared" si="19"/>
        <v>0.47420864054958395</v>
      </c>
      <c r="M67" s="47">
        <f t="shared" si="19"/>
        <v>0.4988558856778928</v>
      </c>
      <c r="N67" s="47">
        <f t="shared" si="19"/>
        <v>0.4970999793515008</v>
      </c>
      <c r="O67" s="76"/>
      <c r="P67" s="76"/>
    </row>
    <row r="68" spans="4:16" x14ac:dyDescent="0.5">
      <c r="O68" s="76"/>
      <c r="P68" s="76"/>
    </row>
    <row r="69" spans="4:16" ht="30.7" x14ac:dyDescent="1">
      <c r="D69" s="225" t="s">
        <v>118</v>
      </c>
      <c r="O69" s="76"/>
      <c r="P69" s="76"/>
    </row>
    <row r="70" spans="4:16" x14ac:dyDescent="0.5">
      <c r="D70" s="142" t="s">
        <v>119</v>
      </c>
      <c r="E70" s="14">
        <v>5508</v>
      </c>
      <c r="F70" s="14">
        <v>7398</v>
      </c>
      <c r="G70" s="14">
        <v>8684</v>
      </c>
      <c r="H70" s="14">
        <v>7015</v>
      </c>
      <c r="I70" s="14">
        <v>7824</v>
      </c>
      <c r="J70" s="14">
        <v>4964</v>
      </c>
      <c r="K70" s="14">
        <v>1967</v>
      </c>
      <c r="L70" s="14">
        <v>7015</v>
      </c>
      <c r="M70" s="14">
        <v>7824</v>
      </c>
      <c r="N70" s="14">
        <v>4964</v>
      </c>
      <c r="O70" s="76"/>
      <c r="P70" s="76"/>
    </row>
    <row r="71" spans="4:16" ht="14.7" thickBot="1" x14ac:dyDescent="0.55000000000000004">
      <c r="D71" s="7" t="s">
        <v>120</v>
      </c>
      <c r="E71" s="21">
        <v>875</v>
      </c>
      <c r="F71" s="8">
        <v>1115</v>
      </c>
      <c r="G71" s="8">
        <v>1112</v>
      </c>
      <c r="H71" s="8">
        <v>1545</v>
      </c>
      <c r="I71" s="8">
        <v>1768</v>
      </c>
      <c r="J71" s="8">
        <v>1368</v>
      </c>
      <c r="K71" s="8">
        <v>1498</v>
      </c>
      <c r="L71" s="8">
        <v>110052</v>
      </c>
      <c r="M71" s="8">
        <v>59258</v>
      </c>
      <c r="N71" s="8">
        <v>84729</v>
      </c>
      <c r="O71" s="76"/>
      <c r="P71" s="76"/>
    </row>
    <row r="72" spans="4:16" x14ac:dyDescent="0.5">
      <c r="E72" s="127">
        <v>2014</v>
      </c>
      <c r="F72" s="127">
        <v>2015</v>
      </c>
      <c r="G72" s="127">
        <v>2016</v>
      </c>
      <c r="H72" s="127">
        <v>2017</v>
      </c>
      <c r="I72" s="127">
        <v>2018</v>
      </c>
      <c r="J72" s="127">
        <v>2019</v>
      </c>
      <c r="K72" s="127">
        <v>2020</v>
      </c>
      <c r="L72" s="127">
        <v>2021</v>
      </c>
      <c r="M72" s="127">
        <v>2022</v>
      </c>
      <c r="N72" s="127">
        <v>2023</v>
      </c>
      <c r="O72" s="76"/>
      <c r="P72" s="76"/>
    </row>
    <row r="73" spans="4:16" x14ac:dyDescent="0.5">
      <c r="D73" s="7" t="s">
        <v>118</v>
      </c>
      <c r="E73" s="50">
        <f t="shared" ref="E73:N73" si="20">+E70/E71</f>
        <v>6.2948571428571425</v>
      </c>
      <c r="F73" s="50">
        <f t="shared" si="20"/>
        <v>6.6349775784753362</v>
      </c>
      <c r="G73" s="50">
        <f t="shared" si="20"/>
        <v>7.8093525179856114</v>
      </c>
      <c r="H73" s="50">
        <f t="shared" si="20"/>
        <v>4.5404530744336569</v>
      </c>
      <c r="I73" s="50">
        <f t="shared" si="20"/>
        <v>4.4253393665158374</v>
      </c>
      <c r="J73" s="50">
        <f t="shared" si="20"/>
        <v>3.628654970760234</v>
      </c>
      <c r="K73" s="50">
        <f t="shared" si="20"/>
        <v>1.3130841121495327</v>
      </c>
      <c r="L73" s="50">
        <f t="shared" si="20"/>
        <v>6.374259440991531E-2</v>
      </c>
      <c r="M73" s="50">
        <f t="shared" si="20"/>
        <v>0.13203280569712106</v>
      </c>
      <c r="N73" s="50">
        <f t="shared" si="20"/>
        <v>5.8586788466758723E-2</v>
      </c>
      <c r="O73" s="76"/>
      <c r="P73" s="76"/>
    </row>
    <row r="74" spans="4:16" x14ac:dyDescent="0.5">
      <c r="O74" s="76"/>
      <c r="P74" s="76"/>
    </row>
    <row r="75" spans="4:16" ht="30.7" x14ac:dyDescent="0.5">
      <c r="D75" s="224" t="s">
        <v>121</v>
      </c>
      <c r="O75" s="76"/>
      <c r="P75" s="76"/>
    </row>
    <row r="76" spans="4:16" x14ac:dyDescent="0.5">
      <c r="D76" s="7" t="s">
        <v>119</v>
      </c>
      <c r="E76" s="2">
        <f t="shared" ref="E76:N76" si="21">+E70</f>
        <v>5508</v>
      </c>
      <c r="F76" s="2">
        <f t="shared" si="21"/>
        <v>7398</v>
      </c>
      <c r="G76" s="2">
        <f t="shared" si="21"/>
        <v>8684</v>
      </c>
      <c r="H76" s="2">
        <f t="shared" si="21"/>
        <v>7015</v>
      </c>
      <c r="I76" s="2">
        <f t="shared" si="21"/>
        <v>7824</v>
      </c>
      <c r="J76" s="2">
        <f t="shared" si="21"/>
        <v>4964</v>
      </c>
      <c r="K76" s="2">
        <f t="shared" si="21"/>
        <v>1967</v>
      </c>
      <c r="L76" s="2">
        <f t="shared" si="21"/>
        <v>7015</v>
      </c>
      <c r="M76" s="2">
        <f t="shared" si="21"/>
        <v>7824</v>
      </c>
      <c r="N76" s="2">
        <f t="shared" si="21"/>
        <v>4964</v>
      </c>
      <c r="O76" s="76"/>
      <c r="P76" s="76"/>
    </row>
    <row r="77" spans="4:16" x14ac:dyDescent="0.5">
      <c r="D77" s="7" t="s">
        <v>122</v>
      </c>
      <c r="E77" s="8">
        <v>3784</v>
      </c>
      <c r="F77" s="8">
        <v>4609</v>
      </c>
      <c r="G77" s="8">
        <v>5872</v>
      </c>
      <c r="H77" s="8">
        <v>6320</v>
      </c>
      <c r="I77" s="8">
        <v>6166</v>
      </c>
      <c r="J77" s="8">
        <v>6079</v>
      </c>
      <c r="K77" s="8">
        <v>6826</v>
      </c>
      <c r="L77" s="8">
        <v>331018</v>
      </c>
      <c r="M77" s="8">
        <v>319503</v>
      </c>
      <c r="N77" s="8">
        <v>369966</v>
      </c>
      <c r="O77" s="76"/>
      <c r="P77" s="76"/>
    </row>
    <row r="78" spans="4:16" x14ac:dyDescent="0.5">
      <c r="D78" s="7" t="s">
        <v>123</v>
      </c>
      <c r="E78" s="2">
        <f>E76+E77</f>
        <v>9292</v>
      </c>
      <c r="F78" s="2">
        <f t="shared" ref="F78:N78" si="22">F76+F77</f>
        <v>12007</v>
      </c>
      <c r="G78" s="2">
        <f t="shared" si="22"/>
        <v>14556</v>
      </c>
      <c r="H78" s="2">
        <f t="shared" si="22"/>
        <v>13335</v>
      </c>
      <c r="I78" s="2">
        <f t="shared" si="22"/>
        <v>13990</v>
      </c>
      <c r="J78" s="2">
        <f t="shared" si="22"/>
        <v>11043</v>
      </c>
      <c r="K78" s="2">
        <f t="shared" si="22"/>
        <v>8793</v>
      </c>
      <c r="L78" s="2">
        <f t="shared" si="22"/>
        <v>338033</v>
      </c>
      <c r="M78" s="2">
        <f t="shared" si="22"/>
        <v>327327</v>
      </c>
      <c r="N78" s="2">
        <f t="shared" si="22"/>
        <v>374930</v>
      </c>
      <c r="O78" s="76"/>
      <c r="P78" s="76"/>
    </row>
    <row r="79" spans="4:16" ht="14.7" thickBot="1" x14ac:dyDescent="0.55000000000000004">
      <c r="D79" s="7" t="s">
        <v>120</v>
      </c>
      <c r="E79" s="2">
        <f>+E71</f>
        <v>875</v>
      </c>
      <c r="F79" s="2">
        <f t="shared" ref="F79:N79" si="23">+F71</f>
        <v>1115</v>
      </c>
      <c r="G79" s="2">
        <f t="shared" si="23"/>
        <v>1112</v>
      </c>
      <c r="H79" s="2">
        <f t="shared" si="23"/>
        <v>1545</v>
      </c>
      <c r="I79" s="2">
        <f t="shared" si="23"/>
        <v>1768</v>
      </c>
      <c r="J79" s="2">
        <f t="shared" si="23"/>
        <v>1368</v>
      </c>
      <c r="K79" s="2">
        <f t="shared" si="23"/>
        <v>1498</v>
      </c>
      <c r="L79" s="2">
        <f t="shared" si="23"/>
        <v>110052</v>
      </c>
      <c r="M79" s="2">
        <f t="shared" si="23"/>
        <v>59258</v>
      </c>
      <c r="N79" s="2">
        <f t="shared" si="23"/>
        <v>84729</v>
      </c>
      <c r="O79" s="76"/>
      <c r="P79" s="76"/>
    </row>
    <row r="80" spans="4:16" x14ac:dyDescent="0.5">
      <c r="E80" s="127">
        <v>2014</v>
      </c>
      <c r="F80" s="127">
        <v>2015</v>
      </c>
      <c r="G80" s="127">
        <v>2016</v>
      </c>
      <c r="H80" s="127">
        <v>2017</v>
      </c>
      <c r="I80" s="127">
        <v>2018</v>
      </c>
      <c r="J80" s="127">
        <v>2019</v>
      </c>
      <c r="K80" s="127">
        <v>2020</v>
      </c>
      <c r="L80" s="127">
        <v>2021</v>
      </c>
      <c r="M80" s="127">
        <v>2022</v>
      </c>
      <c r="N80" s="127">
        <v>2023</v>
      </c>
      <c r="O80" s="76"/>
      <c r="P80" s="76"/>
    </row>
    <row r="81" spans="4:16" x14ac:dyDescent="0.5">
      <c r="D81" s="7" t="s">
        <v>121</v>
      </c>
      <c r="E81" s="53">
        <f>E78/E79</f>
        <v>10.619428571428571</v>
      </c>
      <c r="F81" s="53">
        <f t="shared" ref="F81:N81" si="24">F78/F79</f>
        <v>10.768609865470852</v>
      </c>
      <c r="G81" s="53">
        <f t="shared" si="24"/>
        <v>13.089928057553957</v>
      </c>
      <c r="H81" s="53">
        <f t="shared" si="24"/>
        <v>8.6310679611650478</v>
      </c>
      <c r="I81" s="53">
        <f t="shared" si="24"/>
        <v>7.9128959276018103</v>
      </c>
      <c r="J81" s="53">
        <f t="shared" si="24"/>
        <v>8.0723684210526319</v>
      </c>
      <c r="K81" s="53">
        <f t="shared" si="24"/>
        <v>5.8698264352469964</v>
      </c>
      <c r="L81" s="53">
        <f t="shared" si="24"/>
        <v>3.0715752553338422</v>
      </c>
      <c r="M81" s="53">
        <f t="shared" si="24"/>
        <v>5.5237605049107295</v>
      </c>
      <c r="N81" s="53">
        <f t="shared" si="24"/>
        <v>4.4250492747465451</v>
      </c>
      <c r="O81" s="76"/>
      <c r="P81" s="76"/>
    </row>
    <row r="82" spans="4:16" x14ac:dyDescent="0.5">
      <c r="O82" s="76"/>
      <c r="P82" s="76"/>
    </row>
    <row r="83" spans="4:16" x14ac:dyDescent="0.5">
      <c r="O83" s="76"/>
      <c r="P83" s="76"/>
    </row>
    <row r="84" spans="4:16" ht="30.7" x14ac:dyDescent="0.5">
      <c r="D84" s="224" t="s">
        <v>124</v>
      </c>
      <c r="O84" s="76"/>
      <c r="P84" s="76"/>
    </row>
    <row r="85" spans="4:16" x14ac:dyDescent="0.5">
      <c r="O85" s="76"/>
      <c r="P85" s="76"/>
    </row>
    <row r="86" spans="4:16" ht="30.7" x14ac:dyDescent="0.5">
      <c r="D86" s="224" t="s">
        <v>125</v>
      </c>
      <c r="O86" s="76"/>
      <c r="P86" s="76"/>
    </row>
    <row r="87" spans="4:16" x14ac:dyDescent="0.5">
      <c r="D87" s="7" t="s">
        <v>41</v>
      </c>
      <c r="E87" s="14">
        <v>52456</v>
      </c>
      <c r="F87" s="14">
        <v>59143</v>
      </c>
      <c r="G87" s="14">
        <v>65345</v>
      </c>
      <c r="H87" s="14">
        <v>71812</v>
      </c>
      <c r="I87" s="14">
        <v>76878</v>
      </c>
      <c r="J87" s="14">
        <v>66276</v>
      </c>
      <c r="K87" s="14">
        <v>58343</v>
      </c>
      <c r="L87" s="14">
        <v>71812</v>
      </c>
      <c r="M87" s="14">
        <v>76878</v>
      </c>
      <c r="N87" s="14">
        <v>66276</v>
      </c>
      <c r="O87" s="76"/>
      <c r="P87" s="76"/>
    </row>
    <row r="88" spans="4:16" ht="14.7" thickBot="1" x14ac:dyDescent="0.55000000000000004">
      <c r="D88" s="7" t="s">
        <v>126</v>
      </c>
      <c r="E88" s="14">
        <v>8472</v>
      </c>
      <c r="F88" s="14">
        <v>8667</v>
      </c>
      <c r="G88" s="14">
        <v>11784</v>
      </c>
      <c r="H88" s="14">
        <v>12694</v>
      </c>
      <c r="I88" s="14">
        <v>12518</v>
      </c>
      <c r="J88" s="17">
        <v>11146</v>
      </c>
      <c r="K88" s="14">
        <v>12630</v>
      </c>
      <c r="L88" s="14">
        <v>16995</v>
      </c>
      <c r="M88" s="14">
        <v>16927.5</v>
      </c>
      <c r="N88" s="27">
        <v>18080.98</v>
      </c>
      <c r="O88" s="76"/>
      <c r="P88" s="76"/>
    </row>
    <row r="89" spans="4:16" x14ac:dyDescent="0.5">
      <c r="E89" s="127">
        <v>2014</v>
      </c>
      <c r="F89" s="127">
        <v>2015</v>
      </c>
      <c r="G89" s="127">
        <v>2016</v>
      </c>
      <c r="H89" s="127">
        <v>2017</v>
      </c>
      <c r="I89" s="127">
        <v>2018</v>
      </c>
      <c r="J89" s="127">
        <v>2019</v>
      </c>
      <c r="K89" s="127">
        <v>2020</v>
      </c>
      <c r="L89" s="127">
        <v>2021</v>
      </c>
      <c r="M89" s="127">
        <v>2022</v>
      </c>
      <c r="N89" s="127">
        <v>2023</v>
      </c>
      <c r="O89" s="76"/>
      <c r="P89" s="76"/>
    </row>
    <row r="90" spans="4:16" x14ac:dyDescent="0.5">
      <c r="D90" s="7" t="s">
        <v>125</v>
      </c>
      <c r="E90" s="53">
        <f t="shared" ref="E90:N90" si="25">+E87/E88</f>
        <v>6.191690273843248</v>
      </c>
      <c r="F90" s="53">
        <f t="shared" si="25"/>
        <v>6.8239298488519671</v>
      </c>
      <c r="G90" s="53">
        <f t="shared" si="25"/>
        <v>5.545230821452817</v>
      </c>
      <c r="H90" s="53">
        <f t="shared" si="25"/>
        <v>5.6571608634000317</v>
      </c>
      <c r="I90" s="53">
        <f t="shared" si="25"/>
        <v>6.1413963891995529</v>
      </c>
      <c r="J90" s="53">
        <f t="shared" si="25"/>
        <v>5.9461690292481606</v>
      </c>
      <c r="K90" s="53">
        <f t="shared" si="25"/>
        <v>4.6193982581155977</v>
      </c>
      <c r="L90" s="53">
        <f t="shared" si="25"/>
        <v>4.2254780817887614</v>
      </c>
      <c r="M90" s="53">
        <f t="shared" si="25"/>
        <v>4.5416038989809477</v>
      </c>
      <c r="N90" s="53">
        <f t="shared" si="25"/>
        <v>3.6655092810234846</v>
      </c>
      <c r="O90" s="76"/>
      <c r="P90" s="76"/>
    </row>
    <row r="91" spans="4:16" x14ac:dyDescent="0.5">
      <c r="O91" s="76"/>
      <c r="P91" s="76"/>
    </row>
    <row r="92" spans="4:16" ht="30.7" x14ac:dyDescent="0.5">
      <c r="D92" s="224" t="s">
        <v>127</v>
      </c>
      <c r="O92" s="76"/>
      <c r="P92" s="76"/>
    </row>
    <row r="93" spans="4:16" x14ac:dyDescent="0.5">
      <c r="O93" s="76"/>
      <c r="P93" s="76"/>
    </row>
    <row r="94" spans="4:16" x14ac:dyDescent="0.5">
      <c r="D94" s="7">
        <v>365</v>
      </c>
      <c r="E94" s="7">
        <v>365</v>
      </c>
      <c r="F94" s="7">
        <f t="shared" ref="F94:N94" si="26">+E94</f>
        <v>365</v>
      </c>
      <c r="G94" s="7">
        <f t="shared" si="26"/>
        <v>365</v>
      </c>
      <c r="H94" s="7">
        <f t="shared" si="26"/>
        <v>365</v>
      </c>
      <c r="I94" s="7">
        <f t="shared" si="26"/>
        <v>365</v>
      </c>
      <c r="J94" s="7">
        <f t="shared" si="26"/>
        <v>365</v>
      </c>
      <c r="K94" s="7">
        <f t="shared" si="26"/>
        <v>365</v>
      </c>
      <c r="L94" s="7">
        <f t="shared" si="26"/>
        <v>365</v>
      </c>
      <c r="M94" s="7">
        <f t="shared" si="26"/>
        <v>365</v>
      </c>
      <c r="N94" s="7">
        <f t="shared" si="26"/>
        <v>365</v>
      </c>
      <c r="O94" s="76"/>
      <c r="P94" s="76"/>
    </row>
    <row r="95" spans="4:16" ht="14.7" thickBot="1" x14ac:dyDescent="0.55000000000000004">
      <c r="D95" s="7" t="s">
        <v>128</v>
      </c>
      <c r="E95" s="53">
        <f>+E90</f>
        <v>6.191690273843248</v>
      </c>
      <c r="F95" s="53">
        <f t="shared" ref="F95:N95" si="27">+F90</f>
        <v>6.8239298488519671</v>
      </c>
      <c r="G95" s="53">
        <f t="shared" si="27"/>
        <v>5.545230821452817</v>
      </c>
      <c r="H95" s="53">
        <f t="shared" si="27"/>
        <v>5.6571608634000317</v>
      </c>
      <c r="I95" s="53">
        <f t="shared" si="27"/>
        <v>6.1413963891995529</v>
      </c>
      <c r="J95" s="53">
        <f t="shared" si="27"/>
        <v>5.9461690292481606</v>
      </c>
      <c r="K95" s="53">
        <f t="shared" si="27"/>
        <v>4.6193982581155977</v>
      </c>
      <c r="L95" s="53">
        <f t="shared" si="27"/>
        <v>4.2254780817887614</v>
      </c>
      <c r="M95" s="53">
        <f t="shared" si="27"/>
        <v>4.5416038989809477</v>
      </c>
      <c r="N95" s="53">
        <f t="shared" si="27"/>
        <v>3.6655092810234846</v>
      </c>
      <c r="O95" s="76"/>
      <c r="P95" s="76"/>
    </row>
    <row r="96" spans="4:16" x14ac:dyDescent="0.5">
      <c r="E96" s="127">
        <v>2014</v>
      </c>
      <c r="F96" s="127">
        <v>2015</v>
      </c>
      <c r="G96" s="127">
        <v>2016</v>
      </c>
      <c r="H96" s="127">
        <v>2017</v>
      </c>
      <c r="I96" s="127">
        <v>2018</v>
      </c>
      <c r="J96" s="127">
        <v>2019</v>
      </c>
      <c r="K96" s="127">
        <v>2020</v>
      </c>
      <c r="L96" s="127">
        <v>2021</v>
      </c>
      <c r="M96" s="127">
        <v>2022</v>
      </c>
      <c r="N96" s="127">
        <v>2023</v>
      </c>
      <c r="O96" s="76"/>
      <c r="P96" s="76"/>
    </row>
    <row r="97" spans="4:16" x14ac:dyDescent="0.5">
      <c r="D97" s="7" t="s">
        <v>127</v>
      </c>
      <c r="E97" s="52">
        <f>+E94/E95</f>
        <v>58.949977123684619</v>
      </c>
      <c r="F97" s="52">
        <f t="shared" ref="F97:M97" si="28">+F94/F95</f>
        <v>53.488240366569165</v>
      </c>
      <c r="G97" s="52">
        <f t="shared" si="28"/>
        <v>65.822327645573495</v>
      </c>
      <c r="H97" s="52">
        <f t="shared" si="28"/>
        <v>64.519996657940169</v>
      </c>
      <c r="I97" s="52">
        <f t="shared" si="28"/>
        <v>59.432737584224355</v>
      </c>
      <c r="J97" s="52">
        <f t="shared" si="28"/>
        <v>61.384060595087213</v>
      </c>
      <c r="K97" s="52">
        <f t="shared" si="28"/>
        <v>79.014620434328023</v>
      </c>
      <c r="L97" s="52">
        <f t="shared" si="28"/>
        <v>86.380758090569827</v>
      </c>
      <c r="M97" s="52">
        <f t="shared" si="28"/>
        <v>80.368083196753304</v>
      </c>
      <c r="N97" s="52">
        <f>+N94/N95</f>
        <v>99.576886052266275</v>
      </c>
      <c r="O97" s="76"/>
      <c r="P97" s="76"/>
    </row>
    <row r="98" spans="4:16" x14ac:dyDescent="0.5">
      <c r="O98" s="76"/>
      <c r="P98" s="76"/>
    </row>
    <row r="99" spans="4:16" ht="30.7" x14ac:dyDescent="0.5">
      <c r="D99" s="224" t="s">
        <v>129</v>
      </c>
      <c r="O99" s="76"/>
      <c r="P99" s="76"/>
    </row>
    <row r="100" spans="4:16" x14ac:dyDescent="0.5">
      <c r="O100" s="76"/>
      <c r="P100" s="76"/>
    </row>
    <row r="101" spans="4:16" x14ac:dyDescent="0.5">
      <c r="D101" s="7" t="s">
        <v>58</v>
      </c>
      <c r="E101" s="14">
        <v>61490</v>
      </c>
      <c r="F101" s="14">
        <v>70891</v>
      </c>
      <c r="G101" s="14">
        <v>79244</v>
      </c>
      <c r="H101" s="14">
        <v>84779</v>
      </c>
      <c r="I101" s="14">
        <v>90327</v>
      </c>
      <c r="J101" s="14">
        <v>77363</v>
      </c>
      <c r="K101" s="14">
        <v>66325</v>
      </c>
      <c r="L101" s="14">
        <v>84779</v>
      </c>
      <c r="M101" s="14">
        <v>90327</v>
      </c>
      <c r="N101" s="14">
        <v>77363</v>
      </c>
      <c r="O101" s="76"/>
      <c r="P101" s="76"/>
    </row>
    <row r="102" spans="4:16" ht="14.7" thickBot="1" x14ac:dyDescent="0.55000000000000004">
      <c r="D102" s="7" t="s">
        <v>130</v>
      </c>
      <c r="E102" s="14">
        <v>6902</v>
      </c>
      <c r="F102" s="14">
        <v>10720</v>
      </c>
      <c r="G102" s="14">
        <v>11581</v>
      </c>
      <c r="H102" s="14">
        <v>11406</v>
      </c>
      <c r="I102" s="14">
        <v>10247</v>
      </c>
      <c r="J102" s="17">
        <v>7860</v>
      </c>
      <c r="K102" s="14">
        <v>9229</v>
      </c>
      <c r="L102" s="14">
        <v>10389</v>
      </c>
      <c r="M102" s="14">
        <v>12717.46</v>
      </c>
      <c r="N102" s="27">
        <v>12113.16</v>
      </c>
      <c r="O102" s="76"/>
      <c r="P102" s="76"/>
    </row>
    <row r="103" spans="4:16" x14ac:dyDescent="0.5">
      <c r="E103" s="127">
        <v>2014</v>
      </c>
      <c r="F103" s="127">
        <v>2015</v>
      </c>
      <c r="G103" s="127">
        <v>2016</v>
      </c>
      <c r="H103" s="127">
        <v>2017</v>
      </c>
      <c r="I103" s="127">
        <v>2018</v>
      </c>
      <c r="J103" s="127">
        <v>2019</v>
      </c>
      <c r="K103" s="127">
        <v>2020</v>
      </c>
      <c r="L103" s="127">
        <v>2021</v>
      </c>
      <c r="M103" s="127">
        <v>2022</v>
      </c>
      <c r="N103" s="127">
        <v>2023</v>
      </c>
      <c r="O103" s="76"/>
      <c r="P103" s="76"/>
    </row>
    <row r="104" spans="4:16" x14ac:dyDescent="0.5">
      <c r="D104" s="7" t="s">
        <v>131</v>
      </c>
      <c r="E104" s="53">
        <f>+E101/E102</f>
        <v>8.9090118806143153</v>
      </c>
      <c r="F104" s="53">
        <f t="shared" ref="F104:N104" si="29">+F101/F102</f>
        <v>6.6129664179104477</v>
      </c>
      <c r="G104" s="53">
        <f t="shared" si="29"/>
        <v>6.8425869959416286</v>
      </c>
      <c r="H104" s="53">
        <f t="shared" si="29"/>
        <v>7.4328423636682448</v>
      </c>
      <c r="I104" s="53">
        <f t="shared" si="29"/>
        <v>8.8149702351907884</v>
      </c>
      <c r="J104" s="53">
        <f t="shared" si="29"/>
        <v>9.8426208651399492</v>
      </c>
      <c r="K104" s="53">
        <f t="shared" si="29"/>
        <v>7.1865857622711022</v>
      </c>
      <c r="L104" s="53">
        <f t="shared" si="29"/>
        <v>8.1604581769178939</v>
      </c>
      <c r="M104" s="53">
        <f t="shared" si="29"/>
        <v>7.1025975312680369</v>
      </c>
      <c r="N104" s="53">
        <f t="shared" si="29"/>
        <v>6.3866901782854351</v>
      </c>
      <c r="O104" s="76"/>
      <c r="P104" s="76"/>
    </row>
    <row r="105" spans="4:16" x14ac:dyDescent="0.5">
      <c r="O105" s="76"/>
      <c r="P105" s="76"/>
    </row>
    <row r="106" spans="4:16" x14ac:dyDescent="0.5">
      <c r="O106" s="76"/>
      <c r="P106" s="76"/>
    </row>
    <row r="107" spans="4:16" ht="30.7" x14ac:dyDescent="0.5">
      <c r="D107" s="224" t="s">
        <v>132</v>
      </c>
      <c r="O107" s="76"/>
      <c r="P107" s="76"/>
    </row>
    <row r="108" spans="4:16" x14ac:dyDescent="0.5">
      <c r="D108" s="7">
        <v>365</v>
      </c>
      <c r="E108" s="7">
        <f>D108</f>
        <v>365</v>
      </c>
      <c r="F108" s="7">
        <f t="shared" ref="F108:N108" si="30">+E108</f>
        <v>365</v>
      </c>
      <c r="G108" s="7">
        <f t="shared" si="30"/>
        <v>365</v>
      </c>
      <c r="H108" s="7">
        <f t="shared" si="30"/>
        <v>365</v>
      </c>
      <c r="I108" s="7">
        <f t="shared" si="30"/>
        <v>365</v>
      </c>
      <c r="J108" s="7">
        <f t="shared" si="30"/>
        <v>365</v>
      </c>
      <c r="K108" s="7">
        <f t="shared" si="30"/>
        <v>365</v>
      </c>
      <c r="L108" s="7">
        <f t="shared" si="30"/>
        <v>365</v>
      </c>
      <c r="M108" s="7">
        <f t="shared" si="30"/>
        <v>365</v>
      </c>
      <c r="N108" s="7">
        <f t="shared" si="30"/>
        <v>365</v>
      </c>
      <c r="O108" s="76"/>
      <c r="P108" s="76"/>
    </row>
    <row r="109" spans="4:16" ht="14.7" thickBot="1" x14ac:dyDescent="0.55000000000000004">
      <c r="D109" s="7" t="s">
        <v>133</v>
      </c>
      <c r="E109" s="53">
        <f>+E104</f>
        <v>8.9090118806143153</v>
      </c>
      <c r="F109" s="53">
        <f t="shared" ref="F109:N109" si="31">+F104</f>
        <v>6.6129664179104477</v>
      </c>
      <c r="G109" s="53">
        <f t="shared" si="31"/>
        <v>6.8425869959416286</v>
      </c>
      <c r="H109" s="53">
        <f t="shared" si="31"/>
        <v>7.4328423636682448</v>
      </c>
      <c r="I109" s="53">
        <f t="shared" si="31"/>
        <v>8.8149702351907884</v>
      </c>
      <c r="J109" s="53">
        <f t="shared" si="31"/>
        <v>9.8426208651399492</v>
      </c>
      <c r="K109" s="53">
        <f t="shared" si="31"/>
        <v>7.1865857622711022</v>
      </c>
      <c r="L109" s="53">
        <f t="shared" si="31"/>
        <v>8.1604581769178939</v>
      </c>
      <c r="M109" s="53">
        <f t="shared" si="31"/>
        <v>7.1025975312680369</v>
      </c>
      <c r="N109" s="53">
        <f t="shared" si="31"/>
        <v>6.3866901782854351</v>
      </c>
      <c r="O109" s="76"/>
      <c r="P109" s="76"/>
    </row>
    <row r="110" spans="4:16" x14ac:dyDescent="0.5">
      <c r="E110" s="127">
        <v>2014</v>
      </c>
      <c r="F110" s="127">
        <v>2015</v>
      </c>
      <c r="G110" s="127">
        <v>2016</v>
      </c>
      <c r="H110" s="127">
        <v>2017</v>
      </c>
      <c r="I110" s="127">
        <v>2018</v>
      </c>
      <c r="J110" s="127">
        <v>2019</v>
      </c>
      <c r="K110" s="127">
        <v>2020</v>
      </c>
      <c r="L110" s="127">
        <v>2021</v>
      </c>
      <c r="M110" s="127">
        <v>2022</v>
      </c>
      <c r="N110" s="127">
        <v>2023</v>
      </c>
      <c r="O110" s="76"/>
      <c r="P110" s="76"/>
    </row>
    <row r="111" spans="4:16" x14ac:dyDescent="0.5">
      <c r="D111" s="7" t="s">
        <v>132</v>
      </c>
      <c r="E111" s="50">
        <f>+E108/E109</f>
        <v>40.969751179053503</v>
      </c>
      <c r="F111" s="50">
        <f t="shared" ref="F111:N111" si="32">+F108/F109</f>
        <v>55.194594518345063</v>
      </c>
      <c r="G111" s="50">
        <f t="shared" si="32"/>
        <v>53.342398162636918</v>
      </c>
      <c r="H111" s="50">
        <f t="shared" si="32"/>
        <v>49.106382476792604</v>
      </c>
      <c r="I111" s="50">
        <f t="shared" si="32"/>
        <v>41.406832951387734</v>
      </c>
      <c r="J111" s="50">
        <f t="shared" si="32"/>
        <v>37.083618784173311</v>
      </c>
      <c r="K111" s="50">
        <f t="shared" si="32"/>
        <v>50.789068978514884</v>
      </c>
      <c r="L111" s="50">
        <f t="shared" si="32"/>
        <v>44.727880725179588</v>
      </c>
      <c r="M111" s="50">
        <f t="shared" si="32"/>
        <v>51.389649827847705</v>
      </c>
      <c r="N111" s="50">
        <f t="shared" si="32"/>
        <v>57.150102762302389</v>
      </c>
      <c r="O111" s="76"/>
      <c r="P111" s="76"/>
    </row>
    <row r="112" spans="4:16" x14ac:dyDescent="0.5">
      <c r="O112" s="76"/>
      <c r="P112" s="76"/>
    </row>
    <row r="113" spans="4:16" x14ac:dyDescent="0.5">
      <c r="O113" s="76"/>
      <c r="P113" s="76"/>
    </row>
    <row r="114" spans="4:16" ht="30.7" x14ac:dyDescent="0.5">
      <c r="D114" s="224" t="s">
        <v>134</v>
      </c>
      <c r="O114" s="76"/>
      <c r="P114" s="76"/>
    </row>
    <row r="115" spans="4:16" x14ac:dyDescent="0.5">
      <c r="D115" s="7" t="s">
        <v>41</v>
      </c>
      <c r="E115" s="2">
        <f t="shared" ref="E115:N115" si="33">+E87</f>
        <v>52456</v>
      </c>
      <c r="F115" s="2">
        <f t="shared" si="33"/>
        <v>59143</v>
      </c>
      <c r="G115" s="2">
        <f t="shared" si="33"/>
        <v>65345</v>
      </c>
      <c r="H115" s="2">
        <f t="shared" si="33"/>
        <v>71812</v>
      </c>
      <c r="I115" s="2">
        <f t="shared" si="33"/>
        <v>76878</v>
      </c>
      <c r="J115" s="2">
        <f t="shared" si="33"/>
        <v>66276</v>
      </c>
      <c r="K115" s="2">
        <f t="shared" si="33"/>
        <v>58343</v>
      </c>
      <c r="L115" s="2">
        <f t="shared" si="33"/>
        <v>71812</v>
      </c>
      <c r="M115" s="2">
        <f t="shared" si="33"/>
        <v>76878</v>
      </c>
      <c r="N115" s="2">
        <f t="shared" si="33"/>
        <v>66276</v>
      </c>
      <c r="O115" s="76"/>
      <c r="P115" s="76"/>
    </row>
    <row r="116" spans="4:16" ht="14.7" thickBot="1" x14ac:dyDescent="0.55000000000000004">
      <c r="D116" s="7" t="s">
        <v>135</v>
      </c>
      <c r="E116" s="14">
        <v>12737</v>
      </c>
      <c r="F116" s="14">
        <v>16515</v>
      </c>
      <c r="G116" s="14">
        <v>18894</v>
      </c>
      <c r="H116" s="14">
        <v>22949</v>
      </c>
      <c r="I116" s="14">
        <v>22480</v>
      </c>
      <c r="J116" s="17">
        <v>21166</v>
      </c>
      <c r="K116" s="14">
        <v>24985</v>
      </c>
      <c r="L116" s="14">
        <v>28186</v>
      </c>
      <c r="M116" s="27">
        <v>31543.32</v>
      </c>
      <c r="N116" s="27">
        <v>32041.119999999999</v>
      </c>
      <c r="O116" s="76"/>
      <c r="P116" s="76"/>
    </row>
    <row r="117" spans="4:16" x14ac:dyDescent="0.5">
      <c r="E117" s="127">
        <v>2014</v>
      </c>
      <c r="F117" s="127">
        <v>2015</v>
      </c>
      <c r="G117" s="127">
        <v>2016</v>
      </c>
      <c r="H117" s="127">
        <v>2017</v>
      </c>
      <c r="I117" s="127">
        <v>2018</v>
      </c>
      <c r="J117" s="127">
        <v>2019</v>
      </c>
      <c r="K117" s="127">
        <v>2020</v>
      </c>
      <c r="L117" s="127">
        <v>2021</v>
      </c>
      <c r="M117" s="127">
        <v>2022</v>
      </c>
      <c r="N117" s="127">
        <v>2023</v>
      </c>
      <c r="O117" s="76"/>
      <c r="P117" s="76"/>
    </row>
    <row r="118" spans="4:16" x14ac:dyDescent="0.5">
      <c r="D118" s="7" t="s">
        <v>136</v>
      </c>
      <c r="E118" s="50">
        <f t="shared" ref="E118:N118" si="34">+E115/E116</f>
        <v>4.1183952265054566</v>
      </c>
      <c r="F118" s="50">
        <f t="shared" si="34"/>
        <v>3.5811686345746292</v>
      </c>
      <c r="G118" s="50">
        <f t="shared" si="34"/>
        <v>3.4585053456123638</v>
      </c>
      <c r="H118" s="50">
        <f t="shared" si="34"/>
        <v>3.1291995293912587</v>
      </c>
      <c r="I118" s="50">
        <f t="shared" si="34"/>
        <v>3.4198398576512457</v>
      </c>
      <c r="J118" s="50">
        <f t="shared" si="34"/>
        <v>3.1312482282906546</v>
      </c>
      <c r="K118" s="50">
        <f t="shared" si="34"/>
        <v>2.3351210726435863</v>
      </c>
      <c r="L118" s="50">
        <f t="shared" si="34"/>
        <v>2.5477896828212589</v>
      </c>
      <c r="M118" s="50">
        <f t="shared" si="34"/>
        <v>2.4372196712330854</v>
      </c>
      <c r="N118" s="50">
        <f t="shared" si="34"/>
        <v>2.068467019879455</v>
      </c>
      <c r="O118" s="76"/>
      <c r="P118" s="76"/>
    </row>
    <row r="119" spans="4:16" x14ac:dyDescent="0.5">
      <c r="O119" s="76"/>
      <c r="P119" s="76"/>
    </row>
    <row r="120" spans="4:16" ht="30.7" x14ac:dyDescent="0.5">
      <c r="D120" s="224" t="s">
        <v>137</v>
      </c>
      <c r="O120" s="76"/>
      <c r="P120" s="76"/>
    </row>
    <row r="121" spans="4:16" x14ac:dyDescent="0.5">
      <c r="D121" s="7">
        <v>365</v>
      </c>
      <c r="E121" s="7">
        <f>D121</f>
        <v>365</v>
      </c>
      <c r="F121" s="7">
        <f t="shared" ref="F121:N121" si="35">+E121</f>
        <v>365</v>
      </c>
      <c r="G121" s="7">
        <f t="shared" si="35"/>
        <v>365</v>
      </c>
      <c r="H121" s="7">
        <f t="shared" si="35"/>
        <v>365</v>
      </c>
      <c r="I121" s="7">
        <f t="shared" si="35"/>
        <v>365</v>
      </c>
      <c r="J121" s="7">
        <f t="shared" si="35"/>
        <v>365</v>
      </c>
      <c r="K121" s="7">
        <f t="shared" si="35"/>
        <v>365</v>
      </c>
      <c r="L121" s="7">
        <f t="shared" si="35"/>
        <v>365</v>
      </c>
      <c r="M121" s="7">
        <f t="shared" si="35"/>
        <v>365</v>
      </c>
      <c r="N121" s="7">
        <f t="shared" si="35"/>
        <v>365</v>
      </c>
      <c r="O121" s="76"/>
      <c r="P121" s="76"/>
    </row>
    <row r="122" spans="4:16" ht="14.7" thickBot="1" x14ac:dyDescent="0.55000000000000004">
      <c r="D122" s="7" t="s">
        <v>138</v>
      </c>
      <c r="E122" s="50">
        <f t="shared" ref="E122:N122" si="36">+E118</f>
        <v>4.1183952265054566</v>
      </c>
      <c r="F122" s="50">
        <f t="shared" si="36"/>
        <v>3.5811686345746292</v>
      </c>
      <c r="G122" s="50">
        <f t="shared" si="36"/>
        <v>3.4585053456123638</v>
      </c>
      <c r="H122" s="50">
        <f t="shared" si="36"/>
        <v>3.1291995293912587</v>
      </c>
      <c r="I122" s="50">
        <f t="shared" si="36"/>
        <v>3.4198398576512457</v>
      </c>
      <c r="J122" s="50">
        <f t="shared" si="36"/>
        <v>3.1312482282906546</v>
      </c>
      <c r="K122" s="50">
        <f t="shared" si="36"/>
        <v>2.3351210726435863</v>
      </c>
      <c r="L122" s="50">
        <f t="shared" si="36"/>
        <v>2.5477896828212589</v>
      </c>
      <c r="M122" s="50">
        <f t="shared" si="36"/>
        <v>2.4372196712330854</v>
      </c>
      <c r="N122" s="50">
        <f t="shared" si="36"/>
        <v>2.068467019879455</v>
      </c>
      <c r="O122" s="76"/>
      <c r="P122" s="76"/>
    </row>
    <row r="123" spans="4:16" x14ac:dyDescent="0.5">
      <c r="E123" s="127">
        <v>2014</v>
      </c>
      <c r="F123" s="127">
        <v>2015</v>
      </c>
      <c r="G123" s="127">
        <v>2016</v>
      </c>
      <c r="H123" s="127">
        <v>2017</v>
      </c>
      <c r="I123" s="127">
        <v>2018</v>
      </c>
      <c r="J123" s="127">
        <v>2019</v>
      </c>
      <c r="K123" s="127">
        <v>2020</v>
      </c>
      <c r="L123" s="127">
        <v>2021</v>
      </c>
      <c r="M123" s="127">
        <v>2022</v>
      </c>
      <c r="N123" s="127">
        <v>2023</v>
      </c>
      <c r="O123" s="76"/>
      <c r="P123" s="76"/>
    </row>
    <row r="124" spans="4:16" x14ac:dyDescent="0.5">
      <c r="D124" s="7" t="s">
        <v>137</v>
      </c>
      <c r="E124" s="53">
        <f t="shared" ref="E124:M124" si="37">+E121/E122</f>
        <v>88.626753850846427</v>
      </c>
      <c r="F124" s="53">
        <f t="shared" si="37"/>
        <v>101.92203642020188</v>
      </c>
      <c r="G124" s="53">
        <f t="shared" si="37"/>
        <v>105.53691942765322</v>
      </c>
      <c r="H124" s="53">
        <f t="shared" si="37"/>
        <v>116.64324903915781</v>
      </c>
      <c r="I124" s="53">
        <f t="shared" si="37"/>
        <v>106.73014386430448</v>
      </c>
      <c r="J124" s="53">
        <f t="shared" si="37"/>
        <v>116.56693222282577</v>
      </c>
      <c r="K124" s="53">
        <f t="shared" si="37"/>
        <v>156.30881168263545</v>
      </c>
      <c r="L124" s="53">
        <f t="shared" si="37"/>
        <v>143.26143262964405</v>
      </c>
      <c r="M124" s="53">
        <f t="shared" si="37"/>
        <v>149.7608132365566</v>
      </c>
      <c r="N124" s="53">
        <f>+N121/N122</f>
        <v>176.45918281127405</v>
      </c>
      <c r="O124" s="76"/>
      <c r="P124" s="76"/>
    </row>
    <row r="125" spans="4:16" x14ac:dyDescent="0.5">
      <c r="O125" s="76"/>
      <c r="P125" s="76"/>
    </row>
    <row r="126" spans="4:16" x14ac:dyDescent="0.5">
      <c r="O126" s="76"/>
      <c r="P126" s="76"/>
    </row>
    <row r="127" spans="4:16" x14ac:dyDescent="0.5">
      <c r="D127" s="7" t="s">
        <v>139</v>
      </c>
      <c r="E127" s="52">
        <f t="shared" ref="E127:N127" si="38">+E97</f>
        <v>58.949977123684619</v>
      </c>
      <c r="F127" s="52">
        <f t="shared" si="38"/>
        <v>53.488240366569165</v>
      </c>
      <c r="G127" s="52">
        <f t="shared" si="38"/>
        <v>65.822327645573495</v>
      </c>
      <c r="H127" s="52">
        <f t="shared" si="38"/>
        <v>64.519996657940169</v>
      </c>
      <c r="I127" s="52">
        <f t="shared" si="38"/>
        <v>59.432737584224355</v>
      </c>
      <c r="J127" s="52">
        <f t="shared" si="38"/>
        <v>61.384060595087213</v>
      </c>
      <c r="K127" s="52">
        <f t="shared" si="38"/>
        <v>79.014620434328023</v>
      </c>
      <c r="L127" s="52">
        <f t="shared" si="38"/>
        <v>86.380758090569827</v>
      </c>
      <c r="M127" s="52">
        <f t="shared" si="38"/>
        <v>80.368083196753304</v>
      </c>
      <c r="N127" s="52">
        <f t="shared" si="38"/>
        <v>99.576886052266275</v>
      </c>
      <c r="O127" s="76"/>
      <c r="P127" s="76"/>
    </row>
    <row r="128" spans="4:16" x14ac:dyDescent="0.5">
      <c r="D128" s="7" t="s">
        <v>140</v>
      </c>
      <c r="E128" s="52">
        <f t="shared" ref="E128:N128" si="39">+E111</f>
        <v>40.969751179053503</v>
      </c>
      <c r="F128" s="52">
        <f t="shared" si="39"/>
        <v>55.194594518345063</v>
      </c>
      <c r="G128" s="52">
        <f t="shared" si="39"/>
        <v>53.342398162636918</v>
      </c>
      <c r="H128" s="52">
        <f t="shared" si="39"/>
        <v>49.106382476792604</v>
      </c>
      <c r="I128" s="52">
        <f t="shared" si="39"/>
        <v>41.406832951387734</v>
      </c>
      <c r="J128" s="52">
        <f t="shared" si="39"/>
        <v>37.083618784173311</v>
      </c>
      <c r="K128" s="52">
        <f t="shared" si="39"/>
        <v>50.789068978514884</v>
      </c>
      <c r="L128" s="52">
        <f t="shared" si="39"/>
        <v>44.727880725179588</v>
      </c>
      <c r="M128" s="52">
        <f t="shared" si="39"/>
        <v>51.389649827847705</v>
      </c>
      <c r="N128" s="52">
        <f t="shared" si="39"/>
        <v>57.150102762302389</v>
      </c>
      <c r="O128" s="76"/>
      <c r="P128" s="76"/>
    </row>
    <row r="129" spans="4:16" ht="14.7" thickBot="1" x14ac:dyDescent="0.55000000000000004">
      <c r="D129" s="7" t="s">
        <v>141</v>
      </c>
      <c r="E129" s="53">
        <f t="shared" ref="E129:N129" si="40">+E124</f>
        <v>88.626753850846427</v>
      </c>
      <c r="F129" s="53">
        <f t="shared" si="40"/>
        <v>101.92203642020188</v>
      </c>
      <c r="G129" s="53">
        <f t="shared" si="40"/>
        <v>105.53691942765322</v>
      </c>
      <c r="H129" s="53">
        <f t="shared" si="40"/>
        <v>116.64324903915781</v>
      </c>
      <c r="I129" s="53">
        <f t="shared" si="40"/>
        <v>106.73014386430448</v>
      </c>
      <c r="J129" s="53">
        <f t="shared" si="40"/>
        <v>116.56693222282577</v>
      </c>
      <c r="K129" s="53">
        <f t="shared" si="40"/>
        <v>156.30881168263545</v>
      </c>
      <c r="L129" s="53">
        <f t="shared" si="40"/>
        <v>143.26143262964405</v>
      </c>
      <c r="M129" s="53">
        <f t="shared" si="40"/>
        <v>149.7608132365566</v>
      </c>
      <c r="N129" s="53">
        <f t="shared" si="40"/>
        <v>176.45918281127405</v>
      </c>
      <c r="O129" s="76"/>
      <c r="P129" s="76"/>
    </row>
    <row r="130" spans="4:16" x14ac:dyDescent="0.5">
      <c r="D130" s="54"/>
      <c r="E130" s="127">
        <v>2014</v>
      </c>
      <c r="F130" s="127">
        <v>2015</v>
      </c>
      <c r="G130" s="127">
        <v>2016</v>
      </c>
      <c r="H130" s="127">
        <v>2017</v>
      </c>
      <c r="I130" s="127">
        <v>2018</v>
      </c>
      <c r="J130" s="127">
        <v>2019</v>
      </c>
      <c r="K130" s="127">
        <v>2020</v>
      </c>
      <c r="L130" s="127">
        <v>2021</v>
      </c>
      <c r="M130" s="127">
        <v>2022</v>
      </c>
      <c r="N130" s="127">
        <v>2023</v>
      </c>
      <c r="O130" s="76"/>
      <c r="P130" s="76"/>
    </row>
    <row r="131" spans="4:16" x14ac:dyDescent="0.5">
      <c r="D131" s="54" t="s">
        <v>142</v>
      </c>
      <c r="E131" s="55">
        <f t="shared" ref="E131:N131" si="41">+E127+E128-E129</f>
        <v>11.292974451891695</v>
      </c>
      <c r="F131" s="55">
        <f t="shared" si="41"/>
        <v>6.7607984647123516</v>
      </c>
      <c r="G131" s="55">
        <f t="shared" si="41"/>
        <v>13.627806380557203</v>
      </c>
      <c r="H131" s="55">
        <f t="shared" si="41"/>
        <v>-3.016869904425036</v>
      </c>
      <c r="I131" s="55">
        <f t="shared" si="41"/>
        <v>-5.8905733286923834</v>
      </c>
      <c r="J131" s="55">
        <f t="shared" si="41"/>
        <v>-18.099252843565253</v>
      </c>
      <c r="K131" s="55">
        <f t="shared" si="41"/>
        <v>-26.505122269792537</v>
      </c>
      <c r="L131" s="55">
        <f t="shared" si="41"/>
        <v>-12.152793813894618</v>
      </c>
      <c r="M131" s="55">
        <f t="shared" si="41"/>
        <v>-18.003080211955591</v>
      </c>
      <c r="N131" s="55">
        <f t="shared" si="41"/>
        <v>-19.732193996705377</v>
      </c>
      <c r="O131" s="76"/>
      <c r="P131" s="76"/>
    </row>
    <row r="132" spans="4:16" x14ac:dyDescent="0.5">
      <c r="O132" s="76"/>
      <c r="P132" s="76"/>
    </row>
    <row r="133" spans="4:16" ht="30.7" x14ac:dyDescent="0.5">
      <c r="D133" s="224" t="s">
        <v>143</v>
      </c>
      <c r="O133" s="76"/>
      <c r="P133" s="76"/>
    </row>
    <row r="134" spans="4:16" x14ac:dyDescent="0.5">
      <c r="D134" s="7" t="s">
        <v>144</v>
      </c>
      <c r="E134" s="2">
        <f t="shared" ref="E134:N134" si="42">+E101</f>
        <v>61490</v>
      </c>
      <c r="F134" s="2">
        <f t="shared" si="42"/>
        <v>70891</v>
      </c>
      <c r="G134" s="2">
        <f t="shared" si="42"/>
        <v>79244</v>
      </c>
      <c r="H134" s="2">
        <f t="shared" si="42"/>
        <v>84779</v>
      </c>
      <c r="I134" s="2">
        <f t="shared" si="42"/>
        <v>90327</v>
      </c>
      <c r="J134" s="2">
        <f t="shared" si="42"/>
        <v>77363</v>
      </c>
      <c r="K134" s="2">
        <f t="shared" si="42"/>
        <v>66325</v>
      </c>
      <c r="L134" s="2">
        <f t="shared" si="42"/>
        <v>84779</v>
      </c>
      <c r="M134" s="2">
        <f t="shared" si="42"/>
        <v>90327</v>
      </c>
      <c r="N134" s="2">
        <f t="shared" si="42"/>
        <v>77363</v>
      </c>
      <c r="O134" s="76"/>
      <c r="P134" s="76"/>
    </row>
    <row r="135" spans="4:16" ht="14.7" thickBot="1" x14ac:dyDescent="0.55000000000000004">
      <c r="D135" s="7" t="s">
        <v>145</v>
      </c>
      <c r="E135" s="2">
        <f t="shared" ref="E135:N135" si="43">+E23</f>
        <v>-2002</v>
      </c>
      <c r="F135" s="2">
        <f t="shared" si="43"/>
        <v>4009</v>
      </c>
      <c r="G135" s="2">
        <f t="shared" si="43"/>
        <v>3223</v>
      </c>
      <c r="H135" s="2">
        <f t="shared" si="43"/>
        <v>2837</v>
      </c>
      <c r="I135" s="2">
        <f t="shared" si="43"/>
        <v>861</v>
      </c>
      <c r="J135" s="2">
        <f t="shared" si="43"/>
        <v>71</v>
      </c>
      <c r="K135" s="2">
        <f t="shared" si="43"/>
        <v>200</v>
      </c>
      <c r="L135" s="2">
        <f t="shared" si="43"/>
        <v>15</v>
      </c>
      <c r="M135" s="2">
        <f t="shared" si="43"/>
        <v>2197.5799999999945</v>
      </c>
      <c r="N135" s="2">
        <f t="shared" si="43"/>
        <v>-2490.5799999999945</v>
      </c>
      <c r="O135" s="76"/>
      <c r="P135" s="76"/>
    </row>
    <row r="136" spans="4:16" x14ac:dyDescent="0.5">
      <c r="E136" s="127">
        <v>2014</v>
      </c>
      <c r="F136" s="127">
        <v>2015</v>
      </c>
      <c r="G136" s="127">
        <v>2016</v>
      </c>
      <c r="H136" s="127">
        <v>2017</v>
      </c>
      <c r="I136" s="127">
        <v>2018</v>
      </c>
      <c r="J136" s="127">
        <v>2019</v>
      </c>
      <c r="K136" s="127">
        <v>2020</v>
      </c>
      <c r="L136" s="127">
        <v>2021</v>
      </c>
      <c r="M136" s="127">
        <v>2022</v>
      </c>
      <c r="N136" s="127">
        <v>2023</v>
      </c>
      <c r="O136" s="76"/>
      <c r="P136" s="76"/>
    </row>
    <row r="137" spans="4:16" x14ac:dyDescent="0.5">
      <c r="D137" s="7" t="s">
        <v>146</v>
      </c>
      <c r="E137" s="56">
        <f t="shared" ref="E137:N137" si="44">+E134/E135</f>
        <v>-30.714285714285715</v>
      </c>
      <c r="F137" s="56">
        <f t="shared" si="44"/>
        <v>17.68296333250187</v>
      </c>
      <c r="G137" s="56">
        <f t="shared" si="44"/>
        <v>24.58703071672355</v>
      </c>
      <c r="H137" s="56">
        <f t="shared" si="44"/>
        <v>29.883327458583011</v>
      </c>
      <c r="I137" s="56">
        <f t="shared" si="44"/>
        <v>104.90940766550523</v>
      </c>
      <c r="J137" s="56">
        <f t="shared" si="44"/>
        <v>1089.6197183098591</v>
      </c>
      <c r="K137" s="56">
        <f t="shared" si="44"/>
        <v>331.625</v>
      </c>
      <c r="L137" s="56">
        <f t="shared" si="44"/>
        <v>5651.9333333333334</v>
      </c>
      <c r="M137" s="56">
        <f t="shared" si="44"/>
        <v>41.102940507285389</v>
      </c>
      <c r="N137" s="56">
        <f t="shared" si="44"/>
        <v>-31.062242529852554</v>
      </c>
      <c r="O137" s="76"/>
      <c r="P137" s="76"/>
    </row>
    <row r="138" spans="4:16" x14ac:dyDescent="0.5">
      <c r="O138" s="76"/>
      <c r="P138" s="76"/>
    </row>
    <row r="139" spans="4:16" ht="30.7" x14ac:dyDescent="0.5">
      <c r="D139" s="224" t="s">
        <v>147</v>
      </c>
      <c r="O139" s="76"/>
      <c r="P139" s="76"/>
    </row>
    <row r="140" spans="4:16" x14ac:dyDescent="0.5">
      <c r="D140" s="7" t="s">
        <v>58</v>
      </c>
      <c r="E140" s="2">
        <f t="shared" ref="E140:N140" si="45">+E134</f>
        <v>61490</v>
      </c>
      <c r="F140" s="2">
        <f t="shared" si="45"/>
        <v>70891</v>
      </c>
      <c r="G140" s="2">
        <f t="shared" si="45"/>
        <v>79244</v>
      </c>
      <c r="H140" s="2">
        <f t="shared" si="45"/>
        <v>84779</v>
      </c>
      <c r="I140" s="2">
        <f t="shared" si="45"/>
        <v>90327</v>
      </c>
      <c r="J140" s="2">
        <f t="shared" si="45"/>
        <v>77363</v>
      </c>
      <c r="K140" s="2">
        <f t="shared" si="45"/>
        <v>66325</v>
      </c>
      <c r="L140" s="2">
        <f t="shared" si="45"/>
        <v>84779</v>
      </c>
      <c r="M140" s="2">
        <f t="shared" si="45"/>
        <v>90327</v>
      </c>
      <c r="N140" s="2">
        <f t="shared" si="45"/>
        <v>77363</v>
      </c>
      <c r="O140" s="76"/>
      <c r="P140" s="76"/>
    </row>
    <row r="141" spans="4:16" ht="14.7" thickBot="1" x14ac:dyDescent="0.55000000000000004">
      <c r="D141" s="7" t="s">
        <v>108</v>
      </c>
      <c r="E141" s="2">
        <f t="shared" ref="E141:N141" si="46">+E57</f>
        <v>59091</v>
      </c>
      <c r="F141" s="2">
        <f t="shared" si="46"/>
        <v>72018</v>
      </c>
      <c r="G141" s="2">
        <f t="shared" si="46"/>
        <v>91893</v>
      </c>
      <c r="H141" s="2">
        <f t="shared" si="46"/>
        <v>96689</v>
      </c>
      <c r="I141" s="2">
        <f t="shared" si="46"/>
        <v>93258</v>
      </c>
      <c r="J141" s="2">
        <f t="shared" si="46"/>
        <v>88744</v>
      </c>
      <c r="K141" s="2">
        <f t="shared" si="46"/>
        <v>98732</v>
      </c>
      <c r="L141" s="2">
        <f t="shared" si="46"/>
        <v>101395</v>
      </c>
      <c r="M141" s="2">
        <f t="shared" si="46"/>
        <v>105290.44</v>
      </c>
      <c r="N141" s="2">
        <f t="shared" si="46"/>
        <v>110150.94</v>
      </c>
      <c r="O141" s="76"/>
      <c r="P141" s="76"/>
    </row>
    <row r="142" spans="4:16" x14ac:dyDescent="0.5">
      <c r="E142" s="127">
        <v>2014</v>
      </c>
      <c r="F142" s="127">
        <v>2015</v>
      </c>
      <c r="G142" s="127">
        <v>2016</v>
      </c>
      <c r="H142" s="127">
        <v>2017</v>
      </c>
      <c r="I142" s="127">
        <v>2018</v>
      </c>
      <c r="J142" s="127">
        <v>2019</v>
      </c>
      <c r="K142" s="127">
        <v>2020</v>
      </c>
      <c r="L142" s="127">
        <v>2021</v>
      </c>
      <c r="M142" s="127">
        <v>2022</v>
      </c>
      <c r="N142" s="127">
        <v>2023</v>
      </c>
      <c r="O142" s="76"/>
      <c r="P142" s="76"/>
    </row>
    <row r="143" spans="4:16" ht="30.7" x14ac:dyDescent="0.5">
      <c r="D143" s="224" t="s">
        <v>147</v>
      </c>
      <c r="E143" s="51">
        <f>+E140/E141</f>
        <v>1.0405983990793861</v>
      </c>
      <c r="F143" s="51">
        <f t="shared" ref="F143:N143" si="47">+F140/F141</f>
        <v>0.98435113443861255</v>
      </c>
      <c r="G143" s="51">
        <f t="shared" si="47"/>
        <v>0.86235077753474154</v>
      </c>
      <c r="H143" s="51">
        <f t="shared" si="47"/>
        <v>0.87682156191500582</v>
      </c>
      <c r="I143" s="51">
        <f t="shared" si="47"/>
        <v>0.96857106092774881</v>
      </c>
      <c r="J143" s="51">
        <f t="shared" si="47"/>
        <v>0.87175471017758943</v>
      </c>
      <c r="K143" s="51">
        <f t="shared" si="47"/>
        <v>0.67176801847425349</v>
      </c>
      <c r="L143" s="51">
        <f t="shared" si="47"/>
        <v>0.8361260417180334</v>
      </c>
      <c r="M143" s="51">
        <f t="shared" si="47"/>
        <v>0.85788415358507375</v>
      </c>
      <c r="N143" s="51">
        <f t="shared" si="47"/>
        <v>0.70233626694424944</v>
      </c>
      <c r="O143" s="76"/>
      <c r="P143" s="76"/>
    </row>
    <row r="144" spans="4:16" x14ac:dyDescent="0.5">
      <c r="O144" s="76"/>
      <c r="P144" s="76"/>
    </row>
    <row r="145" spans="2:16" x14ac:dyDescent="0.5">
      <c r="O145" s="76"/>
      <c r="P145" s="76"/>
    </row>
    <row r="146" spans="2:16" ht="29" x14ac:dyDescent="0.5">
      <c r="D146" s="226" t="s">
        <v>148</v>
      </c>
      <c r="O146" s="76"/>
      <c r="P146" s="76"/>
    </row>
    <row r="147" spans="2:16" x14ac:dyDescent="0.5">
      <c r="O147" s="76"/>
      <c r="P147" s="76"/>
    </row>
    <row r="148" spans="2:16" ht="30.7" x14ac:dyDescent="0.5">
      <c r="D148" s="224" t="s">
        <v>149</v>
      </c>
      <c r="O148" s="76"/>
      <c r="P148" s="76"/>
    </row>
    <row r="149" spans="2:16" x14ac:dyDescent="0.5">
      <c r="D149" s="7" t="s">
        <v>150</v>
      </c>
      <c r="E149" s="14">
        <v>3389</v>
      </c>
      <c r="F149" s="14">
        <v>4599</v>
      </c>
      <c r="G149" s="14">
        <v>5410</v>
      </c>
      <c r="H149" s="14">
        <v>3691</v>
      </c>
      <c r="I149" s="14">
        <v>3464</v>
      </c>
      <c r="J149" s="14">
        <v>2493</v>
      </c>
      <c r="K149" s="14">
        <v>-933</v>
      </c>
      <c r="L149" s="14">
        <v>3691</v>
      </c>
      <c r="M149" s="14">
        <v>3464</v>
      </c>
      <c r="N149" s="14">
        <v>2493</v>
      </c>
      <c r="O149" s="76"/>
      <c r="P149" s="76"/>
    </row>
    <row r="150" spans="2:16" ht="14.7" thickBot="1" x14ac:dyDescent="0.55000000000000004">
      <c r="D150" s="7" t="s">
        <v>58</v>
      </c>
      <c r="E150" s="2">
        <f t="shared" ref="E150:N150" si="48">+E140</f>
        <v>61490</v>
      </c>
      <c r="F150" s="2">
        <f t="shared" si="48"/>
        <v>70891</v>
      </c>
      <c r="G150" s="2">
        <f t="shared" si="48"/>
        <v>79244</v>
      </c>
      <c r="H150" s="2">
        <f t="shared" si="48"/>
        <v>84779</v>
      </c>
      <c r="I150" s="2">
        <f t="shared" si="48"/>
        <v>90327</v>
      </c>
      <c r="J150" s="2">
        <f t="shared" si="48"/>
        <v>77363</v>
      </c>
      <c r="K150" s="2">
        <f t="shared" si="48"/>
        <v>66325</v>
      </c>
      <c r="L150" s="2">
        <f t="shared" si="48"/>
        <v>84779</v>
      </c>
      <c r="M150" s="2">
        <f t="shared" si="48"/>
        <v>90327</v>
      </c>
      <c r="N150" s="2">
        <f t="shared" si="48"/>
        <v>77363</v>
      </c>
      <c r="O150" s="76"/>
      <c r="P150" s="76"/>
    </row>
    <row r="151" spans="2:16" x14ac:dyDescent="0.5">
      <c r="E151" s="127">
        <v>2014</v>
      </c>
      <c r="F151" s="127">
        <v>2015</v>
      </c>
      <c r="G151" s="127">
        <v>2016</v>
      </c>
      <c r="H151" s="127">
        <v>2017</v>
      </c>
      <c r="I151" s="127">
        <v>2018</v>
      </c>
      <c r="J151" s="127">
        <v>2019</v>
      </c>
      <c r="K151" s="127">
        <v>2020</v>
      </c>
      <c r="L151" s="127">
        <v>2021</v>
      </c>
      <c r="M151" s="127">
        <v>2022</v>
      </c>
      <c r="N151" s="127">
        <v>2023</v>
      </c>
      <c r="O151" s="76"/>
      <c r="P151" s="76"/>
    </row>
    <row r="152" spans="2:16" x14ac:dyDescent="0.5">
      <c r="D152" s="7" t="s">
        <v>151</v>
      </c>
      <c r="E152" s="57">
        <f t="shared" ref="E152:N152" si="49">+E149/E150</f>
        <v>5.5114652789071392E-2</v>
      </c>
      <c r="F152" s="57">
        <f t="shared" si="49"/>
        <v>6.4874243557010061E-2</v>
      </c>
      <c r="G152" s="57">
        <f t="shared" si="49"/>
        <v>6.8270152945333396E-2</v>
      </c>
      <c r="H152" s="57">
        <f t="shared" si="49"/>
        <v>4.3536724896495592E-2</v>
      </c>
      <c r="I152" s="57">
        <f t="shared" si="49"/>
        <v>3.8349552182625347E-2</v>
      </c>
      <c r="J152" s="57">
        <f t="shared" si="49"/>
        <v>3.2224706901231852E-2</v>
      </c>
      <c r="K152" s="57">
        <f t="shared" si="49"/>
        <v>-1.4067093856012063E-2</v>
      </c>
      <c r="L152" s="57">
        <f t="shared" si="49"/>
        <v>4.3536724896495592E-2</v>
      </c>
      <c r="M152" s="57">
        <f t="shared" si="49"/>
        <v>3.8349552182625347E-2</v>
      </c>
      <c r="N152" s="57">
        <f t="shared" si="49"/>
        <v>3.2224706901231852E-2</v>
      </c>
      <c r="O152" s="76"/>
      <c r="P152" s="76"/>
    </row>
    <row r="153" spans="2:16" x14ac:dyDescent="0.5">
      <c r="O153" s="76"/>
      <c r="P153" s="76"/>
    </row>
    <row r="154" spans="2:16" ht="30.7" x14ac:dyDescent="1">
      <c r="D154" s="225" t="s">
        <v>152</v>
      </c>
      <c r="O154" s="76"/>
      <c r="P154" s="76"/>
    </row>
    <row r="155" spans="2:16" x14ac:dyDescent="0.5">
      <c r="B155" s="8"/>
      <c r="D155" s="7" t="s">
        <v>150</v>
      </c>
      <c r="E155" s="2">
        <f t="shared" ref="E155:N155" si="50">+E149</f>
        <v>3389</v>
      </c>
      <c r="F155" s="2">
        <f t="shared" si="50"/>
        <v>4599</v>
      </c>
      <c r="G155" s="2">
        <f t="shared" si="50"/>
        <v>5410</v>
      </c>
      <c r="H155" s="2">
        <f t="shared" si="50"/>
        <v>3691</v>
      </c>
      <c r="I155" s="2">
        <f t="shared" si="50"/>
        <v>3464</v>
      </c>
      <c r="J155" s="2">
        <f t="shared" si="50"/>
        <v>2493</v>
      </c>
      <c r="K155" s="2">
        <f t="shared" si="50"/>
        <v>-933</v>
      </c>
      <c r="L155" s="2">
        <f t="shared" si="50"/>
        <v>3691</v>
      </c>
      <c r="M155" s="2">
        <f t="shared" si="50"/>
        <v>3464</v>
      </c>
      <c r="N155" s="2">
        <f t="shared" si="50"/>
        <v>2493</v>
      </c>
      <c r="O155" s="76"/>
      <c r="P155" s="76"/>
    </row>
    <row r="156" spans="2:16" ht="14.7" thickBot="1" x14ac:dyDescent="0.55000000000000004">
      <c r="D156" s="7" t="s">
        <v>153</v>
      </c>
      <c r="E156" s="2">
        <f t="shared" ref="E156:N156" si="51">+E57</f>
        <v>59091</v>
      </c>
      <c r="F156" s="2">
        <f t="shared" si="51"/>
        <v>72018</v>
      </c>
      <c r="G156" s="2">
        <f t="shared" si="51"/>
        <v>91893</v>
      </c>
      <c r="H156" s="2">
        <f t="shared" si="51"/>
        <v>96689</v>
      </c>
      <c r="I156" s="2">
        <f t="shared" si="51"/>
        <v>93258</v>
      </c>
      <c r="J156" s="2">
        <f t="shared" si="51"/>
        <v>88744</v>
      </c>
      <c r="K156" s="2">
        <f t="shared" si="51"/>
        <v>98732</v>
      </c>
      <c r="L156" s="2">
        <f t="shared" si="51"/>
        <v>101395</v>
      </c>
      <c r="M156" s="2">
        <f t="shared" si="51"/>
        <v>105290.44</v>
      </c>
      <c r="N156" s="2">
        <f t="shared" si="51"/>
        <v>110150.94</v>
      </c>
      <c r="O156" s="76"/>
      <c r="P156" s="76"/>
    </row>
    <row r="157" spans="2:16" x14ac:dyDescent="0.5">
      <c r="E157" s="127">
        <v>2014</v>
      </c>
      <c r="F157" s="127">
        <v>2015</v>
      </c>
      <c r="G157" s="127">
        <v>2016</v>
      </c>
      <c r="H157" s="127">
        <v>2017</v>
      </c>
      <c r="I157" s="127">
        <v>2018</v>
      </c>
      <c r="J157" s="127">
        <v>2019</v>
      </c>
      <c r="K157" s="127">
        <v>2020</v>
      </c>
      <c r="L157" s="127">
        <v>2021</v>
      </c>
      <c r="M157" s="127">
        <v>2022</v>
      </c>
      <c r="N157" s="127">
        <v>2023</v>
      </c>
      <c r="O157" s="76"/>
      <c r="P157" s="76"/>
    </row>
    <row r="158" spans="2:16" ht="30.7" x14ac:dyDescent="1">
      <c r="D158" s="225" t="s">
        <v>154</v>
      </c>
      <c r="E158" s="57">
        <f t="shared" ref="E158:N158" si="52">+E155/E156</f>
        <v>5.735221945812391E-2</v>
      </c>
      <c r="F158" s="57">
        <f t="shared" si="52"/>
        <v>6.3859035241189702E-2</v>
      </c>
      <c r="G158" s="57">
        <f t="shared" si="52"/>
        <v>5.8872819474823979E-2</v>
      </c>
      <c r="H158" s="57">
        <f t="shared" si="52"/>
        <v>3.8173939124409188E-2</v>
      </c>
      <c r="I158" s="57">
        <f t="shared" si="52"/>
        <v>3.7144266443629503E-2</v>
      </c>
      <c r="J158" s="57">
        <f t="shared" si="52"/>
        <v>2.8092040025241145E-2</v>
      </c>
      <c r="K158" s="57">
        <f t="shared" si="52"/>
        <v>-9.4498237653445685E-3</v>
      </c>
      <c r="L158" s="57">
        <f t="shared" si="52"/>
        <v>3.6402189457073818E-2</v>
      </c>
      <c r="M158" s="57">
        <f t="shared" si="52"/>
        <v>3.2899473114558167E-2</v>
      </c>
      <c r="N158" s="57">
        <f t="shared" si="52"/>
        <v>2.2632580348383773E-2</v>
      </c>
      <c r="O158" s="76"/>
      <c r="P158" s="76"/>
    </row>
    <row r="159" spans="2:16" x14ac:dyDescent="0.5">
      <c r="O159" s="76"/>
      <c r="P159" s="76"/>
    </row>
    <row r="160" spans="2:16" ht="30.7" x14ac:dyDescent="1">
      <c r="D160" s="225" t="s">
        <v>155</v>
      </c>
      <c r="O160" s="76"/>
      <c r="P160" s="76"/>
    </row>
    <row r="161" spans="4:16" x14ac:dyDescent="0.5">
      <c r="D161" s="7" t="s">
        <v>150</v>
      </c>
      <c r="E161" s="2">
        <f t="shared" ref="E161:N161" si="53">+E155</f>
        <v>3389</v>
      </c>
      <c r="F161" s="2">
        <f t="shared" si="53"/>
        <v>4599</v>
      </c>
      <c r="G161" s="2">
        <f t="shared" si="53"/>
        <v>5410</v>
      </c>
      <c r="H161" s="2">
        <f t="shared" si="53"/>
        <v>3691</v>
      </c>
      <c r="I161" s="2">
        <f t="shared" si="53"/>
        <v>3464</v>
      </c>
      <c r="J161" s="2">
        <f t="shared" si="53"/>
        <v>2493</v>
      </c>
      <c r="K161" s="2">
        <f t="shared" si="53"/>
        <v>-933</v>
      </c>
      <c r="L161" s="2">
        <f t="shared" si="53"/>
        <v>3691</v>
      </c>
      <c r="M161" s="2">
        <f t="shared" si="53"/>
        <v>3464</v>
      </c>
      <c r="N161" s="2">
        <f t="shared" si="53"/>
        <v>2493</v>
      </c>
      <c r="O161" s="76"/>
      <c r="P161" s="76"/>
    </row>
    <row r="162" spans="4:16" ht="14.7" thickBot="1" x14ac:dyDescent="0.55000000000000004">
      <c r="D162" s="7" t="s">
        <v>29</v>
      </c>
      <c r="E162" s="2">
        <f>E58</f>
        <v>21498</v>
      </c>
      <c r="F162" s="2">
        <f t="shared" ref="F162:N162" si="54">F58</f>
        <v>27939</v>
      </c>
      <c r="G162" s="2">
        <f t="shared" si="54"/>
        <v>37071</v>
      </c>
      <c r="H162" s="2">
        <f t="shared" si="54"/>
        <v>38423</v>
      </c>
      <c r="I162" s="2">
        <f t="shared" si="54"/>
        <v>36104</v>
      </c>
      <c r="J162" s="2">
        <f t="shared" si="54"/>
        <v>33994</v>
      </c>
      <c r="K162" s="2">
        <f t="shared" si="54"/>
        <v>35668</v>
      </c>
      <c r="L162" s="2">
        <f t="shared" si="54"/>
        <v>35513</v>
      </c>
      <c r="M162" s="2">
        <f t="shared" si="54"/>
        <v>34559.72</v>
      </c>
      <c r="N162" s="2">
        <f t="shared" si="54"/>
        <v>35412.58</v>
      </c>
      <c r="O162" s="76"/>
      <c r="P162" s="76"/>
    </row>
    <row r="163" spans="4:16" x14ac:dyDescent="0.5">
      <c r="E163" s="127">
        <v>2014</v>
      </c>
      <c r="F163" s="127">
        <v>2015</v>
      </c>
      <c r="G163" s="127">
        <v>2016</v>
      </c>
      <c r="H163" s="127">
        <v>2017</v>
      </c>
      <c r="I163" s="127">
        <v>2018</v>
      </c>
      <c r="J163" s="127">
        <v>2019</v>
      </c>
      <c r="K163" s="127">
        <v>2020</v>
      </c>
      <c r="L163" s="127">
        <v>2021</v>
      </c>
      <c r="M163" s="127">
        <v>2022</v>
      </c>
      <c r="N163" s="127">
        <v>2023</v>
      </c>
      <c r="O163" s="76"/>
      <c r="P163" s="76"/>
    </row>
    <row r="164" spans="4:16" ht="30.7" x14ac:dyDescent="1">
      <c r="D164" s="225" t="s">
        <v>156</v>
      </c>
      <c r="E164" s="57">
        <f t="shared" ref="E164:N164" si="55">+E161/E162</f>
        <v>0.15764257140199089</v>
      </c>
      <c r="F164" s="57">
        <f t="shared" si="55"/>
        <v>0.16460861161816814</v>
      </c>
      <c r="G164" s="57">
        <f t="shared" si="55"/>
        <v>0.14593617652612553</v>
      </c>
      <c r="H164" s="57">
        <f t="shared" si="55"/>
        <v>9.6062254378887643E-2</v>
      </c>
      <c r="I164" s="57">
        <f t="shared" si="55"/>
        <v>9.5945047640150674E-2</v>
      </c>
      <c r="J164" s="57">
        <f t="shared" si="55"/>
        <v>7.3336471141966231E-2</v>
      </c>
      <c r="K164" s="57">
        <f t="shared" si="55"/>
        <v>-2.6157900639228439E-2</v>
      </c>
      <c r="L164" s="57">
        <f t="shared" si="55"/>
        <v>0.10393377073184468</v>
      </c>
      <c r="M164" s="57">
        <f t="shared" si="55"/>
        <v>0.10023229354867458</v>
      </c>
      <c r="N164" s="57">
        <f t="shared" si="55"/>
        <v>7.0398711418371659E-2</v>
      </c>
      <c r="O164" s="76"/>
      <c r="P164" s="76"/>
    </row>
    <row r="165" spans="4:16" x14ac:dyDescent="0.5">
      <c r="O165" s="76"/>
      <c r="P165" s="76"/>
    </row>
    <row r="166" spans="4:16" x14ac:dyDescent="0.5">
      <c r="O166" s="76"/>
      <c r="P166" s="76"/>
    </row>
    <row r="167" spans="4:16" x14ac:dyDescent="0.5">
      <c r="E167" s="7" t="s">
        <v>98</v>
      </c>
      <c r="F167" s="39" t="s">
        <v>157</v>
      </c>
      <c r="G167" s="58" t="s">
        <v>150</v>
      </c>
      <c r="O167" s="76"/>
      <c r="P167" s="76"/>
    </row>
    <row r="168" spans="4:16" x14ac:dyDescent="0.5">
      <c r="G168" s="39" t="s">
        <v>29</v>
      </c>
      <c r="O168" s="76"/>
      <c r="P168" s="76"/>
    </row>
    <row r="169" spans="4:16" x14ac:dyDescent="0.5">
      <c r="O169" s="76"/>
      <c r="P169" s="76"/>
    </row>
    <row r="170" spans="4:16" x14ac:dyDescent="0.5">
      <c r="E170" s="7" t="s">
        <v>98</v>
      </c>
      <c r="F170" s="39" t="s">
        <v>158</v>
      </c>
      <c r="G170" s="39">
        <v>1</v>
      </c>
      <c r="H170" s="39" t="s">
        <v>157</v>
      </c>
      <c r="I170" s="7" t="s">
        <v>98</v>
      </c>
      <c r="J170" s="39" t="s">
        <v>158</v>
      </c>
      <c r="K170" s="39">
        <v>1</v>
      </c>
      <c r="L170" s="39" t="s">
        <v>157</v>
      </c>
      <c r="M170" s="7" t="s">
        <v>98</v>
      </c>
      <c r="O170" s="76"/>
      <c r="P170" s="76"/>
    </row>
    <row r="171" spans="4:16" x14ac:dyDescent="0.5">
      <c r="O171" s="76"/>
      <c r="P171" s="76"/>
    </row>
    <row r="172" spans="4:16" x14ac:dyDescent="0.5">
      <c r="E172" s="59" t="s">
        <v>159</v>
      </c>
      <c r="O172" s="76"/>
      <c r="P172" s="76"/>
    </row>
    <row r="173" spans="4:16" x14ac:dyDescent="0.5">
      <c r="O173" s="76"/>
      <c r="P173" s="76"/>
    </row>
    <row r="174" spans="4:16" x14ac:dyDescent="0.5">
      <c r="E174" s="60" t="s">
        <v>108</v>
      </c>
      <c r="F174" s="39" t="s">
        <v>157</v>
      </c>
      <c r="G174" s="39">
        <v>1</v>
      </c>
      <c r="I174" s="58" t="s">
        <v>58</v>
      </c>
      <c r="J174" s="39" t="s">
        <v>157</v>
      </c>
      <c r="K174" s="39">
        <v>1</v>
      </c>
      <c r="O174" s="76"/>
      <c r="P174" s="76"/>
    </row>
    <row r="175" spans="4:16" x14ac:dyDescent="0.5">
      <c r="E175" s="7" t="s">
        <v>108</v>
      </c>
      <c r="I175" s="39" t="s">
        <v>58</v>
      </c>
      <c r="O175" s="76"/>
      <c r="P175" s="76"/>
    </row>
    <row r="176" spans="4:16" x14ac:dyDescent="0.5">
      <c r="O176" s="76"/>
      <c r="P176" s="76"/>
    </row>
    <row r="177" spans="4:16" x14ac:dyDescent="0.5">
      <c r="E177" s="39" t="s">
        <v>98</v>
      </c>
      <c r="F177" s="39" t="s">
        <v>157</v>
      </c>
      <c r="G177" s="61" t="s">
        <v>150</v>
      </c>
      <c r="H177" s="39" t="s">
        <v>158</v>
      </c>
      <c r="I177" s="60" t="s">
        <v>108</v>
      </c>
      <c r="J177" s="39" t="s">
        <v>158</v>
      </c>
      <c r="K177" s="62" t="s">
        <v>58</v>
      </c>
      <c r="O177" s="76"/>
      <c r="P177" s="76"/>
    </row>
    <row r="178" spans="4:16" x14ac:dyDescent="0.5">
      <c r="G178" s="39" t="s">
        <v>29</v>
      </c>
      <c r="I178" s="63" t="s">
        <v>108</v>
      </c>
      <c r="K178" s="64" t="s">
        <v>58</v>
      </c>
      <c r="O178" s="76"/>
      <c r="P178" s="76"/>
    </row>
    <row r="179" spans="4:16" x14ac:dyDescent="0.5">
      <c r="O179" s="76"/>
      <c r="P179" s="76"/>
    </row>
    <row r="180" spans="4:16" x14ac:dyDescent="0.5">
      <c r="E180" s="39" t="s">
        <v>98</v>
      </c>
      <c r="F180" s="39" t="s">
        <v>157</v>
      </c>
      <c r="G180" s="61" t="s">
        <v>150</v>
      </c>
      <c r="H180" s="39" t="s">
        <v>158</v>
      </c>
      <c r="I180" s="58" t="s">
        <v>58</v>
      </c>
      <c r="J180" s="39" t="s">
        <v>158</v>
      </c>
      <c r="K180" s="58" t="s">
        <v>108</v>
      </c>
      <c r="O180" s="76"/>
      <c r="P180" s="76"/>
    </row>
    <row r="181" spans="4:16" ht="28.7" x14ac:dyDescent="0.5">
      <c r="G181" s="64" t="s">
        <v>58</v>
      </c>
      <c r="I181" s="7" t="s">
        <v>108</v>
      </c>
      <c r="K181" s="65" t="s">
        <v>160</v>
      </c>
      <c r="O181" s="76"/>
      <c r="P181" s="76"/>
    </row>
    <row r="182" spans="4:16" x14ac:dyDescent="0.5">
      <c r="O182" s="76"/>
      <c r="P182" s="76"/>
    </row>
    <row r="183" spans="4:16" ht="28.7" x14ac:dyDescent="0.5">
      <c r="E183" s="64" t="s">
        <v>98</v>
      </c>
      <c r="F183" s="39" t="s">
        <v>157</v>
      </c>
      <c r="G183" s="65" t="s">
        <v>161</v>
      </c>
      <c r="H183" s="66" t="s">
        <v>158</v>
      </c>
      <c r="I183" s="65" t="s">
        <v>162</v>
      </c>
      <c r="J183" s="66" t="s">
        <v>158</v>
      </c>
      <c r="K183" s="65" t="s">
        <v>114</v>
      </c>
      <c r="O183" s="76"/>
      <c r="P183" s="76"/>
    </row>
    <row r="184" spans="4:16" x14ac:dyDescent="0.5">
      <c r="O184" s="76"/>
      <c r="P184" s="76"/>
    </row>
    <row r="185" spans="4:16" x14ac:dyDescent="0.5">
      <c r="E185" s="7" t="s">
        <v>163</v>
      </c>
      <c r="G185" s="7" t="s">
        <v>58</v>
      </c>
      <c r="O185" s="76"/>
      <c r="P185" s="76"/>
    </row>
    <row r="186" spans="4:16" x14ac:dyDescent="0.5">
      <c r="O186" s="76"/>
      <c r="P186" s="76"/>
    </row>
    <row r="187" spans="4:16" x14ac:dyDescent="0.5">
      <c r="E187" s="7" t="s">
        <v>164</v>
      </c>
      <c r="G187" s="39" t="s">
        <v>165</v>
      </c>
      <c r="J187" s="7" t="s">
        <v>166</v>
      </c>
      <c r="O187" s="76"/>
      <c r="P187" s="76"/>
    </row>
    <row r="188" spans="4:16" x14ac:dyDescent="0.5">
      <c r="K188" s="39" t="s">
        <v>167</v>
      </c>
      <c r="L188" s="39" t="s">
        <v>168</v>
      </c>
      <c r="O188" s="76"/>
      <c r="P188" s="76"/>
    </row>
    <row r="189" spans="4:16" x14ac:dyDescent="0.5">
      <c r="J189" s="67">
        <v>1</v>
      </c>
      <c r="K189" s="68">
        <v>0</v>
      </c>
      <c r="L189" s="68">
        <v>100</v>
      </c>
      <c r="O189" s="76"/>
      <c r="P189" s="76"/>
    </row>
    <row r="190" spans="4:16" x14ac:dyDescent="0.5">
      <c r="K190" s="69">
        <v>100</v>
      </c>
      <c r="L190" s="69">
        <v>0</v>
      </c>
      <c r="O190" s="76"/>
      <c r="P190" s="76"/>
    </row>
    <row r="191" spans="4:16" x14ac:dyDescent="0.5">
      <c r="O191" s="76"/>
      <c r="P191" s="76"/>
    </row>
    <row r="192" spans="4:16" ht="30.7" x14ac:dyDescent="1">
      <c r="D192" s="225" t="s">
        <v>169</v>
      </c>
      <c r="O192" s="76"/>
      <c r="P192" s="76"/>
    </row>
    <row r="193" spans="4:16" x14ac:dyDescent="0.5">
      <c r="O193" s="76"/>
      <c r="P193" s="76"/>
    </row>
    <row r="194" spans="4:16" ht="30.7" x14ac:dyDescent="1">
      <c r="D194" s="225" t="s">
        <v>170</v>
      </c>
      <c r="O194" s="76"/>
      <c r="P194" s="76"/>
    </row>
    <row r="195" spans="4:16" x14ac:dyDescent="0.5">
      <c r="D195" s="7" t="s">
        <v>150</v>
      </c>
      <c r="E195" s="70">
        <f>+E161/1000</f>
        <v>3.3889999999999998</v>
      </c>
      <c r="F195" s="70">
        <f t="shared" ref="F195:N195" si="56">+F161/1000</f>
        <v>4.5990000000000002</v>
      </c>
      <c r="G195" s="70">
        <f t="shared" si="56"/>
        <v>5.41</v>
      </c>
      <c r="H195" s="70">
        <f t="shared" si="56"/>
        <v>3.6909999999999998</v>
      </c>
      <c r="I195" s="70">
        <f t="shared" si="56"/>
        <v>3.464</v>
      </c>
      <c r="J195" s="70">
        <f t="shared" si="56"/>
        <v>2.4929999999999999</v>
      </c>
      <c r="K195" s="70">
        <f t="shared" si="56"/>
        <v>-0.93300000000000005</v>
      </c>
      <c r="L195" s="70">
        <f t="shared" si="56"/>
        <v>3.6909999999999998</v>
      </c>
      <c r="M195" s="70">
        <f t="shared" si="56"/>
        <v>3.464</v>
      </c>
      <c r="N195" s="70">
        <f t="shared" si="56"/>
        <v>2.4929999999999999</v>
      </c>
      <c r="O195" s="76"/>
      <c r="P195" s="76"/>
    </row>
    <row r="196" spans="4:16" ht="14.7" thickBot="1" x14ac:dyDescent="0.55000000000000004">
      <c r="D196" s="7" t="s">
        <v>171</v>
      </c>
      <c r="E196" s="72">
        <f>2485914479/1000000</f>
        <v>2485.914479</v>
      </c>
      <c r="F196" s="72">
        <v>2781</v>
      </c>
      <c r="G196" s="72">
        <v>3081</v>
      </c>
      <c r="H196" s="72">
        <v>3079</v>
      </c>
      <c r="I196" s="72">
        <v>3079</v>
      </c>
      <c r="J196" s="72">
        <v>3077</v>
      </c>
      <c r="K196" s="72">
        <v>3077</v>
      </c>
      <c r="L196" s="72">
        <v>3079</v>
      </c>
      <c r="M196" s="72">
        <v>3079</v>
      </c>
      <c r="N196" s="72">
        <v>3077</v>
      </c>
      <c r="O196" s="76"/>
      <c r="P196" s="76"/>
    </row>
    <row r="197" spans="4:16" x14ac:dyDescent="0.5">
      <c r="E197" s="127">
        <v>2014</v>
      </c>
      <c r="F197" s="127">
        <v>2015</v>
      </c>
      <c r="G197" s="127">
        <v>2016</v>
      </c>
      <c r="H197" s="127">
        <v>2017</v>
      </c>
      <c r="I197" s="127">
        <v>2018</v>
      </c>
      <c r="J197" s="127">
        <v>2019</v>
      </c>
      <c r="K197" s="127">
        <v>2020</v>
      </c>
      <c r="L197" s="127">
        <v>2021</v>
      </c>
      <c r="M197" s="127">
        <v>2022</v>
      </c>
      <c r="N197" s="127">
        <v>2023</v>
      </c>
      <c r="O197" s="76"/>
      <c r="P197" s="76"/>
    </row>
    <row r="198" spans="4:16" x14ac:dyDescent="0.5">
      <c r="D198" s="7" t="s">
        <v>172</v>
      </c>
      <c r="E198" s="50">
        <f>+E195/E196*1000</f>
        <v>1.3632810093142387</v>
      </c>
      <c r="F198" s="50">
        <f t="shared" ref="F198:N198" si="57">+F195/F196*1000</f>
        <v>1.6537216828478964</v>
      </c>
      <c r="G198" s="50">
        <f t="shared" si="57"/>
        <v>1.7559234014930216</v>
      </c>
      <c r="H198" s="50">
        <f t="shared" si="57"/>
        <v>1.1987658330626827</v>
      </c>
      <c r="I198" s="50">
        <f t="shared" si="57"/>
        <v>1.1250405975966222</v>
      </c>
      <c r="J198" s="50">
        <f t="shared" si="57"/>
        <v>0.81020474488137795</v>
      </c>
      <c r="K198" s="50">
        <f t="shared" si="57"/>
        <v>-0.30321741956451087</v>
      </c>
      <c r="L198" s="50">
        <f t="shared" si="57"/>
        <v>1.1987658330626827</v>
      </c>
      <c r="M198" s="50">
        <f t="shared" si="57"/>
        <v>1.1250405975966222</v>
      </c>
      <c r="N198" s="50">
        <f t="shared" si="57"/>
        <v>0.81020474488137795</v>
      </c>
      <c r="O198" s="76"/>
      <c r="P198" s="76"/>
    </row>
    <row r="199" spans="4:16" x14ac:dyDescent="0.5">
      <c r="O199" s="76"/>
      <c r="P199" s="76"/>
    </row>
    <row r="200" spans="4:16" ht="30.7" x14ac:dyDescent="1">
      <c r="D200" s="225" t="s">
        <v>173</v>
      </c>
      <c r="O200" s="76"/>
      <c r="P200" s="76"/>
    </row>
    <row r="201" spans="4:16" x14ac:dyDescent="0.5">
      <c r="D201" s="7" t="s">
        <v>174</v>
      </c>
      <c r="E201" s="7">
        <v>37.32</v>
      </c>
      <c r="F201" s="7">
        <v>34.299999999999997</v>
      </c>
      <c r="G201" s="73">
        <v>26.73</v>
      </c>
      <c r="H201" s="7">
        <v>21.21</v>
      </c>
      <c r="I201" s="7">
        <v>14.33</v>
      </c>
      <c r="J201" s="7">
        <v>8.15</v>
      </c>
      <c r="K201" s="7">
        <v>6.41</v>
      </c>
      <c r="L201" s="7">
        <v>6.07</v>
      </c>
      <c r="M201" s="7">
        <v>5.78</v>
      </c>
      <c r="N201" s="7">
        <v>4.1900000000000004</v>
      </c>
      <c r="O201" s="76"/>
      <c r="P201" s="76"/>
    </row>
    <row r="202" spans="4:16" ht="14.7" thickBot="1" x14ac:dyDescent="0.55000000000000004">
      <c r="D202" s="7" t="s">
        <v>175</v>
      </c>
      <c r="E202" s="53">
        <f>+E198</f>
        <v>1.3632810093142387</v>
      </c>
      <c r="F202" s="53">
        <f t="shared" ref="F202:N202" si="58">+F198</f>
        <v>1.6537216828478964</v>
      </c>
      <c r="G202" s="53">
        <f t="shared" si="58"/>
        <v>1.7559234014930216</v>
      </c>
      <c r="H202" s="53">
        <f t="shared" si="58"/>
        <v>1.1987658330626827</v>
      </c>
      <c r="I202" s="53">
        <f t="shared" si="58"/>
        <v>1.1250405975966222</v>
      </c>
      <c r="J202" s="53">
        <f t="shared" si="58"/>
        <v>0.81020474488137795</v>
      </c>
      <c r="K202" s="53">
        <f t="shared" si="58"/>
        <v>-0.30321741956451087</v>
      </c>
      <c r="L202" s="53">
        <f t="shared" si="58"/>
        <v>1.1987658330626827</v>
      </c>
      <c r="M202" s="53">
        <f t="shared" si="58"/>
        <v>1.1250405975966222</v>
      </c>
      <c r="N202" s="53">
        <f t="shared" si="58"/>
        <v>0.81020474488137795</v>
      </c>
      <c r="O202" s="76"/>
      <c r="P202" s="76"/>
    </row>
    <row r="203" spans="4:16" x14ac:dyDescent="0.5">
      <c r="E203" s="127">
        <v>2014</v>
      </c>
      <c r="F203" s="127">
        <v>2015</v>
      </c>
      <c r="G203" s="127">
        <v>2016</v>
      </c>
      <c r="H203" s="127">
        <v>2017</v>
      </c>
      <c r="I203" s="127">
        <v>2018</v>
      </c>
      <c r="J203" s="127">
        <v>2019</v>
      </c>
      <c r="K203" s="127">
        <v>2020</v>
      </c>
      <c r="L203" s="127">
        <v>2021</v>
      </c>
      <c r="M203" s="127">
        <v>2022</v>
      </c>
      <c r="N203" s="127">
        <v>2023</v>
      </c>
      <c r="O203" s="76"/>
      <c r="P203" s="76"/>
    </row>
    <row r="204" spans="4:16" ht="30.7" x14ac:dyDescent="1">
      <c r="D204" s="225" t="s">
        <v>173</v>
      </c>
      <c r="E204" s="53">
        <f t="shared" ref="E204:N204" si="59">+E201/E202</f>
        <v>27.375133772876957</v>
      </c>
      <c r="F204" s="53">
        <f t="shared" si="59"/>
        <v>20.741095890410957</v>
      </c>
      <c r="G204" s="53">
        <f t="shared" si="59"/>
        <v>15.222759704251388</v>
      </c>
      <c r="H204" s="53">
        <f t="shared" si="59"/>
        <v>17.69319696559198</v>
      </c>
      <c r="I204" s="53">
        <f t="shared" si="59"/>
        <v>12.737318129330255</v>
      </c>
      <c r="J204" s="53">
        <f t="shared" si="59"/>
        <v>10.059185720016046</v>
      </c>
      <c r="K204" s="53">
        <f t="shared" si="59"/>
        <v>-21.139946409431943</v>
      </c>
      <c r="L204" s="53">
        <f t="shared" si="59"/>
        <v>5.0635410457870496</v>
      </c>
      <c r="M204" s="53">
        <f t="shared" si="59"/>
        <v>5.1375923787528874</v>
      </c>
      <c r="N204" s="53">
        <f t="shared" si="59"/>
        <v>5.1715322904131575</v>
      </c>
      <c r="O204" s="76"/>
      <c r="P204" s="76"/>
    </row>
    <row r="205" spans="4:16" x14ac:dyDescent="0.5">
      <c r="O205" s="76"/>
      <c r="P205" s="76"/>
    </row>
    <row r="206" spans="4:16" x14ac:dyDescent="0.5">
      <c r="O206" s="76"/>
      <c r="P206" s="76"/>
    </row>
    <row r="207" spans="4:16" ht="30.7" x14ac:dyDescent="1">
      <c r="D207" s="225" t="s">
        <v>176</v>
      </c>
      <c r="O207" s="76"/>
      <c r="P207" s="76"/>
    </row>
    <row r="208" spans="4:16" x14ac:dyDescent="0.5">
      <c r="D208" s="7" t="s">
        <v>174</v>
      </c>
      <c r="E208" s="7">
        <f>+E201</f>
        <v>37.32</v>
      </c>
      <c r="F208" s="7">
        <f t="shared" ref="F208:N208" si="60">+F201</f>
        <v>34.299999999999997</v>
      </c>
      <c r="G208" s="7">
        <f t="shared" si="60"/>
        <v>26.73</v>
      </c>
      <c r="H208" s="7">
        <f t="shared" si="60"/>
        <v>21.21</v>
      </c>
      <c r="I208" s="7">
        <f t="shared" si="60"/>
        <v>14.33</v>
      </c>
      <c r="J208" s="7">
        <f t="shared" si="60"/>
        <v>8.15</v>
      </c>
      <c r="K208" s="7">
        <f t="shared" si="60"/>
        <v>6.41</v>
      </c>
      <c r="L208" s="7">
        <f t="shared" si="60"/>
        <v>6.07</v>
      </c>
      <c r="M208" s="7">
        <f t="shared" si="60"/>
        <v>5.78</v>
      </c>
      <c r="N208" s="7">
        <f t="shared" si="60"/>
        <v>4.1900000000000004</v>
      </c>
      <c r="O208" s="76"/>
      <c r="P208" s="76"/>
    </row>
    <row r="209" spans="4:16" x14ac:dyDescent="0.5">
      <c r="D209" s="7" t="s">
        <v>58</v>
      </c>
      <c r="E209" s="2">
        <f>E150/1000</f>
        <v>61.49</v>
      </c>
      <c r="F209" s="2">
        <v>13519.505999999999</v>
      </c>
      <c r="G209" s="2">
        <v>15697.714</v>
      </c>
      <c r="H209" s="2">
        <v>22787.367999999999</v>
      </c>
      <c r="I209" s="2">
        <v>32288.376</v>
      </c>
      <c r="J209" s="2">
        <v>37701.866999999998</v>
      </c>
      <c r="K209" s="2">
        <v>42529.122000000003</v>
      </c>
      <c r="L209" s="2">
        <v>45320.245999999999</v>
      </c>
      <c r="M209" s="2">
        <v>57444.205000000002</v>
      </c>
      <c r="N209" s="2">
        <v>38495.419000000002</v>
      </c>
      <c r="O209" s="76"/>
      <c r="P209" s="76"/>
    </row>
    <row r="210" spans="4:16" x14ac:dyDescent="0.5">
      <c r="D210" s="7" t="s">
        <v>177</v>
      </c>
      <c r="E210" s="7">
        <f>E196/1000</f>
        <v>2.4859144789999998</v>
      </c>
      <c r="F210" s="7">
        <v>687.8</v>
      </c>
      <c r="G210" s="7">
        <v>687.8</v>
      </c>
      <c r="H210" s="7">
        <v>832.8</v>
      </c>
      <c r="I210" s="7">
        <v>834.3</v>
      </c>
      <c r="J210" s="7">
        <v>837.5</v>
      </c>
      <c r="K210" s="7">
        <v>832.8</v>
      </c>
      <c r="L210" s="7">
        <v>835.6</v>
      </c>
      <c r="M210" s="7">
        <v>838.5</v>
      </c>
      <c r="N210" s="7">
        <v>838.5</v>
      </c>
      <c r="O210" s="76"/>
      <c r="P210" s="76"/>
    </row>
    <row r="211" spans="4:16" x14ac:dyDescent="0.5">
      <c r="D211" s="7" t="s">
        <v>178</v>
      </c>
      <c r="E211" s="50">
        <f t="shared" ref="E211:N211" si="61">+E209/E210</f>
        <v>24.735364196734302</v>
      </c>
      <c r="F211" s="50">
        <f t="shared" si="61"/>
        <v>19.656158767083454</v>
      </c>
      <c r="G211" s="50">
        <f t="shared" si="61"/>
        <v>22.823079383541728</v>
      </c>
      <c r="H211" s="50">
        <f t="shared" si="61"/>
        <v>27.362353506243995</v>
      </c>
      <c r="I211" s="50">
        <f t="shared" si="61"/>
        <v>38.701157856886013</v>
      </c>
      <c r="J211" s="50">
        <f t="shared" si="61"/>
        <v>45.017154626865668</v>
      </c>
      <c r="K211" s="50">
        <f t="shared" si="61"/>
        <v>51.067629682997122</v>
      </c>
      <c r="L211" s="50">
        <f t="shared" si="61"/>
        <v>54.236771182383912</v>
      </c>
      <c r="M211" s="50">
        <f t="shared" si="61"/>
        <v>68.508294573643411</v>
      </c>
      <c r="N211" s="50">
        <f t="shared" si="61"/>
        <v>45.909861657722125</v>
      </c>
      <c r="O211" s="76"/>
      <c r="P211" s="76"/>
    </row>
    <row r="212" spans="4:16" ht="14.7" thickBot="1" x14ac:dyDescent="0.55000000000000004">
      <c r="O212" s="76"/>
      <c r="P212" s="76"/>
    </row>
    <row r="213" spans="4:16" x14ac:dyDescent="0.5">
      <c r="E213" s="127">
        <v>2014</v>
      </c>
      <c r="F213" s="127">
        <v>2015</v>
      </c>
      <c r="G213" s="127">
        <v>2016</v>
      </c>
      <c r="H213" s="127">
        <v>2017</v>
      </c>
      <c r="I213" s="127">
        <v>2018</v>
      </c>
      <c r="J213" s="127">
        <v>2019</v>
      </c>
      <c r="K213" s="127">
        <v>2020</v>
      </c>
      <c r="L213" s="127">
        <v>2021</v>
      </c>
      <c r="M213" s="127">
        <v>2022</v>
      </c>
      <c r="N213" s="127">
        <v>2023</v>
      </c>
      <c r="O213" s="76"/>
      <c r="P213" s="76"/>
    </row>
    <row r="214" spans="4:16" ht="30.7" x14ac:dyDescent="1">
      <c r="D214" s="225" t="s">
        <v>176</v>
      </c>
      <c r="E214" s="50">
        <f>+E208/E211</f>
        <v>1.5087709929464952</v>
      </c>
      <c r="F214" s="50">
        <f>+F208/F211</f>
        <v>1.7450001501534154</v>
      </c>
      <c r="G214" s="50">
        <f t="shared" ref="G214:N214" si="62">+G208/G211</f>
        <v>1.1711828868840393</v>
      </c>
      <c r="H214" s="50">
        <f t="shared" si="62"/>
        <v>0.77515261964435744</v>
      </c>
      <c r="I214" s="50">
        <f t="shared" si="62"/>
        <v>0.37027315960393919</v>
      </c>
      <c r="J214" s="50">
        <f>+J208/J211</f>
        <v>0.18104209534238719</v>
      </c>
      <c r="K214" s="50">
        <f>+K208/K211</f>
        <v>0.12551982615582799</v>
      </c>
      <c r="L214" s="50">
        <f>+L208/L211</f>
        <v>0.11191669171433889</v>
      </c>
      <c r="M214" s="50">
        <f t="shared" si="62"/>
        <v>8.4369345872225054E-2</v>
      </c>
      <c r="N214" s="50">
        <f t="shared" si="62"/>
        <v>9.1265794509211601E-2</v>
      </c>
      <c r="O214" s="76"/>
      <c r="P214" s="76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0441E-FFA8-4364-9E22-7EF735D441EF}">
  <dimension ref="A1:O32"/>
  <sheetViews>
    <sheetView workbookViewId="0">
      <selection activeCell="J31" sqref="J31"/>
    </sheetView>
  </sheetViews>
  <sheetFormatPr baseColWidth="10" defaultRowHeight="14.35" x14ac:dyDescent="0.5"/>
  <cols>
    <col min="5" max="5" width="30.46875" customWidth="1"/>
  </cols>
  <sheetData>
    <row r="1" spans="1:8" x14ac:dyDescent="0.5">
      <c r="A1" s="179"/>
      <c r="B1" s="179" t="s">
        <v>283</v>
      </c>
      <c r="C1" s="179" t="s">
        <v>282</v>
      </c>
      <c r="D1" s="179" t="s">
        <v>280</v>
      </c>
      <c r="E1" s="179" t="s">
        <v>281</v>
      </c>
    </row>
    <row r="2" spans="1:8" x14ac:dyDescent="0.5">
      <c r="A2" s="216">
        <v>45621</v>
      </c>
      <c r="B2" s="214">
        <v>50408.55</v>
      </c>
      <c r="C2" s="179">
        <v>1.718</v>
      </c>
      <c r="D2" s="179"/>
      <c r="E2" s="179"/>
    </row>
    <row r="3" spans="1:8" x14ac:dyDescent="0.5">
      <c r="A3" s="216">
        <v>45590</v>
      </c>
      <c r="B3" s="214">
        <v>50430.02</v>
      </c>
      <c r="C3" s="179">
        <v>1.718</v>
      </c>
      <c r="D3" s="217">
        <f>(B3-B2)/B2</f>
        <v>4.2591980923858925E-4</v>
      </c>
      <c r="E3" s="217">
        <f>C3/C2-1</f>
        <v>0</v>
      </c>
      <c r="G3" s="7"/>
    </row>
    <row r="4" spans="1:8" x14ac:dyDescent="0.5">
      <c r="A4" s="216">
        <v>45560</v>
      </c>
      <c r="B4" s="214">
        <v>50661.05</v>
      </c>
      <c r="C4" s="179">
        <v>2.1</v>
      </c>
      <c r="D4" s="217">
        <f t="shared" ref="D4:D14" si="0">(B4-B3)/B3</f>
        <v>4.5811998488203285E-3</v>
      </c>
      <c r="E4" s="217">
        <f>C4/C3-1</f>
        <v>0.22235157159487784</v>
      </c>
      <c r="G4" s="7"/>
    </row>
    <row r="5" spans="1:8" x14ac:dyDescent="0.5">
      <c r="A5" s="216">
        <v>45529</v>
      </c>
      <c r="B5" s="214">
        <v>52477.3</v>
      </c>
      <c r="C5" s="179">
        <v>2.016</v>
      </c>
      <c r="D5" s="217">
        <f t="shared" si="0"/>
        <v>3.585101374724764E-2</v>
      </c>
      <c r="E5" s="217">
        <f>C5/C4-1</f>
        <v>-4.0000000000000036E-2</v>
      </c>
      <c r="G5" s="7"/>
    </row>
    <row r="6" spans="1:8" x14ac:dyDescent="0.5">
      <c r="A6" s="216">
        <v>45498</v>
      </c>
      <c r="B6" s="214">
        <v>52913.5</v>
      </c>
      <c r="C6" s="179">
        <v>2.44</v>
      </c>
      <c r="D6" s="217">
        <f t="shared" si="0"/>
        <v>8.3121654505852443E-3</v>
      </c>
      <c r="E6" s="217">
        <f t="shared" ref="E6:E14" si="1">C6/C5-1</f>
        <v>0.21031746031746024</v>
      </c>
      <c r="G6" s="7"/>
    </row>
    <row r="7" spans="1:8" x14ac:dyDescent="0.5">
      <c r="A7" s="216">
        <v>45468</v>
      </c>
      <c r="B7" s="214">
        <v>53136.84</v>
      </c>
      <c r="C7" s="179">
        <f>0.1535*20</f>
        <v>3.07</v>
      </c>
      <c r="D7" s="217">
        <f t="shared" si="0"/>
        <v>4.2208510115565312E-3</v>
      </c>
      <c r="E7" s="217">
        <f>C7/C6-1</f>
        <v>0.25819672131147531</v>
      </c>
      <c r="G7" s="7"/>
    </row>
    <row r="8" spans="1:8" x14ac:dyDescent="0.5">
      <c r="A8" s="216">
        <v>45437</v>
      </c>
      <c r="B8" s="214">
        <v>52440.02</v>
      </c>
      <c r="C8" s="179">
        <f>0.1674*20</f>
        <v>3.3479999999999999</v>
      </c>
      <c r="D8" s="217">
        <f>(B8-B7)/B7</f>
        <v>-1.3113689109100197E-2</v>
      </c>
      <c r="E8" s="217">
        <f t="shared" si="1"/>
        <v>9.0553745928338758E-2</v>
      </c>
      <c r="G8" s="7"/>
    </row>
    <row r="9" spans="1:8" x14ac:dyDescent="0.5">
      <c r="A9" s="216">
        <v>45407</v>
      </c>
      <c r="B9" s="214">
        <v>55179.24</v>
      </c>
      <c r="C9" s="179">
        <f>0.176*20</f>
        <v>3.5199999999999996</v>
      </c>
      <c r="D9" s="217">
        <f t="shared" si="0"/>
        <v>5.2235296630321677E-2</v>
      </c>
      <c r="E9" s="217">
        <f t="shared" si="1"/>
        <v>5.1373954599760907E-2</v>
      </c>
      <c r="G9" s="7"/>
    </row>
    <row r="10" spans="1:8" x14ac:dyDescent="0.5">
      <c r="A10" s="216">
        <v>45376</v>
      </c>
      <c r="B10" s="214">
        <v>56727.98</v>
      </c>
      <c r="C10" s="179">
        <v>3.5199999999999996</v>
      </c>
      <c r="D10" s="217">
        <f t="shared" si="0"/>
        <v>2.8067439856003913E-2</v>
      </c>
      <c r="E10" s="217">
        <f t="shared" si="1"/>
        <v>0</v>
      </c>
      <c r="G10" s="7"/>
    </row>
    <row r="11" spans="1:8" x14ac:dyDescent="0.5">
      <c r="A11" s="216">
        <v>45347</v>
      </c>
      <c r="B11" s="214">
        <v>57369.01</v>
      </c>
      <c r="C11" s="179">
        <v>4.18</v>
      </c>
      <c r="D11" s="217">
        <f t="shared" si="0"/>
        <v>1.1300067444671902E-2</v>
      </c>
      <c r="E11" s="217">
        <f t="shared" si="1"/>
        <v>0.1875</v>
      </c>
      <c r="G11" s="7"/>
    </row>
    <row r="12" spans="1:8" x14ac:dyDescent="0.5">
      <c r="A12" s="216">
        <v>45316</v>
      </c>
      <c r="B12" s="214">
        <v>55414</v>
      </c>
      <c r="C12" s="179">
        <v>4.2</v>
      </c>
      <c r="D12" s="217">
        <f t="shared" si="0"/>
        <v>-3.4077806118669327E-2</v>
      </c>
      <c r="E12" s="217">
        <f t="shared" si="1"/>
        <v>4.784688995215447E-3</v>
      </c>
      <c r="G12" s="7"/>
    </row>
    <row r="13" spans="1:8" x14ac:dyDescent="0.5">
      <c r="A13" s="216">
        <v>45285</v>
      </c>
      <c r="B13" s="214">
        <v>57372.76</v>
      </c>
      <c r="C13" s="179">
        <v>4.9000000000000004</v>
      </c>
      <c r="D13" s="217">
        <f t="shared" si="0"/>
        <v>3.534774605695315E-2</v>
      </c>
      <c r="E13" s="217">
        <f t="shared" si="1"/>
        <v>0.16666666666666674</v>
      </c>
      <c r="G13" s="7"/>
    </row>
    <row r="14" spans="1:8" x14ac:dyDescent="0.5">
      <c r="A14" s="216">
        <v>45255</v>
      </c>
      <c r="B14" s="214">
        <v>57386.25</v>
      </c>
      <c r="C14" s="179">
        <v>4.9000000000000004</v>
      </c>
      <c r="D14" s="217">
        <f t="shared" si="0"/>
        <v>2.3512900547224784E-4</v>
      </c>
      <c r="E14" s="217">
        <f t="shared" si="1"/>
        <v>0</v>
      </c>
      <c r="G14" t="s">
        <v>59</v>
      </c>
    </row>
    <row r="15" spans="1:8" ht="14.7" thickBot="1" x14ac:dyDescent="0.55000000000000004">
      <c r="A15" s="218"/>
      <c r="B15" s="218"/>
      <c r="C15" s="218"/>
      <c r="D15" s="218"/>
      <c r="E15" s="218"/>
      <c r="F15" s="218"/>
    </row>
    <row r="16" spans="1:8" x14ac:dyDescent="0.5">
      <c r="A16" s="218"/>
      <c r="B16" s="218"/>
      <c r="C16" s="218"/>
      <c r="D16" s="218"/>
      <c r="E16" s="218"/>
      <c r="F16" s="218"/>
      <c r="G16" s="44" t="s">
        <v>60</v>
      </c>
      <c r="H16" s="44"/>
    </row>
    <row r="17" spans="1:15" x14ac:dyDescent="0.5">
      <c r="A17" s="218"/>
      <c r="B17" s="218"/>
      <c r="C17" s="218"/>
      <c r="D17" s="218"/>
      <c r="E17" s="218"/>
      <c r="F17" s="218"/>
      <c r="G17" s="41" t="s">
        <v>61</v>
      </c>
      <c r="H17" s="41">
        <v>3.739294578758743E-2</v>
      </c>
    </row>
    <row r="18" spans="1:15" x14ac:dyDescent="0.5">
      <c r="A18" s="218"/>
      <c r="B18" s="218"/>
      <c r="C18" s="218"/>
      <c r="D18" s="218"/>
      <c r="E18" s="219"/>
      <c r="F18" s="218"/>
      <c r="G18" s="41" t="s">
        <v>62</v>
      </c>
      <c r="H18" s="41">
        <v>1.3982323946734525E-3</v>
      </c>
    </row>
    <row r="19" spans="1:15" x14ac:dyDescent="0.5">
      <c r="A19" s="218"/>
      <c r="B19" s="218"/>
      <c r="C19" s="218"/>
      <c r="D19" s="220" t="s">
        <v>285</v>
      </c>
      <c r="E19" s="221">
        <f>_xlfn.COVARIANCE.S(D3:D14,E3:E14)</f>
        <v>-9.4228507163166098E-5</v>
      </c>
      <c r="F19" s="218"/>
      <c r="G19" s="41" t="s">
        <v>63</v>
      </c>
      <c r="H19" s="41">
        <v>-9.84619443658592E-2</v>
      </c>
    </row>
    <row r="20" spans="1:15" x14ac:dyDescent="0.5">
      <c r="A20" s="218"/>
      <c r="B20" s="218"/>
      <c r="C20" s="218"/>
      <c r="D20" s="220" t="s">
        <v>286</v>
      </c>
      <c r="E20" s="221">
        <f>_xlfn.VAR.S(D3:D14)</f>
        <v>5.5795613294538947E-4</v>
      </c>
      <c r="F20" s="218"/>
      <c r="G20" s="41" t="s">
        <v>64</v>
      </c>
      <c r="H20" s="41">
        <v>0.11181114911615499</v>
      </c>
    </row>
    <row r="21" spans="1:15" ht="14.7" thickBot="1" x14ac:dyDescent="0.55000000000000004">
      <c r="A21" s="218"/>
      <c r="B21" s="218"/>
      <c r="C21" s="218"/>
      <c r="D21" s="220" t="s">
        <v>255</v>
      </c>
      <c r="E21" s="222">
        <f>E19/E20</f>
        <v>-0.16888156899673115</v>
      </c>
      <c r="F21" s="218"/>
      <c r="G21" s="42" t="s">
        <v>65</v>
      </c>
      <c r="H21" s="42">
        <v>12</v>
      </c>
    </row>
    <row r="22" spans="1:15" x14ac:dyDescent="0.5">
      <c r="A22" s="218"/>
      <c r="B22" s="218"/>
      <c r="C22" s="218"/>
      <c r="D22" s="218"/>
      <c r="E22" s="219"/>
      <c r="F22" s="218"/>
    </row>
    <row r="23" spans="1:15" ht="14.7" thickBot="1" x14ac:dyDescent="0.55000000000000004">
      <c r="A23" s="218"/>
      <c r="B23" s="218"/>
      <c r="C23" s="218"/>
      <c r="D23" s="218"/>
      <c r="E23" s="219"/>
      <c r="F23" s="218"/>
      <c r="G23" t="s">
        <v>66</v>
      </c>
    </row>
    <row r="24" spans="1:15" x14ac:dyDescent="0.5">
      <c r="A24" s="218"/>
      <c r="B24" s="218"/>
      <c r="C24" s="218"/>
      <c r="D24" s="218"/>
      <c r="E24" s="218"/>
      <c r="F24" s="218"/>
      <c r="G24" s="43"/>
      <c r="H24" s="43" t="s">
        <v>71</v>
      </c>
      <c r="I24" s="43" t="s">
        <v>72</v>
      </c>
      <c r="J24" s="43" t="s">
        <v>73</v>
      </c>
      <c r="K24" s="43" t="s">
        <v>74</v>
      </c>
      <c r="L24" s="43" t="s">
        <v>75</v>
      </c>
    </row>
    <row r="25" spans="1:15" x14ac:dyDescent="0.5">
      <c r="A25" s="218"/>
      <c r="B25" s="218"/>
      <c r="C25" s="218"/>
      <c r="D25" s="218"/>
      <c r="E25" s="218"/>
      <c r="F25" s="218"/>
      <c r="G25" s="41" t="s">
        <v>67</v>
      </c>
      <c r="H25" s="41">
        <v>1</v>
      </c>
      <c r="I25" s="41">
        <v>1.7504803947326897E-4</v>
      </c>
      <c r="J25" s="41">
        <v>1.7504803947326897E-4</v>
      </c>
      <c r="K25" s="41">
        <v>1.4001901859501519E-2</v>
      </c>
      <c r="L25" s="41">
        <v>0.90814963869801546</v>
      </c>
    </row>
    <row r="26" spans="1:15" x14ac:dyDescent="0.5">
      <c r="A26" s="218"/>
      <c r="B26" s="218"/>
      <c r="C26" s="218"/>
      <c r="D26" s="218"/>
      <c r="E26" s="218"/>
      <c r="F26" s="218"/>
      <c r="G26" s="41" t="s">
        <v>68</v>
      </c>
      <c r="H26" s="41">
        <v>10</v>
      </c>
      <c r="I26" s="41">
        <v>0.12501733066675047</v>
      </c>
      <c r="J26" s="41">
        <v>1.2501733066675047E-2</v>
      </c>
      <c r="K26" s="41"/>
      <c r="L26" s="41"/>
    </row>
    <row r="27" spans="1:15" ht="14.7" thickBot="1" x14ac:dyDescent="0.55000000000000004">
      <c r="A27" s="218"/>
      <c r="B27" s="218"/>
      <c r="C27" s="218"/>
      <c r="D27" s="218"/>
      <c r="E27" s="218"/>
      <c r="F27" s="218"/>
      <c r="G27" s="42" t="s">
        <v>69</v>
      </c>
      <c r="H27" s="42">
        <v>11</v>
      </c>
      <c r="I27" s="42">
        <v>0.12519237870622374</v>
      </c>
      <c r="J27" s="42"/>
      <c r="K27" s="42"/>
      <c r="L27" s="42"/>
    </row>
    <row r="28" spans="1:15" ht="14.7" thickBot="1" x14ac:dyDescent="0.55000000000000004">
      <c r="A28" s="218"/>
      <c r="B28" s="218"/>
      <c r="C28" s="218"/>
      <c r="D28" s="218"/>
      <c r="E28" s="218"/>
      <c r="F28" s="218"/>
    </row>
    <row r="29" spans="1:15" x14ac:dyDescent="0.5">
      <c r="A29" s="218"/>
      <c r="B29" s="218"/>
      <c r="C29" s="218"/>
      <c r="D29" s="218"/>
      <c r="E29" s="218"/>
      <c r="F29" s="218"/>
      <c r="G29" s="43"/>
      <c r="H29" s="43" t="s">
        <v>76</v>
      </c>
      <c r="I29" s="43" t="s">
        <v>64</v>
      </c>
      <c r="J29" s="43" t="s">
        <v>77</v>
      </c>
      <c r="K29" s="43" t="s">
        <v>78</v>
      </c>
      <c r="L29" s="43" t="s">
        <v>79</v>
      </c>
      <c r="M29" s="43" t="s">
        <v>80</v>
      </c>
      <c r="N29" s="43" t="s">
        <v>81</v>
      </c>
      <c r="O29" s="43" t="s">
        <v>82</v>
      </c>
    </row>
    <row r="30" spans="1:15" x14ac:dyDescent="0.5">
      <c r="A30" s="218"/>
      <c r="B30" s="218"/>
      <c r="C30" s="218"/>
      <c r="D30" s="218"/>
      <c r="E30" s="218"/>
      <c r="F30" s="218"/>
      <c r="G30" s="41" t="s">
        <v>70</v>
      </c>
      <c r="H30" s="41">
        <v>9.7855927819908831E-2</v>
      </c>
      <c r="I30" s="41">
        <v>3.5964995679312238E-2</v>
      </c>
      <c r="J30" s="41">
        <v>2.7208658299991804</v>
      </c>
      <c r="K30" s="41">
        <v>2.1528308721618167E-2</v>
      </c>
      <c r="L30" s="41">
        <v>1.7720923635314745E-2</v>
      </c>
      <c r="M30" s="41">
        <v>0.17799093200450292</v>
      </c>
      <c r="N30" s="41">
        <v>1.7720923635314745E-2</v>
      </c>
      <c r="O30" s="41">
        <v>0.17799093200450292</v>
      </c>
    </row>
    <row r="31" spans="1:15" ht="14.7" thickBot="1" x14ac:dyDescent="0.55000000000000004">
      <c r="A31" s="218"/>
      <c r="B31" s="218"/>
      <c r="C31" s="218"/>
      <c r="D31" s="218"/>
      <c r="E31" s="218"/>
      <c r="F31" s="218"/>
      <c r="G31" s="42" t="s">
        <v>284</v>
      </c>
      <c r="H31" s="223">
        <v>-0.1688815689967314</v>
      </c>
      <c r="I31" s="42">
        <v>1.4272128277531104</v>
      </c>
      <c r="J31" s="42">
        <v>-0.11832963221232044</v>
      </c>
      <c r="K31" s="42">
        <v>0.90814963869801069</v>
      </c>
      <c r="L31" s="42">
        <v>-3.3489099205666313</v>
      </c>
      <c r="M31" s="42">
        <v>3.0111467825731686</v>
      </c>
      <c r="N31" s="42">
        <v>-3.3489099205666313</v>
      </c>
      <c r="O31" s="42">
        <v>3.0111467825731686</v>
      </c>
    </row>
    <row r="32" spans="1:15" x14ac:dyDescent="0.5">
      <c r="A32" s="218"/>
      <c r="B32" s="218"/>
      <c r="C32" s="218"/>
      <c r="D32" s="218"/>
      <c r="E32" s="218"/>
      <c r="F32" s="21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EC93CB-419E-4398-8AAD-BF1D5231BE19}">
  <dimension ref="A3:AH165"/>
  <sheetViews>
    <sheetView tabSelected="1" topLeftCell="H1" zoomScale="70" zoomScaleNormal="70" workbookViewId="0">
      <selection activeCell="Q127" sqref="Q127"/>
    </sheetView>
  </sheetViews>
  <sheetFormatPr baseColWidth="10" defaultRowHeight="14.35" x14ac:dyDescent="0.5"/>
  <cols>
    <col min="1" max="3" width="10.8203125" style="7"/>
    <col min="4" max="4" width="58.703125" style="7" bestFit="1" customWidth="1"/>
    <col min="5" max="5" width="13.17578125" style="7" customWidth="1"/>
    <col min="6" max="6" width="17" style="7" customWidth="1"/>
    <col min="7" max="7" width="14.05859375" style="7" customWidth="1"/>
    <col min="8" max="8" width="15.8203125" style="7" customWidth="1"/>
    <col min="9" max="9" width="17.9375" style="7" customWidth="1"/>
    <col min="10" max="10" width="14.52734375" style="7" customWidth="1"/>
    <col min="11" max="11" width="13.87890625" style="7" customWidth="1"/>
    <col min="12" max="12" width="13.5859375" style="7" customWidth="1"/>
    <col min="13" max="13" width="19.8203125" style="7" customWidth="1"/>
    <col min="14" max="14" width="14.41015625" style="7" bestFit="1" customWidth="1"/>
    <col min="15" max="15" width="21.234375" style="7" customWidth="1"/>
    <col min="16" max="16" width="14.41015625" style="7" bestFit="1" customWidth="1"/>
    <col min="17" max="17" width="16.05859375" style="7" customWidth="1"/>
    <col min="18" max="19" width="14.41015625" style="7" bestFit="1" customWidth="1"/>
    <col min="20" max="20" width="12.76171875" style="7" bestFit="1" customWidth="1"/>
    <col min="21" max="21" width="13.29296875" style="7" customWidth="1"/>
    <col min="22" max="22" width="13.5859375" style="7" bestFit="1" customWidth="1"/>
    <col min="23" max="23" width="22.9375" style="7" bestFit="1" customWidth="1"/>
    <col min="24" max="24" width="14.5859375" style="7" bestFit="1" customWidth="1"/>
    <col min="25" max="16384" width="10.8203125" style="7"/>
  </cols>
  <sheetData>
    <row r="3" spans="4:34" x14ac:dyDescent="0.5">
      <c r="D3" s="7" t="s">
        <v>197</v>
      </c>
    </row>
    <row r="5" spans="4:34" x14ac:dyDescent="0.5">
      <c r="E5" s="39" t="s">
        <v>69</v>
      </c>
    </row>
    <row r="6" spans="4:34" x14ac:dyDescent="0.5">
      <c r="D6" s="128"/>
      <c r="E6" s="128">
        <v>2014</v>
      </c>
      <c r="F6" s="128">
        <v>2015</v>
      </c>
      <c r="G6" s="128">
        <v>2016</v>
      </c>
      <c r="H6" s="128">
        <v>2017</v>
      </c>
      <c r="I6" s="128">
        <v>2018</v>
      </c>
      <c r="J6" s="128">
        <v>2019</v>
      </c>
      <c r="K6" s="128">
        <v>2020</v>
      </c>
      <c r="L6" s="128">
        <v>2021</v>
      </c>
      <c r="M6" s="128">
        <v>2022</v>
      </c>
      <c r="N6" s="128">
        <v>2023</v>
      </c>
      <c r="O6" s="128">
        <v>2024</v>
      </c>
      <c r="P6" s="128">
        <v>2025</v>
      </c>
      <c r="Q6" s="128">
        <v>2026</v>
      </c>
      <c r="R6" s="128">
        <v>2027</v>
      </c>
      <c r="S6" s="128">
        <v>2028</v>
      </c>
      <c r="T6" s="128">
        <v>2029</v>
      </c>
      <c r="U6" s="128">
        <v>2030</v>
      </c>
      <c r="V6" s="128"/>
      <c r="W6" s="128"/>
      <c r="X6" s="128"/>
    </row>
    <row r="7" spans="4:34" x14ac:dyDescent="0.5">
      <c r="D7" s="129" t="s">
        <v>58</v>
      </c>
      <c r="E7" s="130">
        <v>61490</v>
      </c>
      <c r="F7" s="130">
        <v>70891</v>
      </c>
      <c r="G7" s="130">
        <v>79244</v>
      </c>
      <c r="H7" s="130">
        <v>84779</v>
      </c>
      <c r="I7" s="130">
        <v>90327</v>
      </c>
      <c r="J7" s="130">
        <v>77363</v>
      </c>
      <c r="K7" s="130">
        <v>66325</v>
      </c>
      <c r="L7" s="130">
        <v>84779</v>
      </c>
      <c r="M7" s="130">
        <v>90327</v>
      </c>
      <c r="N7" s="130">
        <v>77363</v>
      </c>
      <c r="O7" s="130">
        <v>86230.733333333395</v>
      </c>
      <c r="P7" s="130">
        <v>87674.721212121192</v>
      </c>
      <c r="Q7" s="130">
        <v>89118.709090908989</v>
      </c>
      <c r="R7" s="130">
        <v>90562.696969696786</v>
      </c>
      <c r="S7" s="130">
        <v>92006.684848484583</v>
      </c>
      <c r="T7" s="130">
        <v>93450.672727272846</v>
      </c>
      <c r="U7" s="130">
        <v>94894.660606060643</v>
      </c>
      <c r="V7" s="130"/>
      <c r="W7" s="130"/>
      <c r="X7" s="130"/>
    </row>
    <row r="8" spans="4:34" x14ac:dyDescent="0.5">
      <c r="D8" s="129" t="s">
        <v>41</v>
      </c>
      <c r="E8" s="130">
        <v>52456</v>
      </c>
      <c r="F8" s="130">
        <v>59143</v>
      </c>
      <c r="G8" s="130">
        <v>65345</v>
      </c>
      <c r="H8" s="130">
        <v>71812</v>
      </c>
      <c r="I8" s="130">
        <v>76878</v>
      </c>
      <c r="J8" s="130">
        <v>66276</v>
      </c>
      <c r="K8" s="130">
        <v>58343</v>
      </c>
      <c r="L8" s="130">
        <v>71812</v>
      </c>
      <c r="M8" s="130">
        <v>76878</v>
      </c>
      <c r="N8" s="130">
        <v>66276</v>
      </c>
      <c r="O8" s="130">
        <v>73066.868575808752</v>
      </c>
      <c r="P8" s="130">
        <v>74256.862862319365</v>
      </c>
      <c r="Q8" s="130">
        <v>75446.857148829979</v>
      </c>
      <c r="R8" s="130">
        <v>76636.851435340577</v>
      </c>
      <c r="S8" s="130">
        <v>77826.84572185119</v>
      </c>
      <c r="T8" s="130">
        <v>79016.840008362182</v>
      </c>
      <c r="U8" s="130">
        <v>80206.834294872795</v>
      </c>
      <c r="V8" s="130"/>
      <c r="W8" s="130"/>
      <c r="X8" s="130"/>
    </row>
    <row r="9" spans="4:34" x14ac:dyDescent="0.5">
      <c r="D9" s="131" t="s">
        <v>42</v>
      </c>
      <c r="E9" s="130">
        <f>E7-E8</f>
        <v>9034</v>
      </c>
      <c r="F9" s="130">
        <f t="shared" ref="F9:R9" si="0">F7-F8</f>
        <v>11748</v>
      </c>
      <c r="G9" s="130">
        <f t="shared" si="0"/>
        <v>13899</v>
      </c>
      <c r="H9" s="130">
        <f t="shared" si="0"/>
        <v>12967</v>
      </c>
      <c r="I9" s="130">
        <f t="shared" si="0"/>
        <v>13449</v>
      </c>
      <c r="J9" s="130">
        <f t="shared" si="0"/>
        <v>11087</v>
      </c>
      <c r="K9" s="130">
        <f t="shared" si="0"/>
        <v>7982</v>
      </c>
      <c r="L9" s="130">
        <f t="shared" si="0"/>
        <v>12967</v>
      </c>
      <c r="M9" s="130">
        <f t="shared" si="0"/>
        <v>13449</v>
      </c>
      <c r="N9" s="130">
        <f t="shared" si="0"/>
        <v>11087</v>
      </c>
      <c r="O9" s="130">
        <f t="shared" si="0"/>
        <v>13163.864757524643</v>
      </c>
      <c r="P9" s="130">
        <f t="shared" si="0"/>
        <v>13417.858349801827</v>
      </c>
      <c r="Q9" s="130">
        <f>Q7-Q8</f>
        <v>13671.851942079011</v>
      </c>
      <c r="R9" s="130">
        <f t="shared" si="0"/>
        <v>13925.845534356209</v>
      </c>
      <c r="S9" s="130">
        <f>S7-S8</f>
        <v>14179.839126633393</v>
      </c>
      <c r="T9" s="130">
        <f>T7-T8</f>
        <v>14433.832718910664</v>
      </c>
      <c r="U9" s="130">
        <f>U7-U8</f>
        <v>14687.826311187848</v>
      </c>
      <c r="V9" s="132"/>
      <c r="W9" s="132"/>
      <c r="X9" s="132"/>
    </row>
    <row r="10" spans="4:34" x14ac:dyDescent="0.5">
      <c r="D10" s="129" t="s">
        <v>193</v>
      </c>
      <c r="E10" s="130">
        <v>3587</v>
      </c>
      <c r="F10" s="130">
        <v>4393</v>
      </c>
      <c r="G10" s="130">
        <v>4957</v>
      </c>
      <c r="H10" s="130">
        <v>5818</v>
      </c>
      <c r="I10" s="130">
        <v>5746</v>
      </c>
      <c r="J10" s="130">
        <v>5328</v>
      </c>
      <c r="K10" s="130">
        <v>4980</v>
      </c>
      <c r="L10" s="130">
        <v>5818</v>
      </c>
      <c r="M10" s="130">
        <v>5746</v>
      </c>
      <c r="N10" s="130">
        <v>5328</v>
      </c>
      <c r="O10" s="130">
        <v>5692.88002067244</v>
      </c>
      <c r="P10" s="130">
        <v>5787.9309335219687</v>
      </c>
      <c r="Q10" s="130">
        <v>5882.9818463714973</v>
      </c>
      <c r="R10" s="130">
        <v>5978.032759221026</v>
      </c>
      <c r="S10" s="130">
        <v>6073.0836720705538</v>
      </c>
      <c r="T10" s="130">
        <v>6168.1345849201134</v>
      </c>
      <c r="U10" s="130">
        <v>6263.1854977696421</v>
      </c>
      <c r="V10" s="130"/>
      <c r="W10" s="130"/>
      <c r="X10" s="130"/>
    </row>
    <row r="11" spans="4:34" x14ac:dyDescent="0.5">
      <c r="D11" s="129" t="s">
        <v>198</v>
      </c>
      <c r="E11" s="130">
        <v>3784</v>
      </c>
      <c r="F11" s="130">
        <v>4609</v>
      </c>
      <c r="G11" s="130">
        <v>5872</v>
      </c>
      <c r="H11" s="130">
        <v>6320</v>
      </c>
      <c r="I11" s="130">
        <v>6166</v>
      </c>
      <c r="J11" s="130">
        <v>6079</v>
      </c>
      <c r="K11" s="130">
        <v>6826</v>
      </c>
      <c r="L11" s="133">
        <v>6620.36</v>
      </c>
      <c r="M11" s="133">
        <v>6390.0599999999995</v>
      </c>
      <c r="N11" s="133">
        <v>7399.32</v>
      </c>
      <c r="O11" s="133">
        <v>7399.32</v>
      </c>
      <c r="P11" s="133">
        <v>7399.32</v>
      </c>
      <c r="Q11" s="133">
        <v>7399.32</v>
      </c>
      <c r="R11" s="133">
        <v>7399.32</v>
      </c>
      <c r="S11" s="133">
        <v>7399.32</v>
      </c>
      <c r="T11" s="133">
        <v>7399.32</v>
      </c>
      <c r="U11" s="133">
        <v>7399.32</v>
      </c>
      <c r="V11" s="132"/>
      <c r="W11" s="132"/>
      <c r="X11" s="132"/>
    </row>
    <row r="12" spans="4:34" x14ac:dyDescent="0.5">
      <c r="D12" s="131" t="s">
        <v>199</v>
      </c>
      <c r="E12" s="134">
        <f>+E9-E10-E11</f>
        <v>1663</v>
      </c>
      <c r="F12" s="134">
        <f t="shared" ref="F12:K12" si="1">+F9-F10-F11</f>
        <v>2746</v>
      </c>
      <c r="G12" s="134">
        <f>+G9-G10-G11</f>
        <v>3070</v>
      </c>
      <c r="H12" s="134">
        <f t="shared" si="1"/>
        <v>829</v>
      </c>
      <c r="I12" s="134">
        <f t="shared" si="1"/>
        <v>1537</v>
      </c>
      <c r="J12" s="134">
        <f>+J9-J10-J11</f>
        <v>-320</v>
      </c>
      <c r="K12" s="134">
        <f t="shared" si="1"/>
        <v>-3824</v>
      </c>
      <c r="L12" s="134">
        <f>+L9-L10-L11</f>
        <v>528.64000000000033</v>
      </c>
      <c r="M12" s="134">
        <f>+M9-M10-M11</f>
        <v>1312.9400000000005</v>
      </c>
      <c r="N12" s="134">
        <f>+N9-N10-N11</f>
        <v>-1640.3199999999997</v>
      </c>
      <c r="O12" s="134">
        <f t="shared" ref="O12:U12" si="2">+O9-O10-O11</f>
        <v>71.664736852203532</v>
      </c>
      <c r="P12" s="134">
        <f t="shared" si="2"/>
        <v>230.60741627985863</v>
      </c>
      <c r="Q12" s="134">
        <f>+Q9-Q10-Q11</f>
        <v>389.55009570751372</v>
      </c>
      <c r="R12" s="134">
        <f t="shared" si="2"/>
        <v>548.49277513518336</v>
      </c>
      <c r="S12" s="134">
        <f t="shared" si="2"/>
        <v>707.43545456283937</v>
      </c>
      <c r="T12" s="134">
        <f t="shared" si="2"/>
        <v>866.37813399055085</v>
      </c>
      <c r="U12" s="134">
        <f t="shared" si="2"/>
        <v>1025.3208134182059</v>
      </c>
      <c r="V12" s="132"/>
      <c r="W12" s="132"/>
      <c r="X12" s="132"/>
    </row>
    <row r="14" spans="4:34" x14ac:dyDescent="0.5">
      <c r="D14" s="136" t="s">
        <v>200</v>
      </c>
      <c r="E14" s="137">
        <f>+E12</f>
        <v>1663</v>
      </c>
      <c r="F14" s="137">
        <f t="shared" ref="F14:P14" si="3">+F12</f>
        <v>2746</v>
      </c>
      <c r="G14" s="137">
        <f t="shared" si="3"/>
        <v>3070</v>
      </c>
      <c r="H14" s="137">
        <f t="shared" si="3"/>
        <v>829</v>
      </c>
      <c r="I14" s="137">
        <f t="shared" si="3"/>
        <v>1537</v>
      </c>
      <c r="J14" s="137">
        <f>+J12</f>
        <v>-320</v>
      </c>
      <c r="K14" s="137">
        <f t="shared" si="3"/>
        <v>-3824</v>
      </c>
      <c r="L14" s="137">
        <f t="shared" si="3"/>
        <v>528.64000000000033</v>
      </c>
      <c r="M14" s="137">
        <f t="shared" si="3"/>
        <v>1312.9400000000005</v>
      </c>
      <c r="N14" s="137">
        <f t="shared" si="3"/>
        <v>-1640.3199999999997</v>
      </c>
      <c r="O14" s="137">
        <f t="shared" si="3"/>
        <v>71.664736852203532</v>
      </c>
      <c r="P14" s="137">
        <f t="shared" si="3"/>
        <v>230.60741627985863</v>
      </c>
      <c r="Q14" s="137">
        <f>+Q12</f>
        <v>389.55009570751372</v>
      </c>
      <c r="R14" s="137">
        <f t="shared" ref="R14:T14" si="4">+R12</f>
        <v>548.49277513518336</v>
      </c>
      <c r="S14" s="137">
        <f t="shared" si="4"/>
        <v>707.43545456283937</v>
      </c>
      <c r="T14" s="137">
        <f t="shared" si="4"/>
        <v>866.37813399055085</v>
      </c>
      <c r="U14" s="137">
        <f>+U12</f>
        <v>1025.3208134182059</v>
      </c>
    </row>
    <row r="15" spans="4:34" x14ac:dyDescent="0.5">
      <c r="D15" s="136" t="s">
        <v>201</v>
      </c>
      <c r="E15" s="138">
        <f t="shared" ref="E15:O15" si="5">F15</f>
        <v>0.3</v>
      </c>
      <c r="F15" s="138">
        <f t="shared" si="5"/>
        <v>0.3</v>
      </c>
      <c r="G15" s="138">
        <f t="shared" si="5"/>
        <v>0.3</v>
      </c>
      <c r="H15" s="138">
        <f t="shared" si="5"/>
        <v>0.3</v>
      </c>
      <c r="I15" s="138">
        <f t="shared" si="5"/>
        <v>0.3</v>
      </c>
      <c r="J15" s="138">
        <f t="shared" si="5"/>
        <v>0.3</v>
      </c>
      <c r="K15" s="138">
        <f t="shared" si="5"/>
        <v>0.3</v>
      </c>
      <c r="L15" s="138">
        <f t="shared" si="5"/>
        <v>0.3</v>
      </c>
      <c r="M15" s="138">
        <f t="shared" si="5"/>
        <v>0.3</v>
      </c>
      <c r="N15" s="138">
        <f t="shared" si="5"/>
        <v>0.3</v>
      </c>
      <c r="O15" s="138">
        <f t="shared" si="5"/>
        <v>0.3</v>
      </c>
      <c r="P15" s="138">
        <f>Q15</f>
        <v>0.3</v>
      </c>
      <c r="Q15" s="138">
        <v>0.3</v>
      </c>
      <c r="R15" s="138">
        <f>+Q15</f>
        <v>0.3</v>
      </c>
      <c r="S15" s="138">
        <f t="shared" ref="S15:U15" si="6">+R15</f>
        <v>0.3</v>
      </c>
      <c r="T15" s="138">
        <f t="shared" si="6"/>
        <v>0.3</v>
      </c>
      <c r="U15" s="138">
        <f t="shared" si="6"/>
        <v>0.3</v>
      </c>
    </row>
    <row r="16" spans="4:34" x14ac:dyDescent="0.5">
      <c r="D16" s="139" t="s">
        <v>202</v>
      </c>
      <c r="E16" s="140">
        <f>+E14*(1-E15)</f>
        <v>1164.0999999999999</v>
      </c>
      <c r="F16" s="140">
        <f t="shared" ref="F16:P16" si="7">+F14*(1-F15)</f>
        <v>1922.1999999999998</v>
      </c>
      <c r="G16" s="140">
        <f t="shared" si="7"/>
        <v>2149</v>
      </c>
      <c r="H16" s="140">
        <f t="shared" si="7"/>
        <v>580.29999999999995</v>
      </c>
      <c r="I16" s="140">
        <f t="shared" si="7"/>
        <v>1075.8999999999999</v>
      </c>
      <c r="J16" s="140">
        <f>+J14*(1-J15)</f>
        <v>-224</v>
      </c>
      <c r="K16" s="140">
        <f t="shared" si="7"/>
        <v>-2676.7999999999997</v>
      </c>
      <c r="L16" s="140">
        <f t="shared" si="7"/>
        <v>370.04800000000023</v>
      </c>
      <c r="M16" s="140">
        <f t="shared" si="7"/>
        <v>919.05800000000033</v>
      </c>
      <c r="N16" s="140">
        <f t="shared" si="7"/>
        <v>-1148.2239999999997</v>
      </c>
      <c r="O16" s="140">
        <f t="shared" si="7"/>
        <v>50.165315796542473</v>
      </c>
      <c r="P16" s="140">
        <f t="shared" si="7"/>
        <v>161.42519139590104</v>
      </c>
      <c r="Q16" s="140">
        <f>+Q14*(1-Q15)</f>
        <v>272.6850669952596</v>
      </c>
      <c r="R16" s="140">
        <f t="shared" ref="R16:S16" si="8">+R14*(1-R15)</f>
        <v>383.94494259462834</v>
      </c>
      <c r="S16" s="140">
        <f t="shared" si="8"/>
        <v>495.20481819398753</v>
      </c>
      <c r="T16" s="140">
        <f>+T14*(1-T15)</f>
        <v>606.46469379338555</v>
      </c>
      <c r="U16" s="140">
        <f>+U14*(1-U15)</f>
        <v>717.72456939274412</v>
      </c>
      <c r="AC16" s="126"/>
      <c r="AD16" s="126"/>
      <c r="AE16" s="126"/>
      <c r="AF16" s="126"/>
      <c r="AG16" s="126"/>
      <c r="AH16" s="126"/>
    </row>
    <row r="17" spans="4:34" x14ac:dyDescent="0.5">
      <c r="R17" s="47"/>
      <c r="S17" s="57"/>
      <c r="AC17" s="126"/>
      <c r="AD17" s="126"/>
      <c r="AE17" s="126"/>
      <c r="AF17" s="126"/>
      <c r="AG17" s="126"/>
      <c r="AH17" s="126"/>
    </row>
    <row r="18" spans="4:34" ht="14.7" thickBot="1" x14ac:dyDescent="0.55000000000000004">
      <c r="D18" s="145" t="s">
        <v>203</v>
      </c>
      <c r="E18" s="146"/>
      <c r="F18" s="147"/>
      <c r="G18" s="147"/>
      <c r="H18" s="147"/>
      <c r="I18" s="147"/>
      <c r="J18" s="147"/>
      <c r="K18" s="147"/>
      <c r="L18" s="147"/>
      <c r="M18" s="147"/>
      <c r="N18" s="147"/>
      <c r="O18" s="147"/>
      <c r="P18" s="147"/>
      <c r="Q18" s="148"/>
      <c r="R18" s="146"/>
      <c r="S18" s="146"/>
      <c r="T18" s="146"/>
      <c r="U18" s="146"/>
      <c r="AC18" s="126"/>
      <c r="AD18" s="126"/>
      <c r="AE18" s="126"/>
      <c r="AF18" s="126"/>
      <c r="AG18" s="126"/>
      <c r="AH18" s="126"/>
    </row>
    <row r="19" spans="4:34" x14ac:dyDescent="0.5">
      <c r="D19" s="149"/>
      <c r="E19" s="128">
        <v>2014</v>
      </c>
      <c r="F19" s="128">
        <v>2015</v>
      </c>
      <c r="G19" s="128">
        <v>2016</v>
      </c>
      <c r="H19" s="128">
        <v>2017</v>
      </c>
      <c r="I19" s="128">
        <v>2018</v>
      </c>
      <c r="J19" s="128">
        <v>2019</v>
      </c>
      <c r="K19" s="128">
        <v>2020</v>
      </c>
      <c r="L19" s="128">
        <v>2021</v>
      </c>
      <c r="M19" s="128">
        <v>2022</v>
      </c>
      <c r="N19" s="128">
        <v>2023</v>
      </c>
      <c r="O19" s="128">
        <v>2024</v>
      </c>
      <c r="P19" s="128">
        <v>2025</v>
      </c>
      <c r="Q19" s="128">
        <v>2026</v>
      </c>
      <c r="R19" s="128">
        <v>2027</v>
      </c>
      <c r="S19" s="128">
        <v>2028</v>
      </c>
      <c r="T19" s="128">
        <v>2029</v>
      </c>
      <c r="U19" s="128">
        <v>2030</v>
      </c>
      <c r="V19" s="48">
        <v>2031</v>
      </c>
      <c r="W19" s="48">
        <v>2032</v>
      </c>
      <c r="X19" s="48">
        <v>2033</v>
      </c>
      <c r="AC19" s="126"/>
      <c r="AD19" s="126"/>
      <c r="AE19" s="126"/>
      <c r="AF19" s="126"/>
      <c r="AG19" s="126"/>
      <c r="AH19" s="126"/>
    </row>
    <row r="20" spans="4:34" x14ac:dyDescent="0.5">
      <c r="D20" s="146" t="s">
        <v>204</v>
      </c>
      <c r="E20" s="133">
        <v>976</v>
      </c>
      <c r="F20" s="133">
        <v>1793</v>
      </c>
      <c r="G20" s="133">
        <v>2661</v>
      </c>
      <c r="H20" s="133">
        <v>3757</v>
      </c>
      <c r="I20" s="133">
        <v>3555</v>
      </c>
      <c r="J20" s="133">
        <v>5883</v>
      </c>
      <c r="K20" s="133">
        <v>8720</v>
      </c>
      <c r="L20" s="133">
        <v>5799</v>
      </c>
      <c r="M20" s="143">
        <v>8331.08</v>
      </c>
      <c r="N20" s="133">
        <v>6452.12</v>
      </c>
      <c r="O20" s="144">
        <f>+N20*(1+$B$133)</f>
        <v>6999.1672923643027</v>
      </c>
      <c r="P20" s="144">
        <f t="shared" ref="P20:U20" si="9">+O20*(1+$B$133)</f>
        <v>7592.5963538344367</v>
      </c>
      <c r="Q20" s="144">
        <f t="shared" si="9"/>
        <v>8236.3396936018635</v>
      </c>
      <c r="R20" s="144">
        <f t="shared" si="9"/>
        <v>8934.6632412695344</v>
      </c>
      <c r="S20" s="144">
        <f t="shared" si="9"/>
        <v>9692.1946161235919</v>
      </c>
      <c r="T20" s="144">
        <f t="shared" si="9"/>
        <v>10513.953793234106</v>
      </c>
      <c r="U20" s="144">
        <f t="shared" si="9"/>
        <v>11405.386369601581</v>
      </c>
      <c r="AC20" s="126"/>
      <c r="AD20" s="126"/>
      <c r="AE20" s="126"/>
      <c r="AF20" s="126"/>
      <c r="AG20" s="126"/>
      <c r="AH20" s="126"/>
    </row>
    <row r="21" spans="4:34" x14ac:dyDescent="0.5">
      <c r="D21" s="146" t="s">
        <v>205</v>
      </c>
      <c r="E21" s="133">
        <v>6902</v>
      </c>
      <c r="F21" s="133">
        <v>10720</v>
      </c>
      <c r="G21" s="133">
        <v>11581</v>
      </c>
      <c r="H21" s="133">
        <v>11406</v>
      </c>
      <c r="I21" s="133">
        <v>10247</v>
      </c>
      <c r="J21" s="133">
        <v>7860</v>
      </c>
      <c r="K21" s="133">
        <v>9229</v>
      </c>
      <c r="L21" s="133">
        <v>10389</v>
      </c>
      <c r="M21" s="133">
        <v>12717.46</v>
      </c>
      <c r="N21" s="143">
        <v>12113.16</v>
      </c>
      <c r="O21" s="144">
        <f>+$O$37</f>
        <v>13953.817486545702</v>
      </c>
      <c r="P21" s="144">
        <f t="shared" ref="P21:U21" si="10">+P7/$M$34</f>
        <v>13727.724183366958</v>
      </c>
      <c r="Q21" s="144">
        <f t="shared" si="10"/>
        <v>13953.817486545702</v>
      </c>
      <c r="R21" s="144">
        <f t="shared" si="10"/>
        <v>14179.910789724447</v>
      </c>
      <c r="S21" s="144">
        <f t="shared" si="10"/>
        <v>14406.004092903191</v>
      </c>
      <c r="T21" s="144">
        <f t="shared" si="10"/>
        <v>14632.097396082007</v>
      </c>
      <c r="U21" s="144">
        <f t="shared" si="10"/>
        <v>14858.190699260751</v>
      </c>
    </row>
    <row r="22" spans="4:34" x14ac:dyDescent="0.5">
      <c r="D22" s="146" t="s">
        <v>8</v>
      </c>
      <c r="E22" s="133">
        <v>8472</v>
      </c>
      <c r="F22" s="133">
        <v>8667</v>
      </c>
      <c r="G22" s="133">
        <v>11784</v>
      </c>
      <c r="H22" s="133">
        <v>12694</v>
      </c>
      <c r="I22" s="133">
        <v>12518</v>
      </c>
      <c r="J22" s="133">
        <v>11146</v>
      </c>
      <c r="K22" s="133">
        <v>12630</v>
      </c>
      <c r="L22" s="133">
        <v>16995</v>
      </c>
      <c r="M22" s="133">
        <v>16927.5</v>
      </c>
      <c r="N22" s="143">
        <v>18080.98</v>
      </c>
      <c r="O22" s="144">
        <f>+Z34</f>
        <v>20582.912595371661</v>
      </c>
      <c r="P22" s="144">
        <f t="shared" ref="P22:U22" si="11">+P8/$V$34</f>
        <v>20258.266224219016</v>
      </c>
      <c r="Q22" s="144">
        <f t="shared" si="11"/>
        <v>20582.912595371661</v>
      </c>
      <c r="R22" s="144">
        <f t="shared" si="11"/>
        <v>20907.558966524299</v>
      </c>
      <c r="S22" s="144">
        <f t="shared" si="11"/>
        <v>21232.205337676944</v>
      </c>
      <c r="T22" s="144">
        <f t="shared" si="11"/>
        <v>21556.851708829694</v>
      </c>
      <c r="U22" s="144">
        <f t="shared" si="11"/>
        <v>21881.498079982335</v>
      </c>
    </row>
    <row r="23" spans="4:34" x14ac:dyDescent="0.5">
      <c r="D23" s="145" t="s">
        <v>103</v>
      </c>
      <c r="E23" s="150">
        <f t="shared" ref="E23:O23" si="12">+E22+E21+E20</f>
        <v>16350</v>
      </c>
      <c r="F23" s="150">
        <f t="shared" si="12"/>
        <v>21180</v>
      </c>
      <c r="G23" s="150">
        <f t="shared" si="12"/>
        <v>26026</v>
      </c>
      <c r="H23" s="150">
        <f t="shared" si="12"/>
        <v>27857</v>
      </c>
      <c r="I23" s="150">
        <f t="shared" si="12"/>
        <v>26320</v>
      </c>
      <c r="J23" s="150">
        <f t="shared" si="12"/>
        <v>24889</v>
      </c>
      <c r="K23" s="150">
        <f t="shared" si="12"/>
        <v>30579</v>
      </c>
      <c r="L23" s="150">
        <f t="shared" si="12"/>
        <v>33183</v>
      </c>
      <c r="M23" s="150">
        <f t="shared" si="12"/>
        <v>37976.04</v>
      </c>
      <c r="N23" s="150">
        <f t="shared" si="12"/>
        <v>36646.26</v>
      </c>
      <c r="O23" s="150">
        <f t="shared" si="12"/>
        <v>41535.897374281667</v>
      </c>
      <c r="P23" s="150">
        <f t="shared" ref="P23:U23" si="13">+P22+P21+P20</f>
        <v>41578.586761420411</v>
      </c>
      <c r="Q23" s="150">
        <f t="shared" si="13"/>
        <v>42773.069775519223</v>
      </c>
      <c r="R23" s="150">
        <f t="shared" si="13"/>
        <v>44022.132997518274</v>
      </c>
      <c r="S23" s="150">
        <f t="shared" si="13"/>
        <v>45330.404046703727</v>
      </c>
      <c r="T23" s="150">
        <f t="shared" si="13"/>
        <v>46702.902898145803</v>
      </c>
      <c r="U23" s="150">
        <f t="shared" si="13"/>
        <v>48145.075148844669</v>
      </c>
    </row>
    <row r="24" spans="4:34" x14ac:dyDescent="0.5">
      <c r="D24" s="59"/>
      <c r="Q24" s="84"/>
      <c r="R24" s="84"/>
      <c r="S24" s="84"/>
      <c r="T24" s="84"/>
      <c r="U24" s="84"/>
    </row>
    <row r="25" spans="4:34" x14ac:dyDescent="0.5">
      <c r="L25" s="86" t="s">
        <v>206</v>
      </c>
      <c r="U25" s="86" t="s">
        <v>8</v>
      </c>
    </row>
    <row r="26" spans="4:34" x14ac:dyDescent="0.5">
      <c r="L26" s="87" t="s">
        <v>207</v>
      </c>
      <c r="M26" s="88"/>
      <c r="N26" s="89" t="s">
        <v>183</v>
      </c>
      <c r="O26" s="90" t="s">
        <v>208</v>
      </c>
      <c r="P26" s="88"/>
      <c r="Q26" s="91" t="s">
        <v>209</v>
      </c>
      <c r="R26" s="89" t="s">
        <v>183</v>
      </c>
      <c r="S26" s="92">
        <v>365</v>
      </c>
      <c r="U26" s="87" t="s">
        <v>210</v>
      </c>
      <c r="V26" s="88"/>
      <c r="W26" s="89" t="s">
        <v>183</v>
      </c>
      <c r="X26" s="93" t="s">
        <v>41</v>
      </c>
      <c r="Y26" s="88"/>
      <c r="Z26" s="91" t="s">
        <v>211</v>
      </c>
      <c r="AA26" s="89" t="s">
        <v>183</v>
      </c>
      <c r="AB26" s="92">
        <v>365</v>
      </c>
    </row>
    <row r="27" spans="4:34" x14ac:dyDescent="0.5">
      <c r="L27" s="94"/>
      <c r="O27" s="39" t="s">
        <v>212</v>
      </c>
      <c r="S27" s="95" t="s">
        <v>133</v>
      </c>
      <c r="U27" s="94"/>
      <c r="X27" s="7" t="s">
        <v>8</v>
      </c>
      <c r="AB27" s="95" t="s">
        <v>213</v>
      </c>
    </row>
    <row r="28" spans="4:34" x14ac:dyDescent="0.5">
      <c r="L28" s="94"/>
      <c r="S28" s="96"/>
      <c r="U28" s="94"/>
      <c r="AB28" s="96"/>
    </row>
    <row r="29" spans="4:34" x14ac:dyDescent="0.5">
      <c r="L29" s="94"/>
      <c r="Q29" s="50">
        <v>57.150102762302389</v>
      </c>
      <c r="R29" s="39" t="s">
        <v>183</v>
      </c>
      <c r="S29" s="97">
        <v>365</v>
      </c>
      <c r="U29" s="94" t="s">
        <v>214</v>
      </c>
      <c r="Z29" s="98">
        <v>99.576886052266303</v>
      </c>
      <c r="AA29" s="39" t="s">
        <v>183</v>
      </c>
      <c r="AB29" s="97">
        <v>365</v>
      </c>
    </row>
    <row r="30" spans="4:34" x14ac:dyDescent="0.5">
      <c r="L30" s="94"/>
      <c r="S30" s="95" t="s">
        <v>133</v>
      </c>
      <c r="U30" s="94"/>
      <c r="AB30" s="95" t="s">
        <v>213</v>
      </c>
    </row>
    <row r="31" spans="4:34" x14ac:dyDescent="0.5">
      <c r="L31" s="94"/>
      <c r="S31" s="96"/>
      <c r="U31" s="94"/>
      <c r="AB31" s="96"/>
    </row>
    <row r="32" spans="4:34" x14ac:dyDescent="0.5">
      <c r="L32" s="94"/>
      <c r="Q32" s="39" t="s">
        <v>133</v>
      </c>
      <c r="R32" s="39" t="s">
        <v>183</v>
      </c>
      <c r="S32" s="99">
        <f>+S29/Q29</f>
        <v>6.3866901782854351</v>
      </c>
      <c r="U32" s="94"/>
      <c r="Z32" s="39" t="s">
        <v>213</v>
      </c>
      <c r="AA32" s="39" t="s">
        <v>183</v>
      </c>
      <c r="AB32" s="100">
        <f>+AB29</f>
        <v>365</v>
      </c>
      <c r="AC32" s="39" t="s">
        <v>183</v>
      </c>
      <c r="AD32" s="53">
        <f>+AB32/AB33</f>
        <v>3.6655092810234837</v>
      </c>
    </row>
    <row r="33" spans="4:28" x14ac:dyDescent="0.5">
      <c r="L33" s="94"/>
      <c r="S33" s="96"/>
      <c r="U33" s="94"/>
      <c r="AB33" s="95">
        <f>+Z29</f>
        <v>99.576886052266303</v>
      </c>
    </row>
    <row r="34" spans="4:28" x14ac:dyDescent="0.5">
      <c r="L34" s="94"/>
      <c r="M34" s="53">
        <f>+S32</f>
        <v>6.3866901782854351</v>
      </c>
      <c r="N34" s="39" t="s">
        <v>183</v>
      </c>
      <c r="O34" s="101">
        <f>+Q7</f>
        <v>89118.709090908989</v>
      </c>
      <c r="S34" s="96"/>
      <c r="U34" s="94"/>
      <c r="V34" s="53">
        <f>+AD32</f>
        <v>3.6655092810234837</v>
      </c>
      <c r="W34" s="39" t="s">
        <v>183</v>
      </c>
      <c r="X34" s="102">
        <f>+Q8</f>
        <v>75446.857148829979</v>
      </c>
      <c r="Y34" s="39" t="s">
        <v>183</v>
      </c>
      <c r="Z34" s="103">
        <f>+X34/V34</f>
        <v>20582.912595371661</v>
      </c>
      <c r="AB34" s="96"/>
    </row>
    <row r="35" spans="4:28" x14ac:dyDescent="0.5">
      <c r="L35" s="94"/>
      <c r="O35" s="39" t="s">
        <v>212</v>
      </c>
      <c r="S35" s="96"/>
      <c r="U35" s="94"/>
      <c r="X35" s="7" t="s">
        <v>8</v>
      </c>
      <c r="AB35" s="96"/>
    </row>
    <row r="36" spans="4:28" x14ac:dyDescent="0.5">
      <c r="L36" s="94"/>
      <c r="S36" s="96"/>
      <c r="U36" s="94"/>
      <c r="AB36" s="96"/>
    </row>
    <row r="37" spans="4:28" x14ac:dyDescent="0.5">
      <c r="L37" s="104"/>
      <c r="M37" s="58" t="s">
        <v>130</v>
      </c>
      <c r="N37" s="58" t="s">
        <v>183</v>
      </c>
      <c r="O37" s="101">
        <f>+O34/M34</f>
        <v>13953.817486545702</v>
      </c>
      <c r="P37" s="60"/>
      <c r="Q37" s="60"/>
      <c r="R37" s="60"/>
      <c r="S37" s="105"/>
      <c r="U37" s="104"/>
      <c r="V37" s="60"/>
      <c r="W37" s="60"/>
      <c r="X37" s="60"/>
      <c r="Y37" s="60"/>
      <c r="Z37" s="60"/>
      <c r="AA37" s="60"/>
      <c r="AB37" s="105"/>
    </row>
    <row r="40" spans="4:28" x14ac:dyDescent="0.5">
      <c r="D40" s="68" t="s">
        <v>215</v>
      </c>
      <c r="E40" s="128">
        <v>2014</v>
      </c>
      <c r="F40" s="128">
        <v>2015</v>
      </c>
      <c r="G40" s="128">
        <v>2016</v>
      </c>
      <c r="H40" s="128">
        <v>2017</v>
      </c>
      <c r="I40" s="128">
        <v>2018</v>
      </c>
      <c r="J40" s="128">
        <v>2019</v>
      </c>
      <c r="K40" s="128">
        <v>2020</v>
      </c>
      <c r="L40" s="128">
        <v>2021</v>
      </c>
      <c r="M40" s="128">
        <v>2022</v>
      </c>
      <c r="N40" s="128">
        <v>2023</v>
      </c>
      <c r="O40" s="128">
        <v>2024</v>
      </c>
      <c r="P40" s="128">
        <v>2025</v>
      </c>
      <c r="Q40" s="128">
        <v>2026</v>
      </c>
      <c r="R40" s="128">
        <v>2027</v>
      </c>
      <c r="S40" s="128">
        <v>2028</v>
      </c>
      <c r="T40" s="128">
        <v>2029</v>
      </c>
      <c r="U40" s="128">
        <v>2030</v>
      </c>
      <c r="V40" s="128">
        <v>2031</v>
      </c>
      <c r="W40" s="128">
        <v>2032</v>
      </c>
      <c r="X40" s="128">
        <v>2033</v>
      </c>
    </row>
    <row r="41" spans="4:28" x14ac:dyDescent="0.5">
      <c r="D41" s="151" t="s">
        <v>216</v>
      </c>
      <c r="E41" s="14">
        <v>12737</v>
      </c>
      <c r="F41" s="14">
        <v>16515</v>
      </c>
      <c r="G41" s="14">
        <v>18894</v>
      </c>
      <c r="H41" s="14">
        <v>22949</v>
      </c>
      <c r="I41" s="14">
        <v>22480</v>
      </c>
      <c r="J41" s="14">
        <v>21166</v>
      </c>
      <c r="K41" s="14">
        <v>24985</v>
      </c>
      <c r="L41" s="14">
        <v>28186</v>
      </c>
      <c r="M41" s="27">
        <v>31543.32</v>
      </c>
      <c r="N41" s="27">
        <v>32041.119999999999</v>
      </c>
      <c r="O41" s="125">
        <f t="shared" ref="O41" si="14">+$O$55</f>
        <v>36474.769200442381</v>
      </c>
      <c r="P41" s="125">
        <f t="shared" ref="P41:Q41" si="15">+P8/$M$52</f>
        <v>35899.466681681428</v>
      </c>
      <c r="Q41" s="125">
        <f t="shared" si="15"/>
        <v>36474.769200442381</v>
      </c>
      <c r="R41" s="125">
        <f>+R8/$M$52</f>
        <v>37050.071719203326</v>
      </c>
      <c r="S41" s="125">
        <f>+S8/$M$52</f>
        <v>37625.374237964279</v>
      </c>
      <c r="T41" s="125">
        <f t="shared" ref="T41:U41" si="16">+T8/$M$52</f>
        <v>38200.676756725414</v>
      </c>
      <c r="U41" s="125">
        <f t="shared" si="16"/>
        <v>38775.979275486367</v>
      </c>
      <c r="V41" s="13"/>
      <c r="W41" s="13"/>
      <c r="X41" s="13"/>
    </row>
    <row r="43" spans="4:28" x14ac:dyDescent="0.5">
      <c r="L43" s="141" t="s">
        <v>217</v>
      </c>
    </row>
    <row r="44" spans="4:28" x14ac:dyDescent="0.5">
      <c r="L44" s="87" t="s">
        <v>218</v>
      </c>
      <c r="M44" s="88"/>
      <c r="N44" s="89" t="s">
        <v>183</v>
      </c>
      <c r="O44" s="90" t="s">
        <v>41</v>
      </c>
      <c r="P44" s="88"/>
      <c r="Q44" s="91" t="s">
        <v>219</v>
      </c>
      <c r="R44" s="89" t="s">
        <v>183</v>
      </c>
      <c r="S44" s="92">
        <v>365</v>
      </c>
    </row>
    <row r="45" spans="4:28" x14ac:dyDescent="0.5">
      <c r="L45" s="94"/>
      <c r="O45" s="39" t="s">
        <v>220</v>
      </c>
      <c r="S45" s="95" t="s">
        <v>138</v>
      </c>
    </row>
    <row r="46" spans="4:28" x14ac:dyDescent="0.5">
      <c r="L46" s="94"/>
      <c r="S46" s="96"/>
    </row>
    <row r="47" spans="4:28" x14ac:dyDescent="0.5">
      <c r="L47" s="94"/>
      <c r="Q47" s="7">
        <v>176.45918281127405</v>
      </c>
      <c r="R47" s="39" t="s">
        <v>183</v>
      </c>
      <c r="S47" s="97">
        <v>365</v>
      </c>
    </row>
    <row r="48" spans="4:28" x14ac:dyDescent="0.5">
      <c r="L48" s="94"/>
      <c r="S48" s="95" t="s">
        <v>133</v>
      </c>
    </row>
    <row r="49" spans="5:21" x14ac:dyDescent="0.5">
      <c r="L49" s="94"/>
      <c r="S49" s="96"/>
    </row>
    <row r="50" spans="5:21" x14ac:dyDescent="0.5">
      <c r="L50" s="94"/>
      <c r="Q50" s="39" t="s">
        <v>133</v>
      </c>
      <c r="R50" s="39" t="s">
        <v>183</v>
      </c>
      <c r="S50" s="99">
        <f>+S47/Q47</f>
        <v>2.068467019879455</v>
      </c>
    </row>
    <row r="51" spans="5:21" x14ac:dyDescent="0.5">
      <c r="L51" s="94"/>
      <c r="S51" s="96"/>
    </row>
    <row r="52" spans="5:21" x14ac:dyDescent="0.5">
      <c r="L52" s="94"/>
      <c r="M52" s="53">
        <f>+S50</f>
        <v>2.068467019879455</v>
      </c>
      <c r="N52" s="39" t="s">
        <v>183</v>
      </c>
      <c r="O52" s="101">
        <f>+Q8</f>
        <v>75446.857148829979</v>
      </c>
      <c r="S52" s="96"/>
    </row>
    <row r="53" spans="5:21" x14ac:dyDescent="0.5">
      <c r="L53" s="94"/>
      <c r="O53" s="39" t="s">
        <v>212</v>
      </c>
      <c r="S53" s="96"/>
    </row>
    <row r="54" spans="5:21" x14ac:dyDescent="0.5">
      <c r="L54" s="94"/>
      <c r="S54" s="96"/>
    </row>
    <row r="55" spans="5:21" x14ac:dyDescent="0.5">
      <c r="L55" s="104"/>
      <c r="M55" s="58" t="s">
        <v>135</v>
      </c>
      <c r="N55" s="58" t="s">
        <v>183</v>
      </c>
      <c r="O55" s="101">
        <f>+O52/M52</f>
        <v>36474.769200442381</v>
      </c>
      <c r="P55" s="60"/>
      <c r="Q55" s="60"/>
      <c r="R55" s="60"/>
      <c r="S55" s="105"/>
    </row>
    <row r="59" spans="5:21" x14ac:dyDescent="0.5">
      <c r="N59" s="128">
        <v>2023</v>
      </c>
      <c r="O59" s="128">
        <v>2024</v>
      </c>
      <c r="P59" s="128">
        <v>2025</v>
      </c>
      <c r="Q59" s="128">
        <v>2026</v>
      </c>
      <c r="R59" s="128">
        <v>2027</v>
      </c>
      <c r="S59" s="128">
        <v>2028</v>
      </c>
      <c r="T59" s="128">
        <v>2029</v>
      </c>
      <c r="U59" s="128">
        <v>2030</v>
      </c>
    </row>
    <row r="60" spans="5:21" x14ac:dyDescent="0.5">
      <c r="M60" s="7" t="s">
        <v>221</v>
      </c>
      <c r="N60" s="125">
        <f t="shared" ref="N60" si="17">+N23</f>
        <v>36646.26</v>
      </c>
      <c r="O60" s="125">
        <f t="shared" ref="O60" si="18">+O23</f>
        <v>41535.897374281667</v>
      </c>
      <c r="P60" s="125">
        <f>+P23</f>
        <v>41578.586761420411</v>
      </c>
      <c r="Q60" s="125">
        <f t="shared" ref="Q60:U60" si="19">+Q23</f>
        <v>42773.069775519223</v>
      </c>
      <c r="R60" s="125">
        <f t="shared" si="19"/>
        <v>44022.132997518274</v>
      </c>
      <c r="S60" s="125">
        <f t="shared" si="19"/>
        <v>45330.404046703727</v>
      </c>
      <c r="T60" s="125">
        <f t="shared" si="19"/>
        <v>46702.902898145803</v>
      </c>
      <c r="U60" s="125">
        <f t="shared" si="19"/>
        <v>48145.075148844669</v>
      </c>
    </row>
    <row r="61" spans="5:21" x14ac:dyDescent="0.5">
      <c r="M61" s="7" t="s">
        <v>215</v>
      </c>
      <c r="N61" s="125">
        <f t="shared" ref="N61" si="20">+N41</f>
        <v>32041.119999999999</v>
      </c>
      <c r="O61" s="125">
        <f t="shared" ref="O61" si="21">+O41</f>
        <v>36474.769200442381</v>
      </c>
      <c r="P61" s="125">
        <f>+P41</f>
        <v>35899.466681681428</v>
      </c>
      <c r="Q61" s="125">
        <f t="shared" ref="Q61:U61" si="22">+Q41</f>
        <v>36474.769200442381</v>
      </c>
      <c r="R61" s="125">
        <f t="shared" si="22"/>
        <v>37050.071719203326</v>
      </c>
      <c r="S61" s="125">
        <f t="shared" si="22"/>
        <v>37625.374237964279</v>
      </c>
      <c r="T61" s="125">
        <f t="shared" si="22"/>
        <v>38200.676756725414</v>
      </c>
      <c r="U61" s="125">
        <f t="shared" si="22"/>
        <v>38775.979275486367</v>
      </c>
    </row>
    <row r="62" spans="5:21" x14ac:dyDescent="0.5">
      <c r="M62" s="7" t="s">
        <v>106</v>
      </c>
      <c r="N62" s="125">
        <f t="shared" ref="N62:O62" si="23">+N60-N61</f>
        <v>4605.1400000000031</v>
      </c>
      <c r="O62" s="125">
        <f t="shared" si="23"/>
        <v>5061.1281738392863</v>
      </c>
      <c r="P62" s="125">
        <f>+P60-P61</f>
        <v>5679.1200797389829</v>
      </c>
      <c r="Q62" s="125">
        <f t="shared" ref="Q62:U62" si="24">+Q60-Q61</f>
        <v>6298.3005750768425</v>
      </c>
      <c r="R62" s="125">
        <f>+R60-R61</f>
        <v>6972.0612783149481</v>
      </c>
      <c r="S62" s="125">
        <f t="shared" si="24"/>
        <v>7705.0298087394476</v>
      </c>
      <c r="T62" s="125">
        <f t="shared" si="24"/>
        <v>8502.2261414203895</v>
      </c>
      <c r="U62" s="125">
        <f t="shared" si="24"/>
        <v>9369.0958733583029</v>
      </c>
    </row>
    <row r="63" spans="5:21" x14ac:dyDescent="0.5">
      <c r="E63" s="165"/>
      <c r="F63" s="165"/>
      <c r="G63" s="167"/>
      <c r="H63" s="155"/>
      <c r="I63" s="156"/>
      <c r="J63" s="161"/>
      <c r="K63" s="157"/>
      <c r="L63" s="159"/>
      <c r="M63" s="106" t="s">
        <v>222</v>
      </c>
      <c r="N63" s="152"/>
      <c r="O63" s="153">
        <f t="shared" ref="O63:P63" si="25">+O62-N62</f>
        <v>455.98817383928326</v>
      </c>
      <c r="P63" s="153">
        <f t="shared" si="25"/>
        <v>617.99190589969658</v>
      </c>
      <c r="Q63" s="153">
        <f>+Q62-P62</f>
        <v>619.18049533785961</v>
      </c>
      <c r="R63" s="153">
        <f t="shared" ref="R63:T63" si="26">+R62-Q62</f>
        <v>673.76070323810563</v>
      </c>
      <c r="S63" s="153">
        <f t="shared" si="26"/>
        <v>732.96853042449948</v>
      </c>
      <c r="T63" s="153">
        <f t="shared" si="26"/>
        <v>797.19633268094185</v>
      </c>
      <c r="U63" s="153">
        <f>+U62-T62</f>
        <v>866.86973193791346</v>
      </c>
    </row>
    <row r="64" spans="5:21" x14ac:dyDescent="0.5">
      <c r="E64" s="166"/>
      <c r="F64" s="155"/>
      <c r="G64" s="156"/>
      <c r="H64" s="163"/>
      <c r="I64" s="164"/>
      <c r="J64" s="162"/>
      <c r="K64" s="158"/>
      <c r="L64" s="160"/>
    </row>
    <row r="66" spans="2:24" x14ac:dyDescent="0.5">
      <c r="D66" s="135" t="s">
        <v>223</v>
      </c>
      <c r="E66" s="128">
        <v>2014</v>
      </c>
      <c r="F66" s="128">
        <v>2015</v>
      </c>
      <c r="G66" s="128">
        <v>2016</v>
      </c>
      <c r="H66" s="128">
        <v>2017</v>
      </c>
      <c r="I66" s="128">
        <v>2018</v>
      </c>
      <c r="J66" s="128">
        <v>2019</v>
      </c>
      <c r="K66" s="128">
        <v>2020</v>
      </c>
      <c r="L66" s="128">
        <v>2021</v>
      </c>
      <c r="M66" s="128">
        <v>2022</v>
      </c>
      <c r="N66" s="128">
        <v>2023</v>
      </c>
      <c r="O66" s="128">
        <v>2024</v>
      </c>
      <c r="P66" s="128">
        <v>2025</v>
      </c>
      <c r="Q66" s="128">
        <v>2026</v>
      </c>
      <c r="R66" s="128">
        <v>2027</v>
      </c>
      <c r="S66" s="128">
        <v>2028</v>
      </c>
      <c r="T66" s="128">
        <v>2029</v>
      </c>
      <c r="U66" s="128">
        <v>2030</v>
      </c>
      <c r="V66" s="128">
        <v>2031</v>
      </c>
      <c r="W66" s="128">
        <v>2032</v>
      </c>
      <c r="X66" s="128">
        <v>2033</v>
      </c>
    </row>
    <row r="67" spans="2:24" x14ac:dyDescent="0.5">
      <c r="B67" s="107"/>
      <c r="C67" s="59"/>
      <c r="D67" s="13" t="s">
        <v>276</v>
      </c>
      <c r="E67" s="14"/>
      <c r="F67" s="14">
        <v>59091</v>
      </c>
      <c r="G67" s="14">
        <v>72018</v>
      </c>
      <c r="H67" s="14">
        <v>91893</v>
      </c>
      <c r="I67" s="14">
        <v>96689</v>
      </c>
      <c r="J67" s="14">
        <v>93258</v>
      </c>
      <c r="K67" s="14">
        <v>88744</v>
      </c>
      <c r="L67" s="14">
        <v>98732</v>
      </c>
      <c r="M67" s="14">
        <v>101395</v>
      </c>
      <c r="N67" s="27">
        <v>105290.44</v>
      </c>
      <c r="O67" s="27">
        <f>N70</f>
        <v>110150.94</v>
      </c>
      <c r="P67" s="125">
        <f>O70</f>
        <v>104901.62</v>
      </c>
      <c r="Q67" s="125">
        <f t="shared" ref="Q67:U67" si="27">P70</f>
        <v>99652.299999999988</v>
      </c>
      <c r="R67" s="125">
        <f>Q70</f>
        <v>94402.979999999981</v>
      </c>
      <c r="S67" s="125">
        <f t="shared" si="27"/>
        <v>89153.659999999974</v>
      </c>
      <c r="T67" s="125">
        <f t="shared" si="27"/>
        <v>83904.339999999967</v>
      </c>
      <c r="U67" s="125">
        <f t="shared" si="27"/>
        <v>78655.01999999996</v>
      </c>
      <c r="V67" s="13"/>
      <c r="W67" s="13"/>
      <c r="X67" s="13"/>
    </row>
    <row r="68" spans="2:24" x14ac:dyDescent="0.5">
      <c r="B68" s="108"/>
      <c r="C68" s="59"/>
      <c r="D68" s="154" t="s">
        <v>275</v>
      </c>
      <c r="E68" s="125">
        <f t="shared" ref="E68:P68" si="28">E11</f>
        <v>3784</v>
      </c>
      <c r="F68" s="125">
        <f t="shared" si="28"/>
        <v>4609</v>
      </c>
      <c r="G68" s="125">
        <f t="shared" si="28"/>
        <v>5872</v>
      </c>
      <c r="H68" s="125">
        <f t="shared" si="28"/>
        <v>6320</v>
      </c>
      <c r="I68" s="125">
        <f t="shared" si="28"/>
        <v>6166</v>
      </c>
      <c r="J68" s="125">
        <f t="shared" si="28"/>
        <v>6079</v>
      </c>
      <c r="K68" s="125">
        <f t="shared" si="28"/>
        <v>6826</v>
      </c>
      <c r="L68" s="125">
        <f t="shared" si="28"/>
        <v>6620.36</v>
      </c>
      <c r="M68" s="125">
        <f t="shared" si="28"/>
        <v>6390.0599999999995</v>
      </c>
      <c r="N68" s="125">
        <f t="shared" si="28"/>
        <v>7399.32</v>
      </c>
      <c r="O68" s="125">
        <f t="shared" si="28"/>
        <v>7399.32</v>
      </c>
      <c r="P68" s="125">
        <f t="shared" si="28"/>
        <v>7399.32</v>
      </c>
      <c r="Q68" s="125">
        <f>+P68</f>
        <v>7399.32</v>
      </c>
      <c r="R68" s="125">
        <f>+Q68</f>
        <v>7399.32</v>
      </c>
      <c r="S68" s="125">
        <f t="shared" ref="S68:U68" si="29">+R68</f>
        <v>7399.32</v>
      </c>
      <c r="T68" s="125">
        <f t="shared" si="29"/>
        <v>7399.32</v>
      </c>
      <c r="U68" s="125">
        <f t="shared" si="29"/>
        <v>7399.32</v>
      </c>
      <c r="V68" s="13"/>
      <c r="W68" s="13"/>
      <c r="X68" s="13"/>
    </row>
    <row r="69" spans="2:24" x14ac:dyDescent="0.5">
      <c r="B69" s="108"/>
      <c r="C69" s="59"/>
      <c r="D69" s="154" t="s">
        <v>226</v>
      </c>
      <c r="E69" s="125"/>
      <c r="F69" s="125"/>
      <c r="G69" s="125"/>
      <c r="H69" s="125"/>
      <c r="I69" s="125"/>
      <c r="J69" s="125"/>
      <c r="K69" s="125"/>
      <c r="L69" s="125"/>
      <c r="M69" s="125"/>
      <c r="N69" s="125"/>
      <c r="O69" s="125">
        <f>$N$72</f>
        <v>2150</v>
      </c>
      <c r="P69" s="125">
        <f>$N$72</f>
        <v>2150</v>
      </c>
      <c r="Q69" s="125">
        <f t="shared" ref="Q69:U69" si="30">$N$72</f>
        <v>2150</v>
      </c>
      <c r="R69" s="125">
        <f t="shared" si="30"/>
        <v>2150</v>
      </c>
      <c r="S69" s="125">
        <f t="shared" si="30"/>
        <v>2150</v>
      </c>
      <c r="T69" s="125">
        <f t="shared" si="30"/>
        <v>2150</v>
      </c>
      <c r="U69" s="125">
        <f t="shared" si="30"/>
        <v>2150</v>
      </c>
      <c r="V69" s="13"/>
      <c r="W69" s="13"/>
      <c r="X69" s="13"/>
    </row>
    <row r="70" spans="2:24" x14ac:dyDescent="0.5">
      <c r="B70" s="108"/>
      <c r="C70" s="59"/>
      <c r="D70" s="154" t="s">
        <v>108</v>
      </c>
      <c r="E70" s="14">
        <v>59091</v>
      </c>
      <c r="F70" s="14">
        <v>72018</v>
      </c>
      <c r="G70" s="14">
        <v>91893</v>
      </c>
      <c r="H70" s="14">
        <v>96689</v>
      </c>
      <c r="I70" s="14">
        <v>93258</v>
      </c>
      <c r="J70" s="14">
        <v>88744</v>
      </c>
      <c r="K70" s="14">
        <v>98732</v>
      </c>
      <c r="L70" s="14">
        <v>101395</v>
      </c>
      <c r="M70" s="27">
        <v>105290.44</v>
      </c>
      <c r="N70" s="27">
        <v>110150.94</v>
      </c>
      <c r="O70" s="125">
        <f>+O67-O68+O69</f>
        <v>104901.62</v>
      </c>
      <c r="P70" s="125">
        <f t="shared" ref="P70" si="31">+P67-P68+P69</f>
        <v>99652.299999999988</v>
      </c>
      <c r="Q70" s="125">
        <f>+Q67-Q68+Q69</f>
        <v>94402.979999999981</v>
      </c>
      <c r="R70" s="125">
        <f>+R67-R68+R69</f>
        <v>89153.659999999974</v>
      </c>
      <c r="S70" s="125">
        <f t="shared" ref="S70:U70" si="32">+S67-S68+S69</f>
        <v>83904.339999999967</v>
      </c>
      <c r="T70" s="125">
        <f t="shared" si="32"/>
        <v>78655.01999999996</v>
      </c>
      <c r="U70" s="125">
        <f t="shared" si="32"/>
        <v>73405.699999999953</v>
      </c>
      <c r="V70" s="13"/>
      <c r="W70" s="13"/>
      <c r="X70" s="13"/>
    </row>
    <row r="71" spans="2:24" x14ac:dyDescent="0.5">
      <c r="B71" s="39"/>
      <c r="D71" s="135" t="s">
        <v>227</v>
      </c>
      <c r="E71" s="125"/>
      <c r="F71" s="125">
        <f>+F70-F67+F68</f>
        <v>17536</v>
      </c>
      <c r="G71" s="125">
        <f t="shared" ref="G71:J71" si="33">+G70-G67+G68</f>
        <v>25747</v>
      </c>
      <c r="H71" s="125">
        <f t="shared" si="33"/>
        <v>11116</v>
      </c>
      <c r="I71" s="125">
        <f t="shared" si="33"/>
        <v>2735</v>
      </c>
      <c r="J71" s="125">
        <f t="shared" si="33"/>
        <v>1565</v>
      </c>
      <c r="K71" s="125">
        <f t="shared" ref="K71" si="34">+K70-K67+K68</f>
        <v>16814</v>
      </c>
      <c r="L71" s="125">
        <f t="shared" ref="L71" si="35">+L70-L67+L68</f>
        <v>9283.36</v>
      </c>
      <c r="M71" s="125">
        <f t="shared" ref="M71" si="36">+M70-M67+M68</f>
        <v>10285.500000000002</v>
      </c>
      <c r="N71" s="125">
        <f>+N70-N67+N68</f>
        <v>12259.82</v>
      </c>
      <c r="O71" s="125">
        <f>+O70-O67+O68</f>
        <v>2149.9999999999927</v>
      </c>
      <c r="P71" s="125">
        <f>+P70-P67+P68</f>
        <v>2149.9999999999927</v>
      </c>
      <c r="Q71" s="125">
        <f>+Q70-Q67+Q68</f>
        <v>2149.9999999999927</v>
      </c>
      <c r="R71" s="125">
        <f>+R70-R67+R68</f>
        <v>2149.9999999999927</v>
      </c>
      <c r="S71" s="125">
        <f t="shared" ref="S71:U71" si="37">+S70-S67+S68</f>
        <v>2149.9999999999927</v>
      </c>
      <c r="T71" s="125">
        <f t="shared" si="37"/>
        <v>2149.9999999999927</v>
      </c>
      <c r="U71" s="125">
        <f t="shared" si="37"/>
        <v>2149.9999999999927</v>
      </c>
      <c r="V71" s="13"/>
      <c r="W71" s="13"/>
      <c r="X71" s="13"/>
    </row>
    <row r="72" spans="2:24" x14ac:dyDescent="0.5">
      <c r="N72" s="2">
        <f>(+J71+I71)/2</f>
        <v>2150</v>
      </c>
      <c r="O72" s="2"/>
      <c r="P72" s="2"/>
      <c r="Q72" s="2"/>
    </row>
    <row r="73" spans="2:24" x14ac:dyDescent="0.5">
      <c r="N73" s="2">
        <f>AVERAGE(F71:H71,K71:N71)</f>
        <v>14720.24</v>
      </c>
      <c r="O73" s="2"/>
      <c r="P73" s="2"/>
      <c r="Q73" s="2"/>
    </row>
    <row r="74" spans="2:24" ht="25.7" x14ac:dyDescent="0.85">
      <c r="M74" s="168" t="s">
        <v>228</v>
      </c>
      <c r="W74" s="54"/>
    </row>
    <row r="75" spans="2:24" x14ac:dyDescent="0.5">
      <c r="O75" s="175">
        <v>2024</v>
      </c>
      <c r="P75" s="175">
        <v>2025</v>
      </c>
      <c r="Q75" s="175">
        <v>2026</v>
      </c>
      <c r="R75" s="175">
        <v>2027</v>
      </c>
      <c r="S75" s="175">
        <v>2028</v>
      </c>
      <c r="T75" s="175">
        <v>2029</v>
      </c>
      <c r="U75" s="175">
        <v>2030</v>
      </c>
    </row>
    <row r="76" spans="2:24" x14ac:dyDescent="0.5">
      <c r="M76" s="169" t="s">
        <v>229</v>
      </c>
      <c r="N76" s="170"/>
      <c r="O76" s="171">
        <f t="shared" ref="O76:P76" si="38">+O16</f>
        <v>50.165315796542473</v>
      </c>
      <c r="P76" s="171">
        <f t="shared" si="38"/>
        <v>161.42519139590104</v>
      </c>
      <c r="Q76" s="171">
        <f>+Q16</f>
        <v>272.6850669952596</v>
      </c>
      <c r="R76" s="171">
        <f>+R16</f>
        <v>383.94494259462834</v>
      </c>
      <c r="S76" s="171">
        <f t="shared" ref="S76:U76" si="39">+S16</f>
        <v>495.20481819398753</v>
      </c>
      <c r="T76" s="171">
        <f t="shared" si="39"/>
        <v>606.46469379338555</v>
      </c>
      <c r="U76" s="171">
        <f t="shared" si="39"/>
        <v>717.72456939274412</v>
      </c>
    </row>
    <row r="77" spans="2:24" x14ac:dyDescent="0.5">
      <c r="L77" s="109" t="s">
        <v>225</v>
      </c>
      <c r="M77" s="170" t="s">
        <v>230</v>
      </c>
      <c r="N77" s="170"/>
      <c r="O77" s="171">
        <f t="shared" ref="O77:P77" si="40">+O68</f>
        <v>7399.32</v>
      </c>
      <c r="P77" s="171">
        <f t="shared" si="40"/>
        <v>7399.32</v>
      </c>
      <c r="Q77" s="171">
        <f>+Q68</f>
        <v>7399.32</v>
      </c>
      <c r="R77" s="171">
        <f>+R68</f>
        <v>7399.32</v>
      </c>
      <c r="S77" s="171">
        <f t="shared" ref="S77:U77" si="41">+S68</f>
        <v>7399.32</v>
      </c>
      <c r="T77" s="171">
        <f t="shared" si="41"/>
        <v>7399.32</v>
      </c>
      <c r="U77" s="171">
        <f t="shared" si="41"/>
        <v>7399.32</v>
      </c>
    </row>
    <row r="78" spans="2:24" x14ac:dyDescent="0.5">
      <c r="L78" s="109" t="s">
        <v>224</v>
      </c>
      <c r="M78" s="170" t="s">
        <v>231</v>
      </c>
      <c r="N78" s="170"/>
      <c r="O78" s="171">
        <f>+O63</f>
        <v>455.98817383928326</v>
      </c>
      <c r="P78" s="171">
        <f>+P63</f>
        <v>617.99190589969658</v>
      </c>
      <c r="Q78" s="171">
        <f>+Q63</f>
        <v>619.18049533785961</v>
      </c>
      <c r="R78" s="171">
        <f>+R63</f>
        <v>673.76070323810563</v>
      </c>
      <c r="S78" s="171">
        <f>+S63</f>
        <v>732.96853042449948</v>
      </c>
      <c r="T78" s="171">
        <f t="shared" ref="T78" si="42">+T63</f>
        <v>797.19633268094185</v>
      </c>
      <c r="U78" s="171">
        <f>+U63</f>
        <v>866.86973193791346</v>
      </c>
    </row>
    <row r="79" spans="2:24" x14ac:dyDescent="0.5">
      <c r="L79" s="109" t="s">
        <v>224</v>
      </c>
      <c r="M79" s="170" t="s">
        <v>223</v>
      </c>
      <c r="N79" s="170"/>
      <c r="O79" s="171">
        <f t="shared" ref="O79:P79" si="43">+O71</f>
        <v>2149.9999999999927</v>
      </c>
      <c r="P79" s="171">
        <f t="shared" si="43"/>
        <v>2149.9999999999927</v>
      </c>
      <c r="Q79" s="171">
        <f>+Q71</f>
        <v>2149.9999999999927</v>
      </c>
      <c r="R79" s="171">
        <f t="shared" ref="R79:T79" si="44">+R71</f>
        <v>2149.9999999999927</v>
      </c>
      <c r="S79" s="171">
        <f t="shared" si="44"/>
        <v>2149.9999999999927</v>
      </c>
      <c r="T79" s="171">
        <f t="shared" si="44"/>
        <v>2149.9999999999927</v>
      </c>
      <c r="U79" s="171">
        <f>+U71</f>
        <v>2149.9999999999927</v>
      </c>
    </row>
    <row r="80" spans="2:24" x14ac:dyDescent="0.5">
      <c r="M80" s="172" t="s">
        <v>232</v>
      </c>
      <c r="N80" s="173"/>
      <c r="O80" s="174">
        <f t="shared" ref="O80:P80" si="45">+O76+O77-O78-O79</f>
        <v>4843.4971419572666</v>
      </c>
      <c r="P80" s="174">
        <f t="shared" si="45"/>
        <v>4792.7532854962119</v>
      </c>
      <c r="Q80" s="174">
        <f>+Q76+Q77-Q78-Q79</f>
        <v>4902.8245716574074</v>
      </c>
      <c r="R80" s="174">
        <f t="shared" ref="R80:S80" si="46">+R76+R77-R78-R79</f>
        <v>4959.50423935653</v>
      </c>
      <c r="S80" s="174">
        <f t="shared" si="46"/>
        <v>5011.5562877694947</v>
      </c>
      <c r="T80" s="174">
        <f>+T76+T77-T78-T79</f>
        <v>5058.5883611124509</v>
      </c>
      <c r="U80" s="174">
        <f>+U76+U77-U78-U79</f>
        <v>5100.1748374548379</v>
      </c>
    </row>
    <row r="86" spans="13:24" ht="25.7" x14ac:dyDescent="0.85">
      <c r="M86" s="168" t="s">
        <v>233</v>
      </c>
      <c r="P86" s="76"/>
    </row>
    <row r="87" spans="13:24" x14ac:dyDescent="0.5">
      <c r="P87" s="76"/>
    </row>
    <row r="88" spans="13:24" x14ac:dyDescent="0.5">
      <c r="P88" s="76"/>
    </row>
    <row r="89" spans="13:24" x14ac:dyDescent="0.5">
      <c r="M89" s="176"/>
      <c r="P89" s="76"/>
    </row>
    <row r="90" spans="13:24" x14ac:dyDescent="0.5">
      <c r="M90" s="176"/>
      <c r="P90" s="177"/>
      <c r="T90" s="67"/>
    </row>
    <row r="91" spans="13:24" x14ac:dyDescent="0.5">
      <c r="M91" s="186"/>
      <c r="N91" s="179"/>
      <c r="O91" s="179"/>
      <c r="P91" s="184">
        <v>2023</v>
      </c>
      <c r="Q91" s="187"/>
      <c r="X91" s="47"/>
    </row>
    <row r="92" spans="13:24" x14ac:dyDescent="0.5">
      <c r="M92" s="181" t="s">
        <v>234</v>
      </c>
      <c r="N92" s="188"/>
      <c r="O92" s="188"/>
      <c r="P92" s="185">
        <v>29072.560000000001</v>
      </c>
      <c r="Q92" s="179"/>
    </row>
    <row r="93" spans="13:24" x14ac:dyDescent="0.5">
      <c r="M93" s="179"/>
      <c r="N93" s="179"/>
      <c r="O93" s="179"/>
      <c r="P93" s="179"/>
      <c r="Q93" s="179"/>
    </row>
    <row r="94" spans="13:24" x14ac:dyDescent="0.5">
      <c r="M94" s="189" t="s">
        <v>120</v>
      </c>
      <c r="N94" s="179"/>
      <c r="O94" s="179"/>
      <c r="P94" s="227">
        <v>1694.58</v>
      </c>
      <c r="Q94" s="179"/>
    </row>
    <row r="95" spans="13:24" x14ac:dyDescent="0.5">
      <c r="M95" s="179"/>
      <c r="N95" s="179"/>
      <c r="O95" s="179"/>
      <c r="P95" s="179"/>
      <c r="Q95" s="179"/>
    </row>
    <row r="96" spans="13:24" x14ac:dyDescent="0.5">
      <c r="M96" s="189" t="s">
        <v>235</v>
      </c>
      <c r="N96" s="189" t="s">
        <v>236</v>
      </c>
      <c r="O96" s="190"/>
      <c r="P96" s="191">
        <f>+P94/P92</f>
        <v>5.8287952626118918E-2</v>
      </c>
      <c r="Q96" s="179"/>
    </row>
    <row r="97" spans="7:18" x14ac:dyDescent="0.5">
      <c r="M97" s="179"/>
      <c r="N97" s="179"/>
      <c r="O97" s="179"/>
      <c r="P97" s="179"/>
      <c r="Q97" s="179"/>
    </row>
    <row r="98" spans="7:18" x14ac:dyDescent="0.5">
      <c r="M98" s="179" t="s">
        <v>237</v>
      </c>
      <c r="N98" s="179" t="s">
        <v>238</v>
      </c>
      <c r="O98" s="179"/>
      <c r="P98" s="192">
        <f>+Q15</f>
        <v>0.3</v>
      </c>
      <c r="Q98" s="179"/>
    </row>
    <row r="99" spans="7:18" x14ac:dyDescent="0.5">
      <c r="M99" s="179" t="s">
        <v>239</v>
      </c>
      <c r="N99" s="179" t="s">
        <v>240</v>
      </c>
      <c r="O99" s="179"/>
      <c r="P99" s="192">
        <f>(1-P98)</f>
        <v>0.7</v>
      </c>
      <c r="Q99" s="193">
        <f>P96*P99</f>
        <v>4.0801566838283239E-2</v>
      </c>
    </row>
    <row r="100" spans="7:18" x14ac:dyDescent="0.5">
      <c r="M100" s="179"/>
      <c r="N100" s="179"/>
      <c r="O100" s="179"/>
      <c r="P100" s="179"/>
      <c r="Q100" s="179"/>
    </row>
    <row r="101" spans="7:18" ht="20.7" x14ac:dyDescent="0.7">
      <c r="M101" s="178" t="s">
        <v>241</v>
      </c>
      <c r="N101" s="179"/>
      <c r="O101" s="179"/>
      <c r="P101" s="179"/>
      <c r="Q101" s="180" t="s">
        <v>242</v>
      </c>
      <c r="R101" s="179"/>
    </row>
    <row r="102" spans="7:18" x14ac:dyDescent="0.5">
      <c r="M102" s="181" t="s">
        <v>19</v>
      </c>
      <c r="N102" s="179" t="s">
        <v>243</v>
      </c>
      <c r="O102" s="179"/>
      <c r="P102" s="182">
        <f>+P92</f>
        <v>29072.560000000001</v>
      </c>
      <c r="Q102" s="179">
        <f>+P102/P104</f>
        <v>0.45084123256924002</v>
      </c>
      <c r="R102" s="183" t="s">
        <v>244</v>
      </c>
    </row>
    <row r="103" spans="7:18" x14ac:dyDescent="0.5">
      <c r="M103" s="179" t="s">
        <v>29</v>
      </c>
      <c r="N103" s="179" t="s">
        <v>245</v>
      </c>
      <c r="O103" s="179"/>
      <c r="P103" s="182">
        <v>35412.58</v>
      </c>
      <c r="Q103" s="179">
        <f>+P103/P104</f>
        <v>0.54915876743076009</v>
      </c>
      <c r="R103" s="183" t="s">
        <v>246</v>
      </c>
    </row>
    <row r="104" spans="7:18" x14ac:dyDescent="0.5">
      <c r="M104" s="179" t="s">
        <v>69</v>
      </c>
      <c r="N104" s="179" t="s">
        <v>247</v>
      </c>
      <c r="O104" s="179"/>
      <c r="P104" s="182">
        <f>+P103+P102</f>
        <v>64485.14</v>
      </c>
      <c r="Q104" s="182">
        <f>+Q103+Q102</f>
        <v>1</v>
      </c>
      <c r="R104" s="179"/>
    </row>
    <row r="105" spans="7:18" x14ac:dyDescent="0.5">
      <c r="J105" s="112"/>
    </row>
    <row r="106" spans="7:18" x14ac:dyDescent="0.5">
      <c r="G106" s="85"/>
      <c r="M106" s="7" t="s">
        <v>248</v>
      </c>
      <c r="P106" s="7">
        <f>+Q102</f>
        <v>0.45084123256924002</v>
      </c>
      <c r="Q106" s="111" t="s">
        <v>244</v>
      </c>
    </row>
    <row r="107" spans="7:18" x14ac:dyDescent="0.5">
      <c r="H107" s="108"/>
      <c r="I107" s="108"/>
      <c r="J107" s="108"/>
    </row>
    <row r="108" spans="7:18" x14ac:dyDescent="0.5">
      <c r="M108" s="141" t="s">
        <v>249</v>
      </c>
      <c r="P108" s="51">
        <f>+P96*P106*P99</f>
        <v>1.8395028684127845E-2</v>
      </c>
    </row>
    <row r="109" spans="7:18" x14ac:dyDescent="0.5">
      <c r="H109" s="108"/>
      <c r="I109" s="108"/>
      <c r="J109" s="108"/>
      <c r="K109" s="108"/>
      <c r="M109" s="194"/>
      <c r="N109" s="194"/>
      <c r="O109" s="194"/>
      <c r="P109" s="194"/>
      <c r="Q109" s="194"/>
    </row>
    <row r="110" spans="7:18" x14ac:dyDescent="0.5">
      <c r="G110" s="113"/>
      <c r="H110" s="114"/>
      <c r="I110" s="114"/>
      <c r="J110" s="114"/>
    </row>
    <row r="111" spans="7:18" x14ac:dyDescent="0.5">
      <c r="H111" s="114"/>
      <c r="I111" s="114"/>
      <c r="J111" s="114"/>
      <c r="M111" s="7" t="s">
        <v>250</v>
      </c>
      <c r="P111" s="7">
        <f>+Q103</f>
        <v>0.54915876743076009</v>
      </c>
      <c r="Q111" s="111" t="s">
        <v>246</v>
      </c>
    </row>
    <row r="112" spans="7:18" x14ac:dyDescent="0.5">
      <c r="G112" s="113"/>
      <c r="H112" s="115"/>
      <c r="I112" s="115"/>
      <c r="L112" s="142"/>
    </row>
    <row r="113" spans="1:34" ht="16.350000000000001" x14ac:dyDescent="0.65">
      <c r="H113" s="115"/>
      <c r="I113" s="115"/>
      <c r="L113" s="142"/>
      <c r="M113" s="7" t="s">
        <v>251</v>
      </c>
      <c r="N113" s="57">
        <f>+N115+N117*(N116-N115)</f>
        <v>0.17425737834429306</v>
      </c>
      <c r="O113" s="7" t="s">
        <v>252</v>
      </c>
    </row>
    <row r="114" spans="1:34" x14ac:dyDescent="0.5">
      <c r="G114" s="66"/>
      <c r="H114" s="115"/>
      <c r="I114" s="115"/>
      <c r="L114" s="142"/>
      <c r="P114" s="70">
        <v>49486.17</v>
      </c>
    </row>
    <row r="115" spans="1:34" ht="16.350000000000001" x14ac:dyDescent="0.65">
      <c r="L115" s="142"/>
      <c r="M115" s="7" t="s">
        <v>253</v>
      </c>
      <c r="N115" s="116">
        <v>0.105</v>
      </c>
      <c r="O115" s="7" t="s">
        <v>252</v>
      </c>
      <c r="P115" s="70">
        <v>59020.55</v>
      </c>
      <c r="Q115" s="7">
        <f>P115/P114-1</f>
        <v>0.1926675675244216</v>
      </c>
    </row>
    <row r="116" spans="1:34" ht="16.350000000000001" x14ac:dyDescent="0.65">
      <c r="J116" s="108"/>
      <c r="K116" s="108"/>
      <c r="L116" s="142"/>
      <c r="M116" s="7" t="s">
        <v>254</v>
      </c>
      <c r="N116" s="116">
        <f>Q115</f>
        <v>0.1926675675244216</v>
      </c>
      <c r="O116" s="7" t="s">
        <v>252</v>
      </c>
    </row>
    <row r="117" spans="1:34" x14ac:dyDescent="0.5">
      <c r="L117" s="142"/>
      <c r="M117" s="7" t="s">
        <v>255</v>
      </c>
      <c r="N117" s="7">
        <v>0.79</v>
      </c>
      <c r="O117" s="7" t="s">
        <v>287</v>
      </c>
    </row>
    <row r="118" spans="1:34" x14ac:dyDescent="0.5">
      <c r="H118" s="57"/>
      <c r="I118" s="57"/>
      <c r="L118" s="142"/>
    </row>
    <row r="119" spans="1:34" x14ac:dyDescent="0.5">
      <c r="M119" s="141" t="s">
        <v>256</v>
      </c>
      <c r="P119" s="51">
        <f>+N113*P111</f>
        <v>9.5694967107267603E-2</v>
      </c>
    </row>
    <row r="121" spans="1:34" ht="25.7" x14ac:dyDescent="0.85">
      <c r="A121" s="13" t="s">
        <v>94</v>
      </c>
      <c r="B121" s="14">
        <v>19505</v>
      </c>
      <c r="C121" s="14">
        <v>8645</v>
      </c>
      <c r="D121" s="14">
        <v>12309</v>
      </c>
      <c r="E121" s="14">
        <v>12722</v>
      </c>
      <c r="F121" s="14">
        <v>11567</v>
      </c>
      <c r="G121" s="17">
        <v>11373</v>
      </c>
      <c r="H121" s="14">
        <v>10211</v>
      </c>
      <c r="I121" s="14">
        <v>9970</v>
      </c>
      <c r="J121" s="27">
        <v>19233.18</v>
      </c>
      <c r="K121" s="27">
        <v>19250.32</v>
      </c>
      <c r="M121" s="168" t="s">
        <v>233</v>
      </c>
      <c r="P121" s="196">
        <f>+P119+P108</f>
        <v>0.11408999579139545</v>
      </c>
    </row>
    <row r="122" spans="1:34" x14ac:dyDescent="0.5">
      <c r="A122" s="13" t="s">
        <v>96</v>
      </c>
      <c r="B122" s="14">
        <v>61490</v>
      </c>
      <c r="C122" s="14">
        <v>70891</v>
      </c>
      <c r="D122" s="14">
        <v>79244</v>
      </c>
      <c r="E122" s="14">
        <v>84779</v>
      </c>
      <c r="F122" s="14">
        <v>90327</v>
      </c>
      <c r="G122" s="14">
        <v>77363</v>
      </c>
      <c r="H122" s="14">
        <v>66325</v>
      </c>
      <c r="I122" s="14">
        <v>84779</v>
      </c>
      <c r="J122" s="14">
        <v>90327</v>
      </c>
      <c r="K122" s="14">
        <v>77363</v>
      </c>
    </row>
    <row r="123" spans="1:34" x14ac:dyDescent="0.5">
      <c r="A123" s="14" t="s">
        <v>99</v>
      </c>
      <c r="B123" s="81">
        <f>B121/B122</f>
        <v>0.31720604976418931</v>
      </c>
      <c r="C123" s="81">
        <f t="shared" ref="C123:K123" si="47">C121/C122</f>
        <v>0.12194777898463839</v>
      </c>
      <c r="D123" s="81">
        <f t="shared" si="47"/>
        <v>0.15533037201554692</v>
      </c>
      <c r="E123" s="81">
        <f t="shared" si="47"/>
        <v>0.15006074617535003</v>
      </c>
      <c r="F123" s="81">
        <f t="shared" si="47"/>
        <v>0.12805694864215572</v>
      </c>
      <c r="G123" s="81">
        <f t="shared" si="47"/>
        <v>0.14700825976241871</v>
      </c>
      <c r="H123" s="81">
        <f t="shared" si="47"/>
        <v>0.15395401432340747</v>
      </c>
      <c r="I123" s="81">
        <f t="shared" si="47"/>
        <v>0.11759987732811192</v>
      </c>
      <c r="J123" s="81">
        <f t="shared" si="47"/>
        <v>0.21292836029094292</v>
      </c>
      <c r="K123" s="81">
        <f t="shared" si="47"/>
        <v>0.2488310949678787</v>
      </c>
      <c r="M123" s="195"/>
      <c r="N123" s="195"/>
      <c r="O123" s="195"/>
      <c r="P123" s="195"/>
      <c r="Q123" s="195"/>
    </row>
    <row r="125" spans="1:34" ht="25.7" x14ac:dyDescent="0.85">
      <c r="A125" s="13" t="s">
        <v>97</v>
      </c>
      <c r="B125" s="14">
        <v>19505</v>
      </c>
      <c r="C125" s="14">
        <v>8645</v>
      </c>
      <c r="D125" s="14">
        <v>12309</v>
      </c>
      <c r="E125" s="14">
        <v>12722</v>
      </c>
      <c r="F125" s="14">
        <v>11567</v>
      </c>
      <c r="G125" s="14">
        <v>11373</v>
      </c>
      <c r="H125" s="14">
        <v>10211</v>
      </c>
      <c r="I125" s="14">
        <v>9970</v>
      </c>
      <c r="J125" s="27">
        <v>19233.18</v>
      </c>
      <c r="K125" s="27">
        <v>19250.32</v>
      </c>
      <c r="M125" s="168" t="s">
        <v>257</v>
      </c>
      <c r="Q125" s="180">
        <v>2024</v>
      </c>
      <c r="R125" s="180">
        <v>2025</v>
      </c>
      <c r="S125" s="180">
        <v>2026</v>
      </c>
      <c r="T125" s="180">
        <v>2027</v>
      </c>
      <c r="U125" s="180">
        <v>2028</v>
      </c>
    </row>
    <row r="126" spans="1:34" ht="15.35" x14ac:dyDescent="0.5">
      <c r="B126" s="82">
        <v>21498</v>
      </c>
      <c r="C126" s="82">
        <v>27939</v>
      </c>
      <c r="D126" s="82">
        <v>37071</v>
      </c>
      <c r="E126" s="82">
        <v>38423</v>
      </c>
      <c r="F126" s="82">
        <v>36104</v>
      </c>
      <c r="G126" s="83">
        <v>33994</v>
      </c>
      <c r="H126" s="82">
        <v>35668</v>
      </c>
      <c r="I126" s="82">
        <v>35513</v>
      </c>
      <c r="J126" s="16">
        <v>34559.72</v>
      </c>
      <c r="K126" s="16">
        <v>35412.58</v>
      </c>
      <c r="Q126" s="200">
        <v>1</v>
      </c>
      <c r="R126" s="200">
        <v>2</v>
      </c>
      <c r="S126" s="200">
        <v>3</v>
      </c>
      <c r="T126" s="200">
        <v>4</v>
      </c>
      <c r="U126" s="200">
        <v>5</v>
      </c>
    </row>
    <row r="127" spans="1:34" x14ac:dyDescent="0.5">
      <c r="A127" s="13" t="s">
        <v>98</v>
      </c>
      <c r="B127" s="81">
        <f>B125/B126</f>
        <v>0.9072937017396967</v>
      </c>
      <c r="C127" s="81">
        <f t="shared" ref="C127:K127" si="48">C125/C126</f>
        <v>0.30942410250903757</v>
      </c>
      <c r="D127" s="81">
        <f t="shared" si="48"/>
        <v>0.33203852067653961</v>
      </c>
      <c r="E127" s="81">
        <f t="shared" si="48"/>
        <v>0.33110376597350544</v>
      </c>
      <c r="F127" s="81">
        <f t="shared" si="48"/>
        <v>0.32038001329492577</v>
      </c>
      <c r="G127" s="81">
        <f t="shared" si="48"/>
        <v>0.33455903983055835</v>
      </c>
      <c r="H127" s="81">
        <f t="shared" si="48"/>
        <v>0.28627901760681845</v>
      </c>
      <c r="I127" s="81">
        <f t="shared" si="48"/>
        <v>0.28074226339650271</v>
      </c>
      <c r="J127" s="81">
        <f t="shared" si="48"/>
        <v>0.55652013384367693</v>
      </c>
      <c r="K127" s="81">
        <f t="shared" si="48"/>
        <v>0.5436011722387919</v>
      </c>
      <c r="M127" s="197" t="s">
        <v>232</v>
      </c>
      <c r="Q127" s="182">
        <f>+Q80</f>
        <v>4902.8245716574074</v>
      </c>
      <c r="R127" s="182">
        <f t="shared" ref="R127:U127" si="49">+R80</f>
        <v>4959.50423935653</v>
      </c>
      <c r="S127" s="182">
        <f t="shared" si="49"/>
        <v>5011.5562877694947</v>
      </c>
      <c r="T127" s="182">
        <f>+T80</f>
        <v>5058.5883611124509</v>
      </c>
      <c r="U127" s="182">
        <f t="shared" si="49"/>
        <v>5100.1748374548379</v>
      </c>
      <c r="V127" s="2">
        <f>U127*(1+$B$133)</f>
        <v>5532.5965585967597</v>
      </c>
      <c r="W127" s="2">
        <f t="shared" ref="W127:AH127" si="50">V127*(1+$B$133)</f>
        <v>6001.6814434290964</v>
      </c>
      <c r="X127" s="2">
        <f t="shared" si="50"/>
        <v>6510.5380027089868</v>
      </c>
      <c r="Y127" s="2">
        <f t="shared" si="50"/>
        <v>7062.5383043488891</v>
      </c>
      <c r="Z127" s="2">
        <f t="shared" si="50"/>
        <v>7661.3403192855667</v>
      </c>
      <c r="AA127" s="2">
        <f t="shared" si="50"/>
        <v>8310.9121619584603</v>
      </c>
      <c r="AB127" s="2">
        <f t="shared" si="50"/>
        <v>9015.5583860331717</v>
      </c>
      <c r="AC127" s="2">
        <f t="shared" si="50"/>
        <v>9779.9485096253757</v>
      </c>
      <c r="AD127" s="2">
        <f t="shared" si="50"/>
        <v>10609.147959054844</v>
      </c>
      <c r="AE127" s="2">
        <f t="shared" si="50"/>
        <v>11508.651636186272</v>
      </c>
      <c r="AF127" s="2">
        <f t="shared" si="50"/>
        <v>12484.420331799452</v>
      </c>
      <c r="AG127" s="2">
        <f t="shared" si="50"/>
        <v>13542.9202262913</v>
      </c>
      <c r="AH127" s="2">
        <f t="shared" si="50"/>
        <v>14691.165739471218</v>
      </c>
    </row>
    <row r="128" spans="1:34" x14ac:dyDescent="0.5">
      <c r="M128" s="179" t="s">
        <v>258</v>
      </c>
      <c r="Q128" s="198">
        <f>+P121</f>
        <v>0.11408999579139545</v>
      </c>
      <c r="R128" s="198">
        <f>+Q128</f>
        <v>0.11408999579139545</v>
      </c>
      <c r="S128" s="198">
        <f t="shared" ref="S128:U128" si="51">+R128</f>
        <v>0.11408999579139545</v>
      </c>
      <c r="T128" s="198">
        <f t="shared" si="51"/>
        <v>0.11408999579139545</v>
      </c>
      <c r="U128" s="198">
        <f t="shared" si="51"/>
        <v>0.11408999579139545</v>
      </c>
    </row>
    <row r="129" spans="1:24" x14ac:dyDescent="0.5">
      <c r="M129" s="179" t="s">
        <v>259</v>
      </c>
      <c r="Q129" s="179">
        <f>1/(1+Q128)^Q126</f>
        <v>0.89759355507868877</v>
      </c>
      <c r="R129" s="179">
        <f t="shared" ref="R129:T129" si="52">1/(1+R128)^R126</f>
        <v>0.80567419011879893</v>
      </c>
      <c r="S129" s="179">
        <f t="shared" si="52"/>
        <v>0.72316796054387611</v>
      </c>
      <c r="T129" s="179">
        <f t="shared" si="52"/>
        <v>0.64911090062358268</v>
      </c>
      <c r="U129" s="179">
        <f>1/(1+U128)^U126</f>
        <v>0.58263776093105091</v>
      </c>
    </row>
    <row r="130" spans="1:24" x14ac:dyDescent="0.5">
      <c r="M130" s="179" t="s">
        <v>260</v>
      </c>
      <c r="Q130" s="182">
        <f>+Q127*Q129</f>
        <v>4400.7437372011218</v>
      </c>
      <c r="R130" s="182">
        <f>+R127*R129</f>
        <v>3995.7445614343223</v>
      </c>
      <c r="S130" s="182">
        <f t="shared" ref="S130:U130" si="53">+S127*S129</f>
        <v>3624.196939777104</v>
      </c>
      <c r="T130" s="182">
        <f t="shared" si="53"/>
        <v>3283.5848469656762</v>
      </c>
      <c r="U130" s="182">
        <f t="shared" si="53"/>
        <v>2971.5544476515734</v>
      </c>
    </row>
    <row r="131" spans="1:24" x14ac:dyDescent="0.5">
      <c r="A131" s="13" t="s">
        <v>100</v>
      </c>
      <c r="B131" s="80">
        <f>B123*B127</f>
        <v>0.28779905110477777</v>
      </c>
      <c r="C131" s="80">
        <f t="shared" ref="C131:I131" si="54">C123*C127</f>
        <v>3.7733582065292204E-2</v>
      </c>
      <c r="D131" s="80">
        <f t="shared" si="54"/>
        <v>5.1575666940178767E-2</v>
      </c>
      <c r="E131" s="80">
        <f>E123*E127</f>
        <v>4.9685678183452701E-2</v>
      </c>
      <c r="F131" s="80">
        <f t="shared" si="54"/>
        <v>4.1026886908481476E-2</v>
      </c>
      <c r="G131" s="80">
        <f t="shared" si="54"/>
        <v>4.9182942233276107E-2</v>
      </c>
      <c r="H131" s="80">
        <f t="shared" si="54"/>
        <v>4.4073803977131149E-2</v>
      </c>
      <c r="I131" s="80">
        <f t="shared" si="54"/>
        <v>3.3015255736245204E-2</v>
      </c>
      <c r="J131" s="80">
        <f>J123*J127</f>
        <v>0.11849891956823022</v>
      </c>
      <c r="K131" s="80">
        <f>K123*K127</f>
        <v>0.13526487491400102</v>
      </c>
      <c r="M131" s="179" t="s">
        <v>261</v>
      </c>
      <c r="Q131" s="199">
        <f>SUM(Q130:U130)</f>
        <v>18275.824533029798</v>
      </c>
      <c r="R131" s="179"/>
      <c r="S131" s="179"/>
      <c r="T131" s="179"/>
      <c r="U131" s="179"/>
    </row>
    <row r="133" spans="1:24" x14ac:dyDescent="0.5">
      <c r="A133" s="13" t="s">
        <v>274</v>
      </c>
      <c r="B133" s="80">
        <f>AVERAGE(B131:K131)</f>
        <v>8.4785666163106649E-2</v>
      </c>
    </row>
    <row r="134" spans="1:24" x14ac:dyDescent="0.5">
      <c r="R134" s="117">
        <f>U127</f>
        <v>5100.1748374548379</v>
      </c>
      <c r="S134" s="58" t="s">
        <v>158</v>
      </c>
      <c r="T134" s="118">
        <f>(1+K114)</f>
        <v>1</v>
      </c>
      <c r="U134" s="39" t="s">
        <v>183</v>
      </c>
      <c r="V134" s="119">
        <f>+R134*T134</f>
        <v>5100.1748374548379</v>
      </c>
      <c r="W134" s="39" t="s">
        <v>183</v>
      </c>
      <c r="X134" s="120">
        <f>+V134/V135</f>
        <v>44703.085507866133</v>
      </c>
    </row>
    <row r="135" spans="1:24" ht="16.350000000000001" x14ac:dyDescent="0.65">
      <c r="M135" s="121" t="s">
        <v>262</v>
      </c>
      <c r="S135" s="110">
        <f>P121-K114</f>
        <v>0.11408999579139545</v>
      </c>
      <c r="V135" s="110">
        <f>+S135</f>
        <v>0.11408999579139545</v>
      </c>
    </row>
    <row r="136" spans="1:24" x14ac:dyDescent="0.5">
      <c r="M136" s="59"/>
    </row>
    <row r="137" spans="1:24" x14ac:dyDescent="0.5">
      <c r="M137" s="59"/>
    </row>
    <row r="138" spans="1:24" x14ac:dyDescent="0.5">
      <c r="M138" s="59"/>
    </row>
    <row r="139" spans="1:24" x14ac:dyDescent="0.5">
      <c r="M139" s="108" t="s">
        <v>263</v>
      </c>
      <c r="U139" s="39" t="s">
        <v>264</v>
      </c>
    </row>
    <row r="140" spans="1:24" x14ac:dyDescent="0.5">
      <c r="M140" s="59"/>
      <c r="R140" s="39" t="s">
        <v>183</v>
      </c>
      <c r="S140" s="122">
        <f>X134</f>
        <v>44703.085507866133</v>
      </c>
      <c r="T140" s="39" t="s">
        <v>158</v>
      </c>
      <c r="U140" s="123">
        <f>U129</f>
        <v>0.58263776093105091</v>
      </c>
      <c r="V140" s="39" t="s">
        <v>183</v>
      </c>
      <c r="W140" s="124">
        <f>+U140*S140</f>
        <v>26045.705647012433</v>
      </c>
    </row>
    <row r="141" spans="1:24" x14ac:dyDescent="0.5">
      <c r="M141" s="59"/>
    </row>
    <row r="142" spans="1:24" x14ac:dyDescent="0.5">
      <c r="M142" s="59"/>
    </row>
    <row r="143" spans="1:24" x14ac:dyDescent="0.5">
      <c r="M143" s="59"/>
    </row>
    <row r="144" spans="1:24" x14ac:dyDescent="0.5">
      <c r="M144" s="59"/>
    </row>
    <row r="145" spans="13:18" x14ac:dyDescent="0.5">
      <c r="M145" s="59"/>
    </row>
    <row r="146" spans="13:18" x14ac:dyDescent="0.5">
      <c r="M146" s="59"/>
    </row>
    <row r="147" spans="13:18" x14ac:dyDescent="0.5">
      <c r="M147" s="59"/>
    </row>
    <row r="148" spans="13:18" x14ac:dyDescent="0.5">
      <c r="M148" s="59"/>
    </row>
    <row r="149" spans="13:18" x14ac:dyDescent="0.5">
      <c r="M149" s="59"/>
    </row>
    <row r="150" spans="13:18" x14ac:dyDescent="0.5">
      <c r="M150" s="59"/>
    </row>
    <row r="151" spans="13:18" ht="43" x14ac:dyDescent="0.5">
      <c r="M151" s="183"/>
      <c r="N151" s="201" t="s">
        <v>265</v>
      </c>
      <c r="O151" s="202" t="s">
        <v>225</v>
      </c>
      <c r="P151" s="203" t="s">
        <v>266</v>
      </c>
      <c r="Q151" s="179"/>
      <c r="R151" s="179"/>
    </row>
    <row r="152" spans="13:18" x14ac:dyDescent="0.5">
      <c r="M152" s="183"/>
      <c r="N152" s="179"/>
      <c r="O152" s="179"/>
      <c r="P152" s="179"/>
      <c r="Q152" s="179"/>
      <c r="R152" s="180" t="s">
        <v>267</v>
      </c>
    </row>
    <row r="153" spans="13:18" x14ac:dyDescent="0.5">
      <c r="M153" s="183"/>
      <c r="N153" s="204">
        <f>Q131</f>
        <v>18275.824533029798</v>
      </c>
      <c r="O153" s="202" t="s">
        <v>225</v>
      </c>
      <c r="P153" s="204">
        <f>W140</f>
        <v>26045.705647012433</v>
      </c>
      <c r="Q153" s="180" t="s">
        <v>183</v>
      </c>
      <c r="R153" s="205">
        <f>+P153+N153</f>
        <v>44321.530180042231</v>
      </c>
    </row>
    <row r="154" spans="13:18" x14ac:dyDescent="0.5">
      <c r="M154" s="183"/>
      <c r="N154" s="179"/>
      <c r="O154" s="179"/>
      <c r="P154" s="179"/>
      <c r="Q154" s="179"/>
      <c r="R154" s="179"/>
    </row>
    <row r="155" spans="13:18" ht="28.7" x14ac:dyDescent="0.5">
      <c r="M155" s="206" t="s">
        <v>268</v>
      </c>
      <c r="N155" s="207">
        <f>+R153</f>
        <v>44321.530180042231</v>
      </c>
      <c r="O155" s="179"/>
      <c r="P155" s="179"/>
      <c r="Q155" s="179"/>
      <c r="R155" s="179"/>
    </row>
    <row r="156" spans="13:18" x14ac:dyDescent="0.5">
      <c r="M156" s="206"/>
      <c r="N156" s="179"/>
      <c r="O156" s="179"/>
      <c r="P156" s="179"/>
      <c r="Q156" s="179"/>
      <c r="R156" s="179"/>
    </row>
    <row r="157" spans="13:18" ht="28.7" x14ac:dyDescent="0.5">
      <c r="M157" s="206" t="s">
        <v>269</v>
      </c>
      <c r="N157" s="179"/>
      <c r="O157" s="179"/>
      <c r="P157" s="179"/>
      <c r="Q157" s="179"/>
      <c r="R157" s="179"/>
    </row>
    <row r="158" spans="13:18" x14ac:dyDescent="0.5">
      <c r="M158" s="206"/>
      <c r="N158" s="179"/>
      <c r="O158" s="179"/>
      <c r="P158" s="179"/>
      <c r="Q158" s="179"/>
      <c r="R158" s="179"/>
    </row>
    <row r="159" spans="13:18" ht="28.7" x14ac:dyDescent="0.5">
      <c r="M159" s="206" t="s">
        <v>270</v>
      </c>
      <c r="N159" s="208">
        <f>P92</f>
        <v>29072.560000000001</v>
      </c>
      <c r="O159" s="179"/>
      <c r="P159" s="179"/>
      <c r="Q159" s="179"/>
      <c r="R159" s="179"/>
    </row>
    <row r="160" spans="13:18" x14ac:dyDescent="0.5">
      <c r="M160" s="206"/>
      <c r="N160" s="209"/>
      <c r="O160" s="179"/>
      <c r="P160" s="179"/>
      <c r="Q160" s="179"/>
      <c r="R160" s="179"/>
    </row>
    <row r="161" spans="13:18" ht="28.7" x14ac:dyDescent="0.5">
      <c r="M161" s="206" t="s">
        <v>271</v>
      </c>
      <c r="N161" s="208">
        <f>+N155-N159</f>
        <v>15248.97018004223</v>
      </c>
      <c r="O161" s="202" t="s">
        <v>277</v>
      </c>
      <c r="P161" s="179"/>
      <c r="Q161" s="179"/>
      <c r="R161" s="179"/>
    </row>
    <row r="162" spans="13:18" x14ac:dyDescent="0.5">
      <c r="M162" s="206" t="s">
        <v>272</v>
      </c>
      <c r="N162" s="210">
        <v>3077</v>
      </c>
      <c r="O162" s="179">
        <v>2023</v>
      </c>
      <c r="P162" s="179"/>
      <c r="Q162" s="179"/>
      <c r="R162" s="179"/>
    </row>
    <row r="163" spans="13:18" ht="28.7" x14ac:dyDescent="0.5">
      <c r="M163" s="211" t="s">
        <v>273</v>
      </c>
      <c r="N163" s="212">
        <f>+N161/N162</f>
        <v>4.9557914137283818</v>
      </c>
      <c r="O163" s="213"/>
      <c r="P163" s="179"/>
      <c r="Q163" s="179"/>
      <c r="R163" s="179"/>
    </row>
    <row r="164" spans="13:18" x14ac:dyDescent="0.5">
      <c r="M164" s="206" t="s">
        <v>278</v>
      </c>
      <c r="N164" s="7">
        <v>4.1900000000000004</v>
      </c>
      <c r="O164" s="215">
        <f>N163-N164</f>
        <v>0.76579141372838144</v>
      </c>
      <c r="P164" s="179"/>
      <c r="Q164" s="179"/>
      <c r="R164" s="179"/>
    </row>
    <row r="165" spans="13:18" x14ac:dyDescent="0.5">
      <c r="M165" s="179"/>
      <c r="N165" s="179"/>
      <c r="O165" s="215"/>
      <c r="P165" s="179"/>
      <c r="Q165" s="179"/>
      <c r="R165" s="179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AFCF8-F4F7-488D-AF7D-C42A6DDBF61A}">
  <dimension ref="A3:K13"/>
  <sheetViews>
    <sheetView zoomScale="110" zoomScaleNormal="110" workbookViewId="0">
      <selection activeCell="B8" sqref="B8"/>
    </sheetView>
  </sheetViews>
  <sheetFormatPr baseColWidth="10" defaultRowHeight="14.35" x14ac:dyDescent="0.5"/>
  <cols>
    <col min="2" max="2" width="19.87890625" customWidth="1"/>
    <col min="3" max="3" width="13.234375" customWidth="1"/>
    <col min="4" max="4" width="13.52734375" customWidth="1"/>
    <col min="5" max="5" width="14.1171875" customWidth="1"/>
    <col min="6" max="6" width="13.52734375" customWidth="1"/>
    <col min="7" max="7" width="14.1171875" customWidth="1"/>
    <col min="8" max="8" width="12.64453125" customWidth="1"/>
    <col min="9" max="9" width="13.76171875" customWidth="1"/>
    <col min="10" max="10" width="13.52734375" customWidth="1"/>
    <col min="11" max="11" width="14.87890625" customWidth="1"/>
  </cols>
  <sheetData>
    <row r="3" spans="1:11" x14ac:dyDescent="0.5">
      <c r="A3" s="13" t="s">
        <v>94</v>
      </c>
      <c r="B3" s="14">
        <v>19505</v>
      </c>
      <c r="C3" s="14">
        <v>8645</v>
      </c>
      <c r="D3" s="14">
        <v>12309</v>
      </c>
      <c r="E3" s="14">
        <v>12722</v>
      </c>
      <c r="F3" s="14">
        <v>11567</v>
      </c>
      <c r="G3" s="17">
        <v>11373</v>
      </c>
      <c r="H3" s="14">
        <v>10211</v>
      </c>
      <c r="I3" s="14">
        <v>9970</v>
      </c>
      <c r="J3" s="27">
        <v>19233.18</v>
      </c>
      <c r="K3" s="27">
        <v>19250.32</v>
      </c>
    </row>
    <row r="4" spans="1:11" x14ac:dyDescent="0.5">
      <c r="A4" s="13" t="s">
        <v>96</v>
      </c>
      <c r="B4" s="14">
        <v>61490</v>
      </c>
      <c r="C4" s="14">
        <v>70891</v>
      </c>
      <c r="D4" s="14">
        <v>79244</v>
      </c>
      <c r="E4" s="14">
        <v>84779</v>
      </c>
      <c r="F4" s="14">
        <v>90327</v>
      </c>
      <c r="G4" s="14">
        <v>77363</v>
      </c>
      <c r="H4" s="14">
        <v>66325</v>
      </c>
      <c r="I4" s="14">
        <v>84779</v>
      </c>
      <c r="J4" s="14">
        <v>90327</v>
      </c>
      <c r="K4" s="14">
        <v>77363</v>
      </c>
    </row>
    <row r="5" spans="1:11" x14ac:dyDescent="0.5">
      <c r="A5" s="14" t="s">
        <v>99</v>
      </c>
      <c r="B5" s="81">
        <f>B3/B4</f>
        <v>0.31720604976418931</v>
      </c>
      <c r="C5" s="81">
        <f t="shared" ref="C5:K5" si="0">C3/C4</f>
        <v>0.12194777898463839</v>
      </c>
      <c r="D5" s="81">
        <f t="shared" si="0"/>
        <v>0.15533037201554692</v>
      </c>
      <c r="E5" s="81">
        <f t="shared" si="0"/>
        <v>0.15006074617535003</v>
      </c>
      <c r="F5" s="81">
        <f t="shared" si="0"/>
        <v>0.12805694864215572</v>
      </c>
      <c r="G5" s="81">
        <f t="shared" si="0"/>
        <v>0.14700825976241871</v>
      </c>
      <c r="H5" s="81">
        <f t="shared" si="0"/>
        <v>0.15395401432340747</v>
      </c>
      <c r="I5" s="81">
        <f t="shared" si="0"/>
        <v>0.11759987732811192</v>
      </c>
      <c r="J5" s="81">
        <f t="shared" si="0"/>
        <v>0.21292836029094292</v>
      </c>
      <c r="K5" s="81">
        <f t="shared" si="0"/>
        <v>0.2488310949678787</v>
      </c>
    </row>
    <row r="7" spans="1:11" x14ac:dyDescent="0.5">
      <c r="A7" s="13" t="s">
        <v>97</v>
      </c>
      <c r="B7" s="14">
        <v>19505</v>
      </c>
      <c r="C7" s="14">
        <v>8645</v>
      </c>
      <c r="D7" s="14">
        <v>12309</v>
      </c>
      <c r="E7" s="14">
        <v>12722</v>
      </c>
      <c r="F7" s="14">
        <v>11567</v>
      </c>
      <c r="G7" s="14">
        <v>11373</v>
      </c>
      <c r="H7" s="14">
        <v>10211</v>
      </c>
      <c r="I7" s="14">
        <v>9970</v>
      </c>
      <c r="J7" s="27">
        <v>19233.18</v>
      </c>
      <c r="K7" s="27">
        <v>19250.32</v>
      </c>
    </row>
    <row r="8" spans="1:11" x14ac:dyDescent="0.5">
      <c r="B8" s="82">
        <v>21498</v>
      </c>
      <c r="C8" s="82">
        <v>27939</v>
      </c>
      <c r="D8" s="82">
        <v>37071</v>
      </c>
      <c r="E8" s="82">
        <v>38423</v>
      </c>
      <c r="F8" s="82">
        <v>36104</v>
      </c>
      <c r="G8" s="83">
        <v>33994</v>
      </c>
      <c r="H8" s="82">
        <v>35668</v>
      </c>
      <c r="I8" s="82">
        <v>35513</v>
      </c>
      <c r="J8" s="16">
        <v>34559.72</v>
      </c>
      <c r="K8" s="16">
        <v>35412.58</v>
      </c>
    </row>
    <row r="9" spans="1:11" x14ac:dyDescent="0.5">
      <c r="A9" s="13" t="s">
        <v>98</v>
      </c>
      <c r="B9" s="81">
        <f>B7/B8</f>
        <v>0.9072937017396967</v>
      </c>
      <c r="C9" s="81">
        <f t="shared" ref="C9:K9" si="1">C7/C8</f>
        <v>0.30942410250903757</v>
      </c>
      <c r="D9" s="81">
        <f t="shared" si="1"/>
        <v>0.33203852067653961</v>
      </c>
      <c r="E9" s="81">
        <f t="shared" si="1"/>
        <v>0.33110376597350544</v>
      </c>
      <c r="F9" s="81">
        <f t="shared" si="1"/>
        <v>0.32038001329492577</v>
      </c>
      <c r="G9" s="81">
        <f t="shared" si="1"/>
        <v>0.33455903983055835</v>
      </c>
      <c r="H9" s="81">
        <f t="shared" si="1"/>
        <v>0.28627901760681845</v>
      </c>
      <c r="I9" s="81">
        <f t="shared" si="1"/>
        <v>0.28074226339650271</v>
      </c>
      <c r="J9" s="81">
        <f t="shared" si="1"/>
        <v>0.55652013384367693</v>
      </c>
      <c r="K9" s="81">
        <f t="shared" si="1"/>
        <v>0.5436011722387919</v>
      </c>
    </row>
    <row r="11" spans="1:11" x14ac:dyDescent="0.5">
      <c r="B11" s="7"/>
    </row>
    <row r="12" spans="1:11" x14ac:dyDescent="0.5">
      <c r="B12" s="7"/>
    </row>
    <row r="13" spans="1:11" x14ac:dyDescent="0.5">
      <c r="A13" s="13" t="s">
        <v>100</v>
      </c>
      <c r="B13" s="80">
        <f>B5*B9</f>
        <v>0.28779905110477777</v>
      </c>
      <c r="C13" s="80">
        <f t="shared" ref="C13:K13" si="2">C5*C9</f>
        <v>3.7733582065292204E-2</v>
      </c>
      <c r="D13" s="80">
        <f t="shared" si="2"/>
        <v>5.1575666940178767E-2</v>
      </c>
      <c r="E13" s="80">
        <f>E5*E9</f>
        <v>4.9685678183452701E-2</v>
      </c>
      <c r="F13" s="80">
        <f t="shared" si="2"/>
        <v>4.1026886908481476E-2</v>
      </c>
      <c r="G13" s="80">
        <f t="shared" si="2"/>
        <v>4.9182942233276107E-2</v>
      </c>
      <c r="H13" s="80">
        <f t="shared" si="2"/>
        <v>4.4073803977131149E-2</v>
      </c>
      <c r="I13" s="80">
        <f t="shared" si="2"/>
        <v>3.3015255736245204E-2</v>
      </c>
      <c r="J13" s="80">
        <f t="shared" si="2"/>
        <v>0.11849891956823022</v>
      </c>
      <c r="K13" s="80">
        <f t="shared" si="2"/>
        <v>0.13526487491400102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Balance general</vt:lpstr>
      <vt:lpstr>Estado de resultados</vt:lpstr>
      <vt:lpstr>Regresion</vt:lpstr>
      <vt:lpstr>Razones</vt:lpstr>
      <vt:lpstr>Calculo De beta</vt:lpstr>
      <vt:lpstr>FCD</vt:lpstr>
      <vt:lpstr>Tasa 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Mauricio Silva Lopez</dc:creator>
  <cp:lastModifiedBy>Mauricio Silva Lopez</cp:lastModifiedBy>
  <dcterms:created xsi:type="dcterms:W3CDTF">2024-10-01T18:03:31Z</dcterms:created>
  <dcterms:modified xsi:type="dcterms:W3CDTF">2025-08-03T18:54:25Z</dcterms:modified>
</cp:coreProperties>
</file>