
<file path=[Content_Types].xml><?xml version="1.0" encoding="utf-8"?>
<Types xmlns="http://schemas.openxmlformats.org/package/2006/content-types">
  <Default ContentType="application/xml" Extension="xml"/>
  <Default ContentType="application/vnd.openxmlformats-officedocument.vmlDrawing" Extension="v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comments+xml" PartName="/xl/comments1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">
      <text>
        <t xml:space="preserve">Tấn : Nhập số trước thuế ( lấy Dso mua chia 1.1 )</t>
      </text>
    </comment>
    <comment authorId="0" ref="E9">
      <text>
        <t xml:space="preserve">Tấn : Nhập số trước thuế ( lấy Dso bán chia 1.1 )</t>
      </text>
    </comment>
    <comment authorId="0" ref="D10">
      <text>
        <t xml:space="preserve">12% thuế nhập khẩu
80tr vận tải đường biển
</t>
      </text>
    </comment>
    <comment authorId="0" ref="B39">
      <text>
        <t xml:space="preserve">Theo giá thuê thực tế của Thị Trường tại Khu vực NPP , ko tính khấu hao và bảo trì
</t>
      </text>
    </comment>
    <comment authorId="0" ref="D48">
      <text>
        <t xml:space="preserve">Truong hop NPP tu dau tu xay dung Kho thi van tinh Chi phi Thue Kho theo giá thị trường , không tính khấu hao
</t>
      </text>
    </comment>
    <comment authorId="0" ref="D64">
      <text>
        <t xml:space="preserve">tiền in bao bì
</t>
      </text>
    </comment>
    <comment authorId="0" ref="E69">
      <text>
        <t xml:space="preserve">Lãi vay thực tế chi trả cho Ngân Hàng , phục vụ Kd ( có chứng từ đầy đủ và hợp lệ )</t>
      </text>
    </comment>
    <comment authorId="0" ref="C79">
      <text>
        <t xml:space="preserve">Tấn : Theo số liệu Báo Cáo Tuần</t>
      </text>
    </comment>
    <comment authorId="0" ref="C81">
      <text>
        <t xml:space="preserve">Tien da chuyen nhung hang chua nhap Kho NPP</t>
      </text>
    </comment>
  </commentList>
</comments>
</file>

<file path=xl/sharedStrings.xml><?xml version="1.0" encoding="utf-8"?>
<sst xmlns="http://schemas.openxmlformats.org/spreadsheetml/2006/main" count="113" uniqueCount="96">
  <si>
    <t>BẢNG PHÂN TÍCH HIỆU QUẢ KINH DOANH</t>
  </si>
  <si>
    <t xml:space="preserve">Tháng : </t>
  </si>
  <si>
    <t xml:space="preserve">Khu vực : </t>
  </si>
  <si>
    <t xml:space="preserve">Nhà Phân phối :  </t>
  </si>
  <si>
    <t>Giám sát KD :</t>
  </si>
  <si>
    <t>Ngày Lập :</t>
  </si>
  <si>
    <t>1. Doanh số &amp; lãi gộp :</t>
  </si>
  <si>
    <t>Stt</t>
  </si>
  <si>
    <t xml:space="preserve">Nghành Hàng </t>
  </si>
  <si>
    <t xml:space="preserve">% Chiết Khấu </t>
  </si>
  <si>
    <t xml:space="preserve">Doanh số Mua vào </t>
  </si>
  <si>
    <t>Doanh số Bán ra</t>
  </si>
  <si>
    <t>Chiết Khấu trực tiếp trên hoá đơn</t>
  </si>
  <si>
    <t xml:space="preserve">Chiết Khấu khác </t>
  </si>
  <si>
    <t xml:space="preserve">Thưởng và hỗ trợ khác </t>
  </si>
  <si>
    <t>Tổng lãi Gộp</t>
  </si>
  <si>
    <t>TỔNG CỘNG</t>
  </si>
  <si>
    <t>2. Chi phí :</t>
  </si>
  <si>
    <t>2.1 Chi phí nhân sự :</t>
  </si>
  <si>
    <t>Số lượng</t>
  </si>
  <si>
    <t>Lương cơ bản</t>
  </si>
  <si>
    <t>Thưởng</t>
  </si>
  <si>
    <t>Phúc lợi</t>
  </si>
  <si>
    <t>Tổng Cộng</t>
  </si>
  <si>
    <t>% / Doanh số</t>
  </si>
  <si>
    <t>Nhân viên giao hàng</t>
  </si>
  <si>
    <t>Nhân sự gián tiếp</t>
  </si>
  <si>
    <t>Tài xế</t>
  </si>
  <si>
    <t>Tổ trưởng</t>
  </si>
  <si>
    <t>Điều hành NPP</t>
  </si>
  <si>
    <t>Kế toán</t>
  </si>
  <si>
    <t>Thủ kho</t>
  </si>
  <si>
    <t>Thu ngân</t>
  </si>
  <si>
    <t xml:space="preserve">Khác </t>
  </si>
  <si>
    <t>.=SUM(D23:D32)</t>
  </si>
  <si>
    <t>2.2 Chi phí vận chuyển :</t>
  </si>
  <si>
    <t>Đơn giá</t>
  </si>
  <si>
    <t>Chi phí</t>
  </si>
  <si>
    <t>Thuê</t>
  </si>
  <si>
    <t>Nhiên liệu</t>
  </si>
  <si>
    <t>Tổng cộng</t>
  </si>
  <si>
    <t>Xe tải</t>
  </si>
  <si>
    <t>Ba gác máy/đạp</t>
  </si>
  <si>
    <t>Gắn máy</t>
  </si>
  <si>
    <t>Cầu đường - Bến bãi</t>
  </si>
  <si>
    <t>Phương tiện khác</t>
  </si>
  <si>
    <t>2.3 Chi phí  thuê kho</t>
  </si>
  <si>
    <t>Thuê kho - văn phòng</t>
  </si>
  <si>
    <t>Bốc xếp</t>
  </si>
  <si>
    <t>Phí khác</t>
  </si>
  <si>
    <t>% / Doanh số Bán Ra</t>
  </si>
  <si>
    <t>2.4 Chi phí văn phòng :</t>
  </si>
  <si>
    <t>Điện, nước</t>
  </si>
  <si>
    <t>Photo/Fax</t>
  </si>
  <si>
    <t>Văn phòng phẩm</t>
  </si>
  <si>
    <t>2.5 Chi phí chuyển tiền</t>
  </si>
  <si>
    <t>Doanh số Mua có VAT</t>
  </si>
  <si>
    <t xml:space="preserve">Chi phí chuyển tiền </t>
  </si>
  <si>
    <t>2.6 Chi phí khác</t>
  </si>
  <si>
    <t>CK thị trường</t>
  </si>
  <si>
    <t xml:space="preserve">Hỗ trợ phát triển TT + khác </t>
  </si>
  <si>
    <t>2.7 Vốn vay ngân hàng</t>
  </si>
  <si>
    <t>Số tiền vay</t>
  </si>
  <si>
    <t>Lãi vay</t>
  </si>
  <si>
    <t>Tổng chi phí (2) :</t>
  </si>
  <si>
    <t xml:space="preserve">3. Lãi Ròng trước thuế (3=1-2): </t>
  </si>
  <si>
    <t xml:space="preserve"> </t>
  </si>
  <si>
    <t>4. Vốn hoạt động  (Working Capital)</t>
  </si>
  <si>
    <t>Trung bình</t>
  </si>
  <si>
    <t>Tuần 1</t>
  </si>
  <si>
    <t>Tuần 2</t>
  </si>
  <si>
    <t>Tuần 3</t>
  </si>
  <si>
    <t>Tuần 4</t>
  </si>
  <si>
    <t>Tuần 5</t>
  </si>
  <si>
    <t>Doanh số tuần</t>
  </si>
  <si>
    <t>Thị trường nợ</t>
  </si>
  <si>
    <t>Hàng tồn kho</t>
  </si>
  <si>
    <t>Công nợ CK &amp; KM NPP</t>
  </si>
  <si>
    <t>Tiền hàng đang chuyển</t>
  </si>
  <si>
    <t>Vốn hoạt động</t>
  </si>
  <si>
    <t>Vốn Chủ Sở Hữu</t>
  </si>
  <si>
    <t>5. Vốn chủ sở hữu ( Equity Capital : 5= 4 - 2.7)</t>
  </si>
  <si>
    <t>6. Tỉ lệ thu hồi vốn chủ sở  hữu  ( Return On Equity: 6=3/5)</t>
  </si>
  <si>
    <t>R.O.E / Kỳ:</t>
  </si>
  <si>
    <t>R.O.I Ước tính năm :</t>
  </si>
  <si>
    <t>(Return on Investment)</t>
  </si>
  <si>
    <t>7. Những vấn đề cần giải quyết :</t>
  </si>
  <si>
    <t>1. Công nợ thị trường</t>
  </si>
  <si>
    <t>2. Hàng tồn kho</t>
  </si>
  <si>
    <t>3. Nợ công ty</t>
  </si>
  <si>
    <t>4. Vốn hoạt động</t>
  </si>
  <si>
    <t>5. Nhân lực</t>
  </si>
  <si>
    <t>6. Vấn đề khác</t>
  </si>
  <si>
    <t>stt</t>
  </si>
  <si>
    <t>Sản Phẩm</t>
  </si>
  <si>
    <t>Giá nhập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</si>
</sst>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0.0%"/>
    <numFmt numFmtId="166" formatCode="_(* #,##0.00_);_(* \(#,##0.00\);_(* &quot;-&quot;??_);_(@_)"/>
    <numFmt numFmtId="167" formatCode="_(* #,##0_);_(* \(#,##0\);_(* \-??_);_(@_)"/>
  </numFmts>
  <fonts count="22">
    <font>
      <sz val="11.0"/>
      <color rgb="FF000000"/>
      <name val="Calibri"/>
    </font>
    <font>
      <b/>
      <sz val="18.0"/>
      <name val="Arial"/>
    </font>
    <font>
      <sz val="12.0"/>
      <name val="Arial"/>
    </font>
    <font>
      <b/>
      <i/>
      <sz val="12.0"/>
      <name val="Arial"/>
    </font>
    <font>
      <u/>
      <sz val="12.0"/>
      <name val="Arial"/>
    </font>
    <font>
      <b/>
      <i/>
      <u/>
      <sz val="12.0"/>
      <name val="Arial"/>
    </font>
    <font>
      <i/>
      <sz val="12.0"/>
      <name val="Arial"/>
    </font>
    <font>
      <i/>
      <u/>
      <sz val="12.0"/>
      <name val="Arial"/>
    </font>
    <font>
      <b/>
      <u/>
      <sz val="12.0"/>
      <name val="Arial"/>
    </font>
    <font>
      <u/>
      <sz val="12.0"/>
      <name val="Arial"/>
    </font>
    <font>
      <b/>
      <sz val="12.0"/>
      <name val="Arial"/>
    </font>
    <font>
      <sz val="12.0"/>
      <color rgb="FF333333"/>
      <name val="Arial"/>
    </font>
    <font>
      <sz val="12.0"/>
      <color rgb="FF000000"/>
      <name val="Arial"/>
    </font>
    <font>
      <b/>
      <sz val="12.0"/>
      <color rgb="FF00B0F0"/>
      <name val="Arial"/>
    </font>
    <font>
      <b/>
      <sz val="12.0"/>
      <color rgb="FF0066CC"/>
      <name val="Arial"/>
    </font>
    <font>
      <sz val="12.0"/>
      <color rgb="FF0066CC"/>
      <name val="Arial"/>
    </font>
    <font>
      <sz val="12.0"/>
      <color rgb="FF00B0F0"/>
      <name val="Arial"/>
    </font>
    <font/>
    <font>
      <sz val="14.0"/>
      <name val="Times New Roman"/>
    </font>
    <font>
      <sz val="12.0"/>
      <name val="Times New Roman"/>
    </font>
    <font>
      <b/>
      <u/>
      <sz val="12.0"/>
      <name val="Arial"/>
    </font>
    <font>
      <b/>
      <u/>
      <sz val="12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FF6600"/>
        <bgColor rgb="FFFF66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0" fillId="0" fontId="6" numFmtId="14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9" numFmtId="164" xfId="0" applyAlignment="1" applyFont="1" applyNumberFormat="1">
      <alignment vertical="center"/>
    </xf>
    <xf borderId="1" fillId="2" fontId="10" numFmtId="0" xfId="0" applyAlignment="1" applyBorder="1" applyFill="1" applyFont="1">
      <alignment horizontal="center" shrinkToFit="0" vertical="center" wrapText="1"/>
    </xf>
    <xf borderId="2" fillId="2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2" numFmtId="0" xfId="0" applyFont="1"/>
    <xf borderId="1" fillId="0" fontId="2" numFmtId="0" xfId="0" applyBorder="1" applyFont="1"/>
    <xf borderId="1" fillId="0" fontId="2" numFmtId="0" xfId="0" applyAlignment="1" applyBorder="1" applyFont="1">
      <alignment vertical="center"/>
    </xf>
    <xf borderId="1" fillId="0" fontId="2" numFmtId="165" xfId="0" applyAlignment="1" applyBorder="1" applyFont="1" applyNumberFormat="1">
      <alignment vertical="center"/>
    </xf>
    <xf borderId="1" fillId="0" fontId="2" numFmtId="164" xfId="0" applyAlignment="1" applyBorder="1" applyFont="1" applyNumberFormat="1">
      <alignment vertical="center"/>
    </xf>
    <xf borderId="1" fillId="0" fontId="2" numFmtId="164" xfId="0" applyBorder="1" applyFont="1" applyNumberFormat="1"/>
    <xf borderId="0" fillId="0" fontId="10" numFmtId="0" xfId="0" applyFont="1"/>
    <xf borderId="0" fillId="0" fontId="2" numFmtId="166" xfId="0" applyFont="1" applyNumberFormat="1"/>
    <xf borderId="1" fillId="0" fontId="2" numFmtId="166" xfId="0" applyBorder="1" applyFont="1" applyNumberFormat="1"/>
    <xf borderId="3" fillId="0" fontId="2" numFmtId="164" xfId="0" applyAlignment="1" applyBorder="1" applyFont="1" applyNumberFormat="1">
      <alignment vertical="center"/>
    </xf>
    <xf borderId="1" fillId="0" fontId="11" numFmtId="165" xfId="0" applyAlignment="1" applyBorder="1" applyFont="1" applyNumberFormat="1">
      <alignment vertical="center"/>
    </xf>
    <xf borderId="1" fillId="0" fontId="12" numFmtId="165" xfId="0" applyAlignment="1" applyBorder="1" applyFont="1" applyNumberFormat="1">
      <alignment vertical="center"/>
    </xf>
    <xf borderId="1" fillId="0" fontId="12" numFmtId="167" xfId="0" applyAlignment="1" applyBorder="1" applyFont="1" applyNumberFormat="1">
      <alignment vertical="center"/>
    </xf>
    <xf borderId="1" fillId="0" fontId="10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164" xfId="0" applyAlignment="1" applyBorder="1" applyFont="1" applyNumberFormat="1">
      <alignment vertical="center"/>
    </xf>
    <xf borderId="1" fillId="3" fontId="13" numFmtId="164" xfId="0" applyAlignment="1" applyBorder="1" applyFill="1" applyFont="1" applyNumberFormat="1">
      <alignment vertical="center"/>
    </xf>
    <xf borderId="0" fillId="0" fontId="14" numFmtId="0" xfId="0" applyFont="1"/>
    <xf borderId="0" fillId="0" fontId="15" numFmtId="166" xfId="0" applyFont="1" applyNumberFormat="1"/>
    <xf borderId="0" fillId="0" fontId="15" numFmtId="0" xfId="0" applyFont="1"/>
    <xf borderId="0" fillId="0" fontId="10" numFmtId="0" xfId="0" applyAlignment="1" applyFont="1">
      <alignment horizontal="center" vertical="center"/>
    </xf>
    <xf borderId="0" fillId="0" fontId="10" numFmtId="16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0" numFmtId="164" xfId="0" applyAlignment="1" applyFont="1" applyNumberFormat="1">
      <alignment horizontal="left" vertical="center"/>
    </xf>
    <xf borderId="0" fillId="0" fontId="3" numFmtId="164" xfId="0" applyAlignment="1" applyFont="1" applyNumberFormat="1">
      <alignment vertical="center"/>
    </xf>
    <xf borderId="1" fillId="2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3" numFmtId="3" xfId="0" applyAlignment="1" applyBorder="1" applyFont="1" applyNumberFormat="1">
      <alignment horizontal="right" vertical="center"/>
    </xf>
    <xf borderId="1" fillId="0" fontId="16" numFmtId="10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4" fillId="0" fontId="3" numFmtId="3" xfId="0" applyAlignment="1" applyBorder="1" applyFont="1" applyNumberFormat="1">
      <alignment horizontal="right" vertical="center"/>
    </xf>
    <xf borderId="4" fillId="0" fontId="16" numFmtId="10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1" fillId="0" fontId="2" numFmtId="3" xfId="0" applyAlignment="1" applyBorder="1" applyFont="1" applyNumberFormat="1">
      <alignment horizontal="right" vertical="center"/>
    </xf>
    <xf borderId="1" fillId="0" fontId="3" numFmtId="0" xfId="0" applyAlignment="1" applyBorder="1" applyFont="1">
      <alignment horizontal="center" vertical="center"/>
    </xf>
    <xf borderId="1" fillId="0" fontId="3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3" xfId="0" applyAlignment="1" applyFont="1" applyNumberFormat="1">
      <alignment horizontal="center" vertical="center"/>
    </xf>
    <xf borderId="0" fillId="0" fontId="10" numFmtId="10" xfId="0" applyAlignment="1" applyFont="1" applyNumberFormat="1">
      <alignment horizontal="center" vertical="center"/>
    </xf>
    <xf borderId="5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7" fillId="2" fontId="10" numFmtId="0" xfId="0" applyAlignment="1" applyBorder="1" applyFont="1">
      <alignment horizontal="center" vertical="center"/>
    </xf>
    <xf borderId="8" fillId="0" fontId="17" numFmtId="0" xfId="0" applyBorder="1" applyFont="1"/>
    <xf borderId="3" fillId="0" fontId="17" numFmtId="0" xfId="0" applyBorder="1" applyFont="1"/>
    <xf borderId="9" fillId="0" fontId="10" numFmtId="0" xfId="0" applyAlignment="1" applyBorder="1" applyFont="1">
      <alignment vertical="center"/>
    </xf>
    <xf borderId="10" fillId="2" fontId="10" numFmtId="0" xfId="0" applyAlignment="1" applyBorder="1" applyFont="1">
      <alignment horizontal="center" vertical="center"/>
    </xf>
    <xf borderId="11" fillId="0" fontId="17" numFmtId="0" xfId="0" applyBorder="1" applyFont="1"/>
    <xf borderId="7" fillId="0" fontId="2" numFmtId="0" xfId="0" applyAlignment="1" applyBorder="1" applyFont="1">
      <alignment vertical="center"/>
    </xf>
    <xf borderId="7" fillId="0" fontId="2" numFmtId="164" xfId="0" applyAlignment="1" applyBorder="1" applyFont="1" applyNumberFormat="1">
      <alignment vertical="center"/>
    </xf>
    <xf borderId="1" fillId="0" fontId="2" numFmtId="3" xfId="0" applyAlignment="1" applyBorder="1" applyFont="1" applyNumberFormat="1">
      <alignment vertical="center"/>
    </xf>
    <xf borderId="1" fillId="0" fontId="10" numFmtId="3" xfId="0" applyAlignment="1" applyBorder="1" applyFont="1" applyNumberFormat="1">
      <alignment vertical="center"/>
    </xf>
    <xf borderId="1" fillId="0" fontId="16" numFmtId="10" xfId="0" applyAlignment="1" applyBorder="1" applyFont="1" applyNumberFormat="1">
      <alignment vertical="center"/>
    </xf>
    <xf borderId="1" fillId="0" fontId="3" numFmtId="164" xfId="0" applyAlignment="1" applyBorder="1" applyFont="1" applyNumberFormat="1">
      <alignment horizontal="center" vertical="center"/>
    </xf>
    <xf borderId="1" fillId="4" fontId="3" numFmtId="3" xfId="0" applyAlignment="1" applyBorder="1" applyFill="1" applyFont="1" applyNumberFormat="1">
      <alignment horizontal="center" vertical="center"/>
    </xf>
    <xf borderId="0" fillId="0" fontId="2" numFmtId="10" xfId="0" applyAlignment="1" applyFont="1" applyNumberFormat="1">
      <alignment vertical="center"/>
    </xf>
    <xf borderId="9" fillId="0" fontId="2" numFmtId="0" xfId="0" applyAlignment="1" applyBorder="1" applyFont="1">
      <alignment horizontal="center" shrinkToFit="0" vertical="center" wrapText="1"/>
    </xf>
    <xf borderId="9" fillId="0" fontId="2" numFmtId="10" xfId="0" applyAlignment="1" applyBorder="1" applyFont="1" applyNumberFormat="1">
      <alignment shrinkToFit="0" vertical="center" wrapText="1"/>
    </xf>
    <xf borderId="9" fillId="0" fontId="2" numFmtId="166" xfId="0" applyAlignment="1" applyBorder="1" applyFont="1" applyNumberFormat="1">
      <alignment horizontal="center" vertical="center"/>
    </xf>
    <xf borderId="1" fillId="4" fontId="2" numFmtId="3" xfId="0" applyAlignment="1" applyBorder="1" applyFont="1" applyNumberFormat="1">
      <alignment vertical="center"/>
    </xf>
    <xf borderId="0" fillId="0" fontId="2" numFmtId="3" xfId="0" applyAlignment="1" applyFont="1" applyNumberFormat="1">
      <alignment horizontal="right" vertical="center"/>
    </xf>
    <xf borderId="11" fillId="0" fontId="2" numFmtId="0" xfId="0" applyAlignment="1" applyBorder="1" applyFont="1">
      <alignment horizontal="center" vertical="center"/>
    </xf>
    <xf borderId="11" fillId="0" fontId="16" numFmtId="10" xfId="0" applyAlignment="1" applyBorder="1" applyFont="1" applyNumberFormat="1">
      <alignment horizontal="center" vertical="center"/>
    </xf>
    <xf borderId="1" fillId="4" fontId="2" numFmtId="3" xfId="0" applyAlignment="1" applyBorder="1" applyFont="1" applyNumberFormat="1">
      <alignment horizontal="center" vertical="center"/>
    </xf>
    <xf borderId="1" fillId="2" fontId="10" numFmtId="0" xfId="0" applyAlignment="1" applyBorder="1" applyFont="1">
      <alignment vertical="center"/>
    </xf>
    <xf borderId="1" fillId="5" fontId="18" numFmtId="3" xfId="0" applyAlignment="1" applyBorder="1" applyFill="1" applyFont="1" applyNumberFormat="1">
      <alignment vertical="center"/>
    </xf>
    <xf borderId="1" fillId="4" fontId="19" numFmtId="3" xfId="0" applyAlignment="1" applyBorder="1" applyFont="1" applyNumberFormat="1">
      <alignment vertical="center"/>
    </xf>
    <xf borderId="0" fillId="0" fontId="2" numFmtId="3" xfId="0" applyAlignment="1" applyFont="1" applyNumberFormat="1">
      <alignment horizontal="center" vertical="center"/>
    </xf>
    <xf borderId="0" fillId="0" fontId="2" numFmtId="3" xfId="0" applyAlignment="1" applyFont="1" applyNumberFormat="1">
      <alignment vertical="center"/>
    </xf>
    <xf borderId="7" fillId="0" fontId="16" numFmtId="10" xfId="0" applyAlignment="1" applyBorder="1" applyFont="1" applyNumberFormat="1">
      <alignment vertical="center"/>
    </xf>
    <xf borderId="0" fillId="0" fontId="10" numFmtId="0" xfId="0" applyAlignment="1" applyFont="1">
      <alignment horizontal="left" vertical="center"/>
    </xf>
    <xf borderId="12" fillId="0" fontId="17" numFmtId="0" xfId="0" applyBorder="1" applyFont="1"/>
    <xf borderId="1" fillId="6" fontId="10" numFmtId="3" xfId="0" applyAlignment="1" applyBorder="1" applyFill="1" applyFont="1" applyNumberFormat="1">
      <alignment vertical="center"/>
    </xf>
    <xf borderId="1" fillId="0" fontId="13" numFmtId="10" xfId="0" applyAlignment="1" applyBorder="1" applyFont="1" applyNumberFormat="1">
      <alignment horizontal="right" vertical="center"/>
    </xf>
    <xf borderId="7" fillId="0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 vertical="center"/>
    </xf>
    <xf borderId="1" fillId="4" fontId="2" numFmtId="164" xfId="0" applyAlignment="1" applyBorder="1" applyFont="1" applyNumberFormat="1">
      <alignment vertical="center"/>
    </xf>
    <xf borderId="1" fillId="7" fontId="2" numFmtId="3" xfId="0" applyAlignment="1" applyBorder="1" applyFill="1" applyFont="1" applyNumberFormat="1">
      <alignment horizontal="right" vertical="center"/>
    </xf>
    <xf borderId="1" fillId="7" fontId="2" numFmtId="164" xfId="0" applyAlignment="1" applyBorder="1" applyFont="1" applyNumberFormat="1">
      <alignment horizontal="right" vertical="center"/>
    </xf>
    <xf borderId="1" fillId="0" fontId="2" numFmtId="164" xfId="0" applyAlignment="1" applyBorder="1" applyFont="1" applyNumberFormat="1">
      <alignment horizontal="right" vertical="center"/>
    </xf>
    <xf borderId="7" fillId="0" fontId="10" numFmtId="0" xfId="0" applyAlignment="1" applyBorder="1" applyFont="1">
      <alignment horizontal="left" shrinkToFit="0" vertical="center" wrapText="1"/>
    </xf>
    <xf borderId="1" fillId="0" fontId="10" numFmtId="3" xfId="0" applyAlignment="1" applyBorder="1" applyFont="1" applyNumberFormat="1">
      <alignment horizontal="right" vertical="center"/>
    </xf>
    <xf borderId="1" fillId="5" fontId="10" numFmtId="3" xfId="0" applyAlignment="1" applyBorder="1" applyFont="1" applyNumberFormat="1">
      <alignment horizontal="right" vertical="center"/>
    </xf>
    <xf borderId="1" fillId="5" fontId="10" numFmtId="3" xfId="0" applyAlignment="1" applyBorder="1" applyFont="1" applyNumberFormat="1">
      <alignment vertical="center"/>
    </xf>
    <xf borderId="1" fillId="6" fontId="13" numFmtId="10" xfId="0" applyAlignment="1" applyBorder="1" applyFont="1" applyNumberFormat="1">
      <alignment vertical="center"/>
    </xf>
    <xf borderId="7" fillId="0" fontId="10" numFmtId="0" xfId="0" applyAlignment="1" applyBorder="1" applyFont="1">
      <alignment horizontal="center" vertical="center"/>
    </xf>
    <xf borderId="7" fillId="0" fontId="2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17" numFmtId="0" xfId="0" applyBorder="1" applyFont="1"/>
    <xf borderId="0" fillId="0" fontId="21" numFmtId="0" xfId="0" applyAlignment="1" applyFont="1">
      <alignment horizontal="center" vertical="center"/>
    </xf>
    <xf borderId="13" fillId="8" fontId="2" numFmtId="0" xfId="0" applyAlignment="1" applyBorder="1" applyFill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worksheetdrawing1.xml"/><Relationship Id="rId1" Type="http://schemas.openxmlformats.org/officeDocument/2006/relationships/comments" Target="../comments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9.29"/>
    <col customWidth="1" min="3" max="3" width="25.29"/>
    <col customWidth="1" min="4" max="4" width="22.71"/>
    <col customWidth="1" min="5" max="5" width="20.29"/>
    <col customWidth="1" min="6" max="6" width="25.29"/>
    <col customWidth="1" min="7" max="7" width="17.29"/>
    <col customWidth="1" min="8" max="8" width="19.0"/>
    <col customWidth="1" min="9" max="9" width="20.0"/>
    <col customWidth="1" min="10" max="10" width="11.57"/>
    <col customWidth="1" min="11" max="12" width="21.43"/>
    <col customWidth="1" min="13" max="14" width="9.14"/>
    <col customWidth="1" min="15" max="15" width="10.29"/>
    <col customWidth="1" min="16" max="16" width="11.57"/>
    <col customWidth="1" min="17" max="17" width="19.57"/>
    <col customWidth="1" min="18" max="18" width="9.14"/>
    <col customWidth="1" min="19" max="19" width="11.57"/>
  </cols>
  <sheetData>
    <row r="1" ht="38.25" customHeight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4" t="s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5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6" t="s">
        <v>2</v>
      </c>
      <c r="B5" s="7"/>
      <c r="C5" s="7"/>
      <c r="D5" s="7" t="s">
        <v>3</v>
      </c>
      <c r="E5" s="7"/>
      <c r="F5" s="7"/>
      <c r="G5" s="7" t="s">
        <v>4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8"/>
      <c r="B6" s="7"/>
      <c r="C6" s="7"/>
      <c r="D6" s="8"/>
      <c r="E6" s="7"/>
      <c r="F6" s="7"/>
      <c r="G6" s="7" t="s">
        <v>5</v>
      </c>
      <c r="H6" s="9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10" t="s">
        <v>6</v>
      </c>
      <c r="B7" s="2"/>
      <c r="C7" s="2"/>
      <c r="D7" s="2"/>
      <c r="E7" s="11"/>
      <c r="F7" s="11"/>
      <c r="G7" s="1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5"/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>
      <c r="A9" s="13" t="s">
        <v>7</v>
      </c>
      <c r="B9" s="13" t="s">
        <v>8</v>
      </c>
      <c r="C9" s="14" t="s">
        <v>9</v>
      </c>
      <c r="D9" s="13" t="s">
        <v>10</v>
      </c>
      <c r="E9" s="13" t="s">
        <v>11</v>
      </c>
      <c r="F9" s="13" t="s">
        <v>12</v>
      </c>
      <c r="G9" s="13" t="s">
        <v>13</v>
      </c>
      <c r="H9" s="13" t="s">
        <v>14</v>
      </c>
      <c r="I9" s="13" t="s">
        <v>15</v>
      </c>
      <c r="J9" s="15"/>
      <c r="K9" s="16"/>
      <c r="L9" s="16"/>
      <c r="M9" s="16"/>
      <c r="N9" s="16"/>
      <c r="O9" s="16"/>
      <c r="P9" s="16"/>
      <c r="Q9" s="16"/>
      <c r="R9" s="16"/>
      <c r="S9" s="16"/>
    </row>
    <row r="10">
      <c r="A10" s="17">
        <v>1.0</v>
      </c>
      <c r="B10" s="18"/>
      <c r="C10" s="19" t="str">
        <f t="shared" ref="C10:C12" si="1">(E10-D10)/E10</f>
        <v>60.3%</v>
      </c>
      <c r="D10" s="20" t="str">
        <f>5*2500*23300</f>
        <v>  291,250,000 </v>
      </c>
      <c r="E10" s="20" t="str">
        <f>340000*2500*0.95*10/11</f>
        <v>  734,090,909 </v>
      </c>
      <c r="F10" s="21" t="str">
        <f t="shared" ref="F10:F14" si="2">C10*E10</f>
        <v>  442,840,909 </v>
      </c>
      <c r="G10" s="21"/>
      <c r="H10" s="21"/>
      <c r="I10" s="21" t="str">
        <f t="shared" ref="I10:I14" si="3">F10+G10+H10</f>
        <v>  442,840,909 </v>
      </c>
      <c r="J10" s="22" t="str">
        <f t="shared" ref="J10:J14" si="4">L10/E10</f>
        <v>0.7731888545</v>
      </c>
      <c r="K10" s="23">
        <v>1.665E8</v>
      </c>
      <c r="L10" s="23" t="str">
        <f t="shared" ref="L10:L14" si="5">E10-K10</f>
        <v>  567,590,909.09 </v>
      </c>
      <c r="M10" s="16"/>
      <c r="N10" s="16"/>
      <c r="O10" s="16"/>
      <c r="P10" s="16"/>
      <c r="Q10" s="16"/>
      <c r="R10" s="16"/>
      <c r="S10" s="16"/>
    </row>
    <row r="11">
      <c r="A11" s="17">
        <v>2.0</v>
      </c>
      <c r="B11" s="18"/>
      <c r="C11" s="19" t="str">
        <f t="shared" si="1"/>
        <v>62.7%</v>
      </c>
      <c r="D11" s="24" t="str">
        <f>3.2*23300*200</f>
        <v>  14,912,000.00 </v>
      </c>
      <c r="E11" s="25" t="str">
        <f>240000*200*5/6</f>
        <v>  40,000,000 </v>
      </c>
      <c r="F11" s="21" t="str">
        <f t="shared" si="2"/>
        <v>  25,088,000 </v>
      </c>
      <c r="G11" s="21"/>
      <c r="H11" s="21"/>
      <c r="I11" s="21" t="str">
        <f t="shared" si="3"/>
        <v>  25,088,000 </v>
      </c>
      <c r="J11" s="22" t="str">
        <f t="shared" si="4"/>
        <v>-30.175</v>
      </c>
      <c r="K11" s="23">
        <v>1.247E9</v>
      </c>
      <c r="L11" s="23" t="str">
        <f t="shared" si="5"/>
        <v>  (1,207,000,000.00)</v>
      </c>
      <c r="M11" s="16"/>
      <c r="N11" s="16"/>
      <c r="O11" s="16"/>
      <c r="P11" s="16"/>
      <c r="Q11" s="16"/>
      <c r="R11" s="16"/>
      <c r="S11" s="16"/>
    </row>
    <row r="12">
      <c r="A12" s="17">
        <v>3.0</v>
      </c>
      <c r="B12" s="18"/>
      <c r="C12" s="26" t="str">
        <f t="shared" si="1"/>
        <v>64.9%</v>
      </c>
      <c r="D12" s="24" t="str">
        <f>5*23300*200</f>
        <v>  23,300,000.00 </v>
      </c>
      <c r="E12" s="25" t="str">
        <f>365000*200/1.1</f>
        <v>  66,363,636 </v>
      </c>
      <c r="F12" s="21" t="str">
        <f t="shared" si="2"/>
        <v>  43,063,636 </v>
      </c>
      <c r="G12" s="21"/>
      <c r="H12" s="21"/>
      <c r="I12" s="21" t="str">
        <f t="shared" si="3"/>
        <v>  43,063,636 </v>
      </c>
      <c r="J12" s="22" t="str">
        <f t="shared" si="4"/>
        <v>-12.27534247</v>
      </c>
      <c r="K12" s="23">
        <v>8.81E8</v>
      </c>
      <c r="L12" s="23" t="str">
        <f t="shared" si="5"/>
        <v>  (814,636,363.64)</v>
      </c>
      <c r="M12" s="16"/>
      <c r="N12" s="16"/>
      <c r="O12" s="16"/>
      <c r="P12" s="16"/>
      <c r="Q12" s="16"/>
      <c r="R12" s="16"/>
      <c r="S12" s="16"/>
    </row>
    <row r="13">
      <c r="A13" s="17">
        <v>4.0</v>
      </c>
      <c r="B13" s="18"/>
      <c r="C13" s="26"/>
      <c r="D13" s="24"/>
      <c r="E13" s="25"/>
      <c r="F13" s="21" t="str">
        <f t="shared" si="2"/>
        <v>  -   </v>
      </c>
      <c r="G13" s="21"/>
      <c r="H13" s="21"/>
      <c r="I13" s="21" t="str">
        <f t="shared" si="3"/>
        <v>  -   </v>
      </c>
      <c r="J13" s="22" t="str">
        <f t="shared" si="4"/>
        <v>#DIV/0!</v>
      </c>
      <c r="K13" s="23">
        <v>1.536E9</v>
      </c>
      <c r="L13" s="23" t="str">
        <f t="shared" si="5"/>
        <v>  (1,536,000,000.00)</v>
      </c>
      <c r="M13" s="16"/>
      <c r="N13" s="16"/>
      <c r="O13" s="16"/>
      <c r="P13" s="16"/>
      <c r="Q13" s="16"/>
      <c r="R13" s="16"/>
      <c r="S13" s="16"/>
    </row>
    <row r="14">
      <c r="A14" s="17">
        <v>5.0</v>
      </c>
      <c r="B14" s="18"/>
      <c r="C14" s="26"/>
      <c r="D14" s="24"/>
      <c r="E14" s="25"/>
      <c r="F14" s="21" t="str">
        <f t="shared" si="2"/>
        <v>  -   </v>
      </c>
      <c r="G14" s="21"/>
      <c r="H14" s="21"/>
      <c r="I14" s="21" t="str">
        <f t="shared" si="3"/>
        <v>  -   </v>
      </c>
      <c r="J14" s="22" t="str">
        <f t="shared" si="4"/>
        <v>#DIV/0!</v>
      </c>
      <c r="K14" s="23">
        <v>8.53E8</v>
      </c>
      <c r="L14" s="23" t="str">
        <f t="shared" si="5"/>
        <v>  (853,000,000.00)</v>
      </c>
      <c r="M14" s="16"/>
      <c r="N14" s="16"/>
      <c r="O14" s="16"/>
      <c r="P14" s="16"/>
      <c r="Q14" s="16"/>
      <c r="R14" s="16"/>
      <c r="S14" s="16"/>
    </row>
    <row r="15">
      <c r="A15" s="17">
        <v>6.0</v>
      </c>
      <c r="B15" s="18"/>
      <c r="C15" s="27"/>
      <c r="D15" s="25"/>
      <c r="E15" s="25"/>
      <c r="F15" s="21"/>
      <c r="G15" s="21"/>
      <c r="H15" s="21"/>
      <c r="I15" s="21"/>
      <c r="J15" s="22" t="str">
        <f t="shared" ref="J15:J17" si="6">E15/K15</f>
        <v>#DIV/0!</v>
      </c>
      <c r="K15" s="23"/>
      <c r="L15" s="23"/>
      <c r="M15" s="16"/>
      <c r="N15" s="16"/>
      <c r="O15" s="16"/>
      <c r="P15" s="16"/>
      <c r="Q15" s="16"/>
      <c r="R15" s="16"/>
      <c r="S15" s="16"/>
    </row>
    <row r="16">
      <c r="A16" s="17">
        <v>7.0</v>
      </c>
      <c r="B16" s="17"/>
      <c r="C16" s="27"/>
      <c r="D16" s="28"/>
      <c r="E16" s="21"/>
      <c r="F16" s="21" t="str">
        <f t="shared" ref="F16:F17" si="7">C16*E16</f>
        <v>  -   </v>
      </c>
      <c r="G16" s="21"/>
      <c r="H16" s="21"/>
      <c r="I16" s="21" t="str">
        <f t="shared" ref="I16:I17" si="8">F16+G16+H16</f>
        <v>  -   </v>
      </c>
      <c r="J16" s="22" t="str">
        <f t="shared" si="6"/>
        <v>#DIV/0!</v>
      </c>
      <c r="K16" s="16"/>
      <c r="L16" s="16"/>
      <c r="M16" s="16"/>
      <c r="N16" s="16"/>
      <c r="O16" s="16"/>
      <c r="P16" s="16"/>
      <c r="Q16" s="16"/>
      <c r="R16" s="16"/>
      <c r="S16" s="16"/>
    </row>
    <row r="17">
      <c r="A17" s="17">
        <v>8.0</v>
      </c>
      <c r="B17" s="18"/>
      <c r="C17" s="27"/>
      <c r="D17" s="28"/>
      <c r="E17" s="21"/>
      <c r="F17" s="21" t="str">
        <f t="shared" si="7"/>
        <v>  -   </v>
      </c>
      <c r="G17" s="21"/>
      <c r="H17" s="21"/>
      <c r="I17" s="21" t="str">
        <f t="shared" si="8"/>
        <v>  -   </v>
      </c>
      <c r="J17" s="22" t="str">
        <f t="shared" si="6"/>
        <v>#DIV/0!</v>
      </c>
      <c r="K17" s="16"/>
      <c r="L17" s="16"/>
      <c r="M17" s="16"/>
      <c r="N17" s="16"/>
      <c r="O17" s="16"/>
      <c r="P17" s="16"/>
      <c r="Q17" s="16"/>
      <c r="R17" s="16"/>
      <c r="S17" s="16"/>
    </row>
    <row r="18">
      <c r="A18" s="29"/>
      <c r="B18" s="30" t="s">
        <v>16</v>
      </c>
      <c r="C18" s="31"/>
      <c r="D18" s="31" t="str">
        <f t="shared" ref="D18:I18" si="9">SUM(D10:D17)</f>
        <v>  329,462,000 </v>
      </c>
      <c r="E18" s="31" t="str">
        <f t="shared" si="9"/>
        <v>  840,454,545 </v>
      </c>
      <c r="F18" s="31" t="str">
        <f t="shared" si="9"/>
        <v>  510,992,545 </v>
      </c>
      <c r="G18" s="31" t="str">
        <f t="shared" si="9"/>
        <v>  -   </v>
      </c>
      <c r="H18" s="31" t="str">
        <f t="shared" si="9"/>
        <v>  -   </v>
      </c>
      <c r="I18" s="32" t="str">
        <f t="shared" si="9"/>
        <v>  510,992,545 </v>
      </c>
      <c r="J18" s="33"/>
      <c r="K18" s="34" t="str">
        <f>SUM(K10:K14)</f>
        <v>  4,683,500,000.00 </v>
      </c>
      <c r="L18" s="34" t="str">
        <f>K18+F18</f>
        <v>  5,194,492,545.45 </v>
      </c>
      <c r="M18" s="35"/>
      <c r="N18" s="35"/>
      <c r="O18" s="35"/>
      <c r="P18" s="35"/>
      <c r="Q18" s="35"/>
      <c r="R18" s="35"/>
      <c r="S18" s="35"/>
    </row>
    <row r="19">
      <c r="A19" s="36"/>
      <c r="B19" s="36"/>
      <c r="C19" s="36"/>
      <c r="D19" s="36"/>
      <c r="E19" s="37"/>
      <c r="F19" s="37"/>
      <c r="G19" s="37"/>
      <c r="H19" s="37"/>
      <c r="I19" s="3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>
      <c r="A20" s="38" t="s">
        <v>17</v>
      </c>
      <c r="B20" s="2"/>
      <c r="C20" s="11"/>
      <c r="D20" s="11"/>
      <c r="E20" s="11"/>
      <c r="F20" s="39"/>
      <c r="G20" s="39"/>
      <c r="H20" s="39"/>
      <c r="I20" s="40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ht="15.75" customHeight="1">
      <c r="A21" s="2"/>
      <c r="B21" s="4" t="s">
        <v>18</v>
      </c>
      <c r="C21" s="2"/>
      <c r="D21" s="2"/>
      <c r="E21" s="11"/>
      <c r="F21" s="2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ht="15.75" customHeight="1">
      <c r="A22" s="2"/>
      <c r="B22" s="2"/>
      <c r="C22" s="2"/>
      <c r="D22" s="41" t="s">
        <v>19</v>
      </c>
      <c r="E22" s="41" t="s">
        <v>20</v>
      </c>
      <c r="F22" s="41" t="s">
        <v>21</v>
      </c>
      <c r="G22" s="41" t="s">
        <v>22</v>
      </c>
      <c r="H22" s="41" t="s">
        <v>23</v>
      </c>
      <c r="I22" s="41" t="s">
        <v>24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ht="15.75" customHeight="1">
      <c r="A23" s="2"/>
      <c r="B23" s="2"/>
      <c r="C23" s="42" t="s">
        <v>25</v>
      </c>
      <c r="D23" s="43">
        <v>1.0</v>
      </c>
      <c r="E23" s="44">
        <v>6.0E7</v>
      </c>
      <c r="F23" s="44"/>
      <c r="G23" s="44"/>
      <c r="H23" s="45" t="str">
        <f>D23*E23+D23*F23+G23</f>
        <v>60,000,000</v>
      </c>
      <c r="I23" s="46" t="str">
        <f>H23/$E$18</f>
        <v>7.14%</v>
      </c>
      <c r="J23" s="2"/>
      <c r="K23" s="2"/>
      <c r="L23" s="2"/>
      <c r="M23" s="2"/>
      <c r="N23" s="2"/>
      <c r="O23" s="2"/>
      <c r="P23" s="2"/>
      <c r="Q23" s="2"/>
      <c r="R23" s="2"/>
      <c r="S23" s="2"/>
    </row>
    <row r="24" ht="15.75" customHeight="1">
      <c r="A24" s="2"/>
      <c r="B24" s="2"/>
      <c r="C24" s="47"/>
      <c r="D24" s="48"/>
      <c r="E24" s="48"/>
      <c r="F24" s="48"/>
      <c r="G24" s="48"/>
      <c r="H24" s="49"/>
      <c r="I24" s="50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ht="15.75" customHeight="1">
      <c r="A25" s="2"/>
      <c r="B25" s="2"/>
      <c r="C25" s="42" t="s">
        <v>26</v>
      </c>
      <c r="D25" s="51"/>
      <c r="E25" s="52"/>
      <c r="F25" s="52"/>
      <c r="G25" s="52"/>
      <c r="H25" s="45" t="str">
        <f>SUM(H26:H32)</f>
        <v>229,000,000</v>
      </c>
      <c r="I25" s="46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ht="15.75" customHeight="1">
      <c r="A26" s="2"/>
      <c r="B26" s="2"/>
      <c r="C26" s="18" t="s">
        <v>27</v>
      </c>
      <c r="D26" s="51">
        <v>1.0</v>
      </c>
      <c r="E26" s="52">
        <v>4.0E7</v>
      </c>
      <c r="F26" s="52"/>
      <c r="G26" s="52"/>
      <c r="H26" s="45" t="str">
        <f t="shared" ref="H26:H32" si="10">D26*E26+D26*F26+G26</f>
        <v>40,000,000</v>
      </c>
      <c r="I26" s="46" t="str">
        <f t="shared" ref="I26:I31" si="11">H26/$E$18</f>
        <v>4.76%</v>
      </c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5.75" customHeight="1">
      <c r="A27" s="2"/>
      <c r="B27" s="2"/>
      <c r="C27" s="18" t="s">
        <v>28</v>
      </c>
      <c r="D27" s="51">
        <v>3.0</v>
      </c>
      <c r="E27" s="52">
        <v>1.0E7</v>
      </c>
      <c r="F27" s="52"/>
      <c r="G27" s="52"/>
      <c r="H27" s="45" t="str">
        <f t="shared" si="10"/>
        <v>30,000,000</v>
      </c>
      <c r="I27" s="46" t="str">
        <f t="shared" si="11"/>
        <v>3.57%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5.75" customHeight="1">
      <c r="A28" s="2"/>
      <c r="B28" s="2"/>
      <c r="C28" s="18" t="s">
        <v>29</v>
      </c>
      <c r="D28" s="51">
        <v>6.0</v>
      </c>
      <c r="E28" s="52">
        <v>2.0E7</v>
      </c>
      <c r="F28" s="52"/>
      <c r="G28" s="52"/>
      <c r="H28" s="45" t="str">
        <f t="shared" si="10"/>
        <v>120,000,000</v>
      </c>
      <c r="I28" s="46" t="str">
        <f t="shared" si="11"/>
        <v>14.28%</v>
      </c>
      <c r="J28" s="2"/>
      <c r="K28" s="2"/>
      <c r="L28" s="2"/>
      <c r="M28" s="2"/>
      <c r="N28" s="2"/>
      <c r="O28" s="2"/>
      <c r="P28" s="2"/>
      <c r="Q28" s="2"/>
      <c r="R28" s="2"/>
      <c r="S28" s="2"/>
    </row>
    <row r="29" ht="15.75" customHeight="1">
      <c r="A29" s="2"/>
      <c r="B29" s="2"/>
      <c r="C29" s="18" t="s">
        <v>30</v>
      </c>
      <c r="D29" s="51">
        <v>1.0</v>
      </c>
      <c r="E29" s="52">
        <v>3000000.0</v>
      </c>
      <c r="F29" s="52"/>
      <c r="G29" s="52"/>
      <c r="H29" s="45" t="str">
        <f t="shared" si="10"/>
        <v>3,000,000</v>
      </c>
      <c r="I29" s="46" t="str">
        <f t="shared" si="11"/>
        <v>0.36%</v>
      </c>
      <c r="J29" s="2"/>
      <c r="K29" s="2"/>
      <c r="L29" s="2"/>
      <c r="M29" s="2"/>
      <c r="N29" s="2"/>
      <c r="O29" s="2"/>
      <c r="P29" s="2"/>
      <c r="Q29" s="2"/>
      <c r="R29" s="2"/>
      <c r="S29" s="2"/>
    </row>
    <row r="30" ht="15.75" customHeight="1">
      <c r="A30" s="2"/>
      <c r="B30" s="2"/>
      <c r="C30" s="18" t="s">
        <v>31</v>
      </c>
      <c r="D30" s="51">
        <v>3.0</v>
      </c>
      <c r="E30" s="52">
        <v>1.2E7</v>
      </c>
      <c r="F30" s="52"/>
      <c r="G30" s="52"/>
      <c r="H30" s="45" t="str">
        <f t="shared" si="10"/>
        <v>36,000,000</v>
      </c>
      <c r="I30" s="46" t="str">
        <f t="shared" si="11"/>
        <v>4.28%</v>
      </c>
      <c r="J30" s="2"/>
      <c r="K30" s="2"/>
      <c r="L30" s="2"/>
      <c r="M30" s="2"/>
      <c r="N30" s="2"/>
      <c r="O30" s="2"/>
      <c r="P30" s="2"/>
      <c r="Q30" s="2"/>
      <c r="R30" s="2"/>
      <c r="S30" s="2"/>
    </row>
    <row r="31" ht="15.75" customHeight="1">
      <c r="A31" s="2"/>
      <c r="B31" s="2"/>
      <c r="C31" s="18" t="s">
        <v>32</v>
      </c>
      <c r="D31" s="51"/>
      <c r="E31" s="52"/>
      <c r="F31" s="52"/>
      <c r="G31" s="52"/>
      <c r="H31" s="45" t="str">
        <f t="shared" si="10"/>
        <v>0</v>
      </c>
      <c r="I31" s="46" t="str">
        <f t="shared" si="11"/>
        <v>0.00%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ht="15.75" customHeight="1">
      <c r="A32" s="2"/>
      <c r="B32" s="2"/>
      <c r="C32" s="18" t="s">
        <v>33</v>
      </c>
      <c r="D32" s="51"/>
      <c r="E32" s="52">
        <v>5000000.0</v>
      </c>
      <c r="F32" s="52"/>
      <c r="G32" s="52"/>
      <c r="H32" s="45" t="str">
        <f t="shared" si="10"/>
        <v>0</v>
      </c>
      <c r="I32" s="46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ht="15.75" customHeight="1">
      <c r="A33" s="4"/>
      <c r="B33" s="4"/>
      <c r="C33" s="53" t="s">
        <v>23</v>
      </c>
      <c r="D33" s="54" t="s">
        <v>34</v>
      </c>
      <c r="E33" s="54" t="str">
        <f t="shared" ref="E33:G33" si="12">SUM(E23:E32)</f>
        <v>150,000,000</v>
      </c>
      <c r="F33" s="54" t="str">
        <f t="shared" si="12"/>
        <v>0</v>
      </c>
      <c r="G33" s="54" t="str">
        <f t="shared" si="12"/>
        <v>0</v>
      </c>
      <c r="H33" s="54" t="str">
        <f>H23+H25</f>
        <v>289,000,000</v>
      </c>
      <c r="I33" s="46" t="str">
        <f>H33/$E$18</f>
        <v>34.39%</v>
      </c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4"/>
      <c r="B34" s="4"/>
      <c r="C34" s="55"/>
      <c r="D34" s="56"/>
      <c r="E34" s="56"/>
      <c r="F34" s="56"/>
      <c r="G34" s="56"/>
      <c r="H34" s="56"/>
      <c r="I34" s="57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4"/>
      <c r="B35" s="4"/>
      <c r="C35" s="55"/>
      <c r="D35" s="56"/>
      <c r="E35" s="56"/>
      <c r="F35" s="56"/>
      <c r="G35" s="56"/>
      <c r="H35" s="56"/>
      <c r="I35" s="57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2"/>
      <c r="B36" s="4" t="s">
        <v>35</v>
      </c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ht="15.75" customHeight="1">
      <c r="A37" s="2"/>
      <c r="B37" s="58"/>
      <c r="C37" s="59" t="s">
        <v>36</v>
      </c>
      <c r="D37" s="59" t="s">
        <v>19</v>
      </c>
      <c r="E37" s="60" t="s">
        <v>37</v>
      </c>
      <c r="F37" s="61"/>
      <c r="G37" s="61"/>
      <c r="H37" s="62"/>
      <c r="I37" s="63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ht="15.75" customHeight="1">
      <c r="A38" s="2"/>
      <c r="B38" s="64"/>
      <c r="C38" s="65"/>
      <c r="D38" s="65"/>
      <c r="E38" s="41" t="s">
        <v>38</v>
      </c>
      <c r="F38" s="41" t="s">
        <v>39</v>
      </c>
      <c r="G38" s="41" t="s">
        <v>40</v>
      </c>
      <c r="H38" s="41" t="s">
        <v>24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ht="15.75" customHeight="1">
      <c r="A39" s="2"/>
      <c r="B39" s="66" t="s">
        <v>41</v>
      </c>
      <c r="C39" s="67"/>
      <c r="D39" s="51">
        <v>20.0</v>
      </c>
      <c r="E39" s="68" t="str">
        <f t="shared" ref="E39:E43" si="13">D39*C39</f>
        <v>0</v>
      </c>
      <c r="F39" s="68"/>
      <c r="G39" s="69" t="str">
        <f t="shared" ref="G39:G43" si="14">SUM(E39:F39)</f>
        <v>0</v>
      </c>
      <c r="H39" s="70" t="str">
        <f t="shared" ref="H39:H44" si="15">G39/$E$18</f>
        <v>0.00%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ht="15.75" customHeight="1">
      <c r="A40" s="2"/>
      <c r="B40" s="66" t="s">
        <v>42</v>
      </c>
      <c r="C40" s="67"/>
      <c r="D40" s="51"/>
      <c r="E40" s="68" t="str">
        <f t="shared" si="13"/>
        <v>0</v>
      </c>
      <c r="F40" s="68"/>
      <c r="G40" s="69" t="str">
        <f t="shared" si="14"/>
        <v>0</v>
      </c>
      <c r="H40" s="70" t="str">
        <f t="shared" si="15"/>
        <v>0.00%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ht="15.75" customHeight="1">
      <c r="A41" s="2"/>
      <c r="B41" s="66" t="s">
        <v>43</v>
      </c>
      <c r="C41" s="67">
        <v>120000.0</v>
      </c>
      <c r="D41" s="51">
        <v>50.0</v>
      </c>
      <c r="E41" s="68" t="str">
        <f t="shared" si="13"/>
        <v>6,000,000</v>
      </c>
      <c r="F41" s="68"/>
      <c r="G41" s="69" t="str">
        <f t="shared" si="14"/>
        <v>6,000,000</v>
      </c>
      <c r="H41" s="70" t="str">
        <f t="shared" si="15"/>
        <v>0.71%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ht="15.75" customHeight="1">
      <c r="A42" s="2"/>
      <c r="B42" s="66" t="s">
        <v>44</v>
      </c>
      <c r="C42" s="67"/>
      <c r="D42" s="51"/>
      <c r="E42" s="68" t="str">
        <f t="shared" si="13"/>
        <v>0</v>
      </c>
      <c r="F42" s="68"/>
      <c r="G42" s="69" t="str">
        <f t="shared" si="14"/>
        <v>0</v>
      </c>
      <c r="H42" s="70" t="str">
        <f t="shared" si="15"/>
        <v>0.00%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ht="15.75" customHeight="1">
      <c r="A43" s="2"/>
      <c r="B43" s="66" t="s">
        <v>45</v>
      </c>
      <c r="C43" s="67"/>
      <c r="D43" s="51">
        <v>1.0</v>
      </c>
      <c r="E43" s="68" t="str">
        <f t="shared" si="13"/>
        <v>0</v>
      </c>
      <c r="F43" s="68"/>
      <c r="G43" s="69" t="str">
        <f t="shared" si="14"/>
        <v>0</v>
      </c>
      <c r="H43" s="70" t="str">
        <f t="shared" si="15"/>
        <v>0.00%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ht="15.75" customHeight="1">
      <c r="A44" s="4"/>
      <c r="B44" s="53" t="s">
        <v>40</v>
      </c>
      <c r="C44" s="71"/>
      <c r="D44" s="54" t="str">
        <f t="shared" ref="D44:G44" si="16">SUM(D39:D43)</f>
        <v>71</v>
      </c>
      <c r="E44" s="54" t="str">
        <f t="shared" si="16"/>
        <v>6,000,000</v>
      </c>
      <c r="F44" s="54" t="str">
        <f t="shared" si="16"/>
        <v>0</v>
      </c>
      <c r="G44" s="72" t="str">
        <f t="shared" si="16"/>
        <v>6,000,000</v>
      </c>
      <c r="H44" s="70" t="str">
        <f t="shared" si="15"/>
        <v>0.71%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ht="15.75" customHeight="1">
      <c r="A45" s="4"/>
      <c r="B45" s="4"/>
      <c r="C45" s="55"/>
      <c r="D45" s="55"/>
      <c r="E45" s="55"/>
      <c r="F45" s="55"/>
      <c r="G45" s="55"/>
      <c r="H45" s="55"/>
      <c r="I45" s="73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ht="15.75" customHeight="1">
      <c r="A46" s="2"/>
      <c r="B46" s="4" t="s">
        <v>46</v>
      </c>
      <c r="C46" s="2"/>
      <c r="D46" s="2"/>
      <c r="E46" s="2"/>
      <c r="F46" s="2"/>
      <c r="G46" s="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ht="15.75" customHeight="1">
      <c r="A47" s="2"/>
      <c r="B47" s="2"/>
      <c r="C47" s="2"/>
      <c r="D47" s="13" t="s">
        <v>47</v>
      </c>
      <c r="E47" s="41" t="s">
        <v>48</v>
      </c>
      <c r="F47" s="41" t="s">
        <v>49</v>
      </c>
      <c r="G47" s="41" t="s">
        <v>40</v>
      </c>
      <c r="H47" s="7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ht="15.75" customHeight="1">
      <c r="A48" s="2"/>
      <c r="B48" s="2"/>
      <c r="C48" s="66" t="s">
        <v>37</v>
      </c>
      <c r="D48" s="68">
        <v>1.2E7</v>
      </c>
      <c r="E48" s="68">
        <v>2000000.0</v>
      </c>
      <c r="F48" s="68"/>
      <c r="G48" s="68" t="str">
        <f>SUM(D48:F48)</f>
        <v>14,000,000</v>
      </c>
      <c r="H48" s="75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ht="15.75" customHeight="1">
      <c r="A49" s="2"/>
      <c r="B49" s="2"/>
      <c r="C49" s="66" t="s">
        <v>50</v>
      </c>
      <c r="D49" s="46" t="str">
        <f t="shared" ref="D49:G49" si="17">D48/$E$18</f>
        <v>1.43%</v>
      </c>
      <c r="E49" s="46" t="str">
        <f t="shared" si="17"/>
        <v>0.24%</v>
      </c>
      <c r="F49" s="46" t="str">
        <f t="shared" si="17"/>
        <v>0.00%</v>
      </c>
      <c r="G49" s="46" t="str">
        <f t="shared" si="17"/>
        <v>1.67%</v>
      </c>
      <c r="H49" s="76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ht="15.75" customHeight="1">
      <c r="A50" s="2"/>
      <c r="B50" s="2"/>
      <c r="C50" s="2"/>
      <c r="D50" s="3"/>
      <c r="E50" s="3"/>
      <c r="F50" s="3"/>
      <c r="G50" s="3"/>
      <c r="H50" s="3"/>
      <c r="I50" s="73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ht="15.75" customHeight="1">
      <c r="A51" s="2"/>
      <c r="B51" s="4" t="s">
        <v>51</v>
      </c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ht="15.75" customHeight="1">
      <c r="A52" s="2"/>
      <c r="B52" s="2"/>
      <c r="C52" s="2"/>
      <c r="D52" s="41" t="s">
        <v>52</v>
      </c>
      <c r="E52" s="41" t="s">
        <v>53</v>
      </c>
      <c r="F52" s="41" t="s">
        <v>54</v>
      </c>
      <c r="G52" s="41" t="s">
        <v>33</v>
      </c>
      <c r="H52" s="41" t="s">
        <v>40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A53" s="2"/>
      <c r="B53" s="2"/>
      <c r="C53" s="66" t="s">
        <v>37</v>
      </c>
      <c r="D53" s="51">
        <v>3000000.0</v>
      </c>
      <c r="E53" s="68"/>
      <c r="F53" s="68"/>
      <c r="G53" s="68"/>
      <c r="H53" s="77" t="str">
        <f>SUM(D53:G53)</f>
        <v>3,000,000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A54" s="2"/>
      <c r="B54" s="2"/>
      <c r="C54" s="66" t="s">
        <v>50</v>
      </c>
      <c r="D54" s="46" t="str">
        <f t="shared" ref="D54:H54" si="18">D53/$E$18</f>
        <v>0.36%</v>
      </c>
      <c r="E54" s="46" t="str">
        <f t="shared" si="18"/>
        <v>0.00%</v>
      </c>
      <c r="F54" s="46" t="str">
        <f t="shared" si="18"/>
        <v>0.00%</v>
      </c>
      <c r="G54" s="46" t="str">
        <f t="shared" si="18"/>
        <v>0.00%</v>
      </c>
      <c r="H54" s="46" t="str">
        <f t="shared" si="18"/>
        <v>0.36%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ht="15.75" customHeight="1">
      <c r="A55" s="2"/>
      <c r="B55" s="2"/>
      <c r="C55" s="2"/>
      <c r="D55" s="3"/>
      <c r="E55" s="3"/>
      <c r="F55" s="3"/>
      <c r="G55" s="3"/>
      <c r="H55" s="3"/>
      <c r="I55" s="78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ht="15.75" customHeight="1">
      <c r="A56" s="2"/>
      <c r="B56" s="38" t="s">
        <v>55</v>
      </c>
      <c r="C56" s="2"/>
      <c r="D56" s="3"/>
      <c r="E56" s="3"/>
      <c r="F56" s="3"/>
      <c r="G56" s="3"/>
      <c r="H56" s="3"/>
      <c r="I56" s="78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ht="15.75" customHeight="1">
      <c r="A57" s="2"/>
      <c r="B57" s="2"/>
      <c r="C57" s="2"/>
      <c r="D57" s="13" t="s">
        <v>56</v>
      </c>
      <c r="E57" s="13" t="s">
        <v>57</v>
      </c>
      <c r="F57" s="3"/>
      <c r="G57" s="3"/>
      <c r="H57" s="3"/>
      <c r="I57" s="78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ht="15.75" customHeight="1">
      <c r="A58" s="2"/>
      <c r="B58" s="2"/>
      <c r="C58" s="66" t="s">
        <v>37</v>
      </c>
      <c r="D58" s="51" t="str">
        <f>D18</f>
        <v>329,462,000</v>
      </c>
      <c r="E58" s="51" t="str">
        <f>D58*0.005</f>
        <v>1,647,310</v>
      </c>
      <c r="F58" s="3"/>
      <c r="G58" s="3"/>
      <c r="H58" s="3"/>
      <c r="I58" s="78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ht="15.75" customHeight="1">
      <c r="A59" s="2"/>
      <c r="B59" s="2"/>
      <c r="C59" s="66" t="s">
        <v>50</v>
      </c>
      <c r="D59" s="79"/>
      <c r="E59" s="80" t="str">
        <f>E58/$E$18</f>
        <v>0.20%</v>
      </c>
      <c r="F59" s="3"/>
      <c r="G59" s="3"/>
      <c r="H59" s="3"/>
      <c r="I59" s="78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ht="15.75" customHeight="1">
      <c r="A60" s="2"/>
      <c r="B60" s="2"/>
      <c r="C60" s="2"/>
      <c r="D60" s="3"/>
      <c r="E60" s="3"/>
      <c r="F60" s="3"/>
      <c r="G60" s="3"/>
      <c r="H60" s="3"/>
      <c r="I60" s="78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ht="15.75" customHeight="1">
      <c r="A61" s="2"/>
      <c r="B61" s="2"/>
      <c r="C61" s="2"/>
      <c r="D61" s="3"/>
      <c r="E61" s="3"/>
      <c r="F61" s="3"/>
      <c r="G61" s="3"/>
      <c r="H61" s="3"/>
      <c r="I61" s="78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ht="15.75" customHeight="1">
      <c r="A62" s="2"/>
      <c r="B62" s="2"/>
      <c r="C62" s="2"/>
      <c r="D62" s="3"/>
      <c r="E62" s="3"/>
      <c r="F62" s="3"/>
      <c r="G62" s="3"/>
      <c r="H62" s="3"/>
      <c r="I62" s="78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ht="15.75" customHeight="1">
      <c r="A63" s="2"/>
      <c r="B63" s="38" t="s">
        <v>58</v>
      </c>
      <c r="C63" s="2"/>
      <c r="D63" s="41" t="s">
        <v>59</v>
      </c>
      <c r="E63" s="13" t="s">
        <v>60</v>
      </c>
      <c r="F63" s="41" t="s">
        <v>40</v>
      </c>
      <c r="G63" s="3"/>
      <c r="H63" s="3"/>
      <c r="I63" s="78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ht="15.75" customHeight="1">
      <c r="A64" s="2"/>
      <c r="B64" s="2"/>
      <c r="C64" s="66" t="s">
        <v>37</v>
      </c>
      <c r="D64" s="81">
        <v>0.0</v>
      </c>
      <c r="E64" s="81"/>
      <c r="F64" s="68" t="str">
        <f>SUM(D64:E64)</f>
        <v>0</v>
      </c>
      <c r="G64" s="3"/>
      <c r="H64" s="3"/>
      <c r="I64" s="78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ht="15.75" customHeight="1">
      <c r="A65" s="2"/>
      <c r="B65" s="2"/>
      <c r="C65" s="66" t="s">
        <v>50</v>
      </c>
      <c r="D65" s="46" t="str">
        <f t="shared" ref="D65:F65" si="19">D64/$E$18</f>
        <v>0.00%</v>
      </c>
      <c r="E65" s="46" t="str">
        <f t="shared" si="19"/>
        <v>0.00%</v>
      </c>
      <c r="F65" s="46" t="str">
        <f t="shared" si="19"/>
        <v>0.00%</v>
      </c>
      <c r="G65" s="3"/>
      <c r="H65" s="3"/>
      <c r="I65" s="78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ht="15.75" customHeight="1">
      <c r="A66" s="2"/>
      <c r="B66" s="2"/>
      <c r="C66" s="2"/>
      <c r="D66" s="3"/>
      <c r="E66" s="3"/>
      <c r="F66" s="3"/>
      <c r="G66" s="3"/>
      <c r="H66" s="3"/>
      <c r="I66" s="78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ht="15.75" customHeight="1">
      <c r="A67" s="2"/>
      <c r="B67" s="4" t="s">
        <v>61</v>
      </c>
      <c r="C67" s="2"/>
      <c r="D67" s="2"/>
      <c r="E67" s="2"/>
      <c r="F67" s="2"/>
      <c r="G67" s="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ht="15.75" customHeight="1">
      <c r="A68" s="2"/>
      <c r="B68" s="4"/>
      <c r="C68" s="2"/>
      <c r="D68" s="82" t="s">
        <v>62</v>
      </c>
      <c r="E68" s="82" t="s">
        <v>63</v>
      </c>
      <c r="F68" s="38"/>
      <c r="G68" s="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ht="15.75" customHeight="1">
      <c r="A69" s="2"/>
      <c r="B69" s="4"/>
      <c r="C69" s="2"/>
      <c r="D69" s="83">
        <v>3.0E8</v>
      </c>
      <c r="E69" s="84" t="str">
        <f>D69*0.1/4</f>
        <v>7,500,000</v>
      </c>
      <c r="F69" s="85" t="str">
        <f>H74+60000000</f>
        <v>249,845,235</v>
      </c>
      <c r="G69" s="5"/>
      <c r="H69" s="86" t="str">
        <f>H72+D58</f>
        <v>650,609,310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ht="15.75" customHeight="1">
      <c r="A70" s="2"/>
      <c r="B70" s="4"/>
      <c r="C70" s="66" t="s">
        <v>24</v>
      </c>
      <c r="D70" s="70" t="str">
        <f t="shared" ref="D70:E70" si="20">D69/$E$18</f>
        <v>35.69%</v>
      </c>
      <c r="E70" s="87" t="str">
        <f t="shared" si="20"/>
        <v>0.89%</v>
      </c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ht="15.75" customHeight="1">
      <c r="A71" s="2"/>
      <c r="B71" s="4"/>
      <c r="C71" s="2"/>
      <c r="D71" s="2"/>
      <c r="E71" s="2"/>
      <c r="F71" s="2"/>
      <c r="G71" s="5"/>
      <c r="H71" s="86" t="str">
        <f>H74-H72</f>
        <v>-131,302,075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ht="15.75" customHeight="1">
      <c r="A72" s="2"/>
      <c r="B72" s="2"/>
      <c r="C72" s="2"/>
      <c r="D72" s="2"/>
      <c r="E72" s="2"/>
      <c r="F72" s="88" t="s">
        <v>64</v>
      </c>
      <c r="G72" s="89"/>
      <c r="H72" s="90" t="str">
        <f>H33+G44+G48+H53+E58+F64+E69</f>
        <v>321,147,310</v>
      </c>
      <c r="I72" s="91" t="str">
        <f>H72/$E$18</f>
        <v>38.21%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ht="15.75" customHeight="1">
      <c r="A74" s="88" t="s">
        <v>65</v>
      </c>
      <c r="B74" s="88"/>
      <c r="C74" s="2"/>
      <c r="D74" s="2"/>
      <c r="E74" s="2" t="str">
        <f>H74/D58</f>
        <v>0.5762280186</v>
      </c>
      <c r="F74" s="86" t="str">
        <f>H74-G74</f>
        <v>181,440,690</v>
      </c>
      <c r="G74" s="86" t="str">
        <f>E18*0.01</f>
        <v>8,404,545</v>
      </c>
      <c r="H74" s="90" t="str">
        <f>I18-H72</f>
        <v>189,845,235</v>
      </c>
      <c r="I74" s="91" t="str">
        <f>H74/$E$18</f>
        <v>22.59%</v>
      </c>
      <c r="J74" s="73" t="str">
        <f>H74/H69</f>
        <v>29.18%</v>
      </c>
      <c r="K74" s="73" t="str">
        <f>F74/H69</f>
        <v>27.89%</v>
      </c>
      <c r="L74" s="2"/>
      <c r="M74" s="2"/>
      <c r="N74" s="2"/>
      <c r="O74" s="2"/>
      <c r="P74" s="2"/>
      <c r="Q74" s="2"/>
      <c r="R74" s="2"/>
      <c r="S74" s="2"/>
    </row>
    <row r="75" ht="15.75" customHeight="1">
      <c r="A75" s="2"/>
      <c r="B75" s="2"/>
      <c r="C75" s="2"/>
      <c r="D75" s="2"/>
      <c r="E75" s="2"/>
      <c r="F75" s="2"/>
      <c r="G75" s="2"/>
      <c r="H75" s="11" t="str">
        <f>H74/3/2</f>
        <v>  31,640,873 </v>
      </c>
      <c r="I75" s="2"/>
      <c r="J75" s="2"/>
      <c r="K75" s="2" t="s">
        <v>66</v>
      </c>
      <c r="L75" s="2"/>
      <c r="M75" s="2"/>
      <c r="N75" s="2"/>
      <c r="O75" s="2"/>
      <c r="P75" s="2"/>
      <c r="Q75" s="2"/>
      <c r="R75" s="2"/>
      <c r="S75" s="2"/>
    </row>
    <row r="76" ht="15.75" customHeight="1">
      <c r="A76" s="38" t="s">
        <v>67</v>
      </c>
      <c r="B76" s="2"/>
      <c r="C76" s="92"/>
      <c r="D76" s="93" t="s">
        <v>68</v>
      </c>
      <c r="E76" s="93" t="s">
        <v>69</v>
      </c>
      <c r="F76" s="93" t="s">
        <v>70</v>
      </c>
      <c r="G76" s="93" t="s">
        <v>71</v>
      </c>
      <c r="H76" s="93" t="s">
        <v>72</v>
      </c>
      <c r="I76" s="93" t="s">
        <v>73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ht="15.75" customHeight="1">
      <c r="A77" s="2"/>
      <c r="B77" s="2"/>
      <c r="C77" s="94" t="s">
        <v>74</v>
      </c>
      <c r="D77" s="20" t="str">
        <f t="shared" ref="D77:D80" si="21">(E77+F77+G77+H77+I77)/5</f>
        <v>  -   </v>
      </c>
      <c r="E77" s="52"/>
      <c r="F77" s="52"/>
      <c r="G77" s="52"/>
      <c r="H77" s="52"/>
      <c r="I77" s="20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ht="15.75" customHeight="1">
      <c r="A78" s="2"/>
      <c r="B78" s="2"/>
      <c r="C78" s="94" t="s">
        <v>75</v>
      </c>
      <c r="D78" s="95" t="str">
        <f t="shared" si="21"/>
        <v>  -   </v>
      </c>
      <c r="E78" s="96"/>
      <c r="F78" s="96"/>
      <c r="G78" s="96"/>
      <c r="H78" s="96"/>
      <c r="I78" s="97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ht="15.75" customHeight="1">
      <c r="A79" s="2"/>
      <c r="B79" s="2"/>
      <c r="C79" s="94" t="s">
        <v>76</v>
      </c>
      <c r="D79" s="95" t="str">
        <f t="shared" si="21"/>
        <v>  -   </v>
      </c>
      <c r="E79" s="52"/>
      <c r="F79" s="86"/>
      <c r="G79" s="52"/>
      <c r="H79" s="52">
        <v>0.0</v>
      </c>
      <c r="I79" s="98">
        <v>0.0</v>
      </c>
      <c r="J79" s="2"/>
      <c r="K79" s="2"/>
      <c r="L79" s="2"/>
      <c r="M79" s="2"/>
      <c r="N79" s="2"/>
      <c r="O79" s="2"/>
      <c r="P79" s="2"/>
      <c r="Q79" s="2"/>
      <c r="R79" s="2"/>
      <c r="S79" s="2"/>
    </row>
    <row r="80" ht="15.75" customHeight="1">
      <c r="A80" s="2"/>
      <c r="B80" s="2"/>
      <c r="C80" s="94" t="s">
        <v>77</v>
      </c>
      <c r="D80" s="95" t="str">
        <f t="shared" si="21"/>
        <v>  -   </v>
      </c>
      <c r="E80" s="52"/>
      <c r="F80" s="52"/>
      <c r="G80" s="52"/>
      <c r="H80" s="52"/>
      <c r="I80" s="5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ht="15.75" customHeight="1">
      <c r="A81" s="2"/>
      <c r="B81" s="2"/>
      <c r="C81" s="94" t="s">
        <v>78</v>
      </c>
      <c r="D81" s="95" t="str">
        <f>E82-D79</f>
        <v>  -   </v>
      </c>
      <c r="E81" s="52"/>
      <c r="F81" s="52"/>
      <c r="G81" s="52"/>
      <c r="H81" s="52"/>
      <c r="I81" s="5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ht="15.75" customHeight="1">
      <c r="A82" s="2"/>
      <c r="B82" s="2"/>
      <c r="C82" s="99" t="s">
        <v>79</v>
      </c>
      <c r="D82" s="100">
        <v>5.0E8</v>
      </c>
      <c r="E82" s="100" t="str">
        <f t="shared" ref="E82:I82" si="22">SUM(E78:E81)</f>
        <v>0</v>
      </c>
      <c r="F82" s="100" t="str">
        <f t="shared" si="22"/>
        <v>0</v>
      </c>
      <c r="G82" s="100" t="str">
        <f t="shared" si="22"/>
        <v>0</v>
      </c>
      <c r="H82" s="100" t="str">
        <f t="shared" si="22"/>
        <v>0</v>
      </c>
      <c r="I82" s="100" t="str">
        <f t="shared" si="22"/>
        <v>0</v>
      </c>
      <c r="J82" s="2"/>
      <c r="K82" s="2"/>
      <c r="L82" s="2"/>
      <c r="M82" s="2"/>
      <c r="N82" s="2"/>
      <c r="O82" s="2"/>
      <c r="P82" s="2"/>
      <c r="Q82" s="2"/>
      <c r="R82" s="2"/>
      <c r="S82" s="2"/>
    </row>
    <row r="83" ht="15.75" customHeight="1">
      <c r="A83" s="2"/>
      <c r="B83" s="2"/>
      <c r="C83" s="99" t="s">
        <v>80</v>
      </c>
      <c r="D83" s="101" t="str">
        <f>D82-D69</f>
        <v>200,000,000</v>
      </c>
      <c r="E83" s="100"/>
      <c r="F83" s="100"/>
      <c r="G83" s="100"/>
      <c r="H83" s="100"/>
      <c r="I83" s="100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ht="15.75" customHeight="1">
      <c r="A84" s="2"/>
      <c r="B84" s="2"/>
      <c r="C84" s="2"/>
      <c r="D84" s="2"/>
      <c r="E84" s="2"/>
      <c r="F84" s="2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ht="15.75" customHeight="1">
      <c r="A85" s="88" t="s">
        <v>81</v>
      </c>
      <c r="C85" s="89"/>
      <c r="D85" s="102" t="str">
        <f>D82-D69</f>
        <v>200,000,000</v>
      </c>
      <c r="E85" s="2"/>
      <c r="F85" s="2"/>
      <c r="G85" s="5"/>
      <c r="H85" s="8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ht="15.75" customHeight="1">
      <c r="A86" s="2"/>
      <c r="B86" s="2"/>
      <c r="C86" s="2"/>
      <c r="D86" s="2"/>
      <c r="E86" s="2"/>
      <c r="F86" s="2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ht="15.75" customHeight="1">
      <c r="A87" s="88" t="s">
        <v>82</v>
      </c>
      <c r="D87" s="2"/>
      <c r="E87" s="2"/>
      <c r="F87" s="2"/>
      <c r="G87" s="5" t="str">
        <f>D85*G88</f>
        <v>759380941.8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ht="15.75" customHeight="1">
      <c r="A88" s="2"/>
      <c r="B88" s="2"/>
      <c r="C88" s="38" t="s">
        <v>83</v>
      </c>
      <c r="D88" s="103" t="str">
        <f>H74/D85</f>
        <v>94.92%</v>
      </c>
      <c r="E88" s="2"/>
      <c r="F88" s="38" t="s">
        <v>84</v>
      </c>
      <c r="G88" s="103" t="str">
        <f>D88*4</f>
        <v>379.69%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ht="15.75" customHeight="1">
      <c r="A89" s="2"/>
      <c r="B89" s="2"/>
      <c r="C89" s="2"/>
      <c r="D89" s="2"/>
      <c r="E89" s="2"/>
      <c r="F89" s="38" t="s">
        <v>85</v>
      </c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ht="15.75" customHeight="1">
      <c r="A90" s="38" t="s">
        <v>86</v>
      </c>
      <c r="B90" s="2"/>
      <c r="C90" s="2"/>
      <c r="D90" s="2"/>
      <c r="E90" s="2"/>
      <c r="F90" s="2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ht="15.75" customHeight="1">
      <c r="A91" s="2"/>
      <c r="B91" s="2"/>
      <c r="C91" s="104"/>
      <c r="D91" s="61"/>
      <c r="E91" s="62"/>
      <c r="F91" s="105"/>
      <c r="G91" s="61"/>
      <c r="H91" s="61"/>
      <c r="I91" s="6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ht="15.75" customHeight="1">
      <c r="A92" s="2"/>
      <c r="B92" s="66" t="s">
        <v>87</v>
      </c>
      <c r="C92" s="92"/>
      <c r="D92" s="61"/>
      <c r="E92" s="62"/>
      <c r="F92" s="92"/>
      <c r="G92" s="61"/>
      <c r="H92" s="61"/>
      <c r="I92" s="6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ht="15.75" customHeight="1">
      <c r="A93" s="2"/>
      <c r="B93" s="66" t="s">
        <v>88</v>
      </c>
      <c r="C93" s="92"/>
      <c r="D93" s="61"/>
      <c r="E93" s="62"/>
      <c r="F93" s="92"/>
      <c r="G93" s="61"/>
      <c r="H93" s="61"/>
      <c r="I93" s="6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ht="15.75" customHeight="1">
      <c r="A94" s="2"/>
      <c r="B94" s="66" t="s">
        <v>89</v>
      </c>
      <c r="C94" s="92"/>
      <c r="D94" s="61"/>
      <c r="E94" s="62"/>
      <c r="F94" s="92"/>
      <c r="G94" s="61"/>
      <c r="H94" s="61"/>
      <c r="I94" s="6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ht="15.75" customHeight="1">
      <c r="A95" s="2"/>
      <c r="B95" s="66" t="s">
        <v>90</v>
      </c>
      <c r="C95" s="92"/>
      <c r="D95" s="61"/>
      <c r="E95" s="62"/>
      <c r="F95" s="92"/>
      <c r="G95" s="61"/>
      <c r="H95" s="61"/>
      <c r="I95" s="6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ht="15.75" customHeight="1">
      <c r="A96" s="2"/>
      <c r="B96" s="66" t="s">
        <v>91</v>
      </c>
      <c r="C96" s="92"/>
      <c r="D96" s="61"/>
      <c r="E96" s="62"/>
      <c r="F96" s="92"/>
      <c r="G96" s="61"/>
      <c r="H96" s="61"/>
      <c r="I96" s="6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ht="15.75" customHeight="1">
      <c r="A97" s="2"/>
      <c r="B97" s="66" t="s">
        <v>92</v>
      </c>
      <c r="C97" s="92"/>
      <c r="D97" s="61"/>
      <c r="E97" s="62"/>
      <c r="F97" s="92"/>
      <c r="G97" s="61"/>
      <c r="H97" s="61"/>
      <c r="I97" s="6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ht="15.75" customHeight="1">
      <c r="A98" s="2"/>
      <c r="B98" s="106"/>
      <c r="C98" s="107"/>
      <c r="D98" s="107"/>
      <c r="E98" s="2"/>
      <c r="F98" s="2"/>
      <c r="G98" s="106"/>
      <c r="H98" s="10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ht="15.75" customHeight="1">
      <c r="A99" s="2"/>
      <c r="B99" s="36"/>
      <c r="C99" s="36"/>
      <c r="D99" s="36"/>
      <c r="E99" s="2"/>
      <c r="F99" s="2"/>
      <c r="G99" s="36"/>
      <c r="H99" s="36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ht="15.75" customHeight="1">
      <c r="A100" s="2"/>
      <c r="B100" s="36"/>
      <c r="C100" s="36"/>
      <c r="D100" s="36"/>
      <c r="E100" s="2"/>
      <c r="F100" s="2"/>
      <c r="G100" s="36"/>
      <c r="H100" s="3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ht="15.75" customHeight="1">
      <c r="A101" s="2"/>
      <c r="B101" s="36"/>
      <c r="C101" s="36"/>
      <c r="D101" s="36"/>
      <c r="E101" s="2"/>
      <c r="F101" s="2"/>
      <c r="G101" s="36"/>
      <c r="H101" s="36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ht="15.75" customHeight="1">
      <c r="A102" s="2"/>
      <c r="B102" s="36"/>
      <c r="C102" s="36"/>
      <c r="D102" s="36"/>
      <c r="E102" s="2"/>
      <c r="F102" s="2"/>
      <c r="G102" s="36"/>
      <c r="H102" s="36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ht="15.75" customHeight="1">
      <c r="A103" s="2"/>
      <c r="B103" s="2"/>
      <c r="C103" s="2"/>
      <c r="D103" s="2"/>
      <c r="E103" s="2"/>
      <c r="F103" s="2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ht="15.75" customHeight="1">
      <c r="A104" s="2"/>
      <c r="B104" s="2"/>
      <c r="C104" s="2"/>
      <c r="D104" s="2"/>
      <c r="E104" s="2"/>
      <c r="F104" s="2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ht="15.75" customHeight="1">
      <c r="A105" s="2"/>
      <c r="B105" s="108"/>
      <c r="E105" s="2"/>
      <c r="F105" s="2"/>
      <c r="G105" s="108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ht="15.75" customHeight="1">
      <c r="A106" s="2"/>
      <c r="B106" s="2"/>
      <c r="C106" s="2"/>
      <c r="D106" s="2"/>
      <c r="E106" s="2"/>
      <c r="F106" s="2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ht="15.75" customHeight="1">
      <c r="A107" s="2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ht="15.75" customHeight="1">
      <c r="A108" s="2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ht="15.75" customHeight="1">
      <c r="A109" s="2"/>
      <c r="B109" s="2"/>
      <c r="C109" s="2"/>
      <c r="D109" s="2"/>
      <c r="E109" s="2"/>
      <c r="F109" s="2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ht="15.75" customHeight="1">
      <c r="A110" s="2"/>
      <c r="B110" s="2"/>
      <c r="C110" s="2"/>
      <c r="D110" s="2"/>
      <c r="E110" s="2"/>
      <c r="F110" s="2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ht="15.75" customHeight="1">
      <c r="A111" s="2"/>
      <c r="B111" s="2"/>
      <c r="C111" s="2"/>
      <c r="D111" s="2"/>
      <c r="E111" s="2"/>
      <c r="F111" s="2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ht="15.75" customHeight="1">
      <c r="A112" s="2"/>
      <c r="B112" s="2"/>
      <c r="C112" s="2"/>
      <c r="D112" s="2"/>
      <c r="E112" s="2"/>
      <c r="F112" s="2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ht="15.75" customHeight="1">
      <c r="A113" s="2"/>
      <c r="B113" s="2"/>
      <c r="C113" s="2"/>
      <c r="D113" s="2"/>
      <c r="E113" s="2"/>
      <c r="F113" s="2"/>
      <c r="G113" s="5"/>
      <c r="H113" s="2"/>
      <c r="I113" s="2"/>
      <c r="J113" s="86"/>
      <c r="K113" s="2"/>
      <c r="L113" s="2"/>
      <c r="M113" s="2"/>
      <c r="N113" s="2"/>
      <c r="O113" s="2"/>
      <c r="P113" s="86"/>
      <c r="Q113" s="2"/>
      <c r="R113" s="2"/>
      <c r="S113" s="2"/>
    </row>
    <row r="114" ht="15.75" customHeight="1">
      <c r="A114" s="2"/>
      <c r="B114" s="2"/>
      <c r="C114" s="2"/>
      <c r="D114" s="2"/>
      <c r="E114" s="2"/>
      <c r="F114" s="2"/>
      <c r="G114" s="5"/>
      <c r="H114" s="2"/>
      <c r="I114" s="2"/>
      <c r="J114" s="86"/>
      <c r="K114" s="2"/>
      <c r="L114" s="2"/>
      <c r="M114" s="2"/>
      <c r="N114" s="2"/>
      <c r="O114" s="2"/>
      <c r="P114" s="86"/>
      <c r="Q114" s="109"/>
      <c r="R114" s="2"/>
      <c r="S114" s="2"/>
    </row>
    <row r="115" ht="15.75" customHeight="1">
      <c r="A115" s="2"/>
      <c r="B115" s="2"/>
      <c r="C115" s="2"/>
      <c r="D115" s="2"/>
      <c r="E115" s="2"/>
      <c r="F115" s="2"/>
      <c r="G115" s="5"/>
      <c r="H115" s="2"/>
      <c r="I115" s="2"/>
      <c r="J115" s="86"/>
      <c r="K115" s="2"/>
      <c r="L115" s="2"/>
      <c r="M115" s="2"/>
      <c r="N115" s="2"/>
      <c r="O115" s="2"/>
      <c r="P115" s="86"/>
      <c r="Q115" s="109"/>
      <c r="R115" s="2"/>
      <c r="S115" s="86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86"/>
      <c r="K119" s="2"/>
      <c r="L119" s="2"/>
      <c r="M119" s="2"/>
      <c r="N119" s="2"/>
      <c r="O119" s="2"/>
      <c r="P119" s="2"/>
      <c r="Q119" s="2"/>
      <c r="R119" s="2"/>
      <c r="S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109"/>
      <c r="R124" s="2"/>
      <c r="S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86"/>
      <c r="Q126" s="86"/>
      <c r="R126" s="2"/>
      <c r="S126" s="2"/>
    </row>
  </sheetData>
  <mergeCells count="26">
    <mergeCell ref="C96:E96"/>
    <mergeCell ref="C97:E97"/>
    <mergeCell ref="G105:H105"/>
    <mergeCell ref="B105:D105"/>
    <mergeCell ref="F94:I94"/>
    <mergeCell ref="F95:I95"/>
    <mergeCell ref="F96:I96"/>
    <mergeCell ref="F97:I97"/>
    <mergeCell ref="G98:H98"/>
    <mergeCell ref="B98:D98"/>
    <mergeCell ref="F93:I93"/>
    <mergeCell ref="F92:I92"/>
    <mergeCell ref="F91:I91"/>
    <mergeCell ref="C95:E95"/>
    <mergeCell ref="C93:E93"/>
    <mergeCell ref="C92:E92"/>
    <mergeCell ref="E37:H37"/>
    <mergeCell ref="A1:I1"/>
    <mergeCell ref="C91:E91"/>
    <mergeCell ref="C94:E94"/>
    <mergeCell ref="A85:C85"/>
    <mergeCell ref="A87:C87"/>
    <mergeCell ref="D37:D38"/>
    <mergeCell ref="C37:C38"/>
    <mergeCell ref="F69:F70"/>
    <mergeCell ref="F72:G7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t="s">
        <v>93</v>
      </c>
      <c r="B1" t="s">
        <v>94</v>
      </c>
      <c r="C1" t="s">
        <v>95</v>
      </c>
      <c r="D1" t="s">
        <v>37</v>
      </c>
    </row>
    <row r="2">
      <c r="A2">
        <v>1.0</v>
      </c>
    </row>
    <row r="3">
      <c r="A3" t="str">
        <f t="shared" ref="A3:A7" si="1">A2+1</f>
        <v>2</v>
      </c>
    </row>
    <row r="4">
      <c r="A4" t="str">
        <f t="shared" si="1"/>
        <v>3</v>
      </c>
    </row>
    <row r="5">
      <c r="A5" t="str">
        <f t="shared" si="1"/>
        <v>4</v>
      </c>
    </row>
    <row r="6">
      <c r="A6" t="str">
        <f t="shared" si="1"/>
        <v>5</v>
      </c>
    </row>
    <row r="7">
      <c r="A7" t="str">
        <f t="shared" si="1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2016-07-18T16:07:35Z</dcterms:created>
  <dc:creator>Long keng</dc:creator>
  <cp:lastModifiedBy>Long keng</cp:lastModifiedBy>
  <dcterms:modified xsi:type="dcterms:W3CDTF">2019-08-29T09:29:38Z</dcterms:modified>
</cp:coreProperties>
</file>