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900" windowHeight="9000" activeTab="1"/>
  </bookViews>
  <sheets>
    <sheet name="Microbial Model" sheetId="7" r:id="rId1"/>
    <sheet name="StoichMatrix" sheetId="8" r:id="rId2"/>
    <sheet name="States" sheetId="9" r:id="rId3"/>
    <sheet name="AlgParam" sheetId="10" r:id="rId4"/>
    <sheet name="OperatParam" sheetId="11" r:id="rId5"/>
    <sheet name="ThParam" sheetId="12" r:id="rId6"/>
    <sheet name="KinetParam" sheetId="13" r:id="rId7"/>
    <sheet name="FeedProgram" sheetId="14" r:id="rId8"/>
    <sheet name="SpeciesDatabase" sheetId="4" r:id="rId9"/>
  </sheets>
  <definedNames>
    <definedName name="_xlnm._FilterDatabase" localSheetId="0" hidden="1">'Microbial Model'!$A$3:$H$23</definedName>
    <definedName name="solver_adj" localSheetId="2" hidden="1">#REF!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States!$F$27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0.813</definedName>
  </definedNames>
  <calcPr calcId="145621" concurrentCalc="0"/>
</workbook>
</file>

<file path=xl/calcChain.xml><?xml version="1.0" encoding="utf-8"?>
<calcChain xmlns="http://schemas.openxmlformats.org/spreadsheetml/2006/main">
  <c r="DQ24" i="7" l="1"/>
  <c r="DR7" i="7"/>
  <c r="DN24" i="7"/>
  <c r="DO7" i="7"/>
  <c r="DO24" i="7"/>
  <c r="DO23" i="7"/>
  <c r="DR23" i="7"/>
  <c r="DS23" i="7"/>
  <c r="DS31" i="7"/>
  <c r="DR31" i="7"/>
  <c r="DO31" i="7"/>
  <c r="DF24" i="7"/>
  <c r="DG9" i="7"/>
  <c r="DC24" i="7"/>
  <c r="DD9" i="7"/>
  <c r="DD24" i="7"/>
  <c r="DD23" i="7"/>
  <c r="DG23" i="7"/>
  <c r="DH23" i="7"/>
  <c r="DH31" i="7"/>
  <c r="DG31" i="7"/>
  <c r="DD31" i="7"/>
  <c r="CU24" i="7"/>
  <c r="CV23" i="7"/>
  <c r="CV31" i="7"/>
  <c r="CR24" i="7"/>
  <c r="CS23" i="7"/>
  <c r="CS31" i="7"/>
  <c r="CJ24" i="7"/>
  <c r="CK23" i="7"/>
  <c r="CK31" i="7"/>
  <c r="CG24" i="7"/>
  <c r="CH23" i="7"/>
  <c r="CH31" i="7"/>
  <c r="BY24" i="7"/>
  <c r="BZ23" i="7"/>
  <c r="BZ31" i="7"/>
  <c r="BV24" i="7"/>
  <c r="BW23" i="7"/>
  <c r="BW31" i="7"/>
  <c r="BK24" i="7"/>
  <c r="BL14" i="7"/>
  <c r="BL15" i="7"/>
  <c r="BL20" i="7"/>
  <c r="BL21" i="7"/>
  <c r="BL4" i="7"/>
  <c r="BL5" i="7"/>
  <c r="BL6" i="7"/>
  <c r="BL7" i="7"/>
  <c r="BL8" i="7"/>
  <c r="BL9" i="7"/>
  <c r="BL10" i="7"/>
  <c r="BL11" i="7"/>
  <c r="BL12" i="7"/>
  <c r="BL13" i="7"/>
  <c r="BL16" i="7"/>
  <c r="BL17" i="7"/>
  <c r="BL18" i="7"/>
  <c r="BL19" i="7"/>
  <c r="BL22" i="7"/>
  <c r="BL23" i="7"/>
  <c r="BN24" i="7"/>
  <c r="BO23" i="7"/>
  <c r="BO31" i="7"/>
  <c r="BL31" i="7"/>
  <c r="BC24" i="7"/>
  <c r="BD23" i="7"/>
  <c r="BD31" i="7"/>
  <c r="AZ24" i="7"/>
  <c r="BA23" i="7"/>
  <c r="BA31" i="7"/>
  <c r="AR24" i="7"/>
  <c r="AS23" i="7"/>
  <c r="AS31" i="7"/>
  <c r="AO24" i="7"/>
  <c r="AP23" i="7"/>
  <c r="AP31" i="7"/>
  <c r="AG24" i="7"/>
  <c r="AH23" i="7"/>
  <c r="AH31" i="7"/>
  <c r="AD24" i="7"/>
  <c r="AE23" i="7"/>
  <c r="AE31" i="7"/>
  <c r="T23" i="7"/>
  <c r="V24" i="7"/>
  <c r="W23" i="7"/>
  <c r="X23" i="7"/>
  <c r="X31" i="7"/>
  <c r="W31" i="7"/>
  <c r="T31" i="7"/>
  <c r="S31" i="7"/>
  <c r="R31" i="7"/>
  <c r="DO16" i="7"/>
  <c r="DR16" i="7"/>
  <c r="DS16" i="7"/>
  <c r="DL16" i="7"/>
  <c r="DL4" i="7"/>
  <c r="DL5" i="7"/>
  <c r="DL6" i="7"/>
  <c r="DL7" i="7"/>
  <c r="DL8" i="7"/>
  <c r="DL9" i="7"/>
  <c r="DL10" i="7"/>
  <c r="DL11" i="7"/>
  <c r="DL12" i="7"/>
  <c r="DL13" i="7"/>
  <c r="DL14" i="7"/>
  <c r="DL15" i="7"/>
  <c r="DL17" i="7"/>
  <c r="DL18" i="7"/>
  <c r="DL19" i="7"/>
  <c r="DL20" i="7"/>
  <c r="DL21" i="7"/>
  <c r="DL22" i="7"/>
  <c r="DL23" i="7"/>
  <c r="DO4" i="7"/>
  <c r="DR4" i="7"/>
  <c r="DS4" i="7"/>
  <c r="DO5" i="7"/>
  <c r="DR5" i="7"/>
  <c r="DS5" i="7"/>
  <c r="DO6" i="7"/>
  <c r="DR6" i="7"/>
  <c r="DS6" i="7"/>
  <c r="DS7" i="7"/>
  <c r="DO8" i="7"/>
  <c r="DR8" i="7"/>
  <c r="DS8" i="7"/>
  <c r="DO9" i="7"/>
  <c r="DR9" i="7"/>
  <c r="DS9" i="7"/>
  <c r="DO10" i="7"/>
  <c r="DR10" i="7"/>
  <c r="DS10" i="7"/>
  <c r="DO11" i="7"/>
  <c r="DR11" i="7"/>
  <c r="DS11" i="7"/>
  <c r="DO12" i="7"/>
  <c r="DR12" i="7"/>
  <c r="DS12" i="7"/>
  <c r="DO13" i="7"/>
  <c r="DR13" i="7"/>
  <c r="DS13" i="7"/>
  <c r="DO14" i="7"/>
  <c r="DR14" i="7"/>
  <c r="DS14" i="7"/>
  <c r="DO15" i="7"/>
  <c r="DR15" i="7"/>
  <c r="DS15" i="7"/>
  <c r="DO17" i="7"/>
  <c r="DR17" i="7"/>
  <c r="DS17" i="7"/>
  <c r="DO18" i="7"/>
  <c r="DR18" i="7"/>
  <c r="DS18" i="7"/>
  <c r="DO19" i="7"/>
  <c r="DR19" i="7"/>
  <c r="DS19" i="7"/>
  <c r="DO20" i="7"/>
  <c r="DR20" i="7"/>
  <c r="DS20" i="7"/>
  <c r="DO21" i="7"/>
  <c r="DR21" i="7"/>
  <c r="DS21" i="7"/>
  <c r="DO22" i="7"/>
  <c r="DR22" i="7"/>
  <c r="DS22" i="7"/>
  <c r="DT16" i="7"/>
  <c r="DD16" i="7"/>
  <c r="DG16" i="7"/>
  <c r="DH16" i="7"/>
  <c r="DA16" i="7"/>
  <c r="DA4" i="7"/>
  <c r="DA5" i="7"/>
  <c r="DA6" i="7"/>
  <c r="DA7" i="7"/>
  <c r="DA8" i="7"/>
  <c r="DA9" i="7"/>
  <c r="DA10" i="7"/>
  <c r="DA11" i="7"/>
  <c r="DA12" i="7"/>
  <c r="DA13" i="7"/>
  <c r="DA14" i="7"/>
  <c r="DA15" i="7"/>
  <c r="DA17" i="7"/>
  <c r="DA18" i="7"/>
  <c r="DA19" i="7"/>
  <c r="DA20" i="7"/>
  <c r="DA21" i="7"/>
  <c r="DA22" i="7"/>
  <c r="DA23" i="7"/>
  <c r="DD4" i="7"/>
  <c r="DG4" i="7"/>
  <c r="DH4" i="7"/>
  <c r="DD5" i="7"/>
  <c r="DG5" i="7"/>
  <c r="DH5" i="7"/>
  <c r="DD6" i="7"/>
  <c r="DG6" i="7"/>
  <c r="DH6" i="7"/>
  <c r="DD7" i="7"/>
  <c r="DG7" i="7"/>
  <c r="DH7" i="7"/>
  <c r="DD8" i="7"/>
  <c r="DG8" i="7"/>
  <c r="DH8" i="7"/>
  <c r="DH9" i="7"/>
  <c r="DD10" i="7"/>
  <c r="DG10" i="7"/>
  <c r="DH10" i="7"/>
  <c r="DD11" i="7"/>
  <c r="DG11" i="7"/>
  <c r="DH11" i="7"/>
  <c r="DD12" i="7"/>
  <c r="DG12" i="7"/>
  <c r="DH12" i="7"/>
  <c r="DD13" i="7"/>
  <c r="DG13" i="7"/>
  <c r="DH13" i="7"/>
  <c r="DD14" i="7"/>
  <c r="DG14" i="7"/>
  <c r="DH14" i="7"/>
  <c r="DD15" i="7"/>
  <c r="DG15" i="7"/>
  <c r="DH15" i="7"/>
  <c r="DD17" i="7"/>
  <c r="DG17" i="7"/>
  <c r="DH17" i="7"/>
  <c r="DD18" i="7"/>
  <c r="DG18" i="7"/>
  <c r="DH18" i="7"/>
  <c r="DD19" i="7"/>
  <c r="DG19" i="7"/>
  <c r="DH19" i="7"/>
  <c r="DD20" i="7"/>
  <c r="DG20" i="7"/>
  <c r="DH20" i="7"/>
  <c r="DD21" i="7"/>
  <c r="DG21" i="7"/>
  <c r="DH21" i="7"/>
  <c r="DD22" i="7"/>
  <c r="DG22" i="7"/>
  <c r="DH22" i="7"/>
  <c r="DI16" i="7"/>
  <c r="CP16" i="7"/>
  <c r="CV16" i="7"/>
  <c r="CS16" i="7"/>
  <c r="CE16" i="7"/>
  <c r="CK16" i="7"/>
  <c r="CH16" i="7"/>
  <c r="CH18" i="7"/>
  <c r="CH4" i="7"/>
  <c r="CH5" i="7"/>
  <c r="CH6" i="7"/>
  <c r="CH7" i="7"/>
  <c r="CH8" i="7"/>
  <c r="CH9" i="7"/>
  <c r="CH10" i="7"/>
  <c r="CH11" i="7"/>
  <c r="CH12" i="7"/>
  <c r="CH13" i="7"/>
  <c r="CH14" i="7"/>
  <c r="CH15" i="7"/>
  <c r="CH17" i="7"/>
  <c r="CH19" i="7"/>
  <c r="CH20" i="7"/>
  <c r="CH21" i="7"/>
  <c r="CH22" i="7"/>
  <c r="BT16" i="7"/>
  <c r="BZ16" i="7"/>
  <c r="BW16" i="7"/>
  <c r="BI16" i="7"/>
  <c r="BO16" i="7"/>
  <c r="AX16" i="7"/>
  <c r="BD16" i="7"/>
  <c r="BA16" i="7"/>
  <c r="AM16" i="7"/>
  <c r="AS16" i="7"/>
  <c r="AP16" i="7"/>
  <c r="AB16" i="7"/>
  <c r="AH16" i="7"/>
  <c r="AE16" i="7"/>
  <c r="T16" i="7"/>
  <c r="W16" i="7"/>
  <c r="X16" i="7"/>
  <c r="Q16" i="7"/>
  <c r="Q4" i="7"/>
  <c r="Q5" i="7"/>
  <c r="Q6" i="7"/>
  <c r="Q7" i="7"/>
  <c r="Q8" i="7"/>
  <c r="Q9" i="7"/>
  <c r="Q10" i="7"/>
  <c r="Q11" i="7"/>
  <c r="Q12" i="7"/>
  <c r="Q13" i="7"/>
  <c r="Q14" i="7"/>
  <c r="Q15" i="7"/>
  <c r="Q17" i="7"/>
  <c r="Q18" i="7"/>
  <c r="Q19" i="7"/>
  <c r="Q20" i="7"/>
  <c r="Q21" i="7"/>
  <c r="Q22" i="7"/>
  <c r="Q23" i="7"/>
  <c r="T4" i="7"/>
  <c r="W4" i="7"/>
  <c r="X4" i="7"/>
  <c r="T5" i="7"/>
  <c r="W5" i="7"/>
  <c r="X5" i="7"/>
  <c r="T6" i="7"/>
  <c r="W6" i="7"/>
  <c r="X6" i="7"/>
  <c r="T7" i="7"/>
  <c r="W7" i="7"/>
  <c r="X7" i="7"/>
  <c r="T8" i="7"/>
  <c r="W8" i="7"/>
  <c r="X8" i="7"/>
  <c r="T9" i="7"/>
  <c r="W9" i="7"/>
  <c r="X9" i="7"/>
  <c r="T10" i="7"/>
  <c r="W10" i="7"/>
  <c r="X10" i="7"/>
  <c r="T11" i="7"/>
  <c r="W11" i="7"/>
  <c r="X11" i="7"/>
  <c r="T12" i="7"/>
  <c r="W12" i="7"/>
  <c r="X12" i="7"/>
  <c r="T13" i="7"/>
  <c r="W13" i="7"/>
  <c r="X13" i="7"/>
  <c r="T14" i="7"/>
  <c r="W14" i="7"/>
  <c r="X14" i="7"/>
  <c r="T15" i="7"/>
  <c r="W15" i="7"/>
  <c r="X15" i="7"/>
  <c r="T17" i="7"/>
  <c r="W17" i="7"/>
  <c r="X17" i="7"/>
  <c r="T18" i="7"/>
  <c r="W18" i="7"/>
  <c r="X18" i="7"/>
  <c r="T19" i="7"/>
  <c r="W19" i="7"/>
  <c r="X19" i="7"/>
  <c r="T20" i="7"/>
  <c r="W20" i="7"/>
  <c r="X20" i="7"/>
  <c r="T21" i="7"/>
  <c r="W21" i="7"/>
  <c r="X21" i="7"/>
  <c r="T22" i="7"/>
  <c r="W22" i="7"/>
  <c r="X22" i="7"/>
  <c r="Y16" i="7"/>
  <c r="EA16" i="7"/>
  <c r="D16" i="7"/>
  <c r="EQ16" i="7"/>
  <c r="E16" i="7"/>
  <c r="N16" i="7"/>
  <c r="W103" i="4"/>
  <c r="ET16" i="7"/>
  <c r="H16" i="7"/>
  <c r="V103" i="4"/>
  <c r="ES16" i="7"/>
  <c r="G16" i="7"/>
  <c r="U103" i="4"/>
  <c r="ER16" i="7"/>
  <c r="F16" i="7"/>
  <c r="DY16" i="7"/>
  <c r="C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DZ16" i="7"/>
  <c r="DX16" i="7"/>
  <c r="DS32" i="7"/>
  <c r="DR32" i="7"/>
  <c r="EA4" i="7"/>
  <c r="D4" i="7"/>
  <c r="EA5" i="7"/>
  <c r="D5" i="7"/>
  <c r="EA6" i="7"/>
  <c r="D6" i="7"/>
  <c r="EA7" i="7"/>
  <c r="D7" i="7"/>
  <c r="EA8" i="7"/>
  <c r="D8" i="7"/>
  <c r="EA9" i="7"/>
  <c r="D9" i="7"/>
  <c r="EA10" i="7"/>
  <c r="D10" i="7"/>
  <c r="EA11" i="7"/>
  <c r="D11" i="7"/>
  <c r="EA12" i="7"/>
  <c r="D12" i="7"/>
  <c r="EA13" i="7"/>
  <c r="D13" i="7"/>
  <c r="EA14" i="7"/>
  <c r="D14" i="7"/>
  <c r="EA15" i="7"/>
  <c r="D15" i="7"/>
  <c r="EA17" i="7"/>
  <c r="D17" i="7"/>
  <c r="EA18" i="7"/>
  <c r="D18" i="7"/>
  <c r="EA19" i="7"/>
  <c r="D19" i="7"/>
  <c r="EA20" i="7"/>
  <c r="D20" i="7"/>
  <c r="EA21" i="7"/>
  <c r="D21" i="7"/>
  <c r="EA22" i="7"/>
  <c r="D22" i="7"/>
  <c r="EA23" i="7"/>
  <c r="D23" i="7"/>
  <c r="DO32" i="7"/>
  <c r="DS30" i="7"/>
  <c r="DR30" i="7"/>
  <c r="L13" i="7"/>
  <c r="EQ13" i="7"/>
  <c r="E13" i="7"/>
  <c r="N13" i="7"/>
  <c r="EQ4" i="7"/>
  <c r="E4" i="7"/>
  <c r="N4" i="7"/>
  <c r="EQ5" i="7"/>
  <c r="E5" i="7"/>
  <c r="FA5" i="7"/>
  <c r="L5" i="7"/>
  <c r="N5" i="7"/>
  <c r="FA6" i="7"/>
  <c r="L6" i="7"/>
  <c r="EQ6" i="7"/>
  <c r="E6" i="7"/>
  <c r="N6" i="7"/>
  <c r="EQ7" i="7"/>
  <c r="E7" i="7"/>
  <c r="N7" i="7"/>
  <c r="FA8" i="7"/>
  <c r="EZ8" i="7"/>
  <c r="L8" i="7"/>
  <c r="EQ8" i="7"/>
  <c r="E8" i="7"/>
  <c r="N8" i="7"/>
  <c r="L9" i="7"/>
  <c r="EQ9" i="7"/>
  <c r="E9" i="7"/>
  <c r="N9" i="7"/>
  <c r="FA10" i="7"/>
  <c r="L10" i="7"/>
  <c r="EQ10" i="7"/>
  <c r="E10" i="7"/>
  <c r="N10" i="7"/>
  <c r="EQ11" i="7"/>
  <c r="E11" i="7"/>
  <c r="N11" i="7"/>
  <c r="EQ12" i="7"/>
  <c r="E12" i="7"/>
  <c r="N12" i="7"/>
  <c r="EQ14" i="7"/>
  <c r="E14" i="7"/>
  <c r="N14" i="7"/>
  <c r="EQ15" i="7"/>
  <c r="E15" i="7"/>
  <c r="FA15" i="7"/>
  <c r="L15" i="7"/>
  <c r="N15" i="7"/>
  <c r="EQ17" i="7"/>
  <c r="E17" i="7"/>
  <c r="N17" i="7"/>
  <c r="EQ18" i="7"/>
  <c r="E18" i="7"/>
  <c r="N18" i="7"/>
  <c r="EQ19" i="7"/>
  <c r="E19" i="7"/>
  <c r="N19" i="7"/>
  <c r="EQ20" i="7"/>
  <c r="E20" i="7"/>
  <c r="N20" i="7"/>
  <c r="EQ21" i="7"/>
  <c r="E21" i="7"/>
  <c r="N21" i="7"/>
  <c r="EQ22" i="7"/>
  <c r="E22" i="7"/>
  <c r="N22" i="7"/>
  <c r="EQ23" i="7"/>
  <c r="E23" i="7"/>
  <c r="N23" i="7"/>
  <c r="DQ28" i="7"/>
  <c r="DQ30" i="7"/>
  <c r="DP28" i="7"/>
  <c r="DP30" i="7"/>
  <c r="DO30" i="7"/>
  <c r="DN28" i="7"/>
  <c r="DN30" i="7"/>
  <c r="DM28" i="7"/>
  <c r="DM30" i="7"/>
  <c r="DH32" i="7"/>
  <c r="DG32" i="7"/>
  <c r="DD32" i="7"/>
  <c r="DH30" i="7"/>
  <c r="DG30" i="7"/>
  <c r="DF28" i="7"/>
  <c r="DF30" i="7"/>
  <c r="DE28" i="7"/>
  <c r="DE30" i="7"/>
  <c r="DD30" i="7"/>
  <c r="DC28" i="7"/>
  <c r="DC30" i="7"/>
  <c r="DB28" i="7"/>
  <c r="DB30" i="7"/>
  <c r="CV32" i="7"/>
  <c r="CS32" i="7"/>
  <c r="CV30" i="7"/>
  <c r="CU28" i="7"/>
  <c r="CU30" i="7"/>
  <c r="CT28" i="7"/>
  <c r="CT30" i="7"/>
  <c r="CS30" i="7"/>
  <c r="CR28" i="7"/>
  <c r="CR30" i="7"/>
  <c r="CQ28" i="7"/>
  <c r="CQ30" i="7"/>
  <c r="CK32" i="7"/>
  <c r="CH32" i="7"/>
  <c r="CK30" i="7"/>
  <c r="CJ28" i="7"/>
  <c r="CJ30" i="7"/>
  <c r="CI28" i="7"/>
  <c r="CI30" i="7"/>
  <c r="CH30" i="7"/>
  <c r="CG28" i="7"/>
  <c r="CG30" i="7"/>
  <c r="CF28" i="7"/>
  <c r="CF30" i="7"/>
  <c r="BW17" i="7"/>
  <c r="BW18" i="7"/>
  <c r="BW4" i="7"/>
  <c r="BW5" i="7"/>
  <c r="BW6" i="7"/>
  <c r="BW7" i="7"/>
  <c r="BW8" i="7"/>
  <c r="BW9" i="7"/>
  <c r="BW10" i="7"/>
  <c r="BW11" i="7"/>
  <c r="BW12" i="7"/>
  <c r="BW13" i="7"/>
  <c r="BW14" i="7"/>
  <c r="BW15" i="7"/>
  <c r="BW19" i="7"/>
  <c r="BW20" i="7"/>
  <c r="BW21" i="7"/>
  <c r="BW22" i="7"/>
  <c r="BZ32" i="7"/>
  <c r="BW32" i="7"/>
  <c r="BZ30" i="7"/>
  <c r="BY28" i="7"/>
  <c r="BY30" i="7"/>
  <c r="BX28" i="7"/>
  <c r="BX30" i="7"/>
  <c r="BW30" i="7"/>
  <c r="BV28" i="7"/>
  <c r="BV30" i="7"/>
  <c r="BU28" i="7"/>
  <c r="BU30" i="7"/>
  <c r="BO32" i="7"/>
  <c r="BL32" i="7"/>
  <c r="BO30" i="7"/>
  <c r="BN28" i="7"/>
  <c r="BN30" i="7"/>
  <c r="BM28" i="7"/>
  <c r="BM30" i="7"/>
  <c r="BL30" i="7"/>
  <c r="BK28" i="7"/>
  <c r="BK30" i="7"/>
  <c r="BJ28" i="7"/>
  <c r="BJ30" i="7"/>
  <c r="AS32" i="7"/>
  <c r="AP32" i="7"/>
  <c r="AS30" i="7"/>
  <c r="AR28" i="7"/>
  <c r="AR30" i="7"/>
  <c r="AQ28" i="7"/>
  <c r="AQ30" i="7"/>
  <c r="AP30" i="7"/>
  <c r="AO28" i="7"/>
  <c r="AO30" i="7"/>
  <c r="AN28" i="7"/>
  <c r="AN30" i="7"/>
  <c r="AH32" i="7"/>
  <c r="AE32" i="7"/>
  <c r="AH30" i="7"/>
  <c r="AG28" i="7"/>
  <c r="AG30" i="7"/>
  <c r="AF28" i="7"/>
  <c r="AF30" i="7"/>
  <c r="AE30" i="7"/>
  <c r="AD28" i="7"/>
  <c r="AD30" i="7"/>
  <c r="AC28" i="7"/>
  <c r="AC30" i="7"/>
  <c r="X32" i="7"/>
  <c r="W32" i="7"/>
  <c r="T32" i="7"/>
  <c r="S32" i="7"/>
  <c r="R32" i="7"/>
  <c r="X30" i="7"/>
  <c r="W30" i="7"/>
  <c r="V28" i="7"/>
  <c r="V30" i="7"/>
  <c r="U28" i="7"/>
  <c r="U30" i="7"/>
  <c r="T30" i="7"/>
  <c r="S30" i="7"/>
  <c r="R30" i="7"/>
  <c r="BY46" i="7"/>
  <c r="BX46" i="7"/>
  <c r="BV46" i="7"/>
  <c r="BU46" i="7"/>
  <c r="EP4" i="7"/>
  <c r="EP5" i="7"/>
  <c r="EP6" i="7"/>
  <c r="EP7" i="7"/>
  <c r="EP8" i="7"/>
  <c r="EP9" i="7"/>
  <c r="EP10" i="7"/>
  <c r="EP11" i="7"/>
  <c r="EP12" i="7"/>
  <c r="EP13" i="7"/>
  <c r="EP14" i="7"/>
  <c r="EP15" i="7"/>
  <c r="EP17" i="7"/>
  <c r="EP18" i="7"/>
  <c r="EP19" i="7"/>
  <c r="EP20" i="7"/>
  <c r="EP21" i="7"/>
  <c r="EP22" i="7"/>
  <c r="EP23" i="7"/>
  <c r="BY45" i="7"/>
  <c r="BX45" i="7"/>
  <c r="BV45" i="7"/>
  <c r="BU45" i="7"/>
  <c r="EO4" i="7"/>
  <c r="EO5" i="7"/>
  <c r="EO6" i="7"/>
  <c r="EO7" i="7"/>
  <c r="EO8" i="7"/>
  <c r="EO9" i="7"/>
  <c r="EO10" i="7"/>
  <c r="EO11" i="7"/>
  <c r="EO12" i="7"/>
  <c r="EO13" i="7"/>
  <c r="EO14" i="7"/>
  <c r="EO15" i="7"/>
  <c r="EO17" i="7"/>
  <c r="EO18" i="7"/>
  <c r="EO19" i="7"/>
  <c r="EO20" i="7"/>
  <c r="EO21" i="7"/>
  <c r="EO22" i="7"/>
  <c r="EO23" i="7"/>
  <c r="BY44" i="7"/>
  <c r="BX44" i="7"/>
  <c r="BV44" i="7"/>
  <c r="BU44" i="7"/>
  <c r="EM4" i="7"/>
  <c r="EM5" i="7"/>
  <c r="EM6" i="7"/>
  <c r="EM7" i="7"/>
  <c r="EM8" i="7"/>
  <c r="EM9" i="7"/>
  <c r="EM10" i="7"/>
  <c r="EM11" i="7"/>
  <c r="EM12" i="7"/>
  <c r="EM13" i="7"/>
  <c r="EM14" i="7"/>
  <c r="EM15" i="7"/>
  <c r="EM17" i="7"/>
  <c r="EM18" i="7"/>
  <c r="EM19" i="7"/>
  <c r="EM20" i="7"/>
  <c r="EM21" i="7"/>
  <c r="EM22" i="7"/>
  <c r="EM23" i="7"/>
  <c r="EN4" i="7"/>
  <c r="EN5" i="7"/>
  <c r="EN6" i="7"/>
  <c r="EN7" i="7"/>
  <c r="EN8" i="7"/>
  <c r="EN9" i="7"/>
  <c r="EN10" i="7"/>
  <c r="EN11" i="7"/>
  <c r="EN12" i="7"/>
  <c r="EN13" i="7"/>
  <c r="EN14" i="7"/>
  <c r="EN15" i="7"/>
  <c r="EN17" i="7"/>
  <c r="EN18" i="7"/>
  <c r="EN19" i="7"/>
  <c r="EN20" i="7"/>
  <c r="EN21" i="7"/>
  <c r="EN22" i="7"/>
  <c r="EN23" i="7"/>
  <c r="BY43" i="7"/>
  <c r="BX43" i="7"/>
  <c r="BV43" i="7"/>
  <c r="BU43" i="7"/>
  <c r="EL4" i="7"/>
  <c r="EL5" i="7"/>
  <c r="EL6" i="7"/>
  <c r="EL7" i="7"/>
  <c r="EL8" i="7"/>
  <c r="EL9" i="7"/>
  <c r="EL10" i="7"/>
  <c r="EL11" i="7"/>
  <c r="EL12" i="7"/>
  <c r="EL13" i="7"/>
  <c r="EL14" i="7"/>
  <c r="EL15" i="7"/>
  <c r="EL17" i="7"/>
  <c r="EL18" i="7"/>
  <c r="EL19" i="7"/>
  <c r="EL20" i="7"/>
  <c r="EL21" i="7"/>
  <c r="EL22" i="7"/>
  <c r="EL23" i="7"/>
  <c r="BY42" i="7"/>
  <c r="BX42" i="7"/>
  <c r="BV42" i="7"/>
  <c r="BU42" i="7"/>
  <c r="EK4" i="7"/>
  <c r="EK5" i="7"/>
  <c r="EK6" i="7"/>
  <c r="EK7" i="7"/>
  <c r="EK8" i="7"/>
  <c r="EK9" i="7"/>
  <c r="EK10" i="7"/>
  <c r="EK11" i="7"/>
  <c r="EK12" i="7"/>
  <c r="EK13" i="7"/>
  <c r="EK14" i="7"/>
  <c r="EK15" i="7"/>
  <c r="EK17" i="7"/>
  <c r="EK18" i="7"/>
  <c r="EK19" i="7"/>
  <c r="EK20" i="7"/>
  <c r="EK21" i="7"/>
  <c r="EK22" i="7"/>
  <c r="EK23" i="7"/>
  <c r="BY41" i="7"/>
  <c r="BX41" i="7"/>
  <c r="BV41" i="7"/>
  <c r="BU41" i="7"/>
  <c r="EJ4" i="7"/>
  <c r="EJ5" i="7"/>
  <c r="EJ6" i="7"/>
  <c r="EJ7" i="7"/>
  <c r="EJ8" i="7"/>
  <c r="EJ9" i="7"/>
  <c r="EJ10" i="7"/>
  <c r="EJ11" i="7"/>
  <c r="EJ12" i="7"/>
  <c r="EJ13" i="7"/>
  <c r="EJ14" i="7"/>
  <c r="EJ15" i="7"/>
  <c r="EJ17" i="7"/>
  <c r="EJ18" i="7"/>
  <c r="EJ19" i="7"/>
  <c r="EJ20" i="7"/>
  <c r="EJ21" i="7"/>
  <c r="EJ22" i="7"/>
  <c r="EJ23" i="7"/>
  <c r="BY40" i="7"/>
  <c r="BX40" i="7"/>
  <c r="BV40" i="7"/>
  <c r="BU40" i="7"/>
  <c r="EI4" i="7"/>
  <c r="EI5" i="7"/>
  <c r="EI6" i="7"/>
  <c r="EI7" i="7"/>
  <c r="EI8" i="7"/>
  <c r="EI9" i="7"/>
  <c r="EI10" i="7"/>
  <c r="EI11" i="7"/>
  <c r="EI12" i="7"/>
  <c r="EI13" i="7"/>
  <c r="EI14" i="7"/>
  <c r="EI15" i="7"/>
  <c r="EI17" i="7"/>
  <c r="EI18" i="7"/>
  <c r="EI19" i="7"/>
  <c r="EI20" i="7"/>
  <c r="EI21" i="7"/>
  <c r="EI22" i="7"/>
  <c r="EI23" i="7"/>
  <c r="BY39" i="7"/>
  <c r="BX39" i="7"/>
  <c r="BV39" i="7"/>
  <c r="BU39" i="7"/>
  <c r="EH4" i="7"/>
  <c r="EH5" i="7"/>
  <c r="EH6" i="7"/>
  <c r="EH7" i="7"/>
  <c r="EH8" i="7"/>
  <c r="EH9" i="7"/>
  <c r="EH10" i="7"/>
  <c r="EH11" i="7"/>
  <c r="EH12" i="7"/>
  <c r="EH13" i="7"/>
  <c r="EH14" i="7"/>
  <c r="EH15" i="7"/>
  <c r="EH17" i="7"/>
  <c r="EH18" i="7"/>
  <c r="EH19" i="7"/>
  <c r="EH20" i="7"/>
  <c r="EH21" i="7"/>
  <c r="EH22" i="7"/>
  <c r="EH23" i="7"/>
  <c r="BY38" i="7"/>
  <c r="BX38" i="7"/>
  <c r="BV38" i="7"/>
  <c r="BU38" i="7"/>
  <c r="EG4" i="7"/>
  <c r="EG5" i="7"/>
  <c r="EG6" i="7"/>
  <c r="EG7" i="7"/>
  <c r="EG8" i="7"/>
  <c r="EG9" i="7"/>
  <c r="EG10" i="7"/>
  <c r="EG11" i="7"/>
  <c r="EG12" i="7"/>
  <c r="EG13" i="7"/>
  <c r="EG14" i="7"/>
  <c r="EG15" i="7"/>
  <c r="EG17" i="7"/>
  <c r="EG18" i="7"/>
  <c r="EG19" i="7"/>
  <c r="EG20" i="7"/>
  <c r="EG21" i="7"/>
  <c r="EG22" i="7"/>
  <c r="EG23" i="7"/>
  <c r="BY37" i="7"/>
  <c r="BX37" i="7"/>
  <c r="BV37" i="7"/>
  <c r="BU37" i="7"/>
  <c r="EF4" i="7"/>
  <c r="EF5" i="7"/>
  <c r="EF6" i="7"/>
  <c r="EF7" i="7"/>
  <c r="EF8" i="7"/>
  <c r="EF9" i="7"/>
  <c r="EF10" i="7"/>
  <c r="EF11" i="7"/>
  <c r="EF12" i="7"/>
  <c r="EF13" i="7"/>
  <c r="EF14" i="7"/>
  <c r="EF15" i="7"/>
  <c r="EF17" i="7"/>
  <c r="EF18" i="7"/>
  <c r="EF19" i="7"/>
  <c r="EF20" i="7"/>
  <c r="EF21" i="7"/>
  <c r="EF22" i="7"/>
  <c r="EF23" i="7"/>
  <c r="BY36" i="7"/>
  <c r="BX36" i="7"/>
  <c r="BV36" i="7"/>
  <c r="BU36" i="7"/>
  <c r="EE4" i="7"/>
  <c r="EE5" i="7"/>
  <c r="EE6" i="7"/>
  <c r="EE7" i="7"/>
  <c r="EE8" i="7"/>
  <c r="EE9" i="7"/>
  <c r="EE10" i="7"/>
  <c r="EE11" i="7"/>
  <c r="EE12" i="7"/>
  <c r="EE13" i="7"/>
  <c r="EE14" i="7"/>
  <c r="EE15" i="7"/>
  <c r="EE17" i="7"/>
  <c r="EE18" i="7"/>
  <c r="EE19" i="7"/>
  <c r="EE20" i="7"/>
  <c r="EE21" i="7"/>
  <c r="EE22" i="7"/>
  <c r="EE23" i="7"/>
  <c r="BY35" i="7"/>
  <c r="BX35" i="7"/>
  <c r="BV35" i="7"/>
  <c r="BU35" i="7"/>
  <c r="ED4" i="7"/>
  <c r="ED5" i="7"/>
  <c r="ED6" i="7"/>
  <c r="ED7" i="7"/>
  <c r="ED8" i="7"/>
  <c r="ED9" i="7"/>
  <c r="ED10" i="7"/>
  <c r="ED11" i="7"/>
  <c r="ED12" i="7"/>
  <c r="ED13" i="7"/>
  <c r="ED14" i="7"/>
  <c r="ED15" i="7"/>
  <c r="ED17" i="7"/>
  <c r="ED18" i="7"/>
  <c r="ED19" i="7"/>
  <c r="ED20" i="7"/>
  <c r="ED21" i="7"/>
  <c r="ED22" i="7"/>
  <c r="ED23" i="7"/>
  <c r="BY34" i="7"/>
  <c r="BX34" i="7"/>
  <c r="BV34" i="7"/>
  <c r="BU34" i="7"/>
  <c r="BZ4" i="7"/>
  <c r="BZ5" i="7"/>
  <c r="BZ6" i="7"/>
  <c r="BZ7" i="7"/>
  <c r="BZ8" i="7"/>
  <c r="BZ9" i="7"/>
  <c r="BZ10" i="7"/>
  <c r="BZ11" i="7"/>
  <c r="BZ12" i="7"/>
  <c r="BZ13" i="7"/>
  <c r="BZ14" i="7"/>
  <c r="BZ15" i="7"/>
  <c r="BZ17" i="7"/>
  <c r="BZ18" i="7"/>
  <c r="BZ19" i="7"/>
  <c r="BZ20" i="7"/>
  <c r="BZ21" i="7"/>
  <c r="BZ22" i="7"/>
  <c r="BZ28" i="7"/>
  <c r="BW28" i="7"/>
  <c r="BT23" i="7"/>
  <c r="BT22" i="7"/>
  <c r="BT21" i="7"/>
  <c r="BT20" i="7"/>
  <c r="BT19" i="7"/>
  <c r="BT18" i="7"/>
  <c r="BT17" i="7"/>
  <c r="BT15" i="7"/>
  <c r="BT14" i="7"/>
  <c r="BT13" i="7"/>
  <c r="BT12" i="7"/>
  <c r="BT11" i="7"/>
  <c r="BT10" i="7"/>
  <c r="BT9" i="7"/>
  <c r="BT8" i="7"/>
  <c r="BT7" i="7"/>
  <c r="BT6" i="7"/>
  <c r="BT5" i="7"/>
  <c r="BT4" i="7"/>
  <c r="BD32" i="7"/>
  <c r="BA32" i="7"/>
  <c r="BD30" i="7"/>
  <c r="BA30" i="7"/>
  <c r="BD4" i="7"/>
  <c r="BD5" i="7"/>
  <c r="BD6" i="7"/>
  <c r="BD7" i="7"/>
  <c r="BD8" i="7"/>
  <c r="BD9" i="7"/>
  <c r="BD10" i="7"/>
  <c r="BD11" i="7"/>
  <c r="BD12" i="7"/>
  <c r="BD13" i="7"/>
  <c r="BD14" i="7"/>
  <c r="BD15" i="7"/>
  <c r="BD17" i="7"/>
  <c r="BD18" i="7"/>
  <c r="BD19" i="7"/>
  <c r="BD20" i="7"/>
  <c r="BD21" i="7"/>
  <c r="BD22" i="7"/>
  <c r="BA4" i="7"/>
  <c r="BA5" i="7"/>
  <c r="BA6" i="7"/>
  <c r="BA7" i="7"/>
  <c r="BA8" i="7"/>
  <c r="BA9" i="7"/>
  <c r="BA10" i="7"/>
  <c r="BA11" i="7"/>
  <c r="BA12" i="7"/>
  <c r="BA13" i="7"/>
  <c r="BA14" i="7"/>
  <c r="BA15" i="7"/>
  <c r="BA17" i="7"/>
  <c r="BA18" i="7"/>
  <c r="BA19" i="7"/>
  <c r="BA20" i="7"/>
  <c r="BA21" i="7"/>
  <c r="BA22" i="7"/>
  <c r="AX23" i="7"/>
  <c r="AX22" i="7"/>
  <c r="AX21" i="7"/>
  <c r="AX20" i="7"/>
  <c r="AX19" i="7"/>
  <c r="AX18" i="7"/>
  <c r="AX17" i="7"/>
  <c r="AX15" i="7"/>
  <c r="AX14" i="7"/>
  <c r="AX13" i="7"/>
  <c r="AX12" i="7"/>
  <c r="AX11" i="7"/>
  <c r="AX10" i="7"/>
  <c r="AX9" i="7"/>
  <c r="AX8" i="7"/>
  <c r="AX7" i="7"/>
  <c r="AX6" i="7"/>
  <c r="AX5" i="7"/>
  <c r="AX4" i="7"/>
  <c r="DT13" i="7"/>
  <c r="DI13" i="7"/>
  <c r="CP13" i="7"/>
  <c r="CV13" i="7"/>
  <c r="CS13" i="7"/>
  <c r="CE13" i="7"/>
  <c r="CK13" i="7"/>
  <c r="BI13" i="7"/>
  <c r="BO13" i="7"/>
  <c r="AM13" i="7"/>
  <c r="AS13" i="7"/>
  <c r="AP13" i="7"/>
  <c r="AB13" i="7"/>
  <c r="AH13" i="7"/>
  <c r="AE13" i="7"/>
  <c r="Y13" i="7"/>
  <c r="W66" i="4"/>
  <c r="ET13" i="7"/>
  <c r="V66" i="4"/>
  <c r="ES13" i="7"/>
  <c r="U66" i="4"/>
  <c r="ER13" i="7"/>
  <c r="EC13" i="7"/>
  <c r="EB13" i="7"/>
  <c r="DZ13" i="7"/>
  <c r="DY13" i="7"/>
  <c r="DX13" i="7"/>
  <c r="H13" i="7"/>
  <c r="G13" i="7"/>
  <c r="F13" i="7"/>
  <c r="C13" i="7"/>
  <c r="BI23" i="7"/>
  <c r="BO22" i="7"/>
  <c r="BI22" i="7"/>
  <c r="BO21" i="7"/>
  <c r="BI21" i="7"/>
  <c r="BO20" i="7"/>
  <c r="BI20" i="7"/>
  <c r="BO19" i="7"/>
  <c r="BI19" i="7"/>
  <c r="BO18" i="7"/>
  <c r="BI18" i="7"/>
  <c r="BO17" i="7"/>
  <c r="BI17" i="7"/>
  <c r="BO15" i="7"/>
  <c r="BI15" i="7"/>
  <c r="BO14" i="7"/>
  <c r="BI14" i="7"/>
  <c r="BO12" i="7"/>
  <c r="BI12" i="7"/>
  <c r="BO11" i="7"/>
  <c r="BI11" i="7"/>
  <c r="BO10" i="7"/>
  <c r="BI10" i="7"/>
  <c r="BO9" i="7"/>
  <c r="BI9" i="7"/>
  <c r="BO8" i="7"/>
  <c r="BI8" i="7"/>
  <c r="BO7" i="7"/>
  <c r="BI7" i="7"/>
  <c r="BO6" i="7"/>
  <c r="BI6" i="7"/>
  <c r="BO5" i="7"/>
  <c r="BI5" i="7"/>
  <c r="BO4" i="7"/>
  <c r="BI4" i="7"/>
  <c r="CP23" i="7"/>
  <c r="CP22" i="7"/>
  <c r="CP21" i="7"/>
  <c r="CP20" i="7"/>
  <c r="CP19" i="7"/>
  <c r="CP18" i="7"/>
  <c r="CP17" i="7"/>
  <c r="CP15" i="7"/>
  <c r="CP14" i="7"/>
  <c r="CP12" i="7"/>
  <c r="CP11" i="7"/>
  <c r="CP10" i="7"/>
  <c r="CP9" i="7"/>
  <c r="CP8" i="7"/>
  <c r="CP7" i="7"/>
  <c r="CP5" i="7"/>
  <c r="CP4" i="7"/>
  <c r="CE23" i="7"/>
  <c r="CE22" i="7"/>
  <c r="CE21" i="7"/>
  <c r="CE20" i="7"/>
  <c r="CE19" i="7"/>
  <c r="CE18" i="7"/>
  <c r="CE17" i="7"/>
  <c r="CE15" i="7"/>
  <c r="CE14" i="7"/>
  <c r="CE12" i="7"/>
  <c r="CE11" i="7"/>
  <c r="CE10" i="7"/>
  <c r="CE9" i="7"/>
  <c r="CE8" i="7"/>
  <c r="CE7" i="7"/>
  <c r="CE6" i="7"/>
  <c r="CE5" i="7"/>
  <c r="CE4" i="7"/>
  <c r="AM23" i="7"/>
  <c r="AM22" i="7"/>
  <c r="AM21" i="7"/>
  <c r="AM20" i="7"/>
  <c r="AM19" i="7"/>
  <c r="AM18" i="7"/>
  <c r="AM17" i="7"/>
  <c r="AM15" i="7"/>
  <c r="AM14" i="7"/>
  <c r="AM12" i="7"/>
  <c r="AM11" i="7"/>
  <c r="AM10" i="7"/>
  <c r="AM9" i="7"/>
  <c r="AM8" i="7"/>
  <c r="AM7" i="7"/>
  <c r="AM6" i="7"/>
  <c r="AM5" i="7"/>
  <c r="AM4" i="7"/>
  <c r="AB23" i="7"/>
  <c r="AB22" i="7"/>
  <c r="AB21" i="7"/>
  <c r="AB20" i="7"/>
  <c r="AB19" i="7"/>
  <c r="AB18" i="7"/>
  <c r="AB17" i="7"/>
  <c r="AB15" i="7"/>
  <c r="AB14" i="7"/>
  <c r="AB12" i="7"/>
  <c r="AB11" i="7"/>
  <c r="AB10" i="7"/>
  <c r="AB9" i="7"/>
  <c r="AB8" i="7"/>
  <c r="AB7" i="7"/>
  <c r="AB6" i="7"/>
  <c r="AB5" i="7"/>
  <c r="AB4" i="7"/>
  <c r="CK14" i="7"/>
  <c r="CK19" i="7"/>
  <c r="CK18" i="7"/>
  <c r="CK17" i="7"/>
  <c r="CK15" i="7"/>
  <c r="CK12" i="7"/>
  <c r="CK11" i="7"/>
  <c r="CK10" i="7"/>
  <c r="CK9" i="7"/>
  <c r="CK8" i="7"/>
  <c r="CK7" i="7"/>
  <c r="CK6" i="7"/>
  <c r="CK5" i="7"/>
  <c r="CK4" i="7"/>
  <c r="CV6" i="7"/>
  <c r="CS6" i="7"/>
  <c r="CS19" i="7"/>
  <c r="CV19" i="7"/>
  <c r="AS11" i="7"/>
  <c r="AP11" i="7"/>
  <c r="AP19" i="7"/>
  <c r="AS19" i="7"/>
  <c r="AH10" i="7"/>
  <c r="AE10" i="7"/>
  <c r="AE19" i="7"/>
  <c r="AH19" i="7"/>
  <c r="CS18" i="7"/>
  <c r="CV18" i="7"/>
  <c r="AP18" i="7"/>
  <c r="AS18" i="7"/>
  <c r="AE18" i="7"/>
  <c r="AH18" i="7"/>
  <c r="CS17" i="7"/>
  <c r="CV17" i="7"/>
  <c r="AP17" i="7"/>
  <c r="AS17" i="7"/>
  <c r="AE17" i="7"/>
  <c r="AH17" i="7"/>
  <c r="CS15" i="7"/>
  <c r="CV15" i="7"/>
  <c r="AP15" i="7"/>
  <c r="AS15" i="7"/>
  <c r="AE15" i="7"/>
  <c r="AH15" i="7"/>
  <c r="CS14" i="7"/>
  <c r="CV14" i="7"/>
  <c r="AP14" i="7"/>
  <c r="AS14" i="7"/>
  <c r="AE14" i="7"/>
  <c r="AH14" i="7"/>
  <c r="CS12" i="7"/>
  <c r="CV12" i="7"/>
  <c r="AP12" i="7"/>
  <c r="AS12" i="7"/>
  <c r="AE12" i="7"/>
  <c r="AH12" i="7"/>
  <c r="CS11" i="7"/>
  <c r="CV11" i="7"/>
  <c r="AE11" i="7"/>
  <c r="AH11" i="7"/>
  <c r="CS10" i="7"/>
  <c r="CV10" i="7"/>
  <c r="AP10" i="7"/>
  <c r="AS10" i="7"/>
  <c r="CS9" i="7"/>
  <c r="CV9" i="7"/>
  <c r="AP9" i="7"/>
  <c r="AS9" i="7"/>
  <c r="AE9" i="7"/>
  <c r="AH9" i="7"/>
  <c r="CS8" i="7"/>
  <c r="CV8" i="7"/>
  <c r="AP8" i="7"/>
  <c r="AS8" i="7"/>
  <c r="AE8" i="7"/>
  <c r="AH8" i="7"/>
  <c r="CS7" i="7"/>
  <c r="CV7" i="7"/>
  <c r="AP7" i="7"/>
  <c r="AS7" i="7"/>
  <c r="AE7" i="7"/>
  <c r="AH7" i="7"/>
  <c r="AP6" i="7"/>
  <c r="AS6" i="7"/>
  <c r="AE6" i="7"/>
  <c r="AH6" i="7"/>
  <c r="CS5" i="7"/>
  <c r="CV5" i="7"/>
  <c r="AP5" i="7"/>
  <c r="AS5" i="7"/>
  <c r="AE5" i="7"/>
  <c r="AH5" i="7"/>
  <c r="CS4" i="7"/>
  <c r="CV4" i="7"/>
  <c r="AP4" i="7"/>
  <c r="AS4" i="7"/>
  <c r="AE4" i="7"/>
  <c r="AH4" i="7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4" i="12"/>
  <c r="B15" i="12"/>
  <c r="B10" i="10"/>
  <c r="B17" i="12"/>
  <c r="B11" i="10"/>
  <c r="B2" i="12"/>
  <c r="B1" i="10"/>
  <c r="B2" i="10"/>
  <c r="B4" i="10"/>
  <c r="B5" i="10"/>
  <c r="B7" i="12"/>
  <c r="B6" i="10"/>
  <c r="B7" i="10"/>
  <c r="B11" i="12"/>
  <c r="B8" i="10"/>
  <c r="B13" i="12"/>
  <c r="B9" i="10"/>
  <c r="B19" i="12"/>
  <c r="B12" i="10"/>
  <c r="B21" i="12"/>
  <c r="B13" i="10"/>
  <c r="B15" i="10"/>
  <c r="B7" i="11"/>
  <c r="B1" i="13"/>
  <c r="B7" i="13"/>
  <c r="B8" i="13"/>
  <c r="B9" i="13"/>
  <c r="B26" i="13"/>
  <c r="B10" i="13"/>
  <c r="B27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8" i="13"/>
  <c r="B29" i="13"/>
  <c r="B30" i="13"/>
  <c r="B31" i="13"/>
  <c r="B33" i="13"/>
  <c r="B34" i="13"/>
  <c r="B35" i="13"/>
  <c r="B36" i="13"/>
  <c r="B37" i="13"/>
  <c r="B38" i="13"/>
  <c r="E2" i="14"/>
  <c r="E3" i="14"/>
  <c r="E4" i="14"/>
  <c r="CK22" i="7"/>
  <c r="CK21" i="7"/>
  <c r="CK20" i="7"/>
  <c r="CS22" i="7"/>
  <c r="CV22" i="7"/>
  <c r="CS21" i="7"/>
  <c r="CV21" i="7"/>
  <c r="CS20" i="7"/>
  <c r="CV20" i="7"/>
  <c r="AP22" i="7"/>
  <c r="AS22" i="7"/>
  <c r="AP21" i="7"/>
  <c r="AS21" i="7"/>
  <c r="AP20" i="7"/>
  <c r="AS20" i="7"/>
  <c r="AE22" i="7"/>
  <c r="AH22" i="7"/>
  <c r="AE21" i="7"/>
  <c r="AH21" i="7"/>
  <c r="AE20" i="7"/>
  <c r="AH20" i="7"/>
  <c r="W58" i="4"/>
  <c r="ET7" i="7"/>
  <c r="H7" i="7"/>
  <c r="V58" i="4"/>
  <c r="ES7" i="7"/>
  <c r="G7" i="7"/>
  <c r="U58" i="4"/>
  <c r="ER7" i="7"/>
  <c r="F7" i="7"/>
  <c r="DY7" i="7"/>
  <c r="C7" i="7"/>
  <c r="EC7" i="7"/>
  <c r="EB7" i="7"/>
  <c r="DZ7" i="7"/>
  <c r="DX7" i="7"/>
  <c r="AG46" i="7"/>
  <c r="AF46" i="7"/>
  <c r="AD46" i="7"/>
  <c r="AC46" i="7"/>
  <c r="AG45" i="7"/>
  <c r="AF45" i="7"/>
  <c r="AD45" i="7"/>
  <c r="AC45" i="7"/>
  <c r="AG44" i="7"/>
  <c r="AF44" i="7"/>
  <c r="AD44" i="7"/>
  <c r="AC44" i="7"/>
  <c r="AG43" i="7"/>
  <c r="AF43" i="7"/>
  <c r="AD43" i="7"/>
  <c r="AC43" i="7"/>
  <c r="AG42" i="7"/>
  <c r="AF42" i="7"/>
  <c r="AD42" i="7"/>
  <c r="AC42" i="7"/>
  <c r="AG41" i="7"/>
  <c r="AF41" i="7"/>
  <c r="AD41" i="7"/>
  <c r="AC41" i="7"/>
  <c r="AG40" i="7"/>
  <c r="AF40" i="7"/>
  <c r="AD40" i="7"/>
  <c r="AC40" i="7"/>
  <c r="AG39" i="7"/>
  <c r="AF39" i="7"/>
  <c r="AD39" i="7"/>
  <c r="AC39" i="7"/>
  <c r="AG38" i="7"/>
  <c r="AF38" i="7"/>
  <c r="AD38" i="7"/>
  <c r="AC38" i="7"/>
  <c r="AG37" i="7"/>
  <c r="AF37" i="7"/>
  <c r="AD37" i="7"/>
  <c r="AC37" i="7"/>
  <c r="AG36" i="7"/>
  <c r="AF36" i="7"/>
  <c r="AD36" i="7"/>
  <c r="AC36" i="7"/>
  <c r="AG35" i="7"/>
  <c r="AF35" i="7"/>
  <c r="AD35" i="7"/>
  <c r="AC35" i="7"/>
  <c r="AG34" i="7"/>
  <c r="AF34" i="7"/>
  <c r="AD34" i="7"/>
  <c r="AC34" i="7"/>
  <c r="W105" i="4"/>
  <c r="ET18" i="7"/>
  <c r="H18" i="7"/>
  <c r="V105" i="4"/>
  <c r="ES18" i="7"/>
  <c r="G18" i="7"/>
  <c r="U105" i="4"/>
  <c r="ER18" i="7"/>
  <c r="F18" i="7"/>
  <c r="DY18" i="7"/>
  <c r="C18" i="7"/>
  <c r="W104" i="4"/>
  <c r="ET17" i="7"/>
  <c r="H17" i="7"/>
  <c r="V104" i="4"/>
  <c r="ES17" i="7"/>
  <c r="G17" i="7"/>
  <c r="U104" i="4"/>
  <c r="ER17" i="7"/>
  <c r="F17" i="7"/>
  <c r="DY17" i="7"/>
  <c r="C17" i="7"/>
  <c r="EK25" i="7"/>
  <c r="EK24" i="7"/>
  <c r="W36" i="4"/>
  <c r="ET23" i="7"/>
  <c r="V36" i="4"/>
  <c r="ES23" i="7"/>
  <c r="U36" i="4"/>
  <c r="ER23" i="7"/>
  <c r="W20" i="4"/>
  <c r="ET22" i="7"/>
  <c r="V20" i="4"/>
  <c r="ES22" i="7"/>
  <c r="U20" i="4"/>
  <c r="ER22" i="7"/>
  <c r="W82" i="4"/>
  <c r="ET21" i="7"/>
  <c r="V82" i="4"/>
  <c r="ES21" i="7"/>
  <c r="U82" i="4"/>
  <c r="ER21" i="7"/>
  <c r="W106" i="4"/>
  <c r="ET20" i="7"/>
  <c r="V106" i="4"/>
  <c r="ES20" i="7"/>
  <c r="U106" i="4"/>
  <c r="ER20" i="7"/>
  <c r="W72" i="4"/>
  <c r="ET19" i="7"/>
  <c r="V72" i="4"/>
  <c r="ES19" i="7"/>
  <c r="U72" i="4"/>
  <c r="ER19" i="7"/>
  <c r="W94" i="4"/>
  <c r="ET15" i="7"/>
  <c r="V94" i="4"/>
  <c r="ES15" i="7"/>
  <c r="U94" i="4"/>
  <c r="ER15" i="7"/>
  <c r="W91" i="4"/>
  <c r="ET14" i="7"/>
  <c r="V91" i="4"/>
  <c r="ES14" i="7"/>
  <c r="U91" i="4"/>
  <c r="ER14" i="7"/>
  <c r="W67" i="4"/>
  <c r="ET12" i="7"/>
  <c r="V67" i="4"/>
  <c r="ES12" i="7"/>
  <c r="U67" i="4"/>
  <c r="ER12" i="7"/>
  <c r="W69" i="4"/>
  <c r="ET11" i="7"/>
  <c r="V69" i="4"/>
  <c r="ES11" i="7"/>
  <c r="U69" i="4"/>
  <c r="ER11" i="7"/>
  <c r="W17" i="4"/>
  <c r="ET10" i="7"/>
  <c r="V17" i="4"/>
  <c r="ES10" i="7"/>
  <c r="U17" i="4"/>
  <c r="ER10" i="7"/>
  <c r="W76" i="4"/>
  <c r="V76" i="4"/>
  <c r="U76" i="4"/>
  <c r="W50" i="4"/>
  <c r="ET9" i="7"/>
  <c r="V50" i="4"/>
  <c r="ES9" i="7"/>
  <c r="U50" i="4"/>
  <c r="ER9" i="7"/>
  <c r="W29" i="4"/>
  <c r="ET8" i="7"/>
  <c r="V29" i="4"/>
  <c r="ES8" i="7"/>
  <c r="U29" i="4"/>
  <c r="ER8" i="7"/>
  <c r="W5" i="4"/>
  <c r="ET6" i="7"/>
  <c r="V5" i="4"/>
  <c r="ES6" i="7"/>
  <c r="U5" i="4"/>
  <c r="ER6" i="7"/>
  <c r="W54" i="4"/>
  <c r="ET5" i="7"/>
  <c r="V54" i="4"/>
  <c r="ES5" i="7"/>
  <c r="U54" i="4"/>
  <c r="ER5" i="7"/>
  <c r="W45" i="4"/>
  <c r="ET4" i="7"/>
  <c r="V45" i="4"/>
  <c r="ES4" i="7"/>
  <c r="U45" i="4"/>
  <c r="ER4" i="7"/>
  <c r="EL24" i="7"/>
  <c r="EM24" i="7"/>
  <c r="EN24" i="7"/>
  <c r="EO24" i="7"/>
  <c r="EP24" i="7"/>
  <c r="EQ24" i="7"/>
  <c r="EC18" i="7"/>
  <c r="EB18" i="7"/>
  <c r="DZ18" i="7"/>
  <c r="EC17" i="7"/>
  <c r="EB17" i="7"/>
  <c r="DZ17" i="7"/>
  <c r="DX18" i="7"/>
  <c r="DX17" i="7"/>
  <c r="H15" i="7"/>
  <c r="G15" i="7"/>
  <c r="F15" i="7"/>
  <c r="DY15" i="7"/>
  <c r="C15" i="7"/>
  <c r="EC15" i="7"/>
  <c r="EB15" i="7"/>
  <c r="DZ15" i="7"/>
  <c r="DX15" i="7"/>
  <c r="EZ15" i="7"/>
  <c r="FA12" i="7"/>
  <c r="FA14" i="7"/>
  <c r="EZ14" i="7"/>
  <c r="W46" i="7"/>
  <c r="T46" i="7"/>
  <c r="S46" i="7"/>
  <c r="W45" i="7"/>
  <c r="T45" i="7"/>
  <c r="S45" i="7"/>
  <c r="W44" i="7"/>
  <c r="T44" i="7"/>
  <c r="S44" i="7"/>
  <c r="W43" i="7"/>
  <c r="T43" i="7"/>
  <c r="S43" i="7"/>
  <c r="W42" i="7"/>
  <c r="T42" i="7"/>
  <c r="S42" i="7"/>
  <c r="W40" i="7"/>
  <c r="T40" i="7"/>
  <c r="S40" i="7"/>
  <c r="W39" i="7"/>
  <c r="T39" i="7"/>
  <c r="S39" i="7"/>
  <c r="W38" i="7"/>
  <c r="T38" i="7"/>
  <c r="S38" i="7"/>
  <c r="W37" i="7"/>
  <c r="T37" i="7"/>
  <c r="S37" i="7"/>
  <c r="W36" i="7"/>
  <c r="T36" i="7"/>
  <c r="S36" i="7"/>
  <c r="W35" i="7"/>
  <c r="T35" i="7"/>
  <c r="S35" i="7"/>
  <c r="W34" i="7"/>
  <c r="T34" i="7"/>
  <c r="S34" i="7"/>
  <c r="W28" i="7"/>
  <c r="T28" i="7"/>
  <c r="S28" i="7"/>
  <c r="H23" i="7"/>
  <c r="G23" i="7"/>
  <c r="F23" i="7"/>
  <c r="DY23" i="7"/>
  <c r="C23" i="7"/>
  <c r="EC23" i="7"/>
  <c r="EB23" i="7"/>
  <c r="DZ23" i="7"/>
  <c r="DX23" i="7"/>
  <c r="H19" i="7"/>
  <c r="G19" i="7"/>
  <c r="F19" i="7"/>
  <c r="DY19" i="7"/>
  <c r="C19" i="7"/>
  <c r="EC19" i="7"/>
  <c r="EB19" i="7"/>
  <c r="DZ19" i="7"/>
  <c r="DX19" i="7"/>
  <c r="H14" i="7"/>
  <c r="G14" i="7"/>
  <c r="F14" i="7"/>
  <c r="DY14" i="7"/>
  <c r="C14" i="7"/>
  <c r="H12" i="7"/>
  <c r="G12" i="7"/>
  <c r="F12" i="7"/>
  <c r="DY12" i="7"/>
  <c r="C12" i="7"/>
  <c r="H11" i="7"/>
  <c r="G11" i="7"/>
  <c r="F11" i="7"/>
  <c r="DY11" i="7"/>
  <c r="C11" i="7"/>
  <c r="DY20" i="7"/>
  <c r="C20" i="7"/>
  <c r="F20" i="7"/>
  <c r="G20" i="7"/>
  <c r="H20" i="7"/>
  <c r="EJ25" i="7"/>
  <c r="EI25" i="7"/>
  <c r="EJ24" i="7"/>
  <c r="EI24" i="7"/>
  <c r="R40" i="7"/>
  <c r="R39" i="7"/>
  <c r="H5" i="7"/>
  <c r="G5" i="7"/>
  <c r="F5" i="7"/>
  <c r="DY5" i="7"/>
  <c r="C5" i="7"/>
  <c r="EC5" i="7"/>
  <c r="EB5" i="7"/>
  <c r="DZ5" i="7"/>
  <c r="DX5" i="7"/>
  <c r="EC10" i="7"/>
  <c r="EB10" i="7"/>
  <c r="DZ10" i="7"/>
  <c r="DY10" i="7"/>
  <c r="DX10" i="7"/>
  <c r="W97" i="4"/>
  <c r="V97" i="4"/>
  <c r="U97" i="4"/>
  <c r="EC14" i="7"/>
  <c r="EB14" i="7"/>
  <c r="DZ14" i="7"/>
  <c r="DX14" i="7"/>
  <c r="EC12" i="7"/>
  <c r="EB12" i="7"/>
  <c r="DZ12" i="7"/>
  <c r="DX12" i="7"/>
  <c r="EC11" i="7"/>
  <c r="EB11" i="7"/>
  <c r="DZ11" i="7"/>
  <c r="EJ3" i="7"/>
  <c r="EI3" i="7"/>
  <c r="DX11" i="7"/>
  <c r="DY4" i="7"/>
  <c r="DX4" i="7"/>
  <c r="DZ4" i="7"/>
  <c r="EB4" i="7"/>
  <c r="EC4" i="7"/>
  <c r="DY6" i="7"/>
  <c r="DX6" i="7"/>
  <c r="DZ6" i="7"/>
  <c r="EB6" i="7"/>
  <c r="EC6" i="7"/>
  <c r="EX6" i="7"/>
  <c r="DY9" i="7"/>
  <c r="DX9" i="7"/>
  <c r="DZ9" i="7"/>
  <c r="EB9" i="7"/>
  <c r="EC9" i="7"/>
  <c r="EX10" i="7"/>
  <c r="DY8" i="7"/>
  <c r="DX8" i="7"/>
  <c r="DZ8" i="7"/>
  <c r="EB8" i="7"/>
  <c r="EC8" i="7"/>
  <c r="EW8" i="7"/>
  <c r="EX8" i="7"/>
  <c r="DX20" i="7"/>
  <c r="DZ20" i="7"/>
  <c r="EB20" i="7"/>
  <c r="EC20" i="7"/>
  <c r="DY21" i="7"/>
  <c r="DX21" i="7"/>
  <c r="DZ21" i="7"/>
  <c r="EB21" i="7"/>
  <c r="EC21" i="7"/>
  <c r="EV23" i="7"/>
  <c r="EW23" i="7"/>
  <c r="EX23" i="7"/>
  <c r="EY23" i="7"/>
  <c r="EZ23" i="7"/>
  <c r="FA23" i="7"/>
  <c r="C21" i="7"/>
  <c r="F21" i="7"/>
  <c r="G21" i="7"/>
  <c r="H21" i="7"/>
  <c r="H4" i="7"/>
  <c r="H22" i="7"/>
  <c r="W100" i="4"/>
  <c r="V100" i="4"/>
  <c r="U100" i="4"/>
  <c r="W99" i="4"/>
  <c r="V99" i="4"/>
  <c r="U99" i="4"/>
  <c r="W98" i="4"/>
  <c r="V98" i="4"/>
  <c r="U98" i="4"/>
  <c r="W96" i="4"/>
  <c r="V96" i="4"/>
  <c r="U96" i="4"/>
  <c r="W95" i="4"/>
  <c r="V95" i="4"/>
  <c r="U95" i="4"/>
  <c r="D96" i="4"/>
  <c r="D95" i="4"/>
  <c r="U107" i="4"/>
  <c r="V107" i="4"/>
  <c r="W107" i="4"/>
  <c r="W93" i="4"/>
  <c r="V93" i="4"/>
  <c r="U93" i="4"/>
  <c r="W92" i="4"/>
  <c r="V92" i="4"/>
  <c r="U92" i="4"/>
  <c r="W90" i="4"/>
  <c r="V90" i="4"/>
  <c r="U90" i="4"/>
  <c r="U22" i="4"/>
  <c r="V22" i="4"/>
  <c r="W22" i="4"/>
  <c r="W21" i="4"/>
  <c r="V21" i="4"/>
  <c r="U21" i="4"/>
  <c r="W77" i="4"/>
  <c r="V77" i="4"/>
  <c r="U77" i="4"/>
  <c r="W75" i="4"/>
  <c r="V75" i="4"/>
  <c r="U75" i="4"/>
  <c r="W74" i="4"/>
  <c r="V74" i="4"/>
  <c r="U74" i="4"/>
  <c r="W46" i="4"/>
  <c r="V46" i="4"/>
  <c r="U46" i="4"/>
  <c r="W49" i="4"/>
  <c r="V49" i="4"/>
  <c r="U49" i="4"/>
  <c r="W48" i="4"/>
  <c r="V48" i="4"/>
  <c r="U48" i="4"/>
  <c r="EC22" i="7"/>
  <c r="EB22" i="7"/>
  <c r="DZ22" i="7"/>
  <c r="DY22" i="7"/>
  <c r="C22" i="7"/>
  <c r="DX22" i="7"/>
  <c r="W8" i="4"/>
  <c r="V8" i="4"/>
  <c r="U8" i="4"/>
  <c r="C10" i="7"/>
  <c r="C6" i="7"/>
  <c r="C4" i="7"/>
  <c r="W11" i="4"/>
  <c r="V11" i="4"/>
  <c r="U11" i="4"/>
  <c r="DY3" i="7"/>
  <c r="C3" i="7"/>
  <c r="W83" i="4"/>
  <c r="V83" i="4"/>
  <c r="U83" i="4"/>
  <c r="W86" i="4"/>
  <c r="V86" i="4"/>
  <c r="U86" i="4"/>
  <c r="W85" i="4"/>
  <c r="V85" i="4"/>
  <c r="U85" i="4"/>
  <c r="U14" i="4"/>
  <c r="V14" i="4"/>
  <c r="W14" i="4"/>
  <c r="ET3" i="7"/>
  <c r="H3" i="7"/>
  <c r="ES3" i="7"/>
  <c r="G3" i="7"/>
  <c r="ER3" i="7"/>
  <c r="F3" i="7"/>
  <c r="EQ3" i="7"/>
  <c r="E3" i="7"/>
  <c r="EA3" i="7"/>
  <c r="D3" i="7"/>
  <c r="DX3" i="7"/>
  <c r="EQ25" i="7"/>
  <c r="W81" i="4"/>
  <c r="V81" i="4"/>
  <c r="F9" i="7"/>
  <c r="U81" i="4"/>
  <c r="W65" i="4"/>
  <c r="V65" i="4"/>
  <c r="U65" i="4"/>
  <c r="W24" i="4"/>
  <c r="W7" i="4"/>
  <c r="V24" i="4"/>
  <c r="V7" i="4"/>
  <c r="U24" i="4"/>
  <c r="U7" i="4"/>
  <c r="W102" i="4"/>
  <c r="V102" i="4"/>
  <c r="U102" i="4"/>
  <c r="W78" i="4"/>
  <c r="W88" i="4"/>
  <c r="V78" i="4"/>
  <c r="V88" i="4"/>
  <c r="U78" i="4"/>
  <c r="U88" i="4"/>
  <c r="W87" i="4"/>
  <c r="V87" i="4"/>
  <c r="U87" i="4"/>
  <c r="W89" i="4"/>
  <c r="V89" i="4"/>
  <c r="U89" i="4"/>
  <c r="W37" i="4"/>
  <c r="V37" i="4"/>
  <c r="F8" i="7"/>
  <c r="U37" i="4"/>
  <c r="W15" i="4"/>
  <c r="W70" i="4"/>
  <c r="V15" i="4"/>
  <c r="V70" i="4"/>
  <c r="U15" i="4"/>
  <c r="F10" i="7"/>
  <c r="U70" i="4"/>
  <c r="W26" i="4"/>
  <c r="V26" i="4"/>
  <c r="U26" i="4"/>
  <c r="W4" i="4"/>
  <c r="W27" i="4"/>
  <c r="V4" i="4"/>
  <c r="V27" i="4"/>
  <c r="U4" i="4"/>
  <c r="U27" i="4"/>
  <c r="W13" i="4"/>
  <c r="V13" i="4"/>
  <c r="U13" i="4"/>
  <c r="W44" i="4"/>
  <c r="V44" i="4"/>
  <c r="U44" i="4"/>
  <c r="W57" i="4"/>
  <c r="V57" i="4"/>
  <c r="U57" i="4"/>
  <c r="W71" i="4"/>
  <c r="W16" i="4"/>
  <c r="V71" i="4"/>
  <c r="V16" i="4"/>
  <c r="U71" i="4"/>
  <c r="U16" i="4"/>
  <c r="W10" i="4"/>
  <c r="V10" i="4"/>
  <c r="U10" i="4"/>
  <c r="W80" i="4"/>
  <c r="V80" i="4"/>
  <c r="G22" i="7"/>
  <c r="U80" i="4"/>
  <c r="F22" i="7"/>
  <c r="W42" i="4"/>
  <c r="W35" i="4"/>
  <c r="V42" i="4"/>
  <c r="V35" i="4"/>
  <c r="U42" i="4"/>
  <c r="U35" i="4"/>
  <c r="W84" i="4"/>
  <c r="W25" i="4"/>
  <c r="V84" i="4"/>
  <c r="V25" i="4"/>
  <c r="U84" i="4"/>
  <c r="U25" i="4"/>
  <c r="W3" i="4"/>
  <c r="V3" i="4"/>
  <c r="U3" i="4"/>
  <c r="W32" i="4"/>
  <c r="V32" i="4"/>
  <c r="U32" i="4"/>
  <c r="W19" i="4"/>
  <c r="V19" i="4"/>
  <c r="U19" i="4"/>
  <c r="W101" i="4"/>
  <c r="V101" i="4"/>
  <c r="U101" i="4"/>
  <c r="W41" i="4"/>
  <c r="W64" i="4"/>
  <c r="V41" i="4"/>
  <c r="V64" i="4"/>
  <c r="U41" i="4"/>
  <c r="U64" i="4"/>
  <c r="W40" i="4"/>
  <c r="W63" i="4"/>
  <c r="V40" i="4"/>
  <c r="V63" i="4"/>
  <c r="U40" i="4"/>
  <c r="U63" i="4"/>
  <c r="W39" i="4"/>
  <c r="W62" i="4"/>
  <c r="V39" i="4"/>
  <c r="V62" i="4"/>
  <c r="U39" i="4"/>
  <c r="U62" i="4"/>
  <c r="W38" i="4"/>
  <c r="W61" i="4"/>
  <c r="V38" i="4"/>
  <c r="V61" i="4"/>
  <c r="U38" i="4"/>
  <c r="U61" i="4"/>
  <c r="W60" i="4"/>
  <c r="V60" i="4"/>
  <c r="U60" i="4"/>
  <c r="W59" i="4"/>
  <c r="V59" i="4"/>
  <c r="U59" i="4"/>
  <c r="W79" i="4"/>
  <c r="V79" i="4"/>
  <c r="U79" i="4"/>
  <c r="W47" i="4"/>
  <c r="V47" i="4"/>
  <c r="U47" i="4"/>
  <c r="W52" i="4"/>
  <c r="V52" i="4"/>
  <c r="U52" i="4"/>
  <c r="W56" i="4"/>
  <c r="W51" i="4"/>
  <c r="V56" i="4"/>
  <c r="V51" i="4"/>
  <c r="U56" i="4"/>
  <c r="U51" i="4"/>
  <c r="W28" i="4"/>
  <c r="V28" i="4"/>
  <c r="U28" i="4"/>
  <c r="W23" i="4"/>
  <c r="V23" i="4"/>
  <c r="U23" i="4"/>
  <c r="W43" i="4"/>
  <c r="V43" i="4"/>
  <c r="U43" i="4"/>
  <c r="W9" i="4"/>
  <c r="V9" i="4"/>
  <c r="U9" i="4"/>
  <c r="W12" i="4"/>
  <c r="W55" i="4"/>
  <c r="V12" i="4"/>
  <c r="V55" i="4"/>
  <c r="U12" i="4"/>
  <c r="U55" i="4"/>
  <c r="W53" i="4"/>
  <c r="V53" i="4"/>
  <c r="U53" i="4"/>
  <c r="W34" i="4"/>
  <c r="V34" i="4"/>
  <c r="U34" i="4"/>
  <c r="G4" i="7"/>
  <c r="ED3" i="7"/>
  <c r="EE3" i="7"/>
  <c r="EF3" i="7"/>
  <c r="EG3" i="7"/>
  <c r="EH3" i="7"/>
  <c r="EL3" i="7"/>
  <c r="EM3" i="7"/>
  <c r="EN3" i="7"/>
  <c r="EO3" i="7"/>
  <c r="EP3" i="7"/>
  <c r="ED24" i="7"/>
  <c r="EE24" i="7"/>
  <c r="EF24" i="7"/>
  <c r="EG24" i="7"/>
  <c r="EH24" i="7"/>
  <c r="ED25" i="7"/>
  <c r="EE25" i="7"/>
  <c r="EF25" i="7"/>
  <c r="EG25" i="7"/>
  <c r="EH25" i="7"/>
  <c r="EL25" i="7"/>
  <c r="EM25" i="7"/>
  <c r="EN25" i="7"/>
  <c r="EO25" i="7"/>
  <c r="EP25" i="7"/>
  <c r="EB3" i="7"/>
  <c r="EC3" i="7"/>
  <c r="W33" i="4"/>
  <c r="V33" i="4"/>
  <c r="U33" i="4"/>
  <c r="DZ3" i="7"/>
  <c r="W18" i="4"/>
  <c r="W73" i="4"/>
  <c r="W68" i="4"/>
  <c r="W31" i="4"/>
  <c r="W30" i="4"/>
  <c r="W6" i="4"/>
  <c r="U18" i="4"/>
  <c r="U73" i="4"/>
  <c r="U68" i="4"/>
  <c r="U31" i="4"/>
  <c r="U30" i="4"/>
  <c r="U6" i="4"/>
  <c r="V18" i="4"/>
  <c r="V73" i="4"/>
  <c r="V68" i="4"/>
  <c r="V31" i="4"/>
  <c r="V30" i="4"/>
  <c r="V6" i="4"/>
  <c r="F6" i="7"/>
  <c r="C8" i="7"/>
  <c r="H8" i="7"/>
  <c r="F4" i="7"/>
  <c r="H10" i="7"/>
  <c r="G6" i="7"/>
  <c r="C9" i="7"/>
  <c r="R34" i="7"/>
  <c r="R35" i="7"/>
  <c r="H6" i="7"/>
  <c r="G9" i="7"/>
  <c r="R43" i="7"/>
  <c r="G10" i="7"/>
  <c r="G8" i="7"/>
  <c r="H9" i="7"/>
  <c r="R45" i="7"/>
  <c r="R38" i="7"/>
  <c r="R46" i="7"/>
  <c r="R36" i="7"/>
  <c r="R44" i="7"/>
  <c r="R42" i="7"/>
  <c r="R37" i="7"/>
  <c r="R28" i="7"/>
  <c r="U34" i="7"/>
  <c r="V34" i="7"/>
  <c r="U35" i="7"/>
  <c r="V35" i="7"/>
  <c r="U36" i="7"/>
  <c r="V36" i="7"/>
  <c r="U37" i="7"/>
  <c r="V37" i="7"/>
  <c r="U38" i="7"/>
  <c r="V38" i="7"/>
  <c r="U39" i="7"/>
  <c r="V39" i="7"/>
  <c r="U40" i="7"/>
  <c r="V40" i="7"/>
  <c r="U42" i="7"/>
  <c r="V42" i="7"/>
  <c r="U43" i="7"/>
  <c r="V43" i="7"/>
  <c r="U44" i="7"/>
  <c r="V44" i="7"/>
  <c r="U45" i="7"/>
  <c r="V45" i="7"/>
  <c r="U46" i="7"/>
  <c r="V46" i="7"/>
  <c r="R41" i="7"/>
  <c r="S41" i="7"/>
  <c r="T41" i="7"/>
  <c r="U41" i="7"/>
  <c r="V41" i="7"/>
  <c r="W41" i="7"/>
  <c r="AE28" i="7"/>
  <c r="AH28" i="7"/>
  <c r="AE33" i="7"/>
  <c r="AE29" i="7"/>
  <c r="AH33" i="7"/>
  <c r="AH29" i="7"/>
  <c r="AE34" i="7"/>
  <c r="AH34" i="7"/>
  <c r="AE35" i="7"/>
  <c r="AH35" i="7"/>
  <c r="AE36" i="7"/>
  <c r="AH36" i="7"/>
  <c r="AE37" i="7"/>
  <c r="AH37" i="7"/>
  <c r="AE38" i="7"/>
  <c r="AH38" i="7"/>
  <c r="AE39" i="7"/>
  <c r="AH39" i="7"/>
  <c r="AE40" i="7"/>
  <c r="AH40" i="7"/>
  <c r="AE41" i="7"/>
  <c r="AH41" i="7"/>
  <c r="AE42" i="7"/>
  <c r="AH42" i="7"/>
  <c r="AE43" i="7"/>
  <c r="AH43" i="7"/>
  <c r="AE44" i="7"/>
  <c r="AH44" i="7"/>
  <c r="AE45" i="7"/>
  <c r="AH45" i="7"/>
  <c r="AE46" i="7"/>
  <c r="AH46" i="7"/>
  <c r="AP28" i="7"/>
  <c r="AS28" i="7"/>
  <c r="AP33" i="7"/>
  <c r="AP29" i="7"/>
  <c r="AS33" i="7"/>
  <c r="AS29" i="7"/>
  <c r="AP34" i="7"/>
  <c r="AS34" i="7"/>
  <c r="AP35" i="7"/>
  <c r="AS35" i="7"/>
  <c r="AP36" i="7"/>
  <c r="AS36" i="7"/>
  <c r="AP37" i="7"/>
  <c r="AS37" i="7"/>
  <c r="AP38" i="7"/>
  <c r="AS38" i="7"/>
  <c r="AP39" i="7"/>
  <c r="AS39" i="7"/>
  <c r="AP40" i="7"/>
  <c r="AS40" i="7"/>
  <c r="AP41" i="7"/>
  <c r="AS41" i="7"/>
  <c r="AP42" i="7"/>
  <c r="AS42" i="7"/>
  <c r="AP43" i="7"/>
  <c r="AS43" i="7"/>
  <c r="AP44" i="7"/>
  <c r="AS44" i="7"/>
  <c r="AP45" i="7"/>
  <c r="AS45" i="7"/>
  <c r="AP46" i="7"/>
  <c r="AS46" i="7"/>
  <c r="AN34" i="7"/>
  <c r="AO34" i="7"/>
  <c r="AQ34" i="7"/>
  <c r="AR34" i="7"/>
  <c r="AN35" i="7"/>
  <c r="AO35" i="7"/>
  <c r="AQ35" i="7"/>
  <c r="AR35" i="7"/>
  <c r="AN36" i="7"/>
  <c r="AO36" i="7"/>
  <c r="AQ36" i="7"/>
  <c r="AR36" i="7"/>
  <c r="AN37" i="7"/>
  <c r="AO37" i="7"/>
  <c r="AQ37" i="7"/>
  <c r="AR37" i="7"/>
  <c r="AN38" i="7"/>
  <c r="AO38" i="7"/>
  <c r="AQ38" i="7"/>
  <c r="AR38" i="7"/>
  <c r="AN39" i="7"/>
  <c r="AO39" i="7"/>
  <c r="AQ39" i="7"/>
  <c r="AR39" i="7"/>
  <c r="AN40" i="7"/>
  <c r="AO40" i="7"/>
  <c r="AQ40" i="7"/>
  <c r="AR40" i="7"/>
  <c r="AN41" i="7"/>
  <c r="AO41" i="7"/>
  <c r="AQ41" i="7"/>
  <c r="AR41" i="7"/>
  <c r="AN42" i="7"/>
  <c r="AO42" i="7"/>
  <c r="AQ42" i="7"/>
  <c r="AR42" i="7"/>
  <c r="AN43" i="7"/>
  <c r="AO43" i="7"/>
  <c r="AQ43" i="7"/>
  <c r="AR43" i="7"/>
  <c r="AN44" i="7"/>
  <c r="AO44" i="7"/>
  <c r="AQ44" i="7"/>
  <c r="AR44" i="7"/>
  <c r="AN45" i="7"/>
  <c r="AO45" i="7"/>
  <c r="AQ45" i="7"/>
  <c r="AR45" i="7"/>
  <c r="AN46" i="7"/>
  <c r="AO46" i="7"/>
  <c r="AQ46" i="7"/>
  <c r="AR46" i="7"/>
  <c r="CS28" i="7"/>
  <c r="CV28" i="7"/>
  <c r="CS33" i="7"/>
  <c r="CS29" i="7"/>
  <c r="CV33" i="7"/>
  <c r="CV29" i="7"/>
  <c r="CS34" i="7"/>
  <c r="CV34" i="7"/>
  <c r="CS35" i="7"/>
  <c r="CV35" i="7"/>
  <c r="CS36" i="7"/>
  <c r="CV36" i="7"/>
  <c r="CS37" i="7"/>
  <c r="CV37" i="7"/>
  <c r="CS38" i="7"/>
  <c r="CV38" i="7"/>
  <c r="CS39" i="7"/>
  <c r="CV39" i="7"/>
  <c r="CS40" i="7"/>
  <c r="CV40" i="7"/>
  <c r="CS41" i="7"/>
  <c r="CV41" i="7"/>
  <c r="CS42" i="7"/>
  <c r="CV42" i="7"/>
  <c r="CS43" i="7"/>
  <c r="CV43" i="7"/>
  <c r="CS44" i="7"/>
  <c r="CV44" i="7"/>
  <c r="CS45" i="7"/>
  <c r="CV45" i="7"/>
  <c r="CS46" i="7"/>
  <c r="CV46" i="7"/>
  <c r="CQ34" i="7"/>
  <c r="CR34" i="7"/>
  <c r="CT34" i="7"/>
  <c r="CU34" i="7"/>
  <c r="CQ35" i="7"/>
  <c r="CR35" i="7"/>
  <c r="CT35" i="7"/>
  <c r="CU35" i="7"/>
  <c r="CQ36" i="7"/>
  <c r="CR36" i="7"/>
  <c r="CT36" i="7"/>
  <c r="CU36" i="7"/>
  <c r="CQ37" i="7"/>
  <c r="CR37" i="7"/>
  <c r="CT37" i="7"/>
  <c r="CU37" i="7"/>
  <c r="CQ38" i="7"/>
  <c r="CR38" i="7"/>
  <c r="CT38" i="7"/>
  <c r="CU38" i="7"/>
  <c r="CQ39" i="7"/>
  <c r="CR39" i="7"/>
  <c r="CT39" i="7"/>
  <c r="CU39" i="7"/>
  <c r="CQ40" i="7"/>
  <c r="CR40" i="7"/>
  <c r="CT40" i="7"/>
  <c r="CU40" i="7"/>
  <c r="CQ41" i="7"/>
  <c r="CR41" i="7"/>
  <c r="CT41" i="7"/>
  <c r="CU41" i="7"/>
  <c r="CQ42" i="7"/>
  <c r="CR42" i="7"/>
  <c r="CT42" i="7"/>
  <c r="CU42" i="7"/>
  <c r="CQ43" i="7"/>
  <c r="CR43" i="7"/>
  <c r="CT43" i="7"/>
  <c r="CU43" i="7"/>
  <c r="CQ44" i="7"/>
  <c r="CR44" i="7"/>
  <c r="CT44" i="7"/>
  <c r="CU44" i="7"/>
  <c r="CQ45" i="7"/>
  <c r="CR45" i="7"/>
  <c r="CT45" i="7"/>
  <c r="CU45" i="7"/>
  <c r="CQ46" i="7"/>
  <c r="CR46" i="7"/>
  <c r="CT46" i="7"/>
  <c r="CU46" i="7"/>
  <c r="DO28" i="7"/>
  <c r="DR28" i="7"/>
  <c r="DS28" i="7"/>
  <c r="DT28" i="7"/>
  <c r="DO33" i="7"/>
  <c r="DO29" i="7"/>
  <c r="DR33" i="7"/>
  <c r="DR29" i="7"/>
  <c r="DS33" i="7"/>
  <c r="DS29" i="7"/>
  <c r="DT33" i="7"/>
  <c r="DT29" i="7"/>
  <c r="DO34" i="7"/>
  <c r="DR34" i="7"/>
  <c r="DS34" i="7"/>
  <c r="DT34" i="7"/>
  <c r="DO35" i="7"/>
  <c r="DR35" i="7"/>
  <c r="DS35" i="7"/>
  <c r="DT35" i="7"/>
  <c r="DO36" i="7"/>
  <c r="DR36" i="7"/>
  <c r="DS36" i="7"/>
  <c r="DT36" i="7"/>
  <c r="DO37" i="7"/>
  <c r="DR37" i="7"/>
  <c r="DS37" i="7"/>
  <c r="DT37" i="7"/>
  <c r="DO38" i="7"/>
  <c r="DR38" i="7"/>
  <c r="DS38" i="7"/>
  <c r="DT38" i="7"/>
  <c r="DO39" i="7"/>
  <c r="DR39" i="7"/>
  <c r="DS39" i="7"/>
  <c r="DT39" i="7"/>
  <c r="DO40" i="7"/>
  <c r="DR40" i="7"/>
  <c r="DS40" i="7"/>
  <c r="DT40" i="7"/>
  <c r="DO41" i="7"/>
  <c r="DR41" i="7"/>
  <c r="DS41" i="7"/>
  <c r="DO42" i="7"/>
  <c r="DR42" i="7"/>
  <c r="DS42" i="7"/>
  <c r="DT42" i="7"/>
  <c r="DO43" i="7"/>
  <c r="DR43" i="7"/>
  <c r="DS43" i="7"/>
  <c r="DT43" i="7"/>
  <c r="DO44" i="7"/>
  <c r="DR44" i="7"/>
  <c r="DS44" i="7"/>
  <c r="DT44" i="7"/>
  <c r="DO45" i="7"/>
  <c r="DR45" i="7"/>
  <c r="DS45" i="7"/>
  <c r="DT45" i="7"/>
  <c r="DO46" i="7"/>
  <c r="DR46" i="7"/>
  <c r="DS46" i="7"/>
  <c r="DT46" i="7"/>
  <c r="DM34" i="7"/>
  <c r="DN34" i="7"/>
  <c r="DP34" i="7"/>
  <c r="DQ34" i="7"/>
  <c r="DM35" i="7"/>
  <c r="DN35" i="7"/>
  <c r="DP35" i="7"/>
  <c r="DQ35" i="7"/>
  <c r="DM36" i="7"/>
  <c r="DN36" i="7"/>
  <c r="DP36" i="7"/>
  <c r="DQ36" i="7"/>
  <c r="DM37" i="7"/>
  <c r="DN37" i="7"/>
  <c r="DP37" i="7"/>
  <c r="DQ37" i="7"/>
  <c r="DM38" i="7"/>
  <c r="DN38" i="7"/>
  <c r="DP38" i="7"/>
  <c r="DQ38" i="7"/>
  <c r="DM39" i="7"/>
  <c r="DN39" i="7"/>
  <c r="DP39" i="7"/>
  <c r="DQ39" i="7"/>
  <c r="DM40" i="7"/>
  <c r="DN40" i="7"/>
  <c r="DP40" i="7"/>
  <c r="DQ40" i="7"/>
  <c r="DM41" i="7"/>
  <c r="DN41" i="7"/>
  <c r="DP41" i="7"/>
  <c r="DQ41" i="7"/>
  <c r="DM42" i="7"/>
  <c r="DN42" i="7"/>
  <c r="DP42" i="7"/>
  <c r="DQ42" i="7"/>
  <c r="DM43" i="7"/>
  <c r="DN43" i="7"/>
  <c r="DP43" i="7"/>
  <c r="DQ43" i="7"/>
  <c r="DM44" i="7"/>
  <c r="DN44" i="7"/>
  <c r="DP44" i="7"/>
  <c r="DQ44" i="7"/>
  <c r="DM45" i="7"/>
  <c r="DN45" i="7"/>
  <c r="DP45" i="7"/>
  <c r="DQ45" i="7"/>
  <c r="DM46" i="7"/>
  <c r="DN46" i="7"/>
  <c r="DP46" i="7"/>
  <c r="DQ46" i="7"/>
  <c r="CH28" i="7"/>
  <c r="CK28" i="7"/>
  <c r="CH33" i="7"/>
  <c r="CH29" i="7"/>
  <c r="CK33" i="7"/>
  <c r="CK29" i="7"/>
  <c r="CH34" i="7"/>
  <c r="CK34" i="7"/>
  <c r="CH35" i="7"/>
  <c r="CK35" i="7"/>
  <c r="CH36" i="7"/>
  <c r="CK36" i="7"/>
  <c r="CH37" i="7"/>
  <c r="CK37" i="7"/>
  <c r="CH38" i="7"/>
  <c r="CK38" i="7"/>
  <c r="CH39" i="7"/>
  <c r="CK39" i="7"/>
  <c r="CH40" i="7"/>
  <c r="CK40" i="7"/>
  <c r="CH41" i="7"/>
  <c r="CK41" i="7"/>
  <c r="CH42" i="7"/>
  <c r="CK42" i="7"/>
  <c r="CH43" i="7"/>
  <c r="CK43" i="7"/>
  <c r="CH44" i="7"/>
  <c r="CK44" i="7"/>
  <c r="CH45" i="7"/>
  <c r="CK45" i="7"/>
  <c r="CH46" i="7"/>
  <c r="CK46" i="7"/>
  <c r="CF34" i="7"/>
  <c r="CG34" i="7"/>
  <c r="CI34" i="7"/>
  <c r="CJ34" i="7"/>
  <c r="CF35" i="7"/>
  <c r="CG35" i="7"/>
  <c r="CI35" i="7"/>
  <c r="CJ35" i="7"/>
  <c r="CF36" i="7"/>
  <c r="CG36" i="7"/>
  <c r="CI36" i="7"/>
  <c r="CJ36" i="7"/>
  <c r="CF37" i="7"/>
  <c r="CG37" i="7"/>
  <c r="CI37" i="7"/>
  <c r="CJ37" i="7"/>
  <c r="CF38" i="7"/>
  <c r="CG38" i="7"/>
  <c r="CI38" i="7"/>
  <c r="CJ38" i="7"/>
  <c r="CF39" i="7"/>
  <c r="CG39" i="7"/>
  <c r="CI39" i="7"/>
  <c r="CJ39" i="7"/>
  <c r="CF40" i="7"/>
  <c r="CG40" i="7"/>
  <c r="CI40" i="7"/>
  <c r="CJ40" i="7"/>
  <c r="CF41" i="7"/>
  <c r="CG41" i="7"/>
  <c r="CI41" i="7"/>
  <c r="CJ41" i="7"/>
  <c r="CF42" i="7"/>
  <c r="CG42" i="7"/>
  <c r="CI42" i="7"/>
  <c r="CJ42" i="7"/>
  <c r="CF43" i="7"/>
  <c r="CG43" i="7"/>
  <c r="CI43" i="7"/>
  <c r="CJ43" i="7"/>
  <c r="CF44" i="7"/>
  <c r="CG44" i="7"/>
  <c r="CI44" i="7"/>
  <c r="CJ44" i="7"/>
  <c r="CF45" i="7"/>
  <c r="CG45" i="7"/>
  <c r="CI45" i="7"/>
  <c r="CJ45" i="7"/>
  <c r="CF46" i="7"/>
  <c r="CG46" i="7"/>
  <c r="CI46" i="7"/>
  <c r="CJ46" i="7"/>
  <c r="DD28" i="7"/>
  <c r="DG28" i="7"/>
  <c r="DH28" i="7"/>
  <c r="DI28" i="7"/>
  <c r="DD33" i="7"/>
  <c r="DD29" i="7"/>
  <c r="DG33" i="7"/>
  <c r="DG29" i="7"/>
  <c r="DH33" i="7"/>
  <c r="DH29" i="7"/>
  <c r="DI33" i="7"/>
  <c r="DI29" i="7"/>
  <c r="DD34" i="7"/>
  <c r="DG34" i="7"/>
  <c r="DH34" i="7"/>
  <c r="DI34" i="7"/>
  <c r="DD35" i="7"/>
  <c r="DG35" i="7"/>
  <c r="DH35" i="7"/>
  <c r="DI35" i="7"/>
  <c r="DD36" i="7"/>
  <c r="DG36" i="7"/>
  <c r="DH36" i="7"/>
  <c r="DI36" i="7"/>
  <c r="DD37" i="7"/>
  <c r="DG37" i="7"/>
  <c r="DH37" i="7"/>
  <c r="DI37" i="7"/>
  <c r="DD38" i="7"/>
  <c r="DG38" i="7"/>
  <c r="DH38" i="7"/>
  <c r="DI38" i="7"/>
  <c r="DD39" i="7"/>
  <c r="DG39" i="7"/>
  <c r="DH39" i="7"/>
  <c r="DI39" i="7"/>
  <c r="DD40" i="7"/>
  <c r="DG40" i="7"/>
  <c r="DH40" i="7"/>
  <c r="DI40" i="7"/>
  <c r="DD41" i="7"/>
  <c r="DG41" i="7"/>
  <c r="DH41" i="7"/>
  <c r="DD42" i="7"/>
  <c r="DG42" i="7"/>
  <c r="DH42" i="7"/>
  <c r="DI42" i="7"/>
  <c r="DD43" i="7"/>
  <c r="DG43" i="7"/>
  <c r="DH43" i="7"/>
  <c r="DI43" i="7"/>
  <c r="DD44" i="7"/>
  <c r="DG44" i="7"/>
  <c r="DH44" i="7"/>
  <c r="DI44" i="7"/>
  <c r="DD45" i="7"/>
  <c r="DG45" i="7"/>
  <c r="DH45" i="7"/>
  <c r="DI45" i="7"/>
  <c r="DD46" i="7"/>
  <c r="DG46" i="7"/>
  <c r="DH46" i="7"/>
  <c r="DI46" i="7"/>
  <c r="DB34" i="7"/>
  <c r="DC34" i="7"/>
  <c r="DE34" i="7"/>
  <c r="DF34" i="7"/>
  <c r="DB35" i="7"/>
  <c r="DC35" i="7"/>
  <c r="DE35" i="7"/>
  <c r="DF35" i="7"/>
  <c r="DB36" i="7"/>
  <c r="DC36" i="7"/>
  <c r="DE36" i="7"/>
  <c r="DF36" i="7"/>
  <c r="DB37" i="7"/>
  <c r="DC37" i="7"/>
  <c r="DE37" i="7"/>
  <c r="DF37" i="7"/>
  <c r="DB38" i="7"/>
  <c r="DC38" i="7"/>
  <c r="DE38" i="7"/>
  <c r="DF38" i="7"/>
  <c r="DB39" i="7"/>
  <c r="DC39" i="7"/>
  <c r="DE39" i="7"/>
  <c r="DF39" i="7"/>
  <c r="DB40" i="7"/>
  <c r="DC40" i="7"/>
  <c r="DE40" i="7"/>
  <c r="DF40" i="7"/>
  <c r="DB41" i="7"/>
  <c r="DC41" i="7"/>
  <c r="DE41" i="7"/>
  <c r="DF41" i="7"/>
  <c r="DB42" i="7"/>
  <c r="DC42" i="7"/>
  <c r="DE42" i="7"/>
  <c r="DF42" i="7"/>
  <c r="DB43" i="7"/>
  <c r="DC43" i="7"/>
  <c r="DE43" i="7"/>
  <c r="DF43" i="7"/>
  <c r="DB44" i="7"/>
  <c r="DC44" i="7"/>
  <c r="DE44" i="7"/>
  <c r="DF44" i="7"/>
  <c r="DB45" i="7"/>
  <c r="DC45" i="7"/>
  <c r="DE45" i="7"/>
  <c r="DF45" i="7"/>
  <c r="DB46" i="7"/>
  <c r="DC46" i="7"/>
  <c r="DE46" i="7"/>
  <c r="DF46" i="7"/>
  <c r="Y4" i="7"/>
  <c r="B2" i="8"/>
  <c r="Y5" i="7"/>
  <c r="B3" i="8"/>
  <c r="Y6" i="7"/>
  <c r="B4" i="8"/>
  <c r="Y7" i="7"/>
  <c r="B5" i="8"/>
  <c r="Y8" i="7"/>
  <c r="B6" i="8"/>
  <c r="Y9" i="7"/>
  <c r="B7" i="8"/>
  <c r="Y10" i="7"/>
  <c r="B8" i="8"/>
  <c r="Y11" i="7"/>
  <c r="B9" i="8"/>
  <c r="Y12" i="7"/>
  <c r="B10" i="8"/>
  <c r="Y14" i="7"/>
  <c r="B11" i="8"/>
  <c r="Y15" i="7"/>
  <c r="B12" i="8"/>
  <c r="Y17" i="7"/>
  <c r="B13" i="8"/>
  <c r="Y18" i="7"/>
  <c r="B14" i="8"/>
  <c r="Y19" i="7"/>
  <c r="B15" i="8"/>
  <c r="Y20" i="7"/>
  <c r="Y21" i="7"/>
  <c r="Y46" i="7"/>
  <c r="Y45" i="7"/>
  <c r="Y44" i="7"/>
  <c r="Y43" i="7"/>
  <c r="Y42" i="7"/>
  <c r="Y40" i="7"/>
  <c r="Y39" i="7"/>
  <c r="Y38" i="7"/>
  <c r="Y37" i="7"/>
  <c r="Y36" i="7"/>
  <c r="Y35" i="7"/>
  <c r="Y34" i="7"/>
  <c r="Y28" i="7"/>
  <c r="X28" i="7"/>
  <c r="X34" i="7"/>
  <c r="X35" i="7"/>
  <c r="X36" i="7"/>
  <c r="X37" i="7"/>
  <c r="X38" i="7"/>
  <c r="X39" i="7"/>
  <c r="X40" i="7"/>
  <c r="X42" i="7"/>
  <c r="X43" i="7"/>
  <c r="X44" i="7"/>
  <c r="X45" i="7"/>
  <c r="X46" i="7"/>
  <c r="X41" i="7"/>
  <c r="Y22" i="7"/>
  <c r="DT4" i="7"/>
  <c r="N2" i="8"/>
  <c r="DI4" i="7"/>
  <c r="M2" i="8"/>
  <c r="DI5" i="7"/>
  <c r="M3" i="8"/>
  <c r="DT5" i="7"/>
  <c r="N3" i="8"/>
  <c r="DI6" i="7"/>
  <c r="M4" i="8"/>
  <c r="DT6" i="7"/>
  <c r="N4" i="8"/>
  <c r="DI7" i="7"/>
  <c r="M5" i="8"/>
  <c r="DT7" i="7"/>
  <c r="N5" i="8"/>
  <c r="DI8" i="7"/>
  <c r="M6" i="8"/>
  <c r="DT8" i="7"/>
  <c r="N6" i="8"/>
  <c r="DI9" i="7"/>
  <c r="M7" i="8"/>
  <c r="DT9" i="7"/>
  <c r="N7" i="8"/>
  <c r="DI10" i="7"/>
  <c r="M8" i="8"/>
  <c r="DT10" i="7"/>
  <c r="N8" i="8"/>
  <c r="DI11" i="7"/>
  <c r="M9" i="8"/>
  <c r="DT11" i="7"/>
  <c r="N9" i="8"/>
  <c r="DI12" i="7"/>
  <c r="M10" i="8"/>
  <c r="DT12" i="7"/>
  <c r="N10" i="8"/>
  <c r="DI14" i="7"/>
  <c r="M11" i="8"/>
  <c r="DT14" i="7"/>
  <c r="N11" i="8"/>
  <c r="DI15" i="7"/>
  <c r="M12" i="8"/>
  <c r="DT15" i="7"/>
  <c r="N12" i="8"/>
  <c r="DI17" i="7"/>
  <c r="M13" i="8"/>
  <c r="DT17" i="7"/>
  <c r="N13" i="8"/>
  <c r="DI18" i="7"/>
  <c r="M14" i="8"/>
  <c r="DT18" i="7"/>
  <c r="N14" i="8"/>
  <c r="DI19" i="7"/>
  <c r="M15" i="8"/>
  <c r="DT19" i="7"/>
  <c r="N15" i="8"/>
  <c r="DI20" i="7"/>
  <c r="DI21" i="7"/>
  <c r="DT20" i="7"/>
  <c r="DT21" i="7"/>
  <c r="DI22" i="7"/>
  <c r="DT22" i="7"/>
  <c r="BL28" i="7"/>
  <c r="BO28" i="7"/>
  <c r="BL33" i="7"/>
  <c r="BL29" i="7"/>
  <c r="BO33" i="7"/>
  <c r="BO29" i="7"/>
  <c r="BJ34" i="7"/>
  <c r="BK34" i="7"/>
  <c r="BL34" i="7"/>
  <c r="BM34" i="7"/>
  <c r="BN34" i="7"/>
  <c r="BO34" i="7"/>
  <c r="BJ35" i="7"/>
  <c r="BK35" i="7"/>
  <c r="BL35" i="7"/>
  <c r="BM35" i="7"/>
  <c r="BN35" i="7"/>
  <c r="BO35" i="7"/>
  <c r="BJ36" i="7"/>
  <c r="BK36" i="7"/>
  <c r="BL36" i="7"/>
  <c r="BM36" i="7"/>
  <c r="BN36" i="7"/>
  <c r="BO36" i="7"/>
  <c r="BJ37" i="7"/>
  <c r="BK37" i="7"/>
  <c r="BL37" i="7"/>
  <c r="BM37" i="7"/>
  <c r="BN37" i="7"/>
  <c r="BO37" i="7"/>
  <c r="BJ38" i="7"/>
  <c r="BK38" i="7"/>
  <c r="BL38" i="7"/>
  <c r="BM38" i="7"/>
  <c r="BN38" i="7"/>
  <c r="BO38" i="7"/>
  <c r="BJ39" i="7"/>
  <c r="BK39" i="7"/>
  <c r="BL39" i="7"/>
  <c r="BM39" i="7"/>
  <c r="BN39" i="7"/>
  <c r="BO39" i="7"/>
  <c r="BJ40" i="7"/>
  <c r="BK40" i="7"/>
  <c r="BL40" i="7"/>
  <c r="BM40" i="7"/>
  <c r="BN40" i="7"/>
  <c r="BO40" i="7"/>
  <c r="BJ41" i="7"/>
  <c r="BK41" i="7"/>
  <c r="BL41" i="7"/>
  <c r="BM41" i="7"/>
  <c r="BN41" i="7"/>
  <c r="BO41" i="7"/>
  <c r="BJ42" i="7"/>
  <c r="BK42" i="7"/>
  <c r="BL42" i="7"/>
  <c r="BM42" i="7"/>
  <c r="BN42" i="7"/>
  <c r="BO42" i="7"/>
  <c r="BJ43" i="7"/>
  <c r="BK43" i="7"/>
  <c r="BL43" i="7"/>
  <c r="BM43" i="7"/>
  <c r="BN43" i="7"/>
  <c r="BO43" i="7"/>
  <c r="BJ44" i="7"/>
  <c r="BK44" i="7"/>
  <c r="BL44" i="7"/>
  <c r="BM44" i="7"/>
  <c r="BN44" i="7"/>
  <c r="BO44" i="7"/>
  <c r="BJ45" i="7"/>
  <c r="BK45" i="7"/>
  <c r="BL45" i="7"/>
  <c r="BM45" i="7"/>
  <c r="BN45" i="7"/>
  <c r="BO45" i="7"/>
  <c r="BJ46" i="7"/>
  <c r="BK46" i="7"/>
  <c r="BL46" i="7"/>
  <c r="BM46" i="7"/>
  <c r="BN46" i="7"/>
  <c r="BO46" i="7"/>
  <c r="X33" i="7"/>
  <c r="X29" i="7"/>
  <c r="Y33" i="7"/>
  <c r="Y29" i="7"/>
  <c r="R33" i="7"/>
  <c r="R29" i="7"/>
  <c r="S33" i="7"/>
  <c r="S29" i="7"/>
  <c r="T33" i="7"/>
  <c r="T29" i="7"/>
  <c r="W33" i="7"/>
  <c r="W29" i="7"/>
  <c r="BA33" i="7"/>
  <c r="BA29" i="7"/>
  <c r="BD33" i="7"/>
  <c r="BD29" i="7"/>
  <c r="BA34" i="7"/>
  <c r="BD34" i="7"/>
  <c r="BA35" i="7"/>
  <c r="BD35" i="7"/>
  <c r="BA36" i="7"/>
  <c r="BD36" i="7"/>
  <c r="BA37" i="7"/>
  <c r="BD37" i="7"/>
  <c r="BA38" i="7"/>
  <c r="BD38" i="7"/>
  <c r="BA39" i="7"/>
  <c r="BD39" i="7"/>
  <c r="BA40" i="7"/>
  <c r="BD40" i="7"/>
  <c r="BA41" i="7"/>
  <c r="BD41" i="7"/>
  <c r="BA42" i="7"/>
  <c r="BD42" i="7"/>
  <c r="BA43" i="7"/>
  <c r="BD43" i="7"/>
  <c r="BA44" i="7"/>
  <c r="BD44" i="7"/>
  <c r="BA45" i="7"/>
  <c r="BD45" i="7"/>
  <c r="BA46" i="7"/>
  <c r="BD46" i="7"/>
  <c r="BA28" i="7"/>
  <c r="BD28" i="7"/>
  <c r="AY34" i="7"/>
  <c r="AZ34" i="7"/>
  <c r="BB34" i="7"/>
  <c r="BC34" i="7"/>
  <c r="AY35" i="7"/>
  <c r="AZ35" i="7"/>
  <c r="BB35" i="7"/>
  <c r="BC35" i="7"/>
  <c r="AY36" i="7"/>
  <c r="AZ36" i="7"/>
  <c r="BB36" i="7"/>
  <c r="BC36" i="7"/>
  <c r="AY37" i="7"/>
  <c r="AZ37" i="7"/>
  <c r="BB37" i="7"/>
  <c r="BC37" i="7"/>
  <c r="AY38" i="7"/>
  <c r="AZ38" i="7"/>
  <c r="BB38" i="7"/>
  <c r="BC38" i="7"/>
  <c r="AY39" i="7"/>
  <c r="AZ39" i="7"/>
  <c r="BB39" i="7"/>
  <c r="BC39" i="7"/>
  <c r="AY40" i="7"/>
  <c r="AZ40" i="7"/>
  <c r="BB40" i="7"/>
  <c r="BC40" i="7"/>
  <c r="AY41" i="7"/>
  <c r="AZ41" i="7"/>
  <c r="BB41" i="7"/>
  <c r="BC41" i="7"/>
  <c r="AY42" i="7"/>
  <c r="AZ42" i="7"/>
  <c r="BB42" i="7"/>
  <c r="BC42" i="7"/>
  <c r="AY43" i="7"/>
  <c r="AZ43" i="7"/>
  <c r="BB43" i="7"/>
  <c r="BC43" i="7"/>
  <c r="AY44" i="7"/>
  <c r="AZ44" i="7"/>
  <c r="BB44" i="7"/>
  <c r="BC44" i="7"/>
  <c r="AY45" i="7"/>
  <c r="AZ45" i="7"/>
  <c r="BB45" i="7"/>
  <c r="BC45" i="7"/>
  <c r="AY46" i="7"/>
  <c r="AZ46" i="7"/>
  <c r="BB46" i="7"/>
  <c r="BC46" i="7"/>
  <c r="AZ28" i="7"/>
  <c r="AZ30" i="7"/>
  <c r="AY28" i="7"/>
  <c r="AY30" i="7"/>
  <c r="BB28" i="7"/>
  <c r="BB30" i="7"/>
  <c r="BC28" i="7"/>
  <c r="BC30" i="7"/>
  <c r="BW33" i="7"/>
  <c r="BW29" i="7"/>
  <c r="BZ33" i="7"/>
  <c r="BZ29" i="7"/>
  <c r="BW34" i="7"/>
  <c r="BZ34" i="7"/>
  <c r="BW35" i="7"/>
  <c r="BZ35" i="7"/>
  <c r="BW36" i="7"/>
  <c r="BZ36" i="7"/>
  <c r="BW37" i="7"/>
  <c r="BZ37" i="7"/>
  <c r="BW38" i="7"/>
  <c r="BZ38" i="7"/>
  <c r="BW39" i="7"/>
  <c r="BZ39" i="7"/>
  <c r="BW40" i="7"/>
  <c r="BZ40" i="7"/>
  <c r="BW41" i="7"/>
  <c r="BZ41" i="7"/>
  <c r="BW42" i="7"/>
  <c r="BZ42" i="7"/>
  <c r="BW43" i="7"/>
  <c r="BZ43" i="7"/>
  <c r="BW44" i="7"/>
  <c r="BZ44" i="7"/>
  <c r="BW45" i="7"/>
  <c r="BZ45" i="7"/>
  <c r="BW46" i="7"/>
  <c r="BZ46" i="7"/>
  <c r="BW24" i="7"/>
  <c r="CA22" i="7"/>
  <c r="CA4" i="7"/>
  <c r="CA5" i="7"/>
  <c r="CA6" i="7"/>
  <c r="CA7" i="7"/>
  <c r="CA8" i="7"/>
  <c r="CA9" i="7"/>
  <c r="CA10" i="7"/>
  <c r="CA11" i="7"/>
  <c r="CA12" i="7"/>
  <c r="CA13" i="7"/>
  <c r="CA14" i="7"/>
  <c r="CA15" i="7"/>
  <c r="CA16" i="7"/>
  <c r="CA17" i="7"/>
  <c r="CA18" i="7"/>
  <c r="CA19" i="7"/>
  <c r="CA20" i="7"/>
  <c r="CA21" i="7"/>
  <c r="CA23" i="7"/>
  <c r="CB22" i="7"/>
  <c r="CB4" i="7"/>
  <c r="CB5" i="7"/>
  <c r="CB6" i="7"/>
  <c r="CB7" i="7"/>
  <c r="CB8" i="7"/>
  <c r="CB9" i="7"/>
  <c r="CB10" i="7"/>
  <c r="CB11" i="7"/>
  <c r="CB12" i="7"/>
  <c r="CB13" i="7"/>
  <c r="CB14" i="7"/>
  <c r="CB15" i="7"/>
  <c r="CB16" i="7"/>
  <c r="CB17" i="7"/>
  <c r="CB18" i="7"/>
  <c r="CB19" i="7"/>
  <c r="CB20" i="7"/>
  <c r="CB21" i="7"/>
  <c r="CB23" i="7"/>
  <c r="CB26" i="7"/>
  <c r="BC33" i="7"/>
  <c r="BC32" i="7"/>
  <c r="BB33" i="7"/>
  <c r="BB32" i="7"/>
  <c r="AZ33" i="7"/>
  <c r="AZ32" i="7"/>
  <c r="AY33" i="7"/>
  <c r="AY32" i="7"/>
  <c r="BA24" i="7"/>
  <c r="BE22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3" i="7"/>
  <c r="BF22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3" i="7"/>
  <c r="BF26" i="7"/>
  <c r="Y23" i="7"/>
  <c r="Y41" i="7"/>
  <c r="AE24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J4" i="7"/>
  <c r="E2" i="8"/>
  <c r="AP24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U4" i="7"/>
  <c r="F2" i="8"/>
  <c r="CS24" i="7"/>
  <c r="CW4" i="7"/>
  <c r="CW5" i="7"/>
  <c r="CW6" i="7"/>
  <c r="CW7" i="7"/>
  <c r="CW8" i="7"/>
  <c r="CW9" i="7"/>
  <c r="CW10" i="7"/>
  <c r="CW11" i="7"/>
  <c r="CW12" i="7"/>
  <c r="CW13" i="7"/>
  <c r="CW14" i="7"/>
  <c r="CW15" i="7"/>
  <c r="CW16" i="7"/>
  <c r="CW17" i="7"/>
  <c r="CW18" i="7"/>
  <c r="CW19" i="7"/>
  <c r="CW20" i="7"/>
  <c r="CW21" i="7"/>
  <c r="CW22" i="7"/>
  <c r="CW23" i="7"/>
  <c r="CX4" i="7"/>
  <c r="L2" i="8"/>
  <c r="AJ5" i="7"/>
  <c r="E3" i="8"/>
  <c r="AU5" i="7"/>
  <c r="F3" i="8"/>
  <c r="CX5" i="7"/>
  <c r="L3" i="8"/>
  <c r="AJ6" i="7"/>
  <c r="E4" i="8"/>
  <c r="AU6" i="7"/>
  <c r="F4" i="8"/>
  <c r="CX6" i="7"/>
  <c r="L4" i="8"/>
  <c r="AJ7" i="7"/>
  <c r="E5" i="8"/>
  <c r="AU7" i="7"/>
  <c r="F5" i="8"/>
  <c r="CX7" i="7"/>
  <c r="L5" i="8"/>
  <c r="AJ8" i="7"/>
  <c r="E6" i="8"/>
  <c r="AU8" i="7"/>
  <c r="F6" i="8"/>
  <c r="CX8" i="7"/>
  <c r="L6" i="8"/>
  <c r="AJ9" i="7"/>
  <c r="E7" i="8"/>
  <c r="AU9" i="7"/>
  <c r="F7" i="8"/>
  <c r="CX9" i="7"/>
  <c r="L7" i="8"/>
  <c r="AJ10" i="7"/>
  <c r="E8" i="8"/>
  <c r="AU10" i="7"/>
  <c r="F8" i="8"/>
  <c r="CX10" i="7"/>
  <c r="L8" i="8"/>
  <c r="AJ11" i="7"/>
  <c r="E9" i="8"/>
  <c r="AU11" i="7"/>
  <c r="F9" i="8"/>
  <c r="CX11" i="7"/>
  <c r="L9" i="8"/>
  <c r="AJ12" i="7"/>
  <c r="E10" i="8"/>
  <c r="AU12" i="7"/>
  <c r="F10" i="8"/>
  <c r="CX12" i="7"/>
  <c r="L10" i="8"/>
  <c r="AJ14" i="7"/>
  <c r="E11" i="8"/>
  <c r="AU14" i="7"/>
  <c r="F11" i="8"/>
  <c r="CX14" i="7"/>
  <c r="L11" i="8"/>
  <c r="AJ15" i="7"/>
  <c r="E12" i="8"/>
  <c r="AU15" i="7"/>
  <c r="F12" i="8"/>
  <c r="CX15" i="7"/>
  <c r="L12" i="8"/>
  <c r="AJ17" i="7"/>
  <c r="E13" i="8"/>
  <c r="AU17" i="7"/>
  <c r="F13" i="8"/>
  <c r="CX17" i="7"/>
  <c r="L13" i="8"/>
  <c r="AJ18" i="7"/>
  <c r="E14" i="8"/>
  <c r="AU18" i="7"/>
  <c r="F14" i="8"/>
  <c r="CX18" i="7"/>
  <c r="L14" i="8"/>
  <c r="AJ19" i="7"/>
  <c r="E15" i="8"/>
  <c r="AU19" i="7"/>
  <c r="F15" i="8"/>
  <c r="CX19" i="7"/>
  <c r="L15" i="8"/>
  <c r="CH24" i="7"/>
  <c r="CL4" i="7"/>
  <c r="CL5" i="7"/>
  <c r="CL6" i="7"/>
  <c r="CL7" i="7"/>
  <c r="CL8" i="7"/>
  <c r="CL9" i="7"/>
  <c r="CL10" i="7"/>
  <c r="CL11" i="7"/>
  <c r="CL12" i="7"/>
  <c r="CL13" i="7"/>
  <c r="CL14" i="7"/>
  <c r="CL15" i="7"/>
  <c r="CL16" i="7"/>
  <c r="CL17" i="7"/>
  <c r="CL18" i="7"/>
  <c r="CL19" i="7"/>
  <c r="CL20" i="7"/>
  <c r="CL21" i="7"/>
  <c r="CL22" i="7"/>
  <c r="CL23" i="7"/>
  <c r="CM4" i="7"/>
  <c r="I2" i="8"/>
  <c r="CM5" i="7"/>
  <c r="I3" i="8"/>
  <c r="CM6" i="7"/>
  <c r="I4" i="8"/>
  <c r="CM7" i="7"/>
  <c r="I5" i="8"/>
  <c r="CM8" i="7"/>
  <c r="I6" i="8"/>
  <c r="CM9" i="7"/>
  <c r="I7" i="8"/>
  <c r="CM10" i="7"/>
  <c r="I8" i="8"/>
  <c r="CM11" i="7"/>
  <c r="I9" i="8"/>
  <c r="CM12" i="7"/>
  <c r="I10" i="8"/>
  <c r="CM14" i="7"/>
  <c r="I11" i="8"/>
  <c r="CM15" i="7"/>
  <c r="I12" i="8"/>
  <c r="CM17" i="7"/>
  <c r="I13" i="8"/>
  <c r="CM18" i="7"/>
  <c r="I14" i="8"/>
  <c r="CM19" i="7"/>
  <c r="I15" i="8"/>
  <c r="Y26" i="7"/>
  <c r="AJ22" i="7"/>
  <c r="AJ13" i="7"/>
  <c r="AJ16" i="7"/>
  <c r="AJ20" i="7"/>
  <c r="AJ21" i="7"/>
  <c r="AJ23" i="7"/>
  <c r="AJ26" i="7"/>
  <c r="AU22" i="7"/>
  <c r="AU13" i="7"/>
  <c r="AU16" i="7"/>
  <c r="AU20" i="7"/>
  <c r="AU21" i="7"/>
  <c r="AU23" i="7"/>
  <c r="AU26" i="7"/>
  <c r="CM22" i="7"/>
  <c r="CM13" i="7"/>
  <c r="CM16" i="7"/>
  <c r="CM20" i="7"/>
  <c r="CM21" i="7"/>
  <c r="CM23" i="7"/>
  <c r="CM26" i="7"/>
  <c r="CX22" i="7"/>
  <c r="CX13" i="7"/>
  <c r="CX16" i="7"/>
  <c r="CX20" i="7"/>
  <c r="CX21" i="7"/>
  <c r="CX23" i="7"/>
  <c r="CX26" i="7"/>
  <c r="DI23" i="7"/>
  <c r="DI26" i="7"/>
  <c r="DT23" i="7"/>
  <c r="DT26" i="7"/>
  <c r="DT41" i="7"/>
  <c r="DI41" i="7"/>
  <c r="BL24" i="7"/>
  <c r="BP22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3" i="7"/>
  <c r="BQ22" i="7"/>
  <c r="BQ4" i="7"/>
  <c r="BQ5" i="7"/>
  <c r="BQ6" i="7"/>
  <c r="BQ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3" i="7"/>
  <c r="BQ26" i="7"/>
  <c r="BE30" i="7"/>
  <c r="BF30" i="7"/>
  <c r="BE32" i="7"/>
  <c r="BF32" i="7"/>
  <c r="Y30" i="7"/>
  <c r="U33" i="7"/>
  <c r="U32" i="7"/>
  <c r="V33" i="7"/>
  <c r="V32" i="7"/>
  <c r="Y32" i="7"/>
  <c r="AI30" i="7"/>
  <c r="AJ30" i="7"/>
  <c r="AC33" i="7"/>
  <c r="AC32" i="7"/>
  <c r="AD33" i="7"/>
  <c r="AD32" i="7"/>
  <c r="AF33" i="7"/>
  <c r="AF32" i="7"/>
  <c r="AG33" i="7"/>
  <c r="AG32" i="7"/>
  <c r="AI32" i="7"/>
  <c r="AJ32" i="7"/>
  <c r="AT30" i="7"/>
  <c r="AU30" i="7"/>
  <c r="AN33" i="7"/>
  <c r="AN32" i="7"/>
  <c r="AO33" i="7"/>
  <c r="AO32" i="7"/>
  <c r="AQ33" i="7"/>
  <c r="AQ32" i="7"/>
  <c r="AR33" i="7"/>
  <c r="AR32" i="7"/>
  <c r="AT32" i="7"/>
  <c r="AU32" i="7"/>
  <c r="BP30" i="7"/>
  <c r="BQ30" i="7"/>
  <c r="BJ33" i="7"/>
  <c r="BJ32" i="7"/>
  <c r="BK33" i="7"/>
  <c r="BK32" i="7"/>
  <c r="BM33" i="7"/>
  <c r="BM32" i="7"/>
  <c r="BN33" i="7"/>
  <c r="BN32" i="7"/>
  <c r="BP32" i="7"/>
  <c r="BQ32" i="7"/>
  <c r="CA30" i="7"/>
  <c r="CB30" i="7"/>
  <c r="BU33" i="7"/>
  <c r="BU32" i="7"/>
  <c r="BV33" i="7"/>
  <c r="BV32" i="7"/>
  <c r="BX33" i="7"/>
  <c r="BX32" i="7"/>
  <c r="BY33" i="7"/>
  <c r="BY32" i="7"/>
  <c r="CA32" i="7"/>
  <c r="CB32" i="7"/>
  <c r="CL30" i="7"/>
  <c r="CM30" i="7"/>
  <c r="CF33" i="7"/>
  <c r="CF32" i="7"/>
  <c r="CG33" i="7"/>
  <c r="CG32" i="7"/>
  <c r="CI33" i="7"/>
  <c r="CI32" i="7"/>
  <c r="CJ33" i="7"/>
  <c r="CJ32" i="7"/>
  <c r="CL32" i="7"/>
  <c r="CM32" i="7"/>
  <c r="CW30" i="7"/>
  <c r="CX30" i="7"/>
  <c r="CQ33" i="7"/>
  <c r="CQ32" i="7"/>
  <c r="CR33" i="7"/>
  <c r="CR32" i="7"/>
  <c r="CT33" i="7"/>
  <c r="CT32" i="7"/>
  <c r="CU33" i="7"/>
  <c r="CU32" i="7"/>
  <c r="CW32" i="7"/>
  <c r="CX32" i="7"/>
  <c r="DI30" i="7"/>
  <c r="DB33" i="7"/>
  <c r="DB32" i="7"/>
  <c r="DC33" i="7"/>
  <c r="DC32" i="7"/>
  <c r="DE33" i="7"/>
  <c r="DE32" i="7"/>
  <c r="DF33" i="7"/>
  <c r="DF32" i="7"/>
  <c r="DI32" i="7"/>
  <c r="DT30" i="7"/>
  <c r="DM33" i="7"/>
  <c r="DM32" i="7"/>
  <c r="DN33" i="7"/>
  <c r="DN32" i="7"/>
  <c r="DP33" i="7"/>
  <c r="DP32" i="7"/>
  <c r="DQ33" i="7"/>
  <c r="DQ32" i="7"/>
  <c r="DT32" i="7"/>
  <c r="U29" i="7"/>
  <c r="U31" i="7"/>
  <c r="V29" i="7"/>
  <c r="V31" i="7"/>
  <c r="Y31" i="7"/>
  <c r="AC29" i="7"/>
  <c r="AC31" i="7"/>
  <c r="AD29" i="7"/>
  <c r="AD31" i="7"/>
  <c r="AF29" i="7"/>
  <c r="AF31" i="7"/>
  <c r="AG29" i="7"/>
  <c r="AG31" i="7"/>
  <c r="AI31" i="7"/>
  <c r="AJ31" i="7"/>
  <c r="AN29" i="7"/>
  <c r="AN31" i="7"/>
  <c r="AO29" i="7"/>
  <c r="AO31" i="7"/>
  <c r="AQ29" i="7"/>
  <c r="AQ31" i="7"/>
  <c r="AR29" i="7"/>
  <c r="AR31" i="7"/>
  <c r="AT31" i="7"/>
  <c r="AU31" i="7"/>
  <c r="AY29" i="7"/>
  <c r="AY31" i="7"/>
  <c r="AZ29" i="7"/>
  <c r="AZ31" i="7"/>
  <c r="BB29" i="7"/>
  <c r="BB31" i="7"/>
  <c r="BC29" i="7"/>
  <c r="BC31" i="7"/>
  <c r="BE31" i="7"/>
  <c r="BF31" i="7"/>
  <c r="BJ29" i="7"/>
  <c r="BJ31" i="7"/>
  <c r="BK29" i="7"/>
  <c r="BK31" i="7"/>
  <c r="BM29" i="7"/>
  <c r="BM31" i="7"/>
  <c r="BN29" i="7"/>
  <c r="BN31" i="7"/>
  <c r="BP31" i="7"/>
  <c r="BQ31" i="7"/>
  <c r="BU29" i="7"/>
  <c r="BU31" i="7"/>
  <c r="BV29" i="7"/>
  <c r="BV31" i="7"/>
  <c r="BX29" i="7"/>
  <c r="BX31" i="7"/>
  <c r="BY29" i="7"/>
  <c r="BY31" i="7"/>
  <c r="CA31" i="7"/>
  <c r="CB31" i="7"/>
  <c r="CF29" i="7"/>
  <c r="CF31" i="7"/>
  <c r="CG29" i="7"/>
  <c r="CG31" i="7"/>
  <c r="CI29" i="7"/>
  <c r="CI31" i="7"/>
  <c r="CJ29" i="7"/>
  <c r="CJ31" i="7"/>
  <c r="CL31" i="7"/>
  <c r="CM31" i="7"/>
  <c r="CQ29" i="7"/>
  <c r="CQ31" i="7"/>
  <c r="CR29" i="7"/>
  <c r="CR31" i="7"/>
  <c r="CT29" i="7"/>
  <c r="CT31" i="7"/>
  <c r="CU29" i="7"/>
  <c r="CU31" i="7"/>
  <c r="CW31" i="7"/>
  <c r="CX31" i="7"/>
  <c r="DB29" i="7"/>
  <c r="DB31" i="7"/>
  <c r="DC29" i="7"/>
  <c r="DC31" i="7"/>
  <c r="DE29" i="7"/>
  <c r="DE31" i="7"/>
  <c r="DF29" i="7"/>
  <c r="DF31" i="7"/>
  <c r="DI31" i="7"/>
  <c r="DM29" i="7"/>
  <c r="DM31" i="7"/>
  <c r="DN29" i="7"/>
  <c r="DN31" i="7"/>
  <c r="DP29" i="7"/>
  <c r="DP31" i="7"/>
  <c r="DQ29" i="7"/>
  <c r="DQ31" i="7"/>
  <c r="DT31" i="7"/>
  <c r="AI28" i="7"/>
  <c r="AJ28" i="7"/>
  <c r="AI33" i="7"/>
  <c r="AI29" i="7"/>
  <c r="AJ33" i="7"/>
  <c r="AJ29" i="7"/>
  <c r="AI34" i="7"/>
  <c r="AJ34" i="7"/>
  <c r="AI35" i="7"/>
  <c r="AJ35" i="7"/>
  <c r="AI36" i="7"/>
  <c r="AJ36" i="7"/>
  <c r="AI37" i="7"/>
  <c r="AJ37" i="7"/>
  <c r="AI38" i="7"/>
  <c r="AJ38" i="7"/>
  <c r="AI39" i="7"/>
  <c r="AJ39" i="7"/>
  <c r="AI40" i="7"/>
  <c r="AJ40" i="7"/>
  <c r="AI41" i="7"/>
  <c r="AI42" i="7"/>
  <c r="AJ42" i="7"/>
  <c r="AI43" i="7"/>
  <c r="AJ43" i="7"/>
  <c r="AI44" i="7"/>
  <c r="AJ44" i="7"/>
  <c r="AI45" i="7"/>
  <c r="AJ45" i="7"/>
  <c r="AI46" i="7"/>
  <c r="AJ46" i="7"/>
  <c r="AT28" i="7"/>
  <c r="AU28" i="7"/>
  <c r="AT33" i="7"/>
  <c r="AT29" i="7"/>
  <c r="AU33" i="7"/>
  <c r="AU29" i="7"/>
  <c r="AT34" i="7"/>
  <c r="AU34" i="7"/>
  <c r="AT35" i="7"/>
  <c r="AU35" i="7"/>
  <c r="AT36" i="7"/>
  <c r="AU36" i="7"/>
  <c r="AT37" i="7"/>
  <c r="AU37" i="7"/>
  <c r="AT38" i="7"/>
  <c r="AU38" i="7"/>
  <c r="AT39" i="7"/>
  <c r="AU39" i="7"/>
  <c r="AT40" i="7"/>
  <c r="AU40" i="7"/>
  <c r="AT41" i="7"/>
  <c r="AU41" i="7"/>
  <c r="AT42" i="7"/>
  <c r="AU42" i="7"/>
  <c r="AT43" i="7"/>
  <c r="AU43" i="7"/>
  <c r="AT44" i="7"/>
  <c r="AU44" i="7"/>
  <c r="AT45" i="7"/>
  <c r="AU45" i="7"/>
  <c r="AT46" i="7"/>
  <c r="AU46" i="7"/>
  <c r="CW28" i="7"/>
  <c r="CX28" i="7"/>
  <c r="CW33" i="7"/>
  <c r="CW29" i="7"/>
  <c r="CX33" i="7"/>
  <c r="CX29" i="7"/>
  <c r="CW34" i="7"/>
  <c r="CX34" i="7"/>
  <c r="CW35" i="7"/>
  <c r="CX35" i="7"/>
  <c r="CW36" i="7"/>
  <c r="CX36" i="7"/>
  <c r="CW37" i="7"/>
  <c r="CX37" i="7"/>
  <c r="CW38" i="7"/>
  <c r="CX38" i="7"/>
  <c r="CW39" i="7"/>
  <c r="CX39" i="7"/>
  <c r="CW40" i="7"/>
  <c r="CX40" i="7"/>
  <c r="CW41" i="7"/>
  <c r="CX41" i="7"/>
  <c r="CW42" i="7"/>
  <c r="CX42" i="7"/>
  <c r="CW43" i="7"/>
  <c r="CX43" i="7"/>
  <c r="CW44" i="7"/>
  <c r="CX44" i="7"/>
  <c r="CW45" i="7"/>
  <c r="CX45" i="7"/>
  <c r="CW46" i="7"/>
  <c r="CX46" i="7"/>
  <c r="AJ41" i="7"/>
  <c r="CL28" i="7"/>
  <c r="CM28" i="7"/>
  <c r="CL33" i="7"/>
  <c r="CL29" i="7"/>
  <c r="CM33" i="7"/>
  <c r="CM29" i="7"/>
  <c r="CL34" i="7"/>
  <c r="CM34" i="7"/>
  <c r="CL35" i="7"/>
  <c r="CM35" i="7"/>
  <c r="CL36" i="7"/>
  <c r="CM36" i="7"/>
  <c r="CL37" i="7"/>
  <c r="CM37" i="7"/>
  <c r="CL38" i="7"/>
  <c r="CM38" i="7"/>
  <c r="CL39" i="7"/>
  <c r="CM39" i="7"/>
  <c r="CL40" i="7"/>
  <c r="CM40" i="7"/>
  <c r="CL41" i="7"/>
  <c r="CM41" i="7"/>
  <c r="CL42" i="7"/>
  <c r="CM42" i="7"/>
  <c r="CL43" i="7"/>
  <c r="CM43" i="7"/>
  <c r="CL44" i="7"/>
  <c r="CM44" i="7"/>
  <c r="CL45" i="7"/>
  <c r="CM45" i="7"/>
  <c r="CL46" i="7"/>
  <c r="CM46" i="7"/>
  <c r="BP28" i="7"/>
  <c r="BQ28" i="7"/>
  <c r="BP33" i="7"/>
  <c r="BP29" i="7"/>
  <c r="BQ33" i="7"/>
  <c r="BQ29" i="7"/>
  <c r="BP34" i="7"/>
  <c r="BQ34" i="7"/>
  <c r="BP35" i="7"/>
  <c r="BQ35" i="7"/>
  <c r="BP36" i="7"/>
  <c r="BQ36" i="7"/>
  <c r="BP37" i="7"/>
  <c r="BQ37" i="7"/>
  <c r="BP38" i="7"/>
  <c r="BQ38" i="7"/>
  <c r="BP39" i="7"/>
  <c r="BQ39" i="7"/>
  <c r="BP40" i="7"/>
  <c r="BQ40" i="7"/>
  <c r="BP41" i="7"/>
  <c r="BQ41" i="7"/>
  <c r="BP42" i="7"/>
  <c r="BQ42" i="7"/>
  <c r="BP43" i="7"/>
  <c r="BQ43" i="7"/>
  <c r="BP44" i="7"/>
  <c r="BQ44" i="7"/>
  <c r="BP45" i="7"/>
  <c r="BQ45" i="7"/>
  <c r="BP46" i="7"/>
  <c r="BQ46" i="7"/>
  <c r="BE28" i="7"/>
  <c r="BF28" i="7"/>
  <c r="BE33" i="7"/>
  <c r="BE29" i="7"/>
  <c r="BF33" i="7"/>
  <c r="BF29" i="7"/>
  <c r="BE34" i="7"/>
  <c r="BF34" i="7"/>
  <c r="BE35" i="7"/>
  <c r="BF35" i="7"/>
  <c r="BE36" i="7"/>
  <c r="BF36" i="7"/>
  <c r="BE37" i="7"/>
  <c r="BF37" i="7"/>
  <c r="BE38" i="7"/>
  <c r="BF38" i="7"/>
  <c r="BE39" i="7"/>
  <c r="BF39" i="7"/>
  <c r="BE40" i="7"/>
  <c r="BF40" i="7"/>
  <c r="BE41" i="7"/>
  <c r="BF41" i="7"/>
  <c r="BE42" i="7"/>
  <c r="BF42" i="7"/>
  <c r="BE43" i="7"/>
  <c r="BF43" i="7"/>
  <c r="BE44" i="7"/>
  <c r="BF44" i="7"/>
  <c r="BE45" i="7"/>
  <c r="BF45" i="7"/>
  <c r="BE46" i="7"/>
  <c r="BF46" i="7"/>
  <c r="CA28" i="7"/>
  <c r="CB28" i="7"/>
  <c r="CA33" i="7"/>
  <c r="CA29" i="7"/>
  <c r="CB33" i="7"/>
  <c r="CB29" i="7"/>
  <c r="CA34" i="7"/>
  <c r="CB34" i="7"/>
  <c r="CA35" i="7"/>
  <c r="CB35" i="7"/>
  <c r="CA36" i="7"/>
  <c r="CB36" i="7"/>
  <c r="CA37" i="7"/>
  <c r="CB37" i="7"/>
  <c r="CA38" i="7"/>
  <c r="CB38" i="7"/>
  <c r="CA39" i="7"/>
  <c r="CB39" i="7"/>
  <c r="CA40" i="7"/>
  <c r="CB40" i="7"/>
  <c r="CA41" i="7"/>
  <c r="CB41" i="7"/>
  <c r="CA42" i="7"/>
  <c r="CB42" i="7"/>
  <c r="CA43" i="7"/>
  <c r="CB43" i="7"/>
  <c r="CA44" i="7"/>
  <c r="CB44" i="7"/>
  <c r="CA45" i="7"/>
  <c r="CB45" i="7"/>
  <c r="CA46" i="7"/>
  <c r="CB46" i="7"/>
</calcChain>
</file>

<file path=xl/comments1.xml><?xml version="1.0" encoding="utf-8"?>
<comments xmlns="http://schemas.openxmlformats.org/spreadsheetml/2006/main">
  <authors>
    <author>Jorge</author>
    <author>Jorge Rodríguez Rodríguez</author>
  </authors>
  <commentList>
    <comment ref="P2" authorId="0">
      <text>
        <r>
          <rPr>
            <b/>
            <sz val="8"/>
            <color indexed="81"/>
            <rFont val="Tahoma"/>
            <family val="2"/>
          </rPr>
          <t>Special Group (remains unaltered)</t>
        </r>
      </text>
    </comment>
    <comment ref="Q2" authorId="0">
      <text>
        <r>
          <rPr>
            <b/>
            <sz val="8"/>
            <color indexed="81"/>
            <rFont val="Tahoma"/>
            <family val="2"/>
          </rPr>
          <t>Special Group (remains unaltered)
Reduced version</t>
        </r>
      </text>
    </comment>
    <comment ref="W2" authorId="1">
      <text>
        <r>
          <rPr>
            <b/>
            <sz val="8"/>
            <color indexed="81"/>
            <rFont val="Tahoma"/>
            <family val="2"/>
          </rPr>
          <t>Only for information, check the nitrogen source!!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" authorId="1">
      <text>
        <r>
          <rPr>
            <b/>
            <sz val="8"/>
            <color indexed="81"/>
            <rFont val="Tahoma"/>
            <family val="2"/>
          </rPr>
          <t>Calculated by group contribution
from data of Stephanopoulos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Calculated from the pKa value at 18 ºC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Calculated from the Gibbs energy of hydrolysis of ATP formation of -13 kJ/mol (thauer 10977)</t>
        </r>
      </text>
    </comment>
    <comment ref="D14" authorId="1">
      <text>
        <r>
          <rPr>
            <b/>
            <sz val="8"/>
            <color indexed="81"/>
            <rFont val="Tahoma"/>
            <family val="2"/>
          </rPr>
          <t>Calculated from Thauer hydrolysis energy DG0' obs</t>
        </r>
      </text>
    </comment>
    <comment ref="D18" authorId="1">
      <text>
        <r>
          <rPr>
            <b/>
            <sz val="8"/>
            <color indexed="81"/>
            <rFont val="Tahoma"/>
            <family val="2"/>
          </rPr>
          <t>Calculated from Thauer ATP+AMP=2ADP DG=0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Estimated assuming same hydrolysis DG than for acetyl-P</t>
        </r>
      </text>
    </comment>
    <comment ref="D34" authorId="1">
      <text>
        <r>
          <rPr>
            <b/>
            <sz val="8"/>
            <color indexed="81"/>
            <rFont val="Tahoma"/>
            <family val="2"/>
          </rPr>
          <t>Reference</t>
        </r>
      </text>
    </comment>
    <comment ref="D38" authorId="1">
      <text>
        <r>
          <rPr>
            <b/>
            <sz val="8"/>
            <color indexed="81"/>
            <rFont val="Tahoma"/>
            <family val="2"/>
          </rPr>
          <t>Ref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Define as reference</t>
        </r>
      </text>
    </comment>
    <comment ref="D41" authorId="0">
      <text>
        <r>
          <rPr>
            <b/>
            <sz val="8"/>
            <color indexed="81"/>
            <rFont val="Tahoma"/>
            <family val="2"/>
          </rPr>
          <t>From potential difference Fd0x/Fdred E' -410mV</t>
        </r>
      </text>
    </comment>
    <comment ref="D55" authorId="1">
      <text>
        <r>
          <rPr>
            <b/>
            <sz val="8"/>
            <color indexed="81"/>
            <rFont val="Tahoma"/>
            <family val="2"/>
          </rPr>
          <t>Calculated from pKa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6" authorId="1">
      <text>
        <r>
          <rPr>
            <b/>
            <sz val="8"/>
            <color indexed="81"/>
            <rFont val="Tahoma"/>
            <family val="2"/>
          </rPr>
          <t>Calculated according data from Stephanopoulos</t>
        </r>
      </text>
    </comment>
    <comment ref="D61" authorId="1">
      <text>
        <r>
          <rPr>
            <b/>
            <sz val="8"/>
            <color indexed="81"/>
            <rFont val="Tahoma"/>
            <family val="2"/>
          </rPr>
          <t>Reference</t>
        </r>
      </text>
    </comment>
    <comment ref="D63" authorId="1">
      <text>
        <r>
          <rPr>
            <b/>
            <sz val="8"/>
            <color indexed="81"/>
            <rFont val="Tahoma"/>
            <family val="2"/>
          </rPr>
          <t>Reference</t>
        </r>
      </text>
    </comment>
    <comment ref="D64" authorId="1">
      <text>
        <r>
          <rPr>
            <b/>
            <sz val="8"/>
            <color indexed="81"/>
            <rFont val="Tahoma"/>
            <family val="2"/>
          </rPr>
          <t>Calculated to make the reaction
NAD+ + 2H+ + 2e- ---&gt;&gt; NADH + H+ with a Delta G of +30.7 kJ/mol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Ref defined on them</t>
        </r>
      </text>
    </comment>
    <comment ref="D83" authorId="0">
      <text>
        <r>
          <rPr>
            <b/>
            <sz val="8"/>
            <color indexed="81"/>
            <rFont val="Tahoma"/>
            <family val="2"/>
          </rPr>
          <t>Calculated from AG0' of hydrolysis from Thauer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Ref defined on them</t>
        </r>
      </text>
    </comment>
    <comment ref="D89" authorId="0">
      <text>
        <r>
          <rPr>
            <b/>
            <sz val="8"/>
            <color indexed="81"/>
            <rFont val="Tahoma"/>
            <family val="2"/>
          </rPr>
          <t>CHECK IT!
Estimated from Gibbs combustion values</t>
        </r>
      </text>
    </comment>
    <comment ref="D101" authorId="0">
      <text>
        <r>
          <rPr>
            <b/>
            <sz val="8"/>
            <color indexed="81"/>
            <rFont val="Tahoma"/>
            <family val="2"/>
          </rPr>
          <t>Define as reference</t>
        </r>
      </text>
    </comment>
    <comment ref="D102" authorId="0">
      <text>
        <r>
          <rPr>
            <b/>
            <sz val="8"/>
            <color indexed="81"/>
            <rFont val="Tahoma"/>
            <family val="2"/>
          </rPr>
          <t>From potential difference UQ0x/UQred E' +100mV</t>
        </r>
      </text>
    </comment>
  </commentList>
</comments>
</file>

<file path=xl/sharedStrings.xml><?xml version="1.0" encoding="utf-8"?>
<sst xmlns="http://schemas.openxmlformats.org/spreadsheetml/2006/main" count="1138" uniqueCount="552">
  <si>
    <t>Name
(aquous phase unless other specified)</t>
  </si>
  <si>
    <t>Struct.</t>
  </si>
  <si>
    <t>C</t>
  </si>
  <si>
    <t>H</t>
  </si>
  <si>
    <t>O</t>
  </si>
  <si>
    <t>N</t>
  </si>
  <si>
    <t>P</t>
  </si>
  <si>
    <t>Ad-</t>
  </si>
  <si>
    <t xml:space="preserve"> -S-CoA </t>
  </si>
  <si>
    <t>FAD</t>
  </si>
  <si>
    <t>Charge</t>
  </si>
  <si>
    <t>Mmol
(g/mol)</t>
  </si>
  <si>
    <t>Electrons per mole</t>
  </si>
  <si>
    <t>Glucose</t>
  </si>
  <si>
    <t>Glu</t>
  </si>
  <si>
    <t>Sucrose</t>
  </si>
  <si>
    <t>Sucr</t>
  </si>
  <si>
    <t>n-Butanol</t>
  </si>
  <si>
    <t>Butyric acid</t>
  </si>
  <si>
    <t>BuH</t>
  </si>
  <si>
    <t>Butyrate</t>
  </si>
  <si>
    <t>Bu-</t>
  </si>
  <si>
    <t>Acetoacetate</t>
  </si>
  <si>
    <t>AcAc-</t>
  </si>
  <si>
    <t>Succinic acid</t>
  </si>
  <si>
    <t>SucH</t>
  </si>
  <si>
    <t>Succinate</t>
  </si>
  <si>
    <r>
      <t>Succ</t>
    </r>
    <r>
      <rPr>
        <vertAlign val="superscript"/>
        <sz val="10"/>
        <rFont val="Arial"/>
        <family val="2"/>
      </rPr>
      <t>2-</t>
    </r>
  </si>
  <si>
    <t>Malate</t>
  </si>
  <si>
    <r>
      <t>Mal</t>
    </r>
    <r>
      <rPr>
        <vertAlign val="superscript"/>
        <sz val="10"/>
        <rFont val="Arial"/>
        <family val="2"/>
      </rPr>
      <t>2-</t>
    </r>
  </si>
  <si>
    <t>~&lt;1106.15</t>
  </si>
  <si>
    <t>Fumarate</t>
  </si>
  <si>
    <r>
      <t>Fum</t>
    </r>
    <r>
      <rPr>
        <vertAlign val="superscript"/>
        <sz val="10"/>
        <rFont val="Arial"/>
        <family val="2"/>
      </rPr>
      <t>2-</t>
    </r>
  </si>
  <si>
    <t>Oxaloacetate</t>
  </si>
  <si>
    <t>~&lt;985.15</t>
  </si>
  <si>
    <t>Glycerol</t>
  </si>
  <si>
    <t>Glyc</t>
  </si>
  <si>
    <t>Iso-Propanol</t>
  </si>
  <si>
    <t>Acetone</t>
  </si>
  <si>
    <t>Propionic acid</t>
  </si>
  <si>
    <t>ProH</t>
  </si>
  <si>
    <t>Propionate</t>
  </si>
  <si>
    <t>Pro-</t>
  </si>
  <si>
    <t>Lactic acid</t>
  </si>
  <si>
    <t>LacH</t>
  </si>
  <si>
    <t>Lactate</t>
  </si>
  <si>
    <t>Lac-</t>
  </si>
  <si>
    <t>Pyruvate</t>
  </si>
  <si>
    <t>Pyr-</t>
  </si>
  <si>
    <t>Ethanol</t>
  </si>
  <si>
    <t>EtOH</t>
  </si>
  <si>
    <t>Acetaldehyde</t>
  </si>
  <si>
    <t>Acetald</t>
  </si>
  <si>
    <t>Acetic acid</t>
  </si>
  <si>
    <t>AcH</t>
  </si>
  <si>
    <t>Acetate</t>
  </si>
  <si>
    <t>Ac-</t>
  </si>
  <si>
    <t>Methane (gas)</t>
  </si>
  <si>
    <t>CH4 (g)</t>
  </si>
  <si>
    <t>Methane</t>
  </si>
  <si>
    <t>CH4</t>
  </si>
  <si>
    <t>Biomass (NH4 source)</t>
  </si>
  <si>
    <t>X</t>
  </si>
  <si>
    <t>Formic acid</t>
  </si>
  <si>
    <t>Formate</t>
  </si>
  <si>
    <t>Bicarbonate</t>
  </si>
  <si>
    <t>HCO3-</t>
  </si>
  <si>
    <t>Carbon Dioxide (gas)</t>
  </si>
  <si>
    <t>CO2 (g)</t>
  </si>
  <si>
    <t>Carbon Dioxide</t>
  </si>
  <si>
    <t>Carbonic acid</t>
  </si>
  <si>
    <t>Carbonate</t>
  </si>
  <si>
    <t>Acetoacetyl CoA</t>
  </si>
  <si>
    <t>Succinyl CoA</t>
  </si>
  <si>
    <t>Succ-CoA</t>
  </si>
  <si>
    <t>Methylmalonyl CoA</t>
  </si>
  <si>
    <t>Propanoyl CoA</t>
  </si>
  <si>
    <t>Lactoyl CoA</t>
  </si>
  <si>
    <t>Acryloyl CoA</t>
  </si>
  <si>
    <t>Acetyl CoA</t>
  </si>
  <si>
    <t>Coenzyme A</t>
  </si>
  <si>
    <t>CoA-SH</t>
  </si>
  <si>
    <t>NADP+</t>
  </si>
  <si>
    <r>
      <t>NADP</t>
    </r>
    <r>
      <rPr>
        <vertAlign val="superscript"/>
        <sz val="10"/>
        <rFont val="Arial"/>
        <family val="2"/>
      </rPr>
      <t>+</t>
    </r>
  </si>
  <si>
    <t>NADPH</t>
  </si>
  <si>
    <t>NAD+</t>
  </si>
  <si>
    <r>
      <t>NAD</t>
    </r>
    <r>
      <rPr>
        <vertAlign val="superscript"/>
        <sz val="10"/>
        <rFont val="Arial"/>
        <family val="2"/>
      </rPr>
      <t>+</t>
    </r>
  </si>
  <si>
    <t>NADH</t>
  </si>
  <si>
    <t>FADH2</t>
  </si>
  <si>
    <t>Amonia (gas)</t>
  </si>
  <si>
    <t>Amonia</t>
  </si>
  <si>
    <t>NH3(aq)</t>
  </si>
  <si>
    <t>Amonium</t>
  </si>
  <si>
    <t>Nitrous acid</t>
  </si>
  <si>
    <t>HNO2(aq)</t>
  </si>
  <si>
    <t>HNO2</t>
  </si>
  <si>
    <t>Nitrite</t>
  </si>
  <si>
    <t>NO2-</t>
  </si>
  <si>
    <t>Nitric acid</t>
  </si>
  <si>
    <t>HNO3(aq)</t>
  </si>
  <si>
    <t>HNO3</t>
  </si>
  <si>
    <t>Nitrate</t>
  </si>
  <si>
    <t>NO3-</t>
  </si>
  <si>
    <t>Oxygen (gas)</t>
  </si>
  <si>
    <t>O2</t>
  </si>
  <si>
    <t>Oxygen</t>
  </si>
  <si>
    <t>Hydrogen (gas)</t>
  </si>
  <si>
    <t>H2</t>
  </si>
  <si>
    <t>Hydrogen</t>
  </si>
  <si>
    <t>Phosphate</t>
  </si>
  <si>
    <t>Pi</t>
  </si>
  <si>
    <t>Pyrophosphate</t>
  </si>
  <si>
    <t>AMP</t>
  </si>
  <si>
    <r>
      <t>Ad-1Pi</t>
    </r>
    <r>
      <rPr>
        <vertAlign val="superscript"/>
        <sz val="10"/>
        <rFont val="Arial"/>
        <family val="2"/>
      </rPr>
      <t>3-</t>
    </r>
  </si>
  <si>
    <t>ADP</t>
  </si>
  <si>
    <r>
      <t>Ad-2Pi</t>
    </r>
    <r>
      <rPr>
        <vertAlign val="superscript"/>
        <sz val="10"/>
        <rFont val="Arial"/>
        <family val="2"/>
      </rPr>
      <t>3-</t>
    </r>
  </si>
  <si>
    <t>ATP</t>
  </si>
  <si>
    <r>
      <t>Ad-3Pi</t>
    </r>
    <r>
      <rPr>
        <vertAlign val="superscript"/>
        <sz val="10"/>
        <rFont val="Arial"/>
        <family val="2"/>
      </rPr>
      <t>4-</t>
    </r>
  </si>
  <si>
    <t>Water</t>
  </si>
  <si>
    <t>H2O</t>
  </si>
  <si>
    <t>Hydroxyl</t>
  </si>
  <si>
    <t>OH-</t>
  </si>
  <si>
    <t>Proton</t>
  </si>
  <si>
    <t>H+</t>
  </si>
  <si>
    <r>
      <t>H</t>
    </r>
    <r>
      <rPr>
        <vertAlign val="superscript"/>
        <sz val="10"/>
        <rFont val="Arial"/>
        <family val="2"/>
      </rPr>
      <t>+</t>
    </r>
  </si>
  <si>
    <t>Electron</t>
  </si>
  <si>
    <t>e-</t>
  </si>
  <si>
    <r>
      <t>e</t>
    </r>
    <r>
      <rPr>
        <vertAlign val="superscript"/>
        <sz val="10"/>
        <rFont val="Arial"/>
        <family val="2"/>
      </rPr>
      <t>-</t>
    </r>
  </si>
  <si>
    <t>RefOxState</t>
  </si>
  <si>
    <t>Heijnen</t>
  </si>
  <si>
    <t>Hanselmann</t>
  </si>
  <si>
    <t>C-bal</t>
  </si>
  <si>
    <t>Copies of van Gulik</t>
  </si>
  <si>
    <t>H-bal</t>
  </si>
  <si>
    <t>Stephanopoulos</t>
  </si>
  <si>
    <t>O-bal</t>
  </si>
  <si>
    <t>Others</t>
  </si>
  <si>
    <t>N-bal</t>
  </si>
  <si>
    <t>Thauer</t>
  </si>
  <si>
    <t>P-bal</t>
  </si>
  <si>
    <t>Ad-bal</t>
  </si>
  <si>
    <t>CoA-bal</t>
  </si>
  <si>
    <t>Chrg-bal</t>
  </si>
  <si>
    <r>
      <t>Hº</t>
    </r>
    <r>
      <rPr>
        <b/>
        <i/>
        <vertAlign val="subscript"/>
        <sz val="10"/>
        <color indexed="8"/>
        <rFont val="Arial"/>
        <family val="2"/>
      </rPr>
      <t xml:space="preserve">f
</t>
    </r>
    <r>
      <rPr>
        <b/>
        <sz val="10"/>
        <color indexed="8"/>
        <rFont val="Arial"/>
        <family val="2"/>
      </rPr>
      <t>(kJ/mol)</t>
    </r>
  </si>
  <si>
    <r>
      <t>Sº</t>
    </r>
    <r>
      <rPr>
        <b/>
        <i/>
        <vertAlign val="subscript"/>
        <sz val="10"/>
        <color indexed="8"/>
        <rFont val="Arial"/>
        <family val="2"/>
      </rPr>
      <t xml:space="preserve">f
</t>
    </r>
    <r>
      <rPr>
        <b/>
        <sz val="10"/>
        <color indexed="8"/>
        <rFont val="Arial"/>
        <family val="2"/>
      </rPr>
      <t>(J/mol K)</t>
    </r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</si>
  <si>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6</t>
    </r>
  </si>
  <si>
    <r>
      <t>C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11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</si>
  <si>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</si>
  <si>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</si>
  <si>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</si>
  <si>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</si>
  <si>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</si>
  <si>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4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</si>
  <si>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</si>
  <si>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vertAlign val="superscript"/>
        <sz val="10"/>
        <rFont val="Arial"/>
        <family val="2"/>
      </rPr>
      <t>2-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</si>
  <si>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</si>
  <si>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vertAlign val="superscript"/>
        <sz val="10"/>
        <rFont val="Arial"/>
        <family val="2"/>
      </rPr>
      <t>2-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</si>
  <si>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</si>
  <si>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</si>
  <si>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</si>
  <si>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</si>
  <si>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</si>
  <si>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</si>
  <si>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</si>
  <si>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</si>
  <si>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</si>
  <si>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O</t>
    </r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</si>
  <si>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</si>
  <si>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</si>
  <si>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r>
      <t>CH</t>
    </r>
    <r>
      <rPr>
        <vertAlign val="subscript"/>
        <sz val="10"/>
        <rFont val="Arial"/>
        <family val="2"/>
      </rPr>
      <t>4</t>
    </r>
  </si>
  <si>
    <r>
      <t>CH</t>
    </r>
    <r>
      <rPr>
        <vertAlign val="subscript"/>
        <sz val="10"/>
        <rFont val="Arial"/>
        <family val="2"/>
      </rPr>
      <t>1.8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0.5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0.2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</si>
  <si>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CO</t>
    </r>
    <r>
      <rPr>
        <vertAlign val="subscript"/>
        <sz val="10"/>
        <rFont val="Arial"/>
        <family val="2"/>
      </rPr>
      <t>2</t>
    </r>
  </si>
  <si>
    <r>
      <t>CHO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</si>
  <si>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r>
      <t>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</si>
  <si>
    <r>
      <t>CO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</si>
  <si>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O</t>
    </r>
    <r>
      <rPr>
        <sz val="10"/>
        <rFont val="Arial"/>
        <family val="2"/>
      </rPr>
      <t>-CoA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</si>
  <si>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-CoA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</si>
  <si>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</t>
    </r>
    <r>
      <rPr>
        <sz val="10"/>
        <rFont val="Arial"/>
        <family val="2"/>
      </rPr>
      <t>-CoA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</si>
  <si>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-CoA</t>
    </r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</si>
  <si>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-CoA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</si>
  <si>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O-CoA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</si>
  <si>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-CoA</t>
    </r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</si>
  <si>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O</t>
    </r>
    <r>
      <rPr>
        <sz val="10"/>
        <rFont val="Arial"/>
        <family val="2"/>
      </rPr>
      <t>-CoA</t>
    </r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</si>
  <si>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O-CoA</t>
    </r>
  </si>
  <si>
    <r>
      <t>FADH</t>
    </r>
    <r>
      <rPr>
        <vertAlign val="subscript"/>
        <sz val="10"/>
        <rFont val="Arial"/>
        <family val="2"/>
      </rPr>
      <t>2</t>
    </r>
  </si>
  <si>
    <r>
      <t>NH</t>
    </r>
    <r>
      <rPr>
        <vertAlign val="subscript"/>
        <sz val="10"/>
        <rFont val="Arial"/>
        <family val="2"/>
      </rPr>
      <t>3</t>
    </r>
  </si>
  <si>
    <r>
      <t>NH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</si>
  <si>
    <r>
      <t>H</t>
    </r>
    <r>
      <rPr>
        <vertAlign val="subscript"/>
        <sz val="10"/>
        <rFont val="Arial"/>
        <family val="2"/>
      </rPr>
      <t>2</t>
    </r>
  </si>
  <si>
    <r>
      <t>HPO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</si>
  <si>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</si>
  <si>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Anabolism</t>
  </si>
  <si>
    <t>NA</t>
  </si>
  <si>
    <t>Electrons
per C-mole/
or per mole</t>
  </si>
  <si>
    <t>M Atom</t>
  </si>
  <si>
    <t>Na+</t>
  </si>
  <si>
    <t>K+</t>
  </si>
  <si>
    <t>Met</t>
  </si>
  <si>
    <t>Sodium Ion</t>
  </si>
  <si>
    <t>Potasium Ion</t>
  </si>
  <si>
    <t>Met-bal</t>
  </si>
  <si>
    <r>
      <t>m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 xml:space="preserve">
(kJ/mol)</t>
    </r>
  </si>
  <si>
    <r>
      <t>E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 xml:space="preserve">
(V)</t>
    </r>
  </si>
  <si>
    <r>
      <t>D</t>
    </r>
    <r>
      <rPr>
        <b/>
        <sz val="10"/>
        <rFont val="Arial"/>
        <family val="2"/>
      </rPr>
      <t>G</t>
    </r>
  </si>
  <si>
    <r>
      <t>D</t>
    </r>
    <r>
      <rPr>
        <b/>
        <sz val="10"/>
        <rFont val="Arial"/>
        <family val="2"/>
      </rPr>
      <t>G</t>
    </r>
    <r>
      <rPr>
        <b/>
        <vertAlign val="superscript"/>
        <sz val="10"/>
        <rFont val="Arial"/>
        <family val="2"/>
      </rPr>
      <t>01</t>
    </r>
  </si>
  <si>
    <r>
      <t>D</t>
    </r>
    <r>
      <rPr>
        <b/>
        <sz val="10"/>
        <rFont val="Arial"/>
        <family val="2"/>
      </rPr>
      <t>G</t>
    </r>
    <r>
      <rPr>
        <b/>
        <vertAlign val="superscript"/>
        <sz val="10"/>
        <rFont val="Arial"/>
        <family val="2"/>
      </rPr>
      <t>0</t>
    </r>
  </si>
  <si>
    <t>F</t>
  </si>
  <si>
    <t>R</t>
  </si>
  <si>
    <t>kJ/mol</t>
  </si>
  <si>
    <t>T</t>
  </si>
  <si>
    <t>K</t>
  </si>
  <si>
    <t>mMalon-CoA</t>
  </si>
  <si>
    <t xml:space="preserve"> </t>
  </si>
  <si>
    <t>Butiryl CoA</t>
  </si>
  <si>
    <t>Crotonyl CoA</t>
  </si>
  <si>
    <t>kC/mol-e</t>
  </si>
  <si>
    <t>Fd-ox</t>
  </si>
  <si>
    <t>Fd-red</t>
  </si>
  <si>
    <t>Ferredoxin (ox)</t>
  </si>
  <si>
    <t>Ferredoxin (red)</t>
  </si>
  <si>
    <t>SpGrR</t>
  </si>
  <si>
    <t>SpGrO</t>
  </si>
  <si>
    <r>
      <t>Gº</t>
    </r>
    <r>
      <rPr>
        <b/>
        <i/>
        <vertAlign val="subscript"/>
        <sz val="10"/>
        <color indexed="8"/>
        <rFont val="Arial"/>
        <family val="2"/>
      </rPr>
      <t xml:space="preserve">f
</t>
    </r>
    <r>
      <rPr>
        <b/>
        <sz val="10"/>
        <color indexed="8"/>
        <rFont val="Arial"/>
        <family val="2"/>
      </rPr>
      <t>(kJ/mol)</t>
    </r>
  </si>
  <si>
    <t>SpGr-bal</t>
  </si>
  <si>
    <t>Ubiquinone (ox)</t>
  </si>
  <si>
    <t>Ubiquinone (red)</t>
  </si>
  <si>
    <t>UQred</t>
  </si>
  <si>
    <t>UQox</t>
  </si>
  <si>
    <r>
      <t>pKaº</t>
    </r>
    <r>
      <rPr>
        <vertAlign val="subscript"/>
        <sz val="10"/>
        <rFont val="Arial"/>
        <family val="2"/>
      </rPr>
      <t>3</t>
    </r>
  </si>
  <si>
    <r>
      <t>pKaº</t>
    </r>
    <r>
      <rPr>
        <vertAlign val="subscript"/>
        <sz val="10"/>
        <rFont val="Arial"/>
        <family val="2"/>
      </rPr>
      <t>2</t>
    </r>
  </si>
  <si>
    <r>
      <t>pKaº</t>
    </r>
    <r>
      <rPr>
        <vertAlign val="subscript"/>
        <sz val="10"/>
        <rFont val="Arial"/>
        <family val="2"/>
      </rPr>
      <t>1</t>
    </r>
  </si>
  <si>
    <r>
      <t>Kaº</t>
    </r>
    <r>
      <rPr>
        <vertAlign val="subscript"/>
        <sz val="10"/>
        <rFont val="Arial"/>
        <family val="2"/>
      </rPr>
      <t>1</t>
    </r>
  </si>
  <si>
    <r>
      <t>Kaº</t>
    </r>
    <r>
      <rPr>
        <vertAlign val="subscript"/>
        <sz val="10"/>
        <rFont val="Arial"/>
        <family val="2"/>
      </rPr>
      <t>3</t>
    </r>
  </si>
  <si>
    <r>
      <t>Kaº</t>
    </r>
    <r>
      <rPr>
        <vertAlign val="subscript"/>
        <sz val="10"/>
        <rFont val="Arial"/>
        <family val="2"/>
      </rPr>
      <t>2</t>
    </r>
  </si>
  <si>
    <t>Acetyl-Phosphate</t>
  </si>
  <si>
    <t>Ac-P</t>
  </si>
  <si>
    <r>
      <t>Ac-P</t>
    </r>
    <r>
      <rPr>
        <vertAlign val="superscript"/>
        <sz val="10"/>
        <rFont val="Arial"/>
        <family val="2"/>
      </rPr>
      <t>2-</t>
    </r>
  </si>
  <si>
    <t>Bu-P</t>
  </si>
  <si>
    <r>
      <t>Bu-P</t>
    </r>
    <r>
      <rPr>
        <vertAlign val="superscript"/>
        <sz val="10"/>
        <rFont val="Arial"/>
        <family val="2"/>
      </rPr>
      <t>2-</t>
    </r>
  </si>
  <si>
    <t>Butyryl-Phosphate</t>
  </si>
  <si>
    <r>
      <t>P</t>
    </r>
    <r>
      <rPr>
        <b/>
        <vertAlign val="subscript"/>
        <sz val="10"/>
        <rFont val="Arial"/>
        <family val="2"/>
      </rPr>
      <t>gas</t>
    </r>
    <r>
      <rPr>
        <b/>
        <vertAlign val="superscript"/>
        <sz val="10"/>
        <rFont val="Arial"/>
        <family val="2"/>
      </rPr>
      <t xml:space="preserve">eq
</t>
    </r>
    <r>
      <rPr>
        <b/>
        <sz val="10"/>
        <rFont val="Arial"/>
        <family val="2"/>
      </rPr>
      <t>(bar)</t>
    </r>
  </si>
  <si>
    <r>
      <t>Total Conc
[AH]+[A</t>
    </r>
    <r>
      <rPr>
        <b/>
        <vertAlign val="superscript"/>
        <sz val="10"/>
        <rFont val="Arial"/>
        <family val="2"/>
      </rPr>
      <t>-</t>
    </r>
    <r>
      <rPr>
        <b/>
        <sz val="10"/>
        <rFont val="Arial"/>
        <family val="2"/>
      </rPr>
      <t>] +[A</t>
    </r>
    <r>
      <rPr>
        <b/>
        <vertAlign val="superscript"/>
        <sz val="10"/>
        <rFont val="Arial"/>
        <family val="2"/>
      </rPr>
      <t>2-</t>
    </r>
    <r>
      <rPr>
        <b/>
        <sz val="10"/>
        <rFont val="Arial"/>
        <family val="2"/>
      </rPr>
      <t>] etc</t>
    </r>
  </si>
  <si>
    <t>Phase</t>
  </si>
  <si>
    <t>IN</t>
  </si>
  <si>
    <t>Permeable</t>
  </si>
  <si>
    <t>Y</t>
  </si>
  <si>
    <t>3-Hydroxybutyryl CoA</t>
  </si>
  <si>
    <t>ButAld</t>
  </si>
  <si>
    <t>Butyraldehyde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</si>
  <si>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</si>
  <si>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t>Butyraldehyde (gas)</t>
  </si>
  <si>
    <t>ButAld (g)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</si>
  <si>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7</t>
    </r>
    <r>
      <rPr>
        <vertAlign val="superscript"/>
        <sz val="10"/>
        <rFont val="Arial"/>
        <family val="2"/>
      </rPr>
      <t>4-</t>
    </r>
  </si>
  <si>
    <t>AcAc-CoA</t>
  </si>
  <si>
    <t>Crot-CoA</t>
  </si>
  <si>
    <t>3HBu-CoA</t>
  </si>
  <si>
    <t>Bu-CoA</t>
  </si>
  <si>
    <t>Pro-CoA</t>
  </si>
  <si>
    <t>Lac-CoA</t>
  </si>
  <si>
    <t>Acryl-CoA</t>
  </si>
  <si>
    <t>Ac-CoA</t>
  </si>
  <si>
    <r>
      <t>OAA</t>
    </r>
    <r>
      <rPr>
        <vertAlign val="superscript"/>
        <sz val="10"/>
        <rFont val="Arial"/>
        <family val="2"/>
      </rPr>
      <t>2-</t>
    </r>
  </si>
  <si>
    <t>For-</t>
  </si>
  <si>
    <t>ForH</t>
  </si>
  <si>
    <t>nBuOH</t>
  </si>
  <si>
    <t>iProOH</t>
  </si>
  <si>
    <t>H2 (g)</t>
  </si>
  <si>
    <t>PPi</t>
  </si>
  <si>
    <t>Acetoacetic acid</t>
  </si>
  <si>
    <t>AcAcH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</si>
  <si>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</si>
  <si>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Abbrev. Name</t>
  </si>
  <si>
    <t>3-hydroxypropanal</t>
  </si>
  <si>
    <t>3-HPrnal</t>
  </si>
  <si>
    <t>1,3-propanediol</t>
  </si>
  <si>
    <t>1,3-Prndiol</t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</si>
  <si>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</si>
  <si>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Estimated</t>
  </si>
  <si>
    <t>Xylose</t>
  </si>
  <si>
    <t>Xyl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</si>
  <si>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</si>
  <si>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t>Hydrogenphosphate</t>
  </si>
  <si>
    <t>Phosphoric acid</t>
  </si>
  <si>
    <r>
      <t>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</si>
  <si>
    <t>Dihydrogenphosphate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</si>
  <si>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</si>
  <si>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</si>
  <si>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CO</t>
    </r>
    <r>
      <rPr>
        <vertAlign val="subscript"/>
        <sz val="10"/>
        <rFont val="Arial"/>
        <family val="2"/>
      </rPr>
      <t>3</t>
    </r>
  </si>
  <si>
    <r>
      <t>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2-</t>
    </r>
  </si>
  <si>
    <t>Valeric acid</t>
  </si>
  <si>
    <t>Valerate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</si>
  <si>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</si>
  <si>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VaH</t>
  </si>
  <si>
    <t>Va-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</si>
  <si>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</si>
  <si>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t>S</t>
  </si>
  <si>
    <t>Sulfide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</si>
  <si>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</t>
    </r>
  </si>
  <si>
    <t>Dihydrogen Sulfide</t>
  </si>
  <si>
    <t>Dihydrogen Sulfide (gas)</t>
  </si>
  <si>
    <t>Hydrogen Sulfide</t>
  </si>
  <si>
    <r>
      <t>HS</t>
    </r>
    <r>
      <rPr>
        <vertAlign val="superscript"/>
        <sz val="10"/>
        <rFont val="Arial"/>
        <family val="2"/>
      </rPr>
      <t>-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</si>
  <si>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S(g)</t>
    </r>
  </si>
  <si>
    <r>
      <t>S</t>
    </r>
    <r>
      <rPr>
        <vertAlign val="superscript"/>
        <sz val="10"/>
        <rFont val="Arial"/>
        <family val="2"/>
      </rPr>
      <t>2-</t>
    </r>
  </si>
  <si>
    <t>Cl</t>
  </si>
  <si>
    <t>Chloric Acid</t>
  </si>
  <si>
    <t>HCl</t>
  </si>
  <si>
    <t>Chloride</t>
  </si>
  <si>
    <t>Cl-</t>
  </si>
  <si>
    <r>
      <t>Cl</t>
    </r>
    <r>
      <rPr>
        <vertAlign val="superscript"/>
        <sz val="10"/>
        <rFont val="Arial"/>
        <family val="2"/>
      </rPr>
      <t>-</t>
    </r>
  </si>
  <si>
    <t>Chlorite</t>
  </si>
  <si>
    <t>ClO2-</t>
  </si>
  <si>
    <r>
      <t>ClO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</si>
  <si>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t>Chlorate</t>
  </si>
  <si>
    <t>ClO3-</t>
  </si>
  <si>
    <r>
      <t>ClO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</si>
  <si>
    <t>Perchlorate</t>
  </si>
  <si>
    <t>ClO4-</t>
  </si>
  <si>
    <r>
      <t>ClO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</si>
  <si>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t>Hypochlorite</t>
  </si>
  <si>
    <t>ClO-</t>
  </si>
  <si>
    <r>
      <t>ClO</t>
    </r>
    <r>
      <rPr>
        <vertAlign val="superscript"/>
        <sz val="10"/>
        <rFont val="Arial"/>
        <family val="2"/>
      </rPr>
      <t>-</t>
    </r>
  </si>
  <si>
    <t>Electron Donor</t>
  </si>
  <si>
    <t>Electron Acceptor</t>
  </si>
  <si>
    <t>Catabolism</t>
  </si>
  <si>
    <t>Metabolism</t>
  </si>
  <si>
    <t>Autotrophic photosynthesis</t>
  </si>
  <si>
    <t>S-bal</t>
  </si>
  <si>
    <t>Cl-bal</t>
  </si>
  <si>
    <t>Ycyb</t>
  </si>
  <si>
    <t>Sulfate</t>
  </si>
  <si>
    <r>
      <t>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</si>
  <si>
    <t>Ferrous iron</t>
  </si>
  <si>
    <t>Ferric iron</t>
  </si>
  <si>
    <t>Fe2+</t>
  </si>
  <si>
    <t>Fe3+</t>
  </si>
  <si>
    <t>Fe</t>
  </si>
  <si>
    <r>
      <t>l</t>
    </r>
    <r>
      <rPr>
        <b/>
        <vertAlign val="subscript"/>
        <sz val="10"/>
        <rFont val="Arial"/>
        <family val="2"/>
      </rPr>
      <t>An</t>
    </r>
  </si>
  <si>
    <r>
      <t>l</t>
    </r>
    <r>
      <rPr>
        <b/>
        <vertAlign val="subscript"/>
        <sz val="10"/>
        <rFont val="Arial"/>
        <family val="2"/>
      </rPr>
      <t>Cat</t>
    </r>
  </si>
  <si>
    <t>Anabolism*</t>
  </si>
  <si>
    <t>*Anabolism eD/eA</t>
  </si>
  <si>
    <t>eD</t>
  </si>
  <si>
    <t>Fe-bal</t>
  </si>
  <si>
    <t>eA</t>
  </si>
  <si>
    <t>Ammonium oxidation</t>
  </si>
  <si>
    <t>Nitrite oxidation</t>
  </si>
  <si>
    <t>Aceticlastic Methanogenesis</t>
  </si>
  <si>
    <t>Aerobic methane oxidation</t>
  </si>
  <si>
    <t>Aerobic sulfide oxidation</t>
  </si>
  <si>
    <t>Ynox</t>
  </si>
  <si>
    <t>Yaox</t>
  </si>
  <si>
    <t>Yacm</t>
  </si>
  <si>
    <t>Yamo</t>
  </si>
  <si>
    <t>Yaso</t>
  </si>
  <si>
    <t>rSac</t>
  </si>
  <si>
    <t>rSh2</t>
  </si>
  <si>
    <t>mol/L</t>
  </si>
  <si>
    <t>L</t>
  </si>
  <si>
    <t>Sac</t>
  </si>
  <si>
    <t>Sh2</t>
  </si>
  <si>
    <t>Sch4</t>
  </si>
  <si>
    <t>Xfer</t>
  </si>
  <si>
    <t>Sic</t>
  </si>
  <si>
    <t>Sin</t>
  </si>
  <si>
    <t>bar</t>
  </si>
  <si>
    <t>Kw</t>
  </si>
  <si>
    <t>[]</t>
  </si>
  <si>
    <t>Ka_lac</t>
  </si>
  <si>
    <t>Ka_va</t>
  </si>
  <si>
    <t>Ka_bu</t>
  </si>
  <si>
    <t>Ka_pro</t>
  </si>
  <si>
    <t>Ka_ac</t>
  </si>
  <si>
    <t>Ka_co2</t>
  </si>
  <si>
    <t>Ka_nh4</t>
  </si>
  <si>
    <t>Ka_sh2</t>
  </si>
  <si>
    <t>Kh_h2</t>
  </si>
  <si>
    <t>M/bar</t>
  </si>
  <si>
    <t>Kh_ch4</t>
  </si>
  <si>
    <t>Kh_co2</t>
  </si>
  <si>
    <t>Kh_h2s</t>
  </si>
  <si>
    <t>Gh2o</t>
  </si>
  <si>
    <t>Gh2oXX</t>
  </si>
  <si>
    <t>Kabs_fa</t>
  </si>
  <si>
    <t>molX/L</t>
  </si>
  <si>
    <t>Rth</t>
  </si>
  <si>
    <t>kJ/mol·K</t>
  </si>
  <si>
    <t>Rg</t>
  </si>
  <si>
    <t>bar·L/mol·K</t>
  </si>
  <si>
    <t>Vliq</t>
  </si>
  <si>
    <t>Vgas</t>
  </si>
  <si>
    <t>Pgas</t>
  </si>
  <si>
    <t>SRT</t>
  </si>
  <si>
    <t>h</t>
  </si>
  <si>
    <t>DHdis_h2o</t>
  </si>
  <si>
    <t>DSdis_h2o</t>
  </si>
  <si>
    <t>DGdis_lach</t>
  </si>
  <si>
    <t>DGdis_buh</t>
  </si>
  <si>
    <t>DGdis_proh</t>
  </si>
  <si>
    <t>DHdis_ach</t>
  </si>
  <si>
    <t>DSdis_ach</t>
  </si>
  <si>
    <t>DHdis_co2</t>
  </si>
  <si>
    <t>DSdis_co2</t>
  </si>
  <si>
    <t>DHdis_nh4</t>
  </si>
  <si>
    <t>DSdis_nh4</t>
  </si>
  <si>
    <t>DHdis_h2s</t>
  </si>
  <si>
    <t>DSdis_h2s</t>
  </si>
  <si>
    <t>DHsol_h2</t>
  </si>
  <si>
    <t>DSsol_h2</t>
  </si>
  <si>
    <t>DHsol_ch4</t>
  </si>
  <si>
    <t>DSsol_ch4</t>
  </si>
  <si>
    <t>DHsol_co2</t>
  </si>
  <si>
    <t>DSsol_co2</t>
  </si>
  <si>
    <t>DHsol_h2s</t>
  </si>
  <si>
    <t>DSsol_h2s</t>
  </si>
  <si>
    <t>kla</t>
  </si>
  <si>
    <t>1/h</t>
  </si>
  <si>
    <t>kh_cs1</t>
  </si>
  <si>
    <t>kh_cs2</t>
  </si>
  <si>
    <t>kh_cs3</t>
  </si>
  <si>
    <t>kh_cs4</t>
  </si>
  <si>
    <t>kh_sch</t>
  </si>
  <si>
    <t>kh_fch</t>
  </si>
  <si>
    <t>kh_pr</t>
  </si>
  <si>
    <t>kh_li</t>
  </si>
  <si>
    <t>qm_lac</t>
  </si>
  <si>
    <t>molSlac/molCxfer·h</t>
  </si>
  <si>
    <t>Ks_lac</t>
  </si>
  <si>
    <t>molSlac/L</t>
  </si>
  <si>
    <t>qm_et</t>
  </si>
  <si>
    <t>molSet/molCxfer·h</t>
  </si>
  <si>
    <t>Ks_et</t>
  </si>
  <si>
    <t>molSet/L</t>
  </si>
  <si>
    <t>qm_glc</t>
  </si>
  <si>
    <t>molSglc/molCxfer·h</t>
  </si>
  <si>
    <t>Ks_glc</t>
  </si>
  <si>
    <t>molSglc/L</t>
  </si>
  <si>
    <t>qm_su</t>
  </si>
  <si>
    <t>molSsu/molCxfer·h</t>
  </si>
  <si>
    <t>Ks_su</t>
  </si>
  <si>
    <t>molSsu/L</t>
  </si>
  <si>
    <t>qm_aa</t>
  </si>
  <si>
    <t>molCsaa/molCxaa·h</t>
  </si>
  <si>
    <t>Ks_aa</t>
  </si>
  <si>
    <t>molCsaa/L</t>
  </si>
  <si>
    <t>qm_fa</t>
  </si>
  <si>
    <t>molCsfa/molCxfa·h</t>
  </si>
  <si>
    <t>Ks_fa</t>
  </si>
  <si>
    <t>molCsfa/L</t>
  </si>
  <si>
    <t>qm_va</t>
  </si>
  <si>
    <t>molSva/molCxc4·h</t>
  </si>
  <si>
    <t>Ks_va</t>
  </si>
  <si>
    <t>molSva/L</t>
  </si>
  <si>
    <t>qm_bu</t>
  </si>
  <si>
    <t>molSbu/molCxc4·h</t>
  </si>
  <si>
    <t>Ks_bu</t>
  </si>
  <si>
    <t>molSbu/L</t>
  </si>
  <si>
    <t>qm_pro</t>
  </si>
  <si>
    <t>molSpro/molCxpro·h</t>
  </si>
  <si>
    <t>Ks_pro</t>
  </si>
  <si>
    <t>molSpro/L</t>
  </si>
  <si>
    <t>qm_ac</t>
  </si>
  <si>
    <t>molSac/molCxac·h</t>
  </si>
  <si>
    <t>Ks_ac</t>
  </si>
  <si>
    <t>molSac/L</t>
  </si>
  <si>
    <t>qm_h2</t>
  </si>
  <si>
    <t>molSh2/molCxh2·h</t>
  </si>
  <si>
    <t>Ks_h2</t>
  </si>
  <si>
    <t>molSh2/L</t>
  </si>
  <si>
    <t>Ki_in</t>
  </si>
  <si>
    <t>molSin/L</t>
  </si>
  <si>
    <t>Ki_h2_fa</t>
  </si>
  <si>
    <t>Ki_h2_c4</t>
  </si>
  <si>
    <t>Ki_h2_pro</t>
  </si>
  <si>
    <t>Ki_nh3_ac</t>
  </si>
  <si>
    <t>molSnh3/L</t>
  </si>
  <si>
    <t>kd</t>
  </si>
  <si>
    <t>kh_xd</t>
  </si>
  <si>
    <t>pHll</t>
  </si>
  <si>
    <t>pHul</t>
  </si>
  <si>
    <t>pHll_ac</t>
  </si>
  <si>
    <t>pHul_ac</t>
  </si>
  <si>
    <t>pHll_h2</t>
  </si>
  <si>
    <t>pHul_h2</t>
  </si>
  <si>
    <t>Ki_fa_fa</t>
  </si>
  <si>
    <t>gCODfaX/gCODx</t>
  </si>
  <si>
    <t>SfaXmI</t>
  </si>
  <si>
    <t>gCODlcfa/gCODx</t>
  </si>
  <si>
    <t>Time (h)</t>
  </si>
  <si>
    <t>Qgas_inf</t>
  </si>
  <si>
    <t>Qstr1</t>
  </si>
  <si>
    <t>Qstr2</t>
  </si>
  <si>
    <t>Qstr3</t>
  </si>
  <si>
    <t>Qstr4</t>
  </si>
  <si>
    <t>Qstr5</t>
  </si>
  <si>
    <t>O2(g)</t>
  </si>
  <si>
    <t>Xcyb</t>
  </si>
  <si>
    <t>Sglu</t>
  </si>
  <si>
    <t>Sno2</t>
  </si>
  <si>
    <t>Sno3</t>
  </si>
  <si>
    <t>Sso4</t>
  </si>
  <si>
    <t>Sfe2</t>
  </si>
  <si>
    <t>Sfe3</t>
  </si>
  <si>
    <t>So2</t>
  </si>
  <si>
    <t>Xhet</t>
  </si>
  <si>
    <t>Xaob</t>
  </si>
  <si>
    <t>Xnob</t>
  </si>
  <si>
    <t>Xsox</t>
  </si>
  <si>
    <t>Xsrd</t>
  </si>
  <si>
    <t>Xacm</t>
  </si>
  <si>
    <t>Xh2m</t>
  </si>
  <si>
    <t>rSic</t>
  </si>
  <si>
    <t>rSglu</t>
  </si>
  <si>
    <t>rSom</t>
  </si>
  <si>
    <t>rSin</t>
  </si>
  <si>
    <t>rSno3</t>
  </si>
  <si>
    <t>rSno2</t>
  </si>
  <si>
    <t>rSso4</t>
  </si>
  <si>
    <t>rSsh2</t>
  </si>
  <si>
    <t>rSfe2</t>
  </si>
  <si>
    <t>rSfe3</t>
  </si>
  <si>
    <t>rSch4</t>
  </si>
  <si>
    <t>Hydrogenotrophic Methanogenesis</t>
  </si>
  <si>
    <t>Yh2m</t>
  </si>
  <si>
    <t>eD ID</t>
  </si>
  <si>
    <r>
      <t>l</t>
    </r>
    <r>
      <rPr>
        <b/>
        <vertAlign val="subscript"/>
        <sz val="10"/>
        <rFont val="Arial"/>
        <family val="2"/>
      </rPr>
      <t>X</t>
    </r>
  </si>
  <si>
    <r>
      <t>l</t>
    </r>
    <r>
      <rPr>
        <b/>
        <vertAlign val="subscript"/>
        <sz val="10"/>
        <rFont val="Arial"/>
        <family val="2"/>
      </rPr>
      <t>eX</t>
    </r>
  </si>
  <si>
    <r>
      <t>l</t>
    </r>
    <r>
      <rPr>
        <b/>
        <vertAlign val="subscript"/>
        <sz val="10"/>
        <rFont val="Arial"/>
        <family val="2"/>
      </rPr>
      <t>eD</t>
    </r>
  </si>
  <si>
    <r>
      <t>l</t>
    </r>
    <r>
      <rPr>
        <b/>
        <vertAlign val="subscript"/>
        <sz val="10"/>
        <rFont val="Arial"/>
        <family val="2"/>
      </rPr>
      <t>eA</t>
    </r>
  </si>
  <si>
    <t>eD&amp;eA</t>
  </si>
  <si>
    <r>
      <t>D</t>
    </r>
    <r>
      <rPr>
        <b/>
        <sz val="10"/>
        <rFont val="Arial"/>
        <family val="2"/>
      </rPr>
      <t>E</t>
    </r>
  </si>
  <si>
    <r>
      <t>D</t>
    </r>
    <r>
      <rPr>
        <b/>
        <sz val="10"/>
        <rFont val="Arial"/>
        <family val="2"/>
      </rPr>
      <t>Eº</t>
    </r>
  </si>
  <si>
    <t>Nitrogen (g)</t>
  </si>
  <si>
    <t>N2 (g)</t>
  </si>
  <si>
    <t>N2(g)</t>
  </si>
  <si>
    <t>Activity
[M] / bar</t>
  </si>
  <si>
    <t>Denitrification</t>
  </si>
  <si>
    <t>Yden</t>
  </si>
  <si>
    <t>Iron reduction (III-II)</t>
  </si>
  <si>
    <t>Iron reduction (II-0)</t>
  </si>
  <si>
    <t>Iron (s)</t>
  </si>
  <si>
    <t>Fe(s)</t>
  </si>
  <si>
    <r>
      <t>D</t>
    </r>
    <r>
      <rPr>
        <b/>
        <sz val="10"/>
        <rFont val="Arial"/>
        <family val="2"/>
      </rPr>
      <t>E</t>
    </r>
    <r>
      <rPr>
        <b/>
        <vertAlign val="superscript"/>
        <sz val="10"/>
        <rFont val="Arial"/>
        <family val="2"/>
      </rPr>
      <t>01</t>
    </r>
  </si>
  <si>
    <t>Sn2</t>
  </si>
  <si>
    <t>Ssh2</t>
  </si>
  <si>
    <t>molC/L</t>
  </si>
  <si>
    <t>B</t>
  </si>
  <si>
    <t>Xson</t>
  </si>
  <si>
    <t>Xfeox</t>
  </si>
  <si>
    <t>Xfeon</t>
  </si>
  <si>
    <t>Xferd</t>
  </si>
  <si>
    <t>Xmto</t>
  </si>
  <si>
    <t>Xmts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</si>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</sst>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_-[$€]* #,##0.00_-;\-[$€]* #,##0.00_-;_-[$€]* &quot;-&quot;??_-;_-@_-"/>
    <numFmt numFmtId="166" formatCode="_-* #,##0\ &quot;pta&quot;_-;\-* #,##0\ &quot;pta&quot;_-;_-* &quot;-&quot;\ &quot;pta&quot;_-;_-@_-"/>
    <numFmt numFmtId="167" formatCode="_-* #,##0\ _p_t_a_-;\-* #,##0\ _p_t_a_-;_-* &quot;-&quot;\ _p_t_a_-;_-@_-"/>
    <numFmt numFmtId="168" formatCode="_-* #,##0.00\ &quot;pta&quot;_-;\-* #,##0.00\ &quot;pta&quot;_-;_-* &quot;-&quot;??\ &quot;pta&quot;_-;_-@_-"/>
    <numFmt numFmtId="169" formatCode="_-* #,##0.00\ _p_t_a_-;\-* #,##0.00\ _p_t_a_-;_-* &quot;-&quot;??\ _p_t_a_-;_-@_-"/>
    <numFmt numFmtId="170" formatCode="_-* #,##0.00\ [$€-1]_-;\-* #,##0.00\ [$€-1]_-;_-* &quot;-&quot;??\ [$€-1]_-"/>
    <numFmt numFmtId="171" formatCode="0.00000"/>
    <numFmt numFmtId="172" formatCode="0.000000000"/>
  </numFmts>
  <fonts count="4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vertAlign val="subscript"/>
      <sz val="10"/>
      <color indexed="8"/>
      <name val="Arial"/>
      <family val="2"/>
    </font>
    <font>
      <b/>
      <sz val="10"/>
      <color indexed="8"/>
      <name val="Arial"/>
      <family val="2"/>
    </font>
    <font>
      <vertAlign val="subscript"/>
      <sz val="10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i/>
      <sz val="10"/>
      <name val="Arial"/>
      <family val="2"/>
    </font>
    <font>
      <sz val="10"/>
      <color indexed="60"/>
      <name val="Arial"/>
      <family val="2"/>
    </font>
    <font>
      <sz val="10"/>
      <color indexed="14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8"/>
      <name val="Arial"/>
      <family val="2"/>
    </font>
    <font>
      <sz val="10"/>
      <color indexed="23"/>
      <name val="Arial"/>
      <family val="2"/>
    </font>
    <font>
      <b/>
      <sz val="10"/>
      <color indexed="9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  <font>
      <sz val="10"/>
      <color indexed="48"/>
      <name val="Arial"/>
      <family val="2"/>
    </font>
    <font>
      <sz val="11"/>
      <name val="Arial"/>
      <family val="2"/>
    </font>
    <font>
      <sz val="10"/>
      <color indexed="52"/>
      <name val="Arial"/>
      <family val="2"/>
    </font>
    <font>
      <sz val="10"/>
      <color indexed="12"/>
      <name val="Arial"/>
    </font>
    <font>
      <sz val="10"/>
      <color indexed="14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Methane"/>
    </font>
    <font>
      <sz val="10"/>
      <color indexed="10"/>
      <name val="Arial"/>
    </font>
    <font>
      <b/>
      <sz val="10"/>
      <color indexed="12"/>
      <name val="Arial"/>
      <family val="2"/>
    </font>
    <font>
      <b/>
      <sz val="10"/>
      <color indexed="23"/>
      <name val="Arial"/>
      <family val="2"/>
    </font>
    <font>
      <b/>
      <sz val="10"/>
      <color indexed="62"/>
      <name val="Arial"/>
      <family val="2"/>
    </font>
    <font>
      <b/>
      <i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39" fillId="0" borderId="0"/>
  </cellStyleXfs>
  <cellXfs count="256">
    <xf numFmtId="0" fontId="0" fillId="0" borderId="0" xfId="0"/>
    <xf numFmtId="0" fontId="1" fillId="0" borderId="0" xfId="0" applyFont="1" applyBorder="1" applyAlignment="1" applyProtection="1">
      <alignment horizontal="center" vertical="center"/>
    </xf>
    <xf numFmtId="0" fontId="30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30" fillId="2" borderId="3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30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31" fillId="3" borderId="9" xfId="0" applyFont="1" applyFill="1" applyBorder="1" applyAlignment="1" applyProtection="1">
      <alignment horizontal="center" vertical="center"/>
    </xf>
    <xf numFmtId="0" fontId="31" fillId="3" borderId="9" xfId="0" applyFont="1" applyFill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22" fillId="0" borderId="11" xfId="0" applyFont="1" applyBorder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22" fillId="0" borderId="9" xfId="0" applyFont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26" fillId="0" borderId="13" xfId="0" applyFont="1" applyBorder="1" applyAlignment="1" applyProtection="1">
      <alignment horizontal="center"/>
    </xf>
    <xf numFmtId="0" fontId="23" fillId="0" borderId="13" xfId="0" applyFont="1" applyBorder="1" applyAlignment="1" applyProtection="1">
      <alignment horizontal="center"/>
    </xf>
    <xf numFmtId="0" fontId="23" fillId="0" borderId="14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 vertical="center"/>
    </xf>
    <xf numFmtId="0" fontId="23" fillId="0" borderId="15" xfId="0" applyFont="1" applyBorder="1" applyAlignment="1" applyProtection="1">
      <alignment horizontal="center"/>
    </xf>
    <xf numFmtId="0" fontId="26" fillId="0" borderId="16" xfId="0" applyFont="1" applyBorder="1" applyAlignment="1" applyProtection="1">
      <alignment horizontal="center"/>
    </xf>
    <xf numFmtId="0" fontId="23" fillId="0" borderId="16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 vertical="center"/>
    </xf>
    <xf numFmtId="0" fontId="23" fillId="0" borderId="18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11" fontId="13" fillId="0" borderId="6" xfId="0" applyNumberFormat="1" applyFont="1" applyBorder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4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 wrapText="1"/>
    </xf>
    <xf numFmtId="0" fontId="7" fillId="0" borderId="20" xfId="0" applyNumberFormat="1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9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center" vertical="center"/>
    </xf>
    <xf numFmtId="0" fontId="13" fillId="0" borderId="7" xfId="0" applyNumberFormat="1" applyFont="1" applyBorder="1" applyAlignment="1" applyProtection="1">
      <alignment horizontal="center" vertical="center"/>
    </xf>
    <xf numFmtId="0" fontId="14" fillId="0" borderId="7" xfId="0" applyNumberFormat="1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6" fillId="0" borderId="7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164" fontId="9" fillId="0" borderId="6" xfId="0" applyNumberFormat="1" applyFont="1" applyBorder="1" applyAlignment="1" applyProtection="1">
      <alignment horizontal="center" vertical="center"/>
    </xf>
    <xf numFmtId="0" fontId="17" fillId="0" borderId="7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17" fillId="0" borderId="6" xfId="0" applyNumberFormat="1" applyFont="1" applyBorder="1" applyAlignment="1" applyProtection="1">
      <alignment horizontal="center" vertical="center"/>
    </xf>
    <xf numFmtId="0" fontId="14" fillId="0" borderId="6" xfId="0" applyNumberFormat="1" applyFont="1" applyBorder="1" applyAlignment="1" applyProtection="1">
      <alignment horizontal="center" vertical="center"/>
    </xf>
    <xf numFmtId="0" fontId="1" fillId="0" borderId="6" xfId="0" applyNumberFormat="1" applyFont="1" applyBorder="1" applyAlignment="1" applyProtection="1">
      <alignment horizontal="center" vertical="center"/>
    </xf>
    <xf numFmtId="0" fontId="18" fillId="0" borderId="6" xfId="0" applyNumberFormat="1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8" xfId="0" applyNumberFormat="1" applyFont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22" fillId="0" borderId="0" xfId="0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</xf>
    <xf numFmtId="0" fontId="10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9" fillId="0" borderId="0" xfId="0" applyNumberFormat="1" applyFont="1" applyBorder="1" applyAlignment="1" applyProtection="1">
      <alignment horizontal="center" vertical="center"/>
    </xf>
    <xf numFmtId="0" fontId="24" fillId="0" borderId="0" xfId="0" applyNumberFormat="1" applyFont="1" applyBorder="1" applyAlignment="1" applyProtection="1">
      <alignment horizontal="center" vertical="center"/>
    </xf>
    <xf numFmtId="0" fontId="25" fillId="0" borderId="0" xfId="0" applyNumberFormat="1" applyFont="1" applyBorder="1" applyAlignment="1" applyProtection="1">
      <alignment horizontal="center" vertical="center"/>
    </xf>
    <xf numFmtId="0" fontId="26" fillId="0" borderId="0" xfId="0" applyFont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33" fillId="0" borderId="6" xfId="0" applyFont="1" applyBorder="1" applyAlignment="1" applyProtection="1">
      <alignment horizontal="center" vertical="center"/>
    </xf>
    <xf numFmtId="0" fontId="33" fillId="0" borderId="8" xfId="0" applyFont="1" applyBorder="1" applyAlignment="1" applyProtection="1">
      <alignment horizontal="center" vertical="center"/>
    </xf>
    <xf numFmtId="0" fontId="34" fillId="0" borderId="0" xfId="0" applyFont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/>
    </xf>
    <xf numFmtId="0" fontId="35" fillId="0" borderId="21" xfId="0" applyFont="1" applyBorder="1" applyAlignment="1" applyProtection="1">
      <alignment horizontal="center" vertical="center"/>
    </xf>
    <xf numFmtId="0" fontId="35" fillId="0" borderId="22" xfId="0" applyFont="1" applyBorder="1" applyAlignment="1" applyProtection="1">
      <alignment horizontal="center" vertical="center"/>
    </xf>
    <xf numFmtId="0" fontId="35" fillId="0" borderId="23" xfId="0" applyFont="1" applyBorder="1" applyAlignment="1" applyProtection="1">
      <alignment horizontal="center" vertical="center"/>
    </xf>
    <xf numFmtId="0" fontId="29" fillId="3" borderId="24" xfId="0" applyFont="1" applyFill="1" applyBorder="1" applyAlignment="1" applyProtection="1">
      <alignment horizontal="center" vertical="center" textRotation="90"/>
    </xf>
    <xf numFmtId="0" fontId="35" fillId="0" borderId="25" xfId="0" applyFont="1" applyBorder="1" applyAlignment="1" applyProtection="1">
      <alignment horizontal="center" vertical="center"/>
    </xf>
    <xf numFmtId="0" fontId="31" fillId="3" borderId="26" xfId="0" applyFont="1" applyFill="1" applyBorder="1" applyAlignment="1" applyProtection="1">
      <alignment horizontal="center" vertical="center" textRotation="90"/>
    </xf>
    <xf numFmtId="0" fontId="35" fillId="0" borderId="27" xfId="0" applyFont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center" vertical="center"/>
    </xf>
    <xf numFmtId="0" fontId="30" fillId="0" borderId="29" xfId="0" applyFont="1" applyBorder="1" applyAlignment="1" applyProtection="1">
      <alignment horizontal="center" vertical="center"/>
    </xf>
    <xf numFmtId="0" fontId="33" fillId="0" borderId="30" xfId="0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31" fillId="3" borderId="9" xfId="0" applyFont="1" applyFill="1" applyBorder="1" applyAlignment="1" applyProtection="1">
      <alignment horizontal="center" vertical="center" textRotation="90" wrapText="1"/>
    </xf>
    <xf numFmtId="0" fontId="5" fillId="0" borderId="10" xfId="0" applyFont="1" applyBorder="1" applyAlignment="1" applyProtection="1">
      <alignment horizontal="center" vertical="center" textRotation="90" wrapText="1"/>
    </xf>
    <xf numFmtId="0" fontId="30" fillId="0" borderId="6" xfId="0" applyNumberFormat="1" applyFont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1" xfId="0" applyFont="1" applyBorder="1" applyAlignment="1" applyProtection="1">
      <alignment horizontal="center" vertical="center"/>
    </xf>
    <xf numFmtId="0" fontId="1" fillId="2" borderId="32" xfId="0" applyFont="1" applyFill="1" applyBorder="1" applyAlignment="1" applyProtection="1">
      <alignment horizontal="center" vertical="center"/>
    </xf>
    <xf numFmtId="0" fontId="1" fillId="0" borderId="33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9" xfId="0" applyFont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3" fillId="0" borderId="6" xfId="0" applyNumberFormat="1" applyFont="1" applyBorder="1" applyAlignment="1" applyProtection="1">
      <alignment horizontal="center" vertical="center"/>
    </xf>
    <xf numFmtId="0" fontId="16" fillId="0" borderId="6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25" fillId="0" borderId="7" xfId="0" applyNumberFormat="1" applyFont="1" applyBorder="1" applyAlignment="1" applyProtection="1">
      <alignment horizontal="center" vertical="center"/>
    </xf>
    <xf numFmtId="0" fontId="23" fillId="0" borderId="7" xfId="0" applyNumberFormat="1" applyFont="1" applyBorder="1" applyAlignment="1" applyProtection="1">
      <alignment horizontal="center" vertical="center"/>
    </xf>
    <xf numFmtId="0" fontId="15" fillId="0" borderId="7" xfId="0" applyNumberFormat="1" applyFont="1" applyBorder="1" applyAlignment="1" applyProtection="1">
      <alignment horizontal="center" vertical="center"/>
    </xf>
    <xf numFmtId="0" fontId="10" fillId="0" borderId="6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18" fillId="0" borderId="7" xfId="0" applyNumberFormat="1" applyFont="1" applyBorder="1" applyAlignment="1" applyProtection="1">
      <alignment horizontal="center" vertical="center"/>
    </xf>
    <xf numFmtId="0" fontId="19" fillId="0" borderId="7" xfId="0" applyNumberFormat="1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 vertical="center"/>
    </xf>
    <xf numFmtId="0" fontId="22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center" vertical="center" wrapText="1"/>
    </xf>
    <xf numFmtId="0" fontId="36" fillId="0" borderId="0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7" fillId="0" borderId="6" xfId="0" applyNumberFormat="1" applyFont="1" applyBorder="1" applyAlignment="1">
      <alignment horizontal="center" vertical="center"/>
    </xf>
    <xf numFmtId="0" fontId="38" fillId="0" borderId="6" xfId="0" applyNumberFormat="1" applyFont="1" applyBorder="1" applyAlignment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24" fillId="0" borderId="6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 textRotation="90"/>
    </xf>
    <xf numFmtId="0" fontId="13" fillId="0" borderId="0" xfId="0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2" borderId="38" xfId="0" applyFill="1" applyBorder="1" applyAlignment="1" applyProtection="1">
      <alignment horizontal="center" vertical="center"/>
    </xf>
    <xf numFmtId="0" fontId="0" fillId="2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3" fillId="0" borderId="38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3" fillId="0" borderId="42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0" xfId="0" applyNumberFormat="1" applyFont="1" applyBorder="1" applyAlignment="1" applyProtection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3" fillId="4" borderId="44" xfId="0" applyFont="1" applyFill="1" applyBorder="1" applyAlignment="1" applyProtection="1">
      <alignment horizontal="center" vertical="center"/>
    </xf>
    <xf numFmtId="0" fontId="3" fillId="4" borderId="45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40" xfId="0" applyFont="1" applyFill="1" applyBorder="1" applyAlignment="1" applyProtection="1">
      <alignment horizontal="center" vertical="center"/>
    </xf>
    <xf numFmtId="0" fontId="3" fillId="4" borderId="46" xfId="0" applyFont="1" applyFill="1" applyBorder="1" applyAlignment="1" applyProtection="1">
      <alignment horizontal="center" vertical="center"/>
    </xf>
    <xf numFmtId="0" fontId="3" fillId="4" borderId="41" xfId="0" applyFont="1" applyFill="1" applyBorder="1" applyAlignment="1" applyProtection="1">
      <alignment horizontal="center" vertical="center"/>
    </xf>
    <xf numFmtId="11" fontId="30" fillId="0" borderId="6" xfId="0" applyNumberFormat="1" applyFont="1" applyBorder="1" applyAlignment="1" applyProtection="1">
      <alignment horizontal="center" vertical="center"/>
    </xf>
    <xf numFmtId="0" fontId="42" fillId="0" borderId="1" xfId="0" applyFont="1" applyBorder="1" applyAlignment="1" applyProtection="1">
      <alignment horizontal="center" vertical="center"/>
    </xf>
    <xf numFmtId="0" fontId="43" fillId="0" borderId="34" xfId="0" applyFont="1" applyBorder="1" applyAlignment="1" applyProtection="1">
      <alignment horizontal="center" vertical="center"/>
    </xf>
    <xf numFmtId="0" fontId="43" fillId="0" borderId="6" xfId="0" applyFont="1" applyBorder="1" applyAlignment="1" applyProtection="1">
      <alignment horizontal="center" vertical="center"/>
    </xf>
    <xf numFmtId="0" fontId="43" fillId="0" borderId="36" xfId="0" applyFont="1" applyBorder="1" applyAlignment="1" applyProtection="1">
      <alignment horizontal="center" vertical="center"/>
    </xf>
    <xf numFmtId="0" fontId="43" fillId="0" borderId="30" xfId="0" applyFont="1" applyBorder="1" applyAlignment="1" applyProtection="1">
      <alignment horizontal="center" vertical="center"/>
    </xf>
    <xf numFmtId="0" fontId="43" fillId="2" borderId="38" xfId="0" applyFont="1" applyFill="1" applyBorder="1" applyAlignment="1" applyProtection="1">
      <alignment horizontal="center" vertical="center"/>
    </xf>
    <xf numFmtId="0" fontId="43" fillId="2" borderId="12" xfId="0" applyFont="1" applyFill="1" applyBorder="1" applyAlignment="1" applyProtection="1">
      <alignment horizontal="center" vertical="center"/>
    </xf>
    <xf numFmtId="0" fontId="43" fillId="0" borderId="40" xfId="0" applyFont="1" applyBorder="1" applyAlignment="1" applyProtection="1">
      <alignment horizontal="center" vertical="center"/>
    </xf>
    <xf numFmtId="0" fontId="43" fillId="0" borderId="46" xfId="0" applyFont="1" applyBorder="1" applyAlignment="1" applyProtection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3" fillId="0" borderId="43" xfId="0" applyFont="1" applyBorder="1" applyAlignment="1" applyProtection="1">
      <alignment horizontal="center" vertical="center"/>
    </xf>
    <xf numFmtId="0" fontId="43" fillId="0" borderId="44" xfId="0" applyFont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1" fillId="0" borderId="38" xfId="0" applyFont="1" applyBorder="1" applyAlignment="1" applyProtection="1">
      <alignment horizontal="center" vertical="center" textRotation="90"/>
    </xf>
    <xf numFmtId="0" fontId="1" fillId="0" borderId="32" xfId="0" applyFont="1" applyBorder="1" applyAlignment="1" applyProtection="1">
      <alignment horizontal="center" vertical="center" textRotation="90"/>
    </xf>
    <xf numFmtId="0" fontId="5" fillId="0" borderId="39" xfId="0" applyFont="1" applyBorder="1" applyAlignment="1" applyProtection="1">
      <alignment horizontal="center" vertical="center" textRotation="90"/>
    </xf>
    <xf numFmtId="0" fontId="1" fillId="0" borderId="47" xfId="0" applyFont="1" applyBorder="1" applyAlignment="1" applyProtection="1">
      <alignment horizontal="center" vertical="center" textRotation="90"/>
    </xf>
    <xf numFmtId="0" fontId="26" fillId="0" borderId="0" xfId="0" applyFont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0" fontId="26" fillId="0" borderId="0" xfId="0" applyFont="1" applyAlignment="1" applyProtection="1">
      <alignment horizontal="left" vertical="center"/>
    </xf>
    <xf numFmtId="0" fontId="44" fillId="0" borderId="42" xfId="0" applyFont="1" applyBorder="1" applyAlignment="1" applyProtection="1">
      <alignment horizontal="center" vertical="center" textRotation="90"/>
    </xf>
    <xf numFmtId="0" fontId="5" fillId="3" borderId="0" xfId="6" applyNumberFormat="1" applyFont="1" applyFill="1" applyAlignment="1">
      <alignment horizontal="center"/>
    </xf>
    <xf numFmtId="0" fontId="5" fillId="0" borderId="0" xfId="6" applyNumberFormat="1" applyFont="1" applyAlignment="1">
      <alignment horizontal="center"/>
    </xf>
    <xf numFmtId="0" fontId="45" fillId="0" borderId="0" xfId="6" applyNumberFormat="1" applyFont="1" applyBorder="1" applyAlignment="1">
      <alignment horizontal="center"/>
    </xf>
    <xf numFmtId="0" fontId="39" fillId="0" borderId="0" xfId="6" applyNumberFormat="1" applyAlignment="1">
      <alignment horizontal="center"/>
    </xf>
    <xf numFmtId="0" fontId="45" fillId="0" borderId="28" xfId="6" applyNumberFormat="1" applyFont="1" applyBorder="1" applyAlignment="1">
      <alignment horizontal="center"/>
    </xf>
    <xf numFmtId="0" fontId="5" fillId="0" borderId="0" xfId="6" applyNumberFormat="1" applyFont="1" applyBorder="1" applyAlignment="1">
      <alignment horizontal="center"/>
    </xf>
    <xf numFmtId="0" fontId="13" fillId="0" borderId="0" xfId="6" applyNumberFormat="1" applyFont="1" applyAlignment="1">
      <alignment horizontal="center"/>
    </xf>
    <xf numFmtId="0" fontId="39" fillId="0" borderId="0" xfId="6" applyNumberFormat="1" applyBorder="1" applyAlignment="1">
      <alignment horizontal="center"/>
    </xf>
    <xf numFmtId="0" fontId="4" fillId="0" borderId="0" xfId="6" applyNumberFormat="1" applyFont="1" applyAlignment="1">
      <alignment horizontal="center"/>
    </xf>
    <xf numFmtId="0" fontId="1" fillId="0" borderId="0" xfId="6" applyNumberFormat="1" applyFont="1" applyBorder="1" applyAlignment="1">
      <alignment horizontal="center"/>
    </xf>
    <xf numFmtId="0" fontId="1" fillId="0" borderId="0" xfId="6" applyNumberFormat="1" applyFont="1" applyAlignment="1">
      <alignment horizontal="center"/>
    </xf>
    <xf numFmtId="0" fontId="5" fillId="0" borderId="0" xfId="6" applyNumberFormat="1" applyFont="1" applyFill="1" applyBorder="1" applyAlignment="1">
      <alignment horizontal="center"/>
    </xf>
    <xf numFmtId="0" fontId="39" fillId="0" borderId="0" xfId="6" applyNumberFormat="1" applyFill="1" applyBorder="1" applyAlignment="1">
      <alignment horizontal="center"/>
    </xf>
    <xf numFmtId="0" fontId="1" fillId="0" borderId="0" xfId="6" applyNumberFormat="1" applyFont="1" applyFill="1" applyAlignment="1">
      <alignment horizontal="center"/>
    </xf>
    <xf numFmtId="0" fontId="13" fillId="0" borderId="0" xfId="6" applyNumberFormat="1" applyFont="1" applyBorder="1" applyAlignment="1">
      <alignment horizontal="center"/>
    </xf>
    <xf numFmtId="0" fontId="9" fillId="0" borderId="0" xfId="6" applyNumberFormat="1" applyFont="1" applyAlignment="1">
      <alignment horizontal="center"/>
    </xf>
    <xf numFmtId="170" fontId="39" fillId="0" borderId="0" xfId="6"/>
    <xf numFmtId="0" fontId="5" fillId="0" borderId="28" xfId="6" applyNumberFormat="1" applyFont="1" applyBorder="1" applyAlignment="1">
      <alignment horizontal="center"/>
    </xf>
    <xf numFmtId="0" fontId="9" fillId="0" borderId="28" xfId="6" applyNumberFormat="1" applyFont="1" applyBorder="1" applyAlignment="1">
      <alignment horizontal="center"/>
    </xf>
    <xf numFmtId="0" fontId="39" fillId="0" borderId="28" xfId="6" applyNumberFormat="1" applyBorder="1" applyAlignment="1">
      <alignment horizontal="center"/>
    </xf>
    <xf numFmtId="0" fontId="39" fillId="0" borderId="0" xfId="6" applyNumberFormat="1" applyFont="1" applyFill="1" applyBorder="1" applyAlignment="1">
      <alignment horizontal="center"/>
    </xf>
    <xf numFmtId="0" fontId="40" fillId="0" borderId="28" xfId="6" applyNumberFormat="1" applyFont="1" applyBorder="1" applyAlignment="1">
      <alignment horizontal="center"/>
    </xf>
    <xf numFmtId="0" fontId="5" fillId="2" borderId="48" xfId="6" applyNumberFormat="1" applyFont="1" applyFill="1" applyBorder="1" applyAlignment="1">
      <alignment horizontal="center"/>
    </xf>
    <xf numFmtId="0" fontId="1" fillId="0" borderId="28" xfId="6" applyNumberFormat="1" applyFont="1" applyBorder="1" applyAlignment="1">
      <alignment horizontal="center"/>
    </xf>
    <xf numFmtId="0" fontId="46" fillId="0" borderId="0" xfId="6" applyNumberFormat="1" applyFont="1" applyFill="1" applyAlignment="1">
      <alignment horizontal="center"/>
    </xf>
    <xf numFmtId="172" fontId="13" fillId="0" borderId="0" xfId="6" applyNumberFormat="1" applyFont="1" applyFill="1" applyAlignment="1">
      <alignment horizontal="center"/>
    </xf>
    <xf numFmtId="0" fontId="32" fillId="0" borderId="0" xfId="6" applyNumberFormat="1" applyFont="1" applyAlignment="1">
      <alignment horizontal="center"/>
    </xf>
    <xf numFmtId="164" fontId="1" fillId="0" borderId="0" xfId="6" applyNumberFormat="1" applyFont="1" applyFill="1" applyAlignment="1">
      <alignment horizontal="center"/>
    </xf>
    <xf numFmtId="0" fontId="13" fillId="0" borderId="0" xfId="6" applyNumberFormat="1" applyFont="1" applyAlignment="1">
      <alignment horizontal="left"/>
    </xf>
    <xf numFmtId="0" fontId="13" fillId="0" borderId="0" xfId="6" applyNumberFormat="1" applyFont="1" applyFill="1" applyAlignment="1">
      <alignment horizontal="center"/>
    </xf>
    <xf numFmtId="170" fontId="5" fillId="0" borderId="0" xfId="6" applyFont="1" applyAlignment="1">
      <alignment horizontal="center"/>
    </xf>
    <xf numFmtId="0" fontId="43" fillId="0" borderId="0" xfId="6" applyNumberFormat="1" applyFont="1" applyAlignment="1">
      <alignment horizontal="center"/>
    </xf>
    <xf numFmtId="170" fontId="1" fillId="0" borderId="0" xfId="6" applyFont="1" applyAlignment="1">
      <alignment horizontal="center"/>
    </xf>
    <xf numFmtId="0" fontId="5" fillId="2" borderId="48" xfId="6" applyNumberFormat="1" applyFont="1" applyFill="1" applyBorder="1" applyAlignment="1">
      <alignment horizontal="center" vertical="center"/>
    </xf>
    <xf numFmtId="0" fontId="5" fillId="0" borderId="0" xfId="6" applyNumberFormat="1" applyFont="1" applyAlignment="1">
      <alignment horizontal="center" vertical="center"/>
    </xf>
    <xf numFmtId="0" fontId="39" fillId="0" borderId="0" xfId="6" applyNumberFormat="1" applyAlignment="1">
      <alignment horizontal="center" vertical="center"/>
    </xf>
    <xf numFmtId="171" fontId="13" fillId="0" borderId="0" xfId="6" applyNumberFormat="1" applyFont="1" applyAlignment="1">
      <alignment horizontal="center" vertical="center"/>
    </xf>
    <xf numFmtId="0" fontId="13" fillId="0" borderId="0" xfId="6" applyNumberFormat="1" applyFont="1" applyAlignment="1">
      <alignment horizontal="center" vertical="center"/>
    </xf>
    <xf numFmtId="0" fontId="39" fillId="0" borderId="28" xfId="6" applyNumberFormat="1" applyFill="1" applyBorder="1" applyAlignment="1">
      <alignment horizontal="center"/>
    </xf>
    <xf numFmtId="0" fontId="39" fillId="0" borderId="49" xfId="6" applyNumberFormat="1" applyFill="1" applyBorder="1" applyAlignment="1">
      <alignment horizontal="center"/>
    </xf>
    <xf numFmtId="0" fontId="39" fillId="0" borderId="50" xfId="6" applyNumberFormat="1" applyFill="1" applyBorder="1" applyAlignment="1">
      <alignment horizontal="center"/>
    </xf>
    <xf numFmtId="0" fontId="39" fillId="0" borderId="51" xfId="6" applyNumberFormat="1" applyFill="1" applyBorder="1" applyAlignment="1">
      <alignment horizontal="center"/>
    </xf>
    <xf numFmtId="0" fontId="39" fillId="0" borderId="52" xfId="6" applyNumberFormat="1" applyFill="1" applyBorder="1" applyAlignment="1">
      <alignment horizontal="center"/>
    </xf>
    <xf numFmtId="0" fontId="39" fillId="0" borderId="53" xfId="6" applyNumberFormat="1" applyFill="1" applyBorder="1" applyAlignment="1">
      <alignment horizontal="center"/>
    </xf>
    <xf numFmtId="164" fontId="39" fillId="0" borderId="52" xfId="6" applyNumberFormat="1" applyFill="1" applyBorder="1" applyAlignment="1">
      <alignment horizontal="center"/>
    </xf>
    <xf numFmtId="0" fontId="39" fillId="0" borderId="54" xfId="6" applyNumberFormat="1" applyFill="1" applyBorder="1" applyAlignment="1">
      <alignment horizontal="center"/>
    </xf>
    <xf numFmtId="0" fontId="39" fillId="0" borderId="55" xfId="6" applyNumberFormat="1" applyFill="1" applyBorder="1" applyAlignment="1">
      <alignment horizontal="center"/>
    </xf>
    <xf numFmtId="0" fontId="39" fillId="0" borderId="56" xfId="6" applyNumberFormat="1" applyFill="1" applyBorder="1" applyAlignment="1">
      <alignment horizontal="center"/>
    </xf>
    <xf numFmtId="0" fontId="39" fillId="0" borderId="57" xfId="6" applyNumberFormat="1" applyFill="1" applyBorder="1" applyAlignment="1">
      <alignment horizontal="center"/>
    </xf>
    <xf numFmtId="0" fontId="39" fillId="0" borderId="58" xfId="6" applyNumberFormat="1" applyFill="1" applyBorder="1" applyAlignment="1">
      <alignment horizontal="center"/>
    </xf>
    <xf numFmtId="0" fontId="26" fillId="0" borderId="0" xfId="0" applyFont="1" applyAlignment="1" applyProtection="1">
      <alignment horizontal="center" vertical="center" textRotation="90"/>
    </xf>
    <xf numFmtId="0" fontId="4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40" fillId="5" borderId="0" xfId="0" applyNumberFormat="1" applyFont="1" applyFill="1" applyAlignment="1">
      <alignment horizontal="center" vertical="center"/>
    </xf>
    <xf numFmtId="0" fontId="47" fillId="0" borderId="0" xfId="0" applyFont="1" applyAlignment="1" applyProtection="1">
      <alignment horizontal="center" vertical="center"/>
    </xf>
    <xf numFmtId="0" fontId="41" fillId="0" borderId="47" xfId="0" applyNumberFormat="1" applyFont="1" applyBorder="1" applyAlignment="1">
      <alignment horizontal="center"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42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0" borderId="0" xfId="0" applyNumberFormat="1" applyFont="1" applyAlignment="1">
      <alignment horizontal="center"/>
    </xf>
  </cellXfs>
  <cellStyles count="7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_MyModelStructure" xfId="6"/>
  </cellStyles>
  <dxfs count="16">
    <dxf>
      <font>
        <color indexed="29"/>
      </font>
    </dxf>
    <dxf>
      <font>
        <b/>
        <i val="0"/>
        <condense val="0"/>
        <extend val="0"/>
        <color indexed="4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29"/>
      </font>
    </dxf>
    <dxf>
      <font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4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4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RowHeight="12.75"/>
  <cols>
    <col min="1" max="1" width="4.85546875" style="14" customWidth="1"/>
    <col min="2" max="2" width="4.140625" style="14" customWidth="1"/>
    <col min="3" max="3" width="12.140625" style="14" customWidth="1"/>
    <col min="4" max="4" width="8.5703125" style="14" customWidth="1"/>
    <col min="5" max="5" width="3.28515625" style="14" bestFit="1" customWidth="1"/>
    <col min="6" max="6" width="7.7109375" style="14" bestFit="1" customWidth="1"/>
    <col min="7" max="7" width="9" style="14" bestFit="1" customWidth="1"/>
    <col min="8" max="8" width="6.7109375" style="14" customWidth="1"/>
    <col min="9" max="9" width="3" style="14" customWidth="1"/>
    <col min="10" max="10" width="6.28515625" style="14" customWidth="1"/>
    <col min="11" max="11" width="9.42578125" style="14" customWidth="1"/>
    <col min="12" max="12" width="8.7109375" style="14" customWidth="1"/>
    <col min="13" max="13" width="4.140625" style="14" bestFit="1" customWidth="1"/>
    <col min="14" max="14" width="8.7109375" style="14" customWidth="1"/>
    <col min="15" max="15" width="2.85546875" style="14" customWidth="1"/>
    <col min="16" max="17" width="3.42578125" style="14" customWidth="1"/>
    <col min="18" max="25" width="7.7109375" style="14" customWidth="1"/>
    <col min="26" max="26" width="4" style="14" bestFit="1" customWidth="1"/>
    <col min="27" max="28" width="3.42578125" style="14" customWidth="1"/>
    <col min="29" max="36" width="7.7109375" style="14" customWidth="1"/>
    <col min="37" max="37" width="4" style="14" bestFit="1" customWidth="1"/>
    <col min="38" max="39" width="3.42578125" style="14" customWidth="1"/>
    <col min="40" max="47" width="7.7109375" style="14" customWidth="1"/>
    <col min="48" max="48" width="4" style="14" bestFit="1" customWidth="1"/>
    <col min="49" max="50" width="3.42578125" style="14" customWidth="1"/>
    <col min="51" max="58" width="7.7109375" style="14" customWidth="1"/>
    <col min="59" max="59" width="4" style="14" bestFit="1" customWidth="1"/>
    <col min="60" max="61" width="3.42578125" style="14" customWidth="1"/>
    <col min="62" max="69" width="7.7109375" style="14" customWidth="1"/>
    <col min="70" max="70" width="4" style="14" bestFit="1" customWidth="1"/>
    <col min="71" max="72" width="3.42578125" style="14" customWidth="1"/>
    <col min="73" max="80" width="7.7109375" style="14" customWidth="1"/>
    <col min="81" max="81" width="4" style="14" bestFit="1" customWidth="1"/>
    <col min="82" max="83" width="3.42578125" style="14" customWidth="1"/>
    <col min="84" max="91" width="7.7109375" style="14" customWidth="1"/>
    <col min="92" max="92" width="4" style="14" bestFit="1" customWidth="1"/>
    <col min="93" max="94" width="3.42578125" style="14" customWidth="1"/>
    <col min="95" max="102" width="7.7109375" style="14" customWidth="1"/>
    <col min="103" max="103" width="4" style="14" bestFit="1" customWidth="1"/>
    <col min="104" max="105" width="3.42578125" style="14" customWidth="1"/>
    <col min="106" max="113" width="7.7109375" style="14" customWidth="1"/>
    <col min="114" max="114" width="4" style="14" bestFit="1" customWidth="1"/>
    <col min="115" max="116" width="3.42578125" style="14" customWidth="1"/>
    <col min="117" max="124" width="7.7109375" style="14" customWidth="1"/>
    <col min="125" max="125" width="4" style="14" bestFit="1" customWidth="1"/>
    <col min="126" max="126" width="3.5703125" style="14" customWidth="1"/>
    <col min="127" max="127" width="11.42578125" style="14"/>
    <col min="128" max="128" width="19.85546875" style="14" bestFit="1" customWidth="1"/>
    <col min="129" max="129" width="9.28515625" style="14" customWidth="1"/>
    <col min="130" max="130" width="14.42578125" style="14" bestFit="1" customWidth="1"/>
    <col min="131" max="131" width="9.85546875" style="14" customWidth="1"/>
    <col min="132" max="132" width="11.28515625" style="14" bestFit="1" customWidth="1"/>
    <col min="133" max="133" width="12.7109375" style="14" bestFit="1" customWidth="1"/>
    <col min="134" max="142" width="4.42578125" style="14" customWidth="1"/>
    <col min="143" max="143" width="6.28515625" style="14" bestFit="1" customWidth="1"/>
    <col min="144" max="144" width="6.85546875" style="14" bestFit="1" customWidth="1"/>
    <col min="145" max="145" width="7.28515625" style="14" customWidth="1"/>
    <col min="146" max="147" width="4.42578125" style="14" customWidth="1"/>
    <col min="148" max="148" width="7.7109375" style="14" customWidth="1"/>
    <col min="149" max="149" width="4" style="14" bestFit="1" customWidth="1"/>
    <col min="150" max="150" width="8.42578125" style="14" customWidth="1"/>
    <col min="151" max="151" width="8.140625" style="14" customWidth="1"/>
    <col min="152" max="154" width="6" style="14" customWidth="1"/>
    <col min="155" max="157" width="8.28515625" style="14" customWidth="1"/>
    <col min="158" max="158" width="3.85546875" style="14" customWidth="1"/>
    <col min="159" max="16384" width="11.42578125" style="14"/>
  </cols>
  <sheetData>
    <row r="1" spans="1:158" s="15" customFormat="1" ht="13.5" thickBot="1">
      <c r="A1" s="14"/>
      <c r="B1" s="14"/>
      <c r="D1" s="16"/>
      <c r="I1" s="14"/>
      <c r="J1" s="14"/>
      <c r="K1" s="14"/>
      <c r="L1" s="14"/>
      <c r="M1" s="14"/>
      <c r="N1" s="14"/>
      <c r="O1" s="106"/>
      <c r="P1" s="108"/>
      <c r="Q1" s="14"/>
      <c r="AA1" s="108"/>
      <c r="AB1" s="14"/>
      <c r="AL1" s="108"/>
      <c r="AM1" s="14"/>
      <c r="AW1" s="108"/>
      <c r="AX1" s="14"/>
      <c r="BH1" s="108"/>
      <c r="BI1" s="14"/>
      <c r="BS1" s="108"/>
      <c r="BT1" s="14"/>
      <c r="CD1" s="108"/>
      <c r="CE1" s="14"/>
      <c r="CO1" s="108"/>
      <c r="CP1" s="14"/>
      <c r="CZ1" s="108"/>
      <c r="DA1" s="14"/>
      <c r="DK1" s="108"/>
      <c r="DL1" s="14"/>
      <c r="DV1" s="108"/>
      <c r="EV1" s="14"/>
      <c r="EW1" s="14"/>
      <c r="EX1" s="14"/>
      <c r="EY1" s="14"/>
      <c r="EZ1" s="14"/>
      <c r="FA1" s="14"/>
      <c r="FB1" s="14"/>
    </row>
    <row r="2" spans="1:158" s="15" customFormat="1" ht="16.5" thickBot="1">
      <c r="A2" s="14"/>
      <c r="B2" s="14"/>
      <c r="D2" s="16"/>
      <c r="I2" s="14"/>
      <c r="J2" s="14"/>
      <c r="K2" s="14"/>
      <c r="L2" s="14"/>
      <c r="M2" s="14"/>
      <c r="N2" s="14"/>
      <c r="O2" s="106"/>
      <c r="P2" s="108"/>
      <c r="Q2" s="14"/>
      <c r="R2" s="243" t="s">
        <v>325</v>
      </c>
      <c r="S2" s="244"/>
      <c r="T2" s="244"/>
      <c r="U2" s="244"/>
      <c r="V2" s="244"/>
      <c r="W2" s="244"/>
      <c r="X2" s="244"/>
      <c r="Y2" s="245"/>
      <c r="AA2" s="108"/>
      <c r="AB2" s="14"/>
      <c r="AC2" s="243" t="s">
        <v>343</v>
      </c>
      <c r="AD2" s="244"/>
      <c r="AE2" s="244"/>
      <c r="AF2" s="244"/>
      <c r="AG2" s="244"/>
      <c r="AH2" s="244"/>
      <c r="AI2" s="244"/>
      <c r="AJ2" s="245"/>
      <c r="AL2" s="108"/>
      <c r="AM2" s="14"/>
      <c r="AN2" s="243" t="s">
        <v>344</v>
      </c>
      <c r="AO2" s="244"/>
      <c r="AP2" s="244"/>
      <c r="AQ2" s="244"/>
      <c r="AR2" s="244"/>
      <c r="AS2" s="244"/>
      <c r="AT2" s="244"/>
      <c r="AU2" s="245"/>
      <c r="AW2" s="108"/>
      <c r="AX2" s="14"/>
      <c r="AY2" s="243" t="s">
        <v>534</v>
      </c>
      <c r="AZ2" s="244"/>
      <c r="BA2" s="244"/>
      <c r="BB2" s="244"/>
      <c r="BC2" s="244"/>
      <c r="BD2" s="244"/>
      <c r="BE2" s="244"/>
      <c r="BF2" s="245"/>
      <c r="BH2" s="108"/>
      <c r="BI2" s="14"/>
      <c r="BJ2" s="243" t="s">
        <v>347</v>
      </c>
      <c r="BK2" s="244"/>
      <c r="BL2" s="244"/>
      <c r="BM2" s="244"/>
      <c r="BN2" s="244"/>
      <c r="BO2" s="244"/>
      <c r="BP2" s="244"/>
      <c r="BQ2" s="245"/>
      <c r="BS2" s="108"/>
      <c r="BT2" s="14"/>
      <c r="BU2" s="243" t="s">
        <v>536</v>
      </c>
      <c r="BV2" s="244"/>
      <c r="BW2" s="244"/>
      <c r="BX2" s="244"/>
      <c r="BY2" s="244"/>
      <c r="BZ2" s="244"/>
      <c r="CA2" s="244"/>
      <c r="CB2" s="245"/>
      <c r="CD2" s="108"/>
      <c r="CE2" s="14"/>
      <c r="CF2" s="243" t="s">
        <v>537</v>
      </c>
      <c r="CG2" s="244"/>
      <c r="CH2" s="244"/>
      <c r="CI2" s="244"/>
      <c r="CJ2" s="244"/>
      <c r="CK2" s="244"/>
      <c r="CL2" s="244"/>
      <c r="CM2" s="245"/>
      <c r="CO2" s="108"/>
      <c r="CP2" s="14"/>
      <c r="CQ2" s="243" t="s">
        <v>345</v>
      </c>
      <c r="CR2" s="244"/>
      <c r="CS2" s="244"/>
      <c r="CT2" s="244"/>
      <c r="CU2" s="244"/>
      <c r="CV2" s="244"/>
      <c r="CW2" s="244"/>
      <c r="CX2" s="245"/>
      <c r="CZ2" s="108"/>
      <c r="DA2" s="14"/>
      <c r="DB2" s="243" t="s">
        <v>520</v>
      </c>
      <c r="DC2" s="244"/>
      <c r="DD2" s="244"/>
      <c r="DE2" s="244"/>
      <c r="DF2" s="244"/>
      <c r="DG2" s="244"/>
      <c r="DH2" s="244"/>
      <c r="DI2" s="245"/>
      <c r="DK2" s="108"/>
      <c r="DL2" s="14"/>
      <c r="DM2" s="243" t="s">
        <v>346</v>
      </c>
      <c r="DN2" s="244"/>
      <c r="DO2" s="244"/>
      <c r="DP2" s="244"/>
      <c r="DQ2" s="244"/>
      <c r="DR2" s="244"/>
      <c r="DS2" s="244"/>
      <c r="DT2" s="245"/>
      <c r="DV2" s="108"/>
      <c r="EV2" s="14"/>
      <c r="EW2" s="14"/>
      <c r="EX2" s="14"/>
      <c r="EY2" s="14"/>
      <c r="EZ2" s="14"/>
      <c r="FA2" s="14"/>
      <c r="FB2" s="14"/>
    </row>
    <row r="3" spans="1:158" ht="96.75" thickTop="1" thickBot="1">
      <c r="A3" s="96" t="s">
        <v>241</v>
      </c>
      <c r="B3" s="96" t="s">
        <v>243</v>
      </c>
      <c r="C3" s="18" t="str">
        <f t="shared" ref="C3:C10" si="0">DY3</f>
        <v>Abbrev. Name</v>
      </c>
      <c r="D3" s="18" t="str">
        <f>EA3</f>
        <v>Gºf
(kJ/mol)</v>
      </c>
      <c r="E3" s="103" t="str">
        <f>EQ3</f>
        <v>Charge</v>
      </c>
      <c r="F3" s="18" t="str">
        <f>ER3</f>
        <v>Mmol
(g/mol)</v>
      </c>
      <c r="G3" s="103" t="str">
        <f>ES3</f>
        <v>Electrons per mole</v>
      </c>
      <c r="H3" s="103" t="str">
        <f>ET3</f>
        <v>Electrons
per C-mole/
or per mole</v>
      </c>
      <c r="J3" s="19" t="s">
        <v>239</v>
      </c>
      <c r="K3" s="19" t="s">
        <v>240</v>
      </c>
      <c r="L3" s="104" t="s">
        <v>533</v>
      </c>
      <c r="M3" s="20" t="s">
        <v>201</v>
      </c>
      <c r="N3" s="21" t="s">
        <v>200</v>
      </c>
      <c r="O3" s="107"/>
      <c r="P3" s="109"/>
      <c r="Q3" s="238" t="s">
        <v>522</v>
      </c>
      <c r="R3" s="179" t="s">
        <v>321</v>
      </c>
      <c r="S3" s="180" t="s">
        <v>322</v>
      </c>
      <c r="T3" s="181" t="s">
        <v>323</v>
      </c>
      <c r="U3" s="182" t="s">
        <v>338</v>
      </c>
      <c r="V3" s="180" t="s">
        <v>339</v>
      </c>
      <c r="W3" s="181" t="s">
        <v>190</v>
      </c>
      <c r="X3" s="182" t="s">
        <v>324</v>
      </c>
      <c r="Y3" s="187" t="s">
        <v>324</v>
      </c>
      <c r="Z3" s="138"/>
      <c r="AA3" s="109"/>
      <c r="AB3" s="238" t="s">
        <v>522</v>
      </c>
      <c r="AC3" s="179" t="s">
        <v>321</v>
      </c>
      <c r="AD3" s="180" t="s">
        <v>322</v>
      </c>
      <c r="AE3" s="181" t="s">
        <v>323</v>
      </c>
      <c r="AF3" s="182" t="s">
        <v>338</v>
      </c>
      <c r="AG3" s="180" t="s">
        <v>339</v>
      </c>
      <c r="AH3" s="181" t="s">
        <v>190</v>
      </c>
      <c r="AI3" s="182" t="s">
        <v>324</v>
      </c>
      <c r="AJ3" s="187" t="s">
        <v>324</v>
      </c>
      <c r="AK3" s="138"/>
      <c r="AL3" s="109"/>
      <c r="AM3" s="238" t="s">
        <v>522</v>
      </c>
      <c r="AN3" s="179" t="s">
        <v>321</v>
      </c>
      <c r="AO3" s="180" t="s">
        <v>322</v>
      </c>
      <c r="AP3" s="181" t="s">
        <v>323</v>
      </c>
      <c r="AQ3" s="182" t="s">
        <v>338</v>
      </c>
      <c r="AR3" s="180" t="s">
        <v>339</v>
      </c>
      <c r="AS3" s="181" t="s">
        <v>190</v>
      </c>
      <c r="AT3" s="182" t="s">
        <v>324</v>
      </c>
      <c r="AU3" s="187" t="s">
        <v>324</v>
      </c>
      <c r="AV3" s="138"/>
      <c r="AW3" s="109"/>
      <c r="AX3" s="238" t="s">
        <v>522</v>
      </c>
      <c r="AY3" s="179" t="s">
        <v>321</v>
      </c>
      <c r="AZ3" s="180" t="s">
        <v>322</v>
      </c>
      <c r="BA3" s="181" t="s">
        <v>323</v>
      </c>
      <c r="BB3" s="182" t="s">
        <v>338</v>
      </c>
      <c r="BC3" s="180" t="s">
        <v>339</v>
      </c>
      <c r="BD3" s="181" t="s">
        <v>190</v>
      </c>
      <c r="BE3" s="182" t="s">
        <v>324</v>
      </c>
      <c r="BF3" s="187" t="s">
        <v>324</v>
      </c>
      <c r="BG3" s="138"/>
      <c r="BH3" s="109"/>
      <c r="BI3" s="238" t="s">
        <v>522</v>
      </c>
      <c r="BJ3" s="179" t="s">
        <v>321</v>
      </c>
      <c r="BK3" s="180" t="s">
        <v>322</v>
      </c>
      <c r="BL3" s="181" t="s">
        <v>323</v>
      </c>
      <c r="BM3" s="182" t="s">
        <v>338</v>
      </c>
      <c r="BN3" s="180" t="s">
        <v>339</v>
      </c>
      <c r="BO3" s="181" t="s">
        <v>190</v>
      </c>
      <c r="BP3" s="182" t="s">
        <v>324</v>
      </c>
      <c r="BQ3" s="187" t="s">
        <v>324</v>
      </c>
      <c r="BR3" s="138"/>
      <c r="BS3" s="109"/>
      <c r="BT3" s="238" t="s">
        <v>522</v>
      </c>
      <c r="BU3" s="179" t="s">
        <v>321</v>
      </c>
      <c r="BV3" s="180" t="s">
        <v>322</v>
      </c>
      <c r="BW3" s="181" t="s">
        <v>323</v>
      </c>
      <c r="BX3" s="182" t="s">
        <v>338</v>
      </c>
      <c r="BY3" s="180" t="s">
        <v>339</v>
      </c>
      <c r="BZ3" s="181" t="s">
        <v>190</v>
      </c>
      <c r="CA3" s="182" t="s">
        <v>324</v>
      </c>
      <c r="CB3" s="187" t="s">
        <v>324</v>
      </c>
      <c r="CC3" s="138"/>
      <c r="CD3" s="109"/>
      <c r="CE3" s="238" t="s">
        <v>522</v>
      </c>
      <c r="CF3" s="179" t="s">
        <v>321</v>
      </c>
      <c r="CG3" s="180" t="s">
        <v>322</v>
      </c>
      <c r="CH3" s="181" t="s">
        <v>323</v>
      </c>
      <c r="CI3" s="182" t="s">
        <v>338</v>
      </c>
      <c r="CJ3" s="180" t="s">
        <v>339</v>
      </c>
      <c r="CK3" s="181" t="s">
        <v>190</v>
      </c>
      <c r="CL3" s="182" t="s">
        <v>324</v>
      </c>
      <c r="CM3" s="187" t="s">
        <v>324</v>
      </c>
      <c r="CN3" s="138"/>
      <c r="CO3" s="109"/>
      <c r="CP3" s="238" t="s">
        <v>522</v>
      </c>
      <c r="CQ3" s="179" t="s">
        <v>321</v>
      </c>
      <c r="CR3" s="180" t="s">
        <v>322</v>
      </c>
      <c r="CS3" s="181" t="s">
        <v>323</v>
      </c>
      <c r="CT3" s="182" t="s">
        <v>338</v>
      </c>
      <c r="CU3" s="180" t="s">
        <v>339</v>
      </c>
      <c r="CV3" s="181" t="s">
        <v>190</v>
      </c>
      <c r="CW3" s="182" t="s">
        <v>324</v>
      </c>
      <c r="CX3" s="187" t="s">
        <v>324</v>
      </c>
      <c r="CY3" s="138"/>
      <c r="CZ3" s="109"/>
      <c r="DA3" s="238" t="s">
        <v>522</v>
      </c>
      <c r="DB3" s="179" t="s">
        <v>321</v>
      </c>
      <c r="DC3" s="180" t="s">
        <v>322</v>
      </c>
      <c r="DD3" s="181" t="s">
        <v>323</v>
      </c>
      <c r="DE3" s="182" t="s">
        <v>338</v>
      </c>
      <c r="DF3" s="180" t="s">
        <v>339</v>
      </c>
      <c r="DG3" s="181" t="s">
        <v>190</v>
      </c>
      <c r="DH3" s="182" t="s">
        <v>324</v>
      </c>
      <c r="DI3" s="187" t="s">
        <v>324</v>
      </c>
      <c r="DJ3" s="138"/>
      <c r="DK3" s="109"/>
      <c r="DL3" s="238" t="s">
        <v>522</v>
      </c>
      <c r="DM3" s="179" t="s">
        <v>321</v>
      </c>
      <c r="DN3" s="180" t="s">
        <v>322</v>
      </c>
      <c r="DO3" s="181" t="s">
        <v>323</v>
      </c>
      <c r="DP3" s="182" t="s">
        <v>338</v>
      </c>
      <c r="DQ3" s="180" t="s">
        <v>339</v>
      </c>
      <c r="DR3" s="181" t="s">
        <v>190</v>
      </c>
      <c r="DS3" s="182" t="s">
        <v>324</v>
      </c>
      <c r="DT3" s="187" t="s">
        <v>324</v>
      </c>
      <c r="DU3" s="138"/>
      <c r="DV3" s="109"/>
      <c r="DX3" s="18" t="str">
        <f>+SpeciesDatabase!A2</f>
        <v>Name
(aquous phase unless other specified)</v>
      </c>
      <c r="DY3" s="18" t="str">
        <f>+SpeciesDatabase!B2</f>
        <v>Abbrev. Name</v>
      </c>
      <c r="DZ3" s="18" t="str">
        <f>+SpeciesDatabase!C2</f>
        <v>Struct.</v>
      </c>
      <c r="EA3" s="18" t="str">
        <f>+SpeciesDatabase!D2</f>
        <v>Gºf
(kJ/mol)</v>
      </c>
      <c r="EB3" s="18" t="str">
        <f>+SpeciesDatabase!E2</f>
        <v>Hºf
(kJ/mol)</v>
      </c>
      <c r="EC3" s="18" t="str">
        <f>+SpeciesDatabase!F2</f>
        <v>Sºf
(J/mol K)</v>
      </c>
      <c r="ED3" s="18" t="str">
        <f>+SpeciesDatabase!G2</f>
        <v>C</v>
      </c>
      <c r="EE3" s="18" t="str">
        <f>+SpeciesDatabase!H2</f>
        <v>H</v>
      </c>
      <c r="EF3" s="18" t="str">
        <f>+SpeciesDatabase!I2</f>
        <v>O</v>
      </c>
      <c r="EG3" s="17" t="str">
        <f>+SpeciesDatabase!J2</f>
        <v>N</v>
      </c>
      <c r="EH3" s="17" t="str">
        <f>+SpeciesDatabase!K2</f>
        <v>P</v>
      </c>
      <c r="EI3" s="17" t="str">
        <f>+SpeciesDatabase!L2</f>
        <v>S</v>
      </c>
      <c r="EJ3" s="17" t="str">
        <f>+SpeciesDatabase!M2</f>
        <v>Cl</v>
      </c>
      <c r="EK3" s="17" t="s">
        <v>335</v>
      </c>
      <c r="EL3" s="17" t="str">
        <f>+SpeciesDatabase!O2</f>
        <v>Ad-</v>
      </c>
      <c r="EM3" s="17" t="str">
        <f>+SpeciesDatabase!P2</f>
        <v>SpGrO</v>
      </c>
      <c r="EN3" s="17" t="str">
        <f>+SpeciesDatabase!Q2</f>
        <v>SpGrR</v>
      </c>
      <c r="EO3" s="17" t="str">
        <f>+SpeciesDatabase!R2</f>
        <v xml:space="preserve"> -S-CoA </v>
      </c>
      <c r="EP3" s="17" t="str">
        <f>+SpeciesDatabase!S2</f>
        <v>Met</v>
      </c>
      <c r="EQ3" s="103" t="str">
        <f>+SpeciesDatabase!T2</f>
        <v>Charge</v>
      </c>
      <c r="ER3" s="18" t="str">
        <f>+SpeciesDatabase!U2</f>
        <v>Mmol
(g/mol)</v>
      </c>
      <c r="ES3" s="103" t="str">
        <f>+SpeciesDatabase!V2</f>
        <v>Electrons per mole</v>
      </c>
      <c r="ET3" s="103" t="str">
        <f>+SpeciesDatabase!W2</f>
        <v>Electrons
per C-mole/
or per mole</v>
      </c>
      <c r="EV3" s="23" t="s">
        <v>227</v>
      </c>
      <c r="EW3" s="23" t="s">
        <v>228</v>
      </c>
      <c r="EX3" s="23" t="s">
        <v>229</v>
      </c>
      <c r="EY3" s="23" t="s">
        <v>231</v>
      </c>
      <c r="EZ3" s="23" t="s">
        <v>232</v>
      </c>
      <c r="FA3" s="23" t="s">
        <v>230</v>
      </c>
      <c r="FB3" s="40"/>
    </row>
    <row r="4" spans="1:158" ht="15" customHeight="1" thickTop="1" thickBot="1">
      <c r="A4" s="91" t="s">
        <v>242</v>
      </c>
      <c r="B4" s="91" t="s">
        <v>244</v>
      </c>
      <c r="C4" s="1" t="str">
        <f t="shared" si="0"/>
        <v>Glu</v>
      </c>
      <c r="D4" s="1">
        <f>'Microbial Model'!EA4</f>
        <v>-917.22</v>
      </c>
      <c r="E4" s="1">
        <f>'Microbial Model'!EQ4</f>
        <v>0</v>
      </c>
      <c r="F4" s="1">
        <f>'Microbial Model'!ER4</f>
        <v>180</v>
      </c>
      <c r="G4" s="1">
        <f>'Microbial Model'!ES4</f>
        <v>24</v>
      </c>
      <c r="H4" s="2">
        <f>'Microbial Model'!ET4</f>
        <v>4</v>
      </c>
      <c r="J4" s="87" t="s">
        <v>191</v>
      </c>
      <c r="K4" s="87" t="s">
        <v>191</v>
      </c>
      <c r="L4" s="43">
        <v>0.01</v>
      </c>
      <c r="M4" s="13">
        <v>0</v>
      </c>
      <c r="N4" s="13">
        <f t="shared" ref="N4:N23" si="1">D4+$C$26*$C$27*LN($L4)+E4*$C$25*M4</f>
        <v>-928.62964070803889</v>
      </c>
      <c r="O4" s="106"/>
      <c r="P4" s="109"/>
      <c r="Q4" s="14">
        <f>+IF(Z4="eD",1,0)</f>
        <v>0</v>
      </c>
      <c r="R4" s="176">
        <v>0</v>
      </c>
      <c r="S4" s="177">
        <v>0</v>
      </c>
      <c r="T4" s="178">
        <f t="shared" ref="T4:T23" si="2">+R4*R$24+S4*S$24</f>
        <v>0</v>
      </c>
      <c r="U4" s="176">
        <v>0</v>
      </c>
      <c r="V4" s="177">
        <v>0</v>
      </c>
      <c r="W4" s="178">
        <f t="shared" ref="W4:W23" si="3">+U4*U$24+V4*V$24</f>
        <v>0</v>
      </c>
      <c r="X4" s="184">
        <f t="shared" ref="X4:X23" si="4">+T$24*T4+W$24*W4</f>
        <v>0</v>
      </c>
      <c r="Y4" s="178">
        <f>+X4/-SUMPRODUCT(Q$4:Q$23,X$4:X$23)</f>
        <v>0</v>
      </c>
      <c r="Z4" s="28"/>
      <c r="AA4" s="109"/>
      <c r="AB4" s="14">
        <f>+IF(AK4="eD",1,0)</f>
        <v>0</v>
      </c>
      <c r="AC4" s="176">
        <v>0</v>
      </c>
      <c r="AD4" s="177">
        <v>0</v>
      </c>
      <c r="AE4" s="178">
        <f t="shared" ref="AE4:AE23" si="5">+AC4*AC$24+AD4*AD$24</f>
        <v>0</v>
      </c>
      <c r="AF4" s="176">
        <v>0</v>
      </c>
      <c r="AG4" s="177">
        <v>0</v>
      </c>
      <c r="AH4" s="178">
        <f t="shared" ref="AH4:AH23" si="6">+AF4*AF$24+AG4*AG$24</f>
        <v>0</v>
      </c>
      <c r="AI4" s="184">
        <f t="shared" ref="AI4:AI23" si="7">+AE$24*AE4+AH$24*AH4</f>
        <v>0</v>
      </c>
      <c r="AJ4" s="178">
        <f>+AI4/-SUMPRODUCT(AB$4:AB$23,AI$4:AI$23)</f>
        <v>0</v>
      </c>
      <c r="AK4" s="28"/>
      <c r="AL4" s="109"/>
      <c r="AM4" s="14">
        <f>+IF(AV4="eD",1,0)</f>
        <v>0</v>
      </c>
      <c r="AN4" s="176">
        <v>0</v>
      </c>
      <c r="AO4" s="177">
        <v>0</v>
      </c>
      <c r="AP4" s="178">
        <f t="shared" ref="AP4:AP23" si="8">+AN4*AN$24+AO4*AO$24</f>
        <v>0</v>
      </c>
      <c r="AQ4" s="176">
        <v>0</v>
      </c>
      <c r="AR4" s="177">
        <v>0</v>
      </c>
      <c r="AS4" s="178">
        <f t="shared" ref="AS4:AS23" si="9">+AQ4*AQ$24+AR4*AR$24</f>
        <v>0</v>
      </c>
      <c r="AT4" s="184">
        <f t="shared" ref="AT4:AT23" si="10">+AP$24*AP4+AS$24*AS4</f>
        <v>0</v>
      </c>
      <c r="AU4" s="178">
        <f>+AT4/-SUMPRODUCT(AM$4:AM$23,AT$4:AT$23)</f>
        <v>0</v>
      </c>
      <c r="AV4" s="28"/>
      <c r="AW4" s="109"/>
      <c r="AX4" s="14">
        <f>+IF(BG4="eD",1,0)</f>
        <v>0</v>
      </c>
      <c r="AY4" s="176">
        <v>0</v>
      </c>
      <c r="AZ4" s="177">
        <v>0</v>
      </c>
      <c r="BA4" s="178">
        <f t="shared" ref="BA4:BA23" si="11">+AY4*AY$24+AZ4*AZ$24</f>
        <v>0</v>
      </c>
      <c r="BB4" s="176">
        <v>0</v>
      </c>
      <c r="BC4" s="177">
        <v>0</v>
      </c>
      <c r="BD4" s="178">
        <f t="shared" ref="BD4:BD23" si="12">+BB4*BB$24+BC4*BC$24</f>
        <v>0</v>
      </c>
      <c r="BE4" s="184">
        <f t="shared" ref="BE4:BE23" si="13">+BA$24*BA4+BD$24*BD4</f>
        <v>0</v>
      </c>
      <c r="BF4" s="178">
        <f>+BE4/-SUMPRODUCT(AX$4:AX$23,BE$4:BE$23)</f>
        <v>0</v>
      </c>
      <c r="BG4" s="28"/>
      <c r="BH4" s="109"/>
      <c r="BI4" s="14">
        <f>+IF(BR4="eD",1,0)</f>
        <v>0</v>
      </c>
      <c r="BJ4" s="176">
        <v>0</v>
      </c>
      <c r="BK4" s="177">
        <v>0</v>
      </c>
      <c r="BL4" s="178">
        <f t="shared" ref="BL4:BL23" si="14">+BJ4*BJ$24+BK4*BK$24</f>
        <v>0</v>
      </c>
      <c r="BM4" s="176">
        <v>0</v>
      </c>
      <c r="BN4" s="177">
        <v>0</v>
      </c>
      <c r="BO4" s="178">
        <f t="shared" ref="BO4:BO23" si="15">+BM4*BM$24+BN4*BN$24</f>
        <v>0</v>
      </c>
      <c r="BP4" s="184">
        <f t="shared" ref="BP4:BP23" si="16">+BL$24*BL4+BO$24*BO4</f>
        <v>0</v>
      </c>
      <c r="BQ4" s="178">
        <f>+BP4/-SUMPRODUCT(BI$4:BI$23,BP$4:BP$23)</f>
        <v>0</v>
      </c>
      <c r="BR4" s="28"/>
      <c r="BS4" s="109"/>
      <c r="BT4" s="14">
        <f>+IF(CC4="eD",1,0)</f>
        <v>0</v>
      </c>
      <c r="BU4" s="176">
        <v>0</v>
      </c>
      <c r="BV4" s="177">
        <v>0</v>
      </c>
      <c r="BW4" s="178">
        <f t="shared" ref="BW4:BW23" si="17">+BU4*BU$24+BV4*BV$24</f>
        <v>0</v>
      </c>
      <c r="BX4" s="176">
        <v>0</v>
      </c>
      <c r="BY4" s="177">
        <v>0</v>
      </c>
      <c r="BZ4" s="178">
        <f t="shared" ref="BZ4:BZ23" si="18">+BX4*BX$24+BY4*BY$24</f>
        <v>0</v>
      </c>
      <c r="CA4" s="184">
        <f t="shared" ref="CA4:CA23" si="19">+BW$24*BW4+BZ$24*BZ4</f>
        <v>0</v>
      </c>
      <c r="CB4" s="178">
        <f>+CA4/-SUMPRODUCT(BT$4:BT$23,CA$4:CA$23)</f>
        <v>0</v>
      </c>
      <c r="CC4" s="28"/>
      <c r="CD4" s="109"/>
      <c r="CE4" s="14">
        <f>+IF(CN4="eD",1,0)</f>
        <v>0</v>
      </c>
      <c r="CF4" s="176">
        <v>0</v>
      </c>
      <c r="CG4" s="177">
        <v>0</v>
      </c>
      <c r="CH4" s="178">
        <f t="shared" ref="CH4:CH23" si="20">+CF4*CF$24+CG4*CG$24</f>
        <v>0</v>
      </c>
      <c r="CI4" s="176">
        <v>0</v>
      </c>
      <c r="CJ4" s="177">
        <v>0</v>
      </c>
      <c r="CK4" s="178">
        <f t="shared" ref="CK4:CK23" si="21">+CI4*CI$24+CJ4*CJ$24</f>
        <v>0</v>
      </c>
      <c r="CL4" s="184">
        <f t="shared" ref="CL4:CL23" si="22">+CH$24*CH4+CK$24*CK4</f>
        <v>0</v>
      </c>
      <c r="CM4" s="178">
        <f>+CL4/-SUMPRODUCT(CE$4:CE$23,CL$4:CL$23)</f>
        <v>0</v>
      </c>
      <c r="CN4" s="28"/>
      <c r="CO4" s="109"/>
      <c r="CP4" s="14">
        <f>+IF(CY4="eD",1,0)</f>
        <v>0</v>
      </c>
      <c r="CQ4" s="176">
        <v>0</v>
      </c>
      <c r="CR4" s="177">
        <v>0</v>
      </c>
      <c r="CS4" s="178">
        <f t="shared" ref="CS4:CS23" si="23">+CQ4*CQ$24+CR4*CR$24</f>
        <v>0</v>
      </c>
      <c r="CT4" s="176">
        <v>0</v>
      </c>
      <c r="CU4" s="177">
        <v>0</v>
      </c>
      <c r="CV4" s="178">
        <f t="shared" ref="CV4:CV23" si="24">+CT4*CT$24+CU4*CU$24</f>
        <v>0</v>
      </c>
      <c r="CW4" s="184">
        <f t="shared" ref="CW4:CW23" si="25">+CS$24*CS4+CV$24*CV4</f>
        <v>0</v>
      </c>
      <c r="CX4" s="178">
        <f>+CW4/-SUMPRODUCT(CP$4:CP$23,CW$4:CW$23)</f>
        <v>0</v>
      </c>
      <c r="CY4" s="28"/>
      <c r="CZ4" s="109"/>
      <c r="DA4" s="14">
        <f>+IF(DJ4="eD",1,0)</f>
        <v>0</v>
      </c>
      <c r="DB4" s="176">
        <v>0</v>
      </c>
      <c r="DC4" s="177">
        <v>0</v>
      </c>
      <c r="DD4" s="178">
        <f t="shared" ref="DD4:DD23" si="26">+DB4*DB$24+DC4*DC$24</f>
        <v>0</v>
      </c>
      <c r="DE4" s="176">
        <v>0</v>
      </c>
      <c r="DF4" s="177">
        <v>0</v>
      </c>
      <c r="DG4" s="178">
        <f t="shared" ref="DG4:DG23" si="27">+DE4*DE$24+DF4*DF$24</f>
        <v>0</v>
      </c>
      <c r="DH4" s="184">
        <f t="shared" ref="DH4:DH23" si="28">+DD$24*DD4+DG$24*DG4</f>
        <v>0</v>
      </c>
      <c r="DI4" s="178">
        <f>+DH4/-SUMPRODUCT(DA$4:DA$23,DH$4:DH$23)</f>
        <v>0</v>
      </c>
      <c r="DJ4" s="28"/>
      <c r="DK4" s="109"/>
      <c r="DL4" s="14">
        <f>+IF(DU4="eD",1,0)</f>
        <v>0</v>
      </c>
      <c r="DM4" s="176">
        <v>0</v>
      </c>
      <c r="DN4" s="177">
        <v>0</v>
      </c>
      <c r="DO4" s="178">
        <f t="shared" ref="DO4:DO23" si="29">+DM4*DM$24+DN4*DN$24</f>
        <v>0</v>
      </c>
      <c r="DP4" s="176">
        <v>0</v>
      </c>
      <c r="DQ4" s="177">
        <v>0</v>
      </c>
      <c r="DR4" s="178">
        <f t="shared" ref="DR4:DR23" si="30">+DP4*DP$24+DQ4*DQ$24</f>
        <v>0</v>
      </c>
      <c r="DS4" s="184">
        <f t="shared" ref="DS4:DS23" si="31">+DO$24*DO4+DR$24*DR4</f>
        <v>0</v>
      </c>
      <c r="DT4" s="178">
        <f>+DS4/-SUMPRODUCT(DL$4:DL$23,DS$4:DS$23)</f>
        <v>0</v>
      </c>
      <c r="DU4" s="28"/>
      <c r="DV4" s="109"/>
      <c r="DX4" s="110" t="str">
        <f>SpeciesDatabase!A45</f>
        <v>Glucose</v>
      </c>
      <c r="DY4" s="1" t="str">
        <f>SpeciesDatabase!B45</f>
        <v>Glu</v>
      </c>
      <c r="DZ4" s="1" t="str">
        <f>SpeciesDatabase!C45</f>
        <v>C6H12O6</v>
      </c>
      <c r="EA4" s="1">
        <f>SpeciesDatabase!D45</f>
        <v>-917.22</v>
      </c>
      <c r="EB4" s="1">
        <f>SpeciesDatabase!E45</f>
        <v>-1264</v>
      </c>
      <c r="EC4" s="1" t="str">
        <f>SpeciesDatabase!F45</f>
        <v>NA</v>
      </c>
      <c r="ED4" s="1">
        <f>SpeciesDatabase!G45</f>
        <v>6</v>
      </c>
      <c r="EE4" s="1">
        <f>SpeciesDatabase!H45</f>
        <v>12</v>
      </c>
      <c r="EF4" s="1">
        <f>SpeciesDatabase!I45</f>
        <v>6</v>
      </c>
      <c r="EG4" s="1">
        <f>SpeciesDatabase!J45</f>
        <v>0</v>
      </c>
      <c r="EH4" s="1">
        <f>SpeciesDatabase!K45</f>
        <v>0</v>
      </c>
      <c r="EI4" s="1">
        <f>SpeciesDatabase!L45</f>
        <v>0</v>
      </c>
      <c r="EJ4" s="1">
        <f>SpeciesDatabase!M45</f>
        <v>0</v>
      </c>
      <c r="EK4" s="1">
        <f>SpeciesDatabase!N45</f>
        <v>0</v>
      </c>
      <c r="EL4" s="1">
        <f>SpeciesDatabase!O45</f>
        <v>0</v>
      </c>
      <c r="EM4" s="1">
        <f>SpeciesDatabase!P45</f>
        <v>0</v>
      </c>
      <c r="EN4" s="1">
        <f>SpeciesDatabase!Q45</f>
        <v>0</v>
      </c>
      <c r="EO4" s="1">
        <f>SpeciesDatabase!R45</f>
        <v>0</v>
      </c>
      <c r="EP4" s="1">
        <f>SpeciesDatabase!S45</f>
        <v>0</v>
      </c>
      <c r="EQ4" s="1">
        <f>SpeciesDatabase!T45</f>
        <v>0</v>
      </c>
      <c r="ER4" s="1">
        <f>SpeciesDatabase!U45</f>
        <v>180</v>
      </c>
      <c r="ES4" s="1">
        <f>SpeciesDatabase!V45</f>
        <v>24</v>
      </c>
      <c r="ET4" s="114">
        <f>SpeciesDatabase!W45</f>
        <v>4</v>
      </c>
      <c r="EV4" s="12" t="s">
        <v>191</v>
      </c>
      <c r="EW4" s="12" t="s">
        <v>191</v>
      </c>
      <c r="EX4" s="12" t="s">
        <v>191</v>
      </c>
      <c r="EY4" s="12" t="s">
        <v>191</v>
      </c>
      <c r="EZ4" s="12" t="s">
        <v>191</v>
      </c>
      <c r="FA4" s="12" t="s">
        <v>191</v>
      </c>
    </row>
    <row r="5" spans="1:158" ht="15" customHeight="1" thickTop="1">
      <c r="A5" s="91" t="s">
        <v>242</v>
      </c>
      <c r="B5" s="91" t="s">
        <v>244</v>
      </c>
      <c r="C5" s="1" t="str">
        <f t="shared" si="0"/>
        <v>Lac-</v>
      </c>
      <c r="D5" s="1">
        <f>'Microbial Model'!EA5</f>
        <v>-517.80999999999995</v>
      </c>
      <c r="E5" s="1">
        <f>'Microbial Model'!EQ5</f>
        <v>-1</v>
      </c>
      <c r="F5" s="1">
        <f>'Microbial Model'!ER5</f>
        <v>89</v>
      </c>
      <c r="G5" s="1">
        <f>'Microbial Model'!ES5</f>
        <v>12</v>
      </c>
      <c r="H5" s="2">
        <f>'Microbial Model'!ET5</f>
        <v>4</v>
      </c>
      <c r="J5" s="87" t="s">
        <v>191</v>
      </c>
      <c r="K5" s="43">
        <v>0.01</v>
      </c>
      <c r="L5" s="105">
        <f>FA5*K5/(FA5+$L$21)</f>
        <v>9.9927608846747118E-3</v>
      </c>
      <c r="M5" s="13">
        <v>0</v>
      </c>
      <c r="N5" s="13">
        <f t="shared" si="1"/>
        <v>-529.22143490047904</v>
      </c>
      <c r="O5" s="106"/>
      <c r="P5" s="109"/>
      <c r="Q5" s="14">
        <f t="shared" ref="Q5:Q23" si="32">+IF(Z5="eD",1,0)</f>
        <v>0</v>
      </c>
      <c r="R5" s="167">
        <v>0</v>
      </c>
      <c r="S5" s="168">
        <v>0</v>
      </c>
      <c r="T5" s="141">
        <f t="shared" si="2"/>
        <v>0</v>
      </c>
      <c r="U5" s="167">
        <v>0</v>
      </c>
      <c r="V5" s="168">
        <v>0</v>
      </c>
      <c r="W5" s="141">
        <f t="shared" si="3"/>
        <v>0</v>
      </c>
      <c r="X5" s="140">
        <f t="shared" si="4"/>
        <v>0</v>
      </c>
      <c r="Y5" s="141">
        <f t="shared" ref="Y5:Y23" si="33">+X5/-SUMPRODUCT(Q$4:Q$23,X$4:X$23)</f>
        <v>0</v>
      </c>
      <c r="Z5" s="28"/>
      <c r="AA5" s="109"/>
      <c r="AB5" s="14">
        <f t="shared" ref="AB5:AB23" si="34">+IF(AK5="eD",1,0)</f>
        <v>0</v>
      </c>
      <c r="AC5" s="167">
        <v>0</v>
      </c>
      <c r="AD5" s="168">
        <v>0</v>
      </c>
      <c r="AE5" s="141">
        <f t="shared" si="5"/>
        <v>0</v>
      </c>
      <c r="AF5" s="167">
        <v>0</v>
      </c>
      <c r="AG5" s="168">
        <v>0</v>
      </c>
      <c r="AH5" s="141">
        <f t="shared" si="6"/>
        <v>0</v>
      </c>
      <c r="AI5" s="140">
        <f t="shared" si="7"/>
        <v>0</v>
      </c>
      <c r="AJ5" s="141">
        <f t="shared" ref="AJ5:AJ23" si="35">+AI5/-SUMPRODUCT(AB$4:AB$23,AI$4:AI$23)</f>
        <v>0</v>
      </c>
      <c r="AK5" s="28"/>
      <c r="AL5" s="109"/>
      <c r="AM5" s="14">
        <f t="shared" ref="AM5:AM23" si="36">+IF(AV5="eD",1,0)</f>
        <v>0</v>
      </c>
      <c r="AN5" s="167">
        <v>0</v>
      </c>
      <c r="AO5" s="168">
        <v>0</v>
      </c>
      <c r="AP5" s="141">
        <f t="shared" si="8"/>
        <v>0</v>
      </c>
      <c r="AQ5" s="167">
        <v>0</v>
      </c>
      <c r="AR5" s="168">
        <v>0</v>
      </c>
      <c r="AS5" s="141">
        <f t="shared" si="9"/>
        <v>0</v>
      </c>
      <c r="AT5" s="140">
        <f t="shared" si="10"/>
        <v>0</v>
      </c>
      <c r="AU5" s="141">
        <f t="shared" ref="AU5:AU23" si="37">+AT5/-SUMPRODUCT(AM$4:AM$23,AT$4:AT$23)</f>
        <v>0</v>
      </c>
      <c r="AV5" s="28"/>
      <c r="AW5" s="109"/>
      <c r="AX5" s="14">
        <f t="shared" ref="AX5:AX23" si="38">+IF(BG5="eD",1,0)</f>
        <v>0</v>
      </c>
      <c r="AY5" s="167">
        <v>0</v>
      </c>
      <c r="AZ5" s="168">
        <v>0</v>
      </c>
      <c r="BA5" s="141">
        <f t="shared" si="11"/>
        <v>0</v>
      </c>
      <c r="BB5" s="167">
        <v>0</v>
      </c>
      <c r="BC5" s="168">
        <v>0</v>
      </c>
      <c r="BD5" s="141">
        <f t="shared" si="12"/>
        <v>0</v>
      </c>
      <c r="BE5" s="140">
        <f t="shared" si="13"/>
        <v>0</v>
      </c>
      <c r="BF5" s="141">
        <f t="shared" ref="BF5:BF23" si="39">+BE5/-SUMPRODUCT(AX$4:AX$23,BE$4:BE$23)</f>
        <v>0</v>
      </c>
      <c r="BG5" s="28"/>
      <c r="BH5" s="109"/>
      <c r="BI5" s="14">
        <f t="shared" ref="BI5:BI23" si="40">+IF(BR5="eD",1,0)</f>
        <v>0</v>
      </c>
      <c r="BJ5" s="167">
        <v>0</v>
      </c>
      <c r="BK5" s="168">
        <v>0</v>
      </c>
      <c r="BL5" s="141">
        <f t="shared" si="14"/>
        <v>0</v>
      </c>
      <c r="BM5" s="167">
        <v>0</v>
      </c>
      <c r="BN5" s="168">
        <v>0</v>
      </c>
      <c r="BO5" s="141">
        <f t="shared" si="15"/>
        <v>0</v>
      </c>
      <c r="BP5" s="140">
        <f t="shared" si="16"/>
        <v>0</v>
      </c>
      <c r="BQ5" s="141">
        <f t="shared" ref="BQ5:BQ23" si="41">+BP5/-SUMPRODUCT(BI$4:BI$23,BP$4:BP$23)</f>
        <v>0</v>
      </c>
      <c r="BR5" s="28"/>
      <c r="BS5" s="109"/>
      <c r="BT5" s="14">
        <f t="shared" ref="BT5:BT23" si="42">+IF(CC5="eD",1,0)</f>
        <v>0</v>
      </c>
      <c r="BU5" s="167">
        <v>0</v>
      </c>
      <c r="BV5" s="168">
        <v>0</v>
      </c>
      <c r="BW5" s="141">
        <f t="shared" si="17"/>
        <v>0</v>
      </c>
      <c r="BX5" s="167">
        <v>0</v>
      </c>
      <c r="BY5" s="168">
        <v>0</v>
      </c>
      <c r="BZ5" s="141">
        <f t="shared" si="18"/>
        <v>0</v>
      </c>
      <c r="CA5" s="140">
        <f t="shared" si="19"/>
        <v>0</v>
      </c>
      <c r="CB5" s="141">
        <f t="shared" ref="CB5:CB23" si="43">+CA5/-SUMPRODUCT(BT$4:BT$23,CA$4:CA$23)</f>
        <v>0</v>
      </c>
      <c r="CC5" s="28"/>
      <c r="CD5" s="109"/>
      <c r="CE5" s="14">
        <f t="shared" ref="CE5:CE23" si="44">+IF(CN5="eD",1,0)</f>
        <v>0</v>
      </c>
      <c r="CF5" s="167">
        <v>0</v>
      </c>
      <c r="CG5" s="168">
        <v>0</v>
      </c>
      <c r="CH5" s="141">
        <f t="shared" si="20"/>
        <v>0</v>
      </c>
      <c r="CI5" s="167">
        <v>0</v>
      </c>
      <c r="CJ5" s="168">
        <v>0</v>
      </c>
      <c r="CK5" s="141">
        <f t="shared" si="21"/>
        <v>0</v>
      </c>
      <c r="CL5" s="140">
        <f t="shared" si="22"/>
        <v>0</v>
      </c>
      <c r="CM5" s="141">
        <f t="shared" ref="CM5:CM23" si="45">+CL5/-SUMPRODUCT(CE$4:CE$23,CL$4:CL$23)</f>
        <v>0</v>
      </c>
      <c r="CN5" s="28"/>
      <c r="CO5" s="109"/>
      <c r="CP5" s="14">
        <f t="shared" ref="CP5:CP23" si="46">+IF(CY5="eD",1,0)</f>
        <v>0</v>
      </c>
      <c r="CQ5" s="167">
        <v>0</v>
      </c>
      <c r="CR5" s="168">
        <v>0</v>
      </c>
      <c r="CS5" s="141">
        <f t="shared" si="23"/>
        <v>0</v>
      </c>
      <c r="CT5" s="167">
        <v>0</v>
      </c>
      <c r="CU5" s="168">
        <v>0</v>
      </c>
      <c r="CV5" s="141">
        <f t="shared" si="24"/>
        <v>0</v>
      </c>
      <c r="CW5" s="140">
        <f t="shared" si="25"/>
        <v>0</v>
      </c>
      <c r="CX5" s="141">
        <f t="shared" ref="CX5:CX23" si="47">+CW5/-SUMPRODUCT(CP$4:CP$23,CW$4:CW$23)</f>
        <v>0</v>
      </c>
      <c r="CY5" s="28"/>
      <c r="CZ5" s="109"/>
      <c r="DA5" s="14">
        <f t="shared" ref="DA5:DA23" si="48">+IF(DJ5="eD",1,0)</f>
        <v>0</v>
      </c>
      <c r="DB5" s="167">
        <v>0</v>
      </c>
      <c r="DC5" s="168">
        <v>0</v>
      </c>
      <c r="DD5" s="141">
        <f t="shared" si="26"/>
        <v>0</v>
      </c>
      <c r="DE5" s="167">
        <v>0</v>
      </c>
      <c r="DF5" s="168">
        <v>0</v>
      </c>
      <c r="DG5" s="141">
        <f t="shared" si="27"/>
        <v>0</v>
      </c>
      <c r="DH5" s="140">
        <f t="shared" si="28"/>
        <v>0</v>
      </c>
      <c r="DI5" s="141">
        <f t="shared" ref="DI5:DI23" si="49">+DH5/-SUMPRODUCT(DA$4:DA$23,DH$4:DH$23)</f>
        <v>0</v>
      </c>
      <c r="DJ5" s="28"/>
      <c r="DK5" s="109"/>
      <c r="DL5" s="14">
        <f t="shared" ref="DL5:DL23" si="50">+IF(DU5="eD",1,0)</f>
        <v>0</v>
      </c>
      <c r="DM5" s="167">
        <v>0</v>
      </c>
      <c r="DN5" s="168">
        <v>0</v>
      </c>
      <c r="DO5" s="141">
        <f t="shared" si="29"/>
        <v>0</v>
      </c>
      <c r="DP5" s="167">
        <v>0</v>
      </c>
      <c r="DQ5" s="168">
        <v>0</v>
      </c>
      <c r="DR5" s="141">
        <f t="shared" si="30"/>
        <v>0</v>
      </c>
      <c r="DS5" s="140">
        <f t="shared" si="31"/>
        <v>0</v>
      </c>
      <c r="DT5" s="141">
        <f t="shared" ref="DT5:DT23" si="51">+DS5/-SUMPRODUCT(DL$4:DL$23,DS$4:DS$23)</f>
        <v>0</v>
      </c>
      <c r="DU5" s="28"/>
      <c r="DV5" s="109"/>
      <c r="DX5" s="110" t="str">
        <f>+SpeciesDatabase!A54</f>
        <v>Lactate</v>
      </c>
      <c r="DY5" s="1" t="str">
        <f>+SpeciesDatabase!B54</f>
        <v>Lac-</v>
      </c>
      <c r="DZ5" s="1" t="str">
        <f>+SpeciesDatabase!C54</f>
        <v>C3H5O3-</v>
      </c>
      <c r="EA5" s="1">
        <f>+SpeciesDatabase!D54</f>
        <v>-517.80999999999995</v>
      </c>
      <c r="EB5" s="1">
        <f>+SpeciesDatabase!E54</f>
        <v>-687</v>
      </c>
      <c r="EC5" s="1" t="str">
        <f>+SpeciesDatabase!F54</f>
        <v>NA</v>
      </c>
      <c r="ED5" s="1">
        <f>+SpeciesDatabase!G54</f>
        <v>3</v>
      </c>
      <c r="EE5" s="1">
        <f>+SpeciesDatabase!H54</f>
        <v>5</v>
      </c>
      <c r="EF5" s="1">
        <f>+SpeciesDatabase!I54</f>
        <v>3</v>
      </c>
      <c r="EG5" s="1">
        <f>+SpeciesDatabase!J54</f>
        <v>0</v>
      </c>
      <c r="EH5" s="1">
        <f>+SpeciesDatabase!K54</f>
        <v>0</v>
      </c>
      <c r="EI5" s="1">
        <f>+SpeciesDatabase!L54</f>
        <v>0</v>
      </c>
      <c r="EJ5" s="1">
        <f>+SpeciesDatabase!M54</f>
        <v>0</v>
      </c>
      <c r="EK5" s="1">
        <f>+SpeciesDatabase!N54</f>
        <v>0</v>
      </c>
      <c r="EL5" s="1">
        <f>+SpeciesDatabase!O54</f>
        <v>0</v>
      </c>
      <c r="EM5" s="1">
        <f>+SpeciesDatabase!P54</f>
        <v>0</v>
      </c>
      <c r="EN5" s="1">
        <f>+SpeciesDatabase!Q54</f>
        <v>0</v>
      </c>
      <c r="EO5" s="1">
        <f>+SpeciesDatabase!R54</f>
        <v>0</v>
      </c>
      <c r="EP5" s="1">
        <f>+SpeciesDatabase!S54</f>
        <v>0</v>
      </c>
      <c r="EQ5" s="1">
        <f>+SpeciesDatabase!T54</f>
        <v>-1</v>
      </c>
      <c r="ER5" s="1">
        <f>+SpeciesDatabase!U54</f>
        <v>89</v>
      </c>
      <c r="ES5" s="1">
        <f>+SpeciesDatabase!V54</f>
        <v>12</v>
      </c>
      <c r="ET5" s="114">
        <f>+SpeciesDatabase!W54</f>
        <v>4</v>
      </c>
      <c r="EV5" s="12" t="s">
        <v>191</v>
      </c>
      <c r="EW5" s="12" t="s">
        <v>191</v>
      </c>
      <c r="EX5" s="12">
        <v>3.86</v>
      </c>
      <c r="EY5" s="12" t="s">
        <v>191</v>
      </c>
      <c r="EZ5" s="12" t="s">
        <v>191</v>
      </c>
      <c r="FA5" s="12">
        <f>10^(-EX5)</f>
        <v>1.3803842646028844E-4</v>
      </c>
    </row>
    <row r="6" spans="1:158" ht="15" customHeight="1">
      <c r="A6" s="92" t="s">
        <v>242</v>
      </c>
      <c r="B6" s="92" t="s">
        <v>244</v>
      </c>
      <c r="C6" s="1" t="str">
        <f t="shared" si="0"/>
        <v>Ac-</v>
      </c>
      <c r="D6" s="1">
        <f>'Microbial Model'!EA6</f>
        <v>-369.41</v>
      </c>
      <c r="E6" s="1">
        <f>'Microbial Model'!EQ6</f>
        <v>-1</v>
      </c>
      <c r="F6" s="1">
        <f>'Microbial Model'!ER6</f>
        <v>59</v>
      </c>
      <c r="G6" s="1">
        <f>'Microbial Model'!ES6</f>
        <v>8</v>
      </c>
      <c r="H6" s="2">
        <f>'Microbial Model'!ET6</f>
        <v>4</v>
      </c>
      <c r="J6" s="87" t="s">
        <v>191</v>
      </c>
      <c r="K6" s="43">
        <v>0.01</v>
      </c>
      <c r="L6" s="105">
        <f>FA6*K6/(FA6+$L$21)</f>
        <v>9.941974689009021E-3</v>
      </c>
      <c r="M6" s="13">
        <v>0</v>
      </c>
      <c r="N6" s="13">
        <f t="shared" si="1"/>
        <v>-380.83405876781097</v>
      </c>
      <c r="O6" s="106"/>
      <c r="P6" s="109"/>
      <c r="Q6" s="14">
        <f t="shared" si="32"/>
        <v>0</v>
      </c>
      <c r="R6" s="167">
        <v>0</v>
      </c>
      <c r="S6" s="168">
        <v>0</v>
      </c>
      <c r="T6" s="141">
        <f t="shared" si="2"/>
        <v>0</v>
      </c>
      <c r="U6" s="167">
        <v>0</v>
      </c>
      <c r="V6" s="168">
        <v>0</v>
      </c>
      <c r="W6" s="141">
        <f t="shared" si="3"/>
        <v>0</v>
      </c>
      <c r="X6" s="140">
        <f t="shared" si="4"/>
        <v>0</v>
      </c>
      <c r="Y6" s="141">
        <f t="shared" si="33"/>
        <v>0</v>
      </c>
      <c r="Z6" s="28"/>
      <c r="AA6" s="109"/>
      <c r="AB6" s="14">
        <f t="shared" si="34"/>
        <v>0</v>
      </c>
      <c r="AC6" s="167">
        <v>0</v>
      </c>
      <c r="AD6" s="168">
        <v>0</v>
      </c>
      <c r="AE6" s="141">
        <f t="shared" si="5"/>
        <v>0</v>
      </c>
      <c r="AF6" s="167">
        <v>0</v>
      </c>
      <c r="AG6" s="168">
        <v>0</v>
      </c>
      <c r="AH6" s="141">
        <f t="shared" si="6"/>
        <v>0</v>
      </c>
      <c r="AI6" s="140">
        <f t="shared" si="7"/>
        <v>0</v>
      </c>
      <c r="AJ6" s="141">
        <f t="shared" si="35"/>
        <v>0</v>
      </c>
      <c r="AK6" s="28"/>
      <c r="AL6" s="109"/>
      <c r="AM6" s="14">
        <f t="shared" si="36"/>
        <v>0</v>
      </c>
      <c r="AN6" s="167">
        <v>0</v>
      </c>
      <c r="AO6" s="168">
        <v>0</v>
      </c>
      <c r="AP6" s="141">
        <f t="shared" si="8"/>
        <v>0</v>
      </c>
      <c r="AQ6" s="167">
        <v>0</v>
      </c>
      <c r="AR6" s="168">
        <v>0</v>
      </c>
      <c r="AS6" s="141">
        <f t="shared" si="9"/>
        <v>0</v>
      </c>
      <c r="AT6" s="140">
        <f t="shared" si="10"/>
        <v>0</v>
      </c>
      <c r="AU6" s="141">
        <f t="shared" si="37"/>
        <v>0</v>
      </c>
      <c r="AV6" s="28"/>
      <c r="AW6" s="109"/>
      <c r="AX6" s="14">
        <f t="shared" si="38"/>
        <v>1</v>
      </c>
      <c r="AY6" s="167">
        <v>-1</v>
      </c>
      <c r="AZ6" s="168">
        <v>0</v>
      </c>
      <c r="BA6" s="141">
        <f t="shared" si="11"/>
        <v>-1</v>
      </c>
      <c r="BB6" s="167">
        <v>0</v>
      </c>
      <c r="BC6" s="168">
        <v>0</v>
      </c>
      <c r="BD6" s="141">
        <f t="shared" si="12"/>
        <v>0</v>
      </c>
      <c r="BE6" s="140">
        <f t="shared" si="13"/>
        <v>-6.666666666666667</v>
      </c>
      <c r="BF6" s="141">
        <f t="shared" si="39"/>
        <v>-1</v>
      </c>
      <c r="BG6" s="22" t="s">
        <v>340</v>
      </c>
      <c r="BH6" s="109"/>
      <c r="BI6" s="14">
        <f t="shared" si="40"/>
        <v>0</v>
      </c>
      <c r="BJ6" s="167">
        <v>0</v>
      </c>
      <c r="BK6" s="168">
        <v>0</v>
      </c>
      <c r="BL6" s="141">
        <f t="shared" si="14"/>
        <v>0</v>
      </c>
      <c r="BM6" s="167">
        <v>0</v>
      </c>
      <c r="BN6" s="168">
        <v>0</v>
      </c>
      <c r="BO6" s="141">
        <f t="shared" si="15"/>
        <v>0</v>
      </c>
      <c r="BP6" s="140">
        <f t="shared" si="16"/>
        <v>0</v>
      </c>
      <c r="BQ6" s="141">
        <f t="shared" si="41"/>
        <v>0</v>
      </c>
      <c r="BR6" s="186"/>
      <c r="BS6" s="109"/>
      <c r="BT6" s="14">
        <f t="shared" si="42"/>
        <v>0</v>
      </c>
      <c r="BU6" s="167">
        <v>-1</v>
      </c>
      <c r="BV6" s="168">
        <v>0</v>
      </c>
      <c r="BW6" s="141">
        <f t="shared" si="17"/>
        <v>-1</v>
      </c>
      <c r="BX6" s="167">
        <v>0</v>
      </c>
      <c r="BY6" s="168">
        <v>0</v>
      </c>
      <c r="BZ6" s="141">
        <f t="shared" si="18"/>
        <v>0</v>
      </c>
      <c r="CA6" s="140">
        <f t="shared" si="19"/>
        <v>1.5625</v>
      </c>
      <c r="CB6" s="141">
        <f t="shared" si="43"/>
        <v>0.125</v>
      </c>
      <c r="CC6" s="186"/>
      <c r="CD6" s="109"/>
      <c r="CE6" s="14">
        <f t="shared" si="44"/>
        <v>0</v>
      </c>
      <c r="CF6" s="167">
        <v>-1</v>
      </c>
      <c r="CG6" s="168">
        <v>0</v>
      </c>
      <c r="CH6" s="141">
        <f t="shared" si="20"/>
        <v>-1</v>
      </c>
      <c r="CI6" s="167">
        <v>0</v>
      </c>
      <c r="CJ6" s="168">
        <v>0</v>
      </c>
      <c r="CK6" s="141">
        <f t="shared" si="21"/>
        <v>0</v>
      </c>
      <c r="CL6" s="140">
        <f t="shared" si="22"/>
        <v>-3.125</v>
      </c>
      <c r="CM6" s="141">
        <f t="shared" si="45"/>
        <v>-0.25</v>
      </c>
      <c r="CN6" s="186"/>
      <c r="CO6" s="109"/>
      <c r="CP6" s="239">
        <v>1</v>
      </c>
      <c r="CQ6" s="167">
        <v>-1</v>
      </c>
      <c r="CR6" s="168">
        <v>-1</v>
      </c>
      <c r="CS6" s="141">
        <f t="shared" si="23"/>
        <v>-2</v>
      </c>
      <c r="CT6" s="167">
        <v>-0.5</v>
      </c>
      <c r="CU6" s="168">
        <v>-1</v>
      </c>
      <c r="CV6" s="141">
        <f t="shared" si="24"/>
        <v>-0.52500000000000002</v>
      </c>
      <c r="CW6" s="140">
        <f t="shared" si="25"/>
        <v>-16.666666666666668</v>
      </c>
      <c r="CX6" s="141">
        <f t="shared" si="47"/>
        <v>-1</v>
      </c>
      <c r="CY6" s="186" t="s">
        <v>527</v>
      </c>
      <c r="CZ6" s="109"/>
      <c r="DA6" s="14">
        <f t="shared" si="48"/>
        <v>0</v>
      </c>
      <c r="DB6" s="167">
        <v>0</v>
      </c>
      <c r="DC6" s="168">
        <v>0</v>
      </c>
      <c r="DD6" s="141">
        <f t="shared" si="26"/>
        <v>0</v>
      </c>
      <c r="DE6" s="167">
        <v>0</v>
      </c>
      <c r="DF6" s="168">
        <v>0</v>
      </c>
      <c r="DG6" s="141">
        <f t="shared" si="27"/>
        <v>0</v>
      </c>
      <c r="DH6" s="140">
        <f t="shared" si="28"/>
        <v>0</v>
      </c>
      <c r="DI6" s="141">
        <f t="shared" si="49"/>
        <v>0</v>
      </c>
      <c r="DK6" s="109"/>
      <c r="DL6" s="14">
        <f t="shared" si="50"/>
        <v>0</v>
      </c>
      <c r="DM6" s="167">
        <v>0</v>
      </c>
      <c r="DN6" s="168">
        <v>0</v>
      </c>
      <c r="DO6" s="141">
        <f t="shared" si="29"/>
        <v>0</v>
      </c>
      <c r="DP6" s="167">
        <v>0</v>
      </c>
      <c r="DQ6" s="168">
        <v>0</v>
      </c>
      <c r="DR6" s="141">
        <f t="shared" si="30"/>
        <v>0</v>
      </c>
      <c r="DS6" s="140">
        <f t="shared" si="31"/>
        <v>0</v>
      </c>
      <c r="DT6" s="141">
        <f t="shared" si="51"/>
        <v>0</v>
      </c>
      <c r="DU6" s="186"/>
      <c r="DV6" s="109"/>
      <c r="DX6" s="110" t="str">
        <f>SpeciesDatabase!A5</f>
        <v>Acetate</v>
      </c>
      <c r="DY6" s="1" t="str">
        <f>SpeciesDatabase!B5</f>
        <v>Ac-</v>
      </c>
      <c r="DZ6" s="1" t="str">
        <f>SpeciesDatabase!C5</f>
        <v>C2H3O2-</v>
      </c>
      <c r="EA6" s="1">
        <f>SpeciesDatabase!D5</f>
        <v>-369.41</v>
      </c>
      <c r="EB6" s="1">
        <f>SpeciesDatabase!E5</f>
        <v>-486</v>
      </c>
      <c r="EC6" s="1">
        <f>SpeciesDatabase!F5</f>
        <v>86.6</v>
      </c>
      <c r="ED6" s="1">
        <f>SpeciesDatabase!G5</f>
        <v>2</v>
      </c>
      <c r="EE6" s="1">
        <f>SpeciesDatabase!H5</f>
        <v>3</v>
      </c>
      <c r="EF6" s="1">
        <f>SpeciesDatabase!I5</f>
        <v>2</v>
      </c>
      <c r="EG6" s="1">
        <f>SpeciesDatabase!J5</f>
        <v>0</v>
      </c>
      <c r="EH6" s="1">
        <f>SpeciesDatabase!K5</f>
        <v>0</v>
      </c>
      <c r="EI6" s="1">
        <f>SpeciesDatabase!L5</f>
        <v>0</v>
      </c>
      <c r="EJ6" s="1">
        <f>SpeciesDatabase!M5</f>
        <v>0</v>
      </c>
      <c r="EK6" s="1">
        <f>SpeciesDatabase!N5</f>
        <v>0</v>
      </c>
      <c r="EL6" s="1">
        <f>SpeciesDatabase!O5</f>
        <v>0</v>
      </c>
      <c r="EM6" s="1">
        <f>SpeciesDatabase!P5</f>
        <v>0</v>
      </c>
      <c r="EN6" s="1">
        <f>SpeciesDatabase!Q5</f>
        <v>0</v>
      </c>
      <c r="EO6" s="1">
        <f>SpeciesDatabase!R5</f>
        <v>0</v>
      </c>
      <c r="EP6" s="1">
        <f>SpeciesDatabase!S5</f>
        <v>0</v>
      </c>
      <c r="EQ6" s="1">
        <f>SpeciesDatabase!T5</f>
        <v>-1</v>
      </c>
      <c r="ER6" s="1">
        <f>SpeciesDatabase!U5</f>
        <v>59</v>
      </c>
      <c r="ES6" s="1">
        <f>SpeciesDatabase!V5</f>
        <v>8</v>
      </c>
      <c r="ET6" s="114">
        <f>SpeciesDatabase!W5</f>
        <v>4</v>
      </c>
      <c r="EV6" s="12" t="s">
        <v>191</v>
      </c>
      <c r="EW6" s="12" t="s">
        <v>191</v>
      </c>
      <c r="EX6" s="12">
        <f>-LOG(FA6)</f>
        <v>4.7661448236214392</v>
      </c>
      <c r="EY6" s="12">
        <v>0</v>
      </c>
      <c r="EZ6" s="12">
        <v>0</v>
      </c>
      <c r="FA6" s="90">
        <f>EXP((SpeciesDatabase!$D$6-SpeciesDatabase!$D$5)/('Microbial Model'!$C$26*'Microbial Model'!$C$27))</f>
        <v>1.7133858516595603E-5</v>
      </c>
      <c r="FB6" s="89"/>
    </row>
    <row r="7" spans="1:158" ht="15" customHeight="1">
      <c r="A7" s="92" t="s">
        <v>242</v>
      </c>
      <c r="B7" s="92" t="s">
        <v>244</v>
      </c>
      <c r="C7" s="1" t="str">
        <f t="shared" si="0"/>
        <v>CH4</v>
      </c>
      <c r="D7" s="1">
        <f>'Microbial Model'!EA7</f>
        <v>-34.4</v>
      </c>
      <c r="E7" s="1">
        <f>'Microbial Model'!EQ7</f>
        <v>0</v>
      </c>
      <c r="F7" s="1">
        <f>'Microbial Model'!ER7</f>
        <v>16</v>
      </c>
      <c r="G7" s="1">
        <f>'Microbial Model'!ES7</f>
        <v>8</v>
      </c>
      <c r="H7" s="2">
        <f>'Microbial Model'!ET7</f>
        <v>8</v>
      </c>
      <c r="I7" s="139"/>
      <c r="J7" s="87" t="s">
        <v>191</v>
      </c>
      <c r="K7" s="87" t="s">
        <v>191</v>
      </c>
      <c r="L7" s="43">
        <v>1E-3</v>
      </c>
      <c r="M7" s="13">
        <v>0</v>
      </c>
      <c r="N7" s="13">
        <f t="shared" si="1"/>
        <v>-51.514461062058331</v>
      </c>
      <c r="O7" s="106"/>
      <c r="P7" s="109"/>
      <c r="Q7" s="14">
        <f t="shared" si="32"/>
        <v>0</v>
      </c>
      <c r="R7" s="167">
        <v>0</v>
      </c>
      <c r="S7" s="168">
        <v>0</v>
      </c>
      <c r="T7" s="141">
        <f t="shared" si="2"/>
        <v>0</v>
      </c>
      <c r="U7" s="167">
        <v>0</v>
      </c>
      <c r="V7" s="168">
        <v>0</v>
      </c>
      <c r="W7" s="141">
        <f t="shared" si="3"/>
        <v>0</v>
      </c>
      <c r="X7" s="140">
        <f t="shared" si="4"/>
        <v>0</v>
      </c>
      <c r="Y7" s="141">
        <f t="shared" si="33"/>
        <v>0</v>
      </c>
      <c r="Z7" s="28"/>
      <c r="AA7" s="109"/>
      <c r="AB7" s="14">
        <f t="shared" si="34"/>
        <v>0</v>
      </c>
      <c r="AC7" s="167">
        <v>0</v>
      </c>
      <c r="AD7" s="168">
        <v>0</v>
      </c>
      <c r="AE7" s="141">
        <f t="shared" si="5"/>
        <v>0</v>
      </c>
      <c r="AF7" s="167">
        <v>0</v>
      </c>
      <c r="AG7" s="168">
        <v>0</v>
      </c>
      <c r="AH7" s="141">
        <f t="shared" si="6"/>
        <v>0</v>
      </c>
      <c r="AI7" s="140">
        <f t="shared" si="7"/>
        <v>0</v>
      </c>
      <c r="AJ7" s="141">
        <f t="shared" si="35"/>
        <v>0</v>
      </c>
      <c r="AK7" s="28"/>
      <c r="AL7" s="109"/>
      <c r="AM7" s="14">
        <f t="shared" si="36"/>
        <v>0</v>
      </c>
      <c r="AN7" s="167">
        <v>0</v>
      </c>
      <c r="AO7" s="168">
        <v>0</v>
      </c>
      <c r="AP7" s="141">
        <f t="shared" si="8"/>
        <v>0</v>
      </c>
      <c r="AQ7" s="167">
        <v>0</v>
      </c>
      <c r="AR7" s="168">
        <v>0</v>
      </c>
      <c r="AS7" s="141">
        <f t="shared" si="9"/>
        <v>0</v>
      </c>
      <c r="AT7" s="140">
        <f t="shared" si="10"/>
        <v>0</v>
      </c>
      <c r="AU7" s="141">
        <f t="shared" si="37"/>
        <v>0</v>
      </c>
      <c r="AV7" s="28"/>
      <c r="AW7" s="109"/>
      <c r="AX7" s="14">
        <f t="shared" si="38"/>
        <v>0</v>
      </c>
      <c r="AY7" s="167">
        <v>0</v>
      </c>
      <c r="AZ7" s="168">
        <v>0</v>
      </c>
      <c r="BA7" s="141">
        <f t="shared" si="11"/>
        <v>0</v>
      </c>
      <c r="BB7" s="167">
        <v>0</v>
      </c>
      <c r="BC7" s="168">
        <v>0</v>
      </c>
      <c r="BD7" s="141">
        <f t="shared" si="12"/>
        <v>0</v>
      </c>
      <c r="BE7" s="140">
        <f t="shared" si="13"/>
        <v>0</v>
      </c>
      <c r="BF7" s="141">
        <f t="shared" si="39"/>
        <v>0</v>
      </c>
      <c r="BG7" s="28"/>
      <c r="BH7" s="109"/>
      <c r="BI7" s="14">
        <f t="shared" si="40"/>
        <v>0</v>
      </c>
      <c r="BJ7" s="167">
        <v>0</v>
      </c>
      <c r="BK7" s="168">
        <v>0</v>
      </c>
      <c r="BL7" s="141">
        <f t="shared" si="14"/>
        <v>0</v>
      </c>
      <c r="BM7" s="167">
        <v>0</v>
      </c>
      <c r="BN7" s="168">
        <v>0</v>
      </c>
      <c r="BO7" s="141">
        <f t="shared" si="15"/>
        <v>0</v>
      </c>
      <c r="BP7" s="140">
        <f t="shared" si="16"/>
        <v>0</v>
      </c>
      <c r="BQ7" s="141">
        <f t="shared" si="41"/>
        <v>0</v>
      </c>
      <c r="BS7" s="109"/>
      <c r="BT7" s="14">
        <f t="shared" si="42"/>
        <v>0</v>
      </c>
      <c r="BU7" s="167">
        <v>0</v>
      </c>
      <c r="BV7" s="168">
        <v>0</v>
      </c>
      <c r="BW7" s="141">
        <f t="shared" si="17"/>
        <v>0</v>
      </c>
      <c r="BX7" s="167">
        <v>0</v>
      </c>
      <c r="BY7" s="168">
        <v>0</v>
      </c>
      <c r="BZ7" s="141">
        <f t="shared" si="18"/>
        <v>0</v>
      </c>
      <c r="CA7" s="140">
        <f t="shared" si="19"/>
        <v>0</v>
      </c>
      <c r="CB7" s="141">
        <f t="shared" si="43"/>
        <v>0</v>
      </c>
      <c r="CD7" s="109"/>
      <c r="CE7" s="14">
        <f t="shared" si="44"/>
        <v>0</v>
      </c>
      <c r="CF7" s="167">
        <v>0</v>
      </c>
      <c r="CG7" s="168">
        <v>0</v>
      </c>
      <c r="CH7" s="141">
        <f t="shared" si="20"/>
        <v>0</v>
      </c>
      <c r="CI7" s="167">
        <v>0</v>
      </c>
      <c r="CJ7" s="168">
        <v>0</v>
      </c>
      <c r="CK7" s="141">
        <f t="shared" si="21"/>
        <v>0</v>
      </c>
      <c r="CL7" s="140">
        <f t="shared" si="22"/>
        <v>0</v>
      </c>
      <c r="CM7" s="141">
        <f t="shared" si="45"/>
        <v>0</v>
      </c>
      <c r="CO7" s="109"/>
      <c r="CP7" s="14">
        <f t="shared" si="46"/>
        <v>0</v>
      </c>
      <c r="CQ7" s="167">
        <v>0</v>
      </c>
      <c r="CR7" s="168">
        <v>2</v>
      </c>
      <c r="CS7" s="141">
        <f t="shared" si="23"/>
        <v>2</v>
      </c>
      <c r="CT7" s="167">
        <v>0</v>
      </c>
      <c r="CU7" s="168">
        <v>0</v>
      </c>
      <c r="CV7" s="141">
        <f t="shared" si="24"/>
        <v>0</v>
      </c>
      <c r="CW7" s="140">
        <f t="shared" si="25"/>
        <v>16.141666666666669</v>
      </c>
      <c r="CX7" s="141">
        <f t="shared" si="47"/>
        <v>0.96850000000000014</v>
      </c>
      <c r="CY7" s="28"/>
      <c r="CZ7" s="109"/>
      <c r="DA7" s="14">
        <f t="shared" si="48"/>
        <v>0</v>
      </c>
      <c r="DB7" s="167">
        <v>0</v>
      </c>
      <c r="DC7" s="168">
        <v>1</v>
      </c>
      <c r="DD7" s="141">
        <f t="shared" si="26"/>
        <v>0.25</v>
      </c>
      <c r="DE7" s="167">
        <v>0</v>
      </c>
      <c r="DF7" s="168">
        <v>0</v>
      </c>
      <c r="DG7" s="141">
        <f t="shared" si="27"/>
        <v>0</v>
      </c>
      <c r="DH7" s="140">
        <f t="shared" si="28"/>
        <v>2.6583333333333332</v>
      </c>
      <c r="DI7" s="141">
        <f t="shared" si="49"/>
        <v>0.199375</v>
      </c>
      <c r="DJ7" s="28"/>
      <c r="DK7" s="109"/>
      <c r="DL7" s="14">
        <f t="shared" si="50"/>
        <v>1</v>
      </c>
      <c r="DM7" s="167">
        <v>-1</v>
      </c>
      <c r="DN7" s="168">
        <v>0</v>
      </c>
      <c r="DO7" s="141">
        <f t="shared" si="29"/>
        <v>-1</v>
      </c>
      <c r="DP7" s="167">
        <v>-1</v>
      </c>
      <c r="DQ7" s="168">
        <v>-1</v>
      </c>
      <c r="DR7" s="141">
        <f t="shared" si="30"/>
        <v>-0.52500000000000002</v>
      </c>
      <c r="DS7" s="140">
        <f t="shared" si="31"/>
        <v>-14.285714285714285</v>
      </c>
      <c r="DT7" s="141">
        <f t="shared" si="51"/>
        <v>-1</v>
      </c>
      <c r="DU7" s="22" t="s">
        <v>340</v>
      </c>
      <c r="DV7" s="109"/>
      <c r="DX7" s="110" t="str">
        <f>+SpeciesDatabase!A58</f>
        <v>Methane</v>
      </c>
      <c r="DY7" s="1" t="str">
        <f>+SpeciesDatabase!B58</f>
        <v>CH4</v>
      </c>
      <c r="DZ7" s="3" t="str">
        <f>+SpeciesDatabase!C58</f>
        <v>CH4</v>
      </c>
      <c r="EA7" s="3">
        <f>+SpeciesDatabase!D58</f>
        <v>-34.4</v>
      </c>
      <c r="EB7" s="1">
        <f>+SpeciesDatabase!E58</f>
        <v>-89</v>
      </c>
      <c r="EC7" s="1">
        <f>+SpeciesDatabase!F58</f>
        <v>83.7</v>
      </c>
      <c r="ED7" s="1">
        <f>+SpeciesDatabase!G58</f>
        <v>1</v>
      </c>
      <c r="EE7" s="1">
        <f>+SpeciesDatabase!H58</f>
        <v>4</v>
      </c>
      <c r="EF7" s="1">
        <f>+SpeciesDatabase!I58</f>
        <v>0</v>
      </c>
      <c r="EG7" s="1">
        <f>+SpeciesDatabase!J58</f>
        <v>0</v>
      </c>
      <c r="EH7" s="1">
        <f>+SpeciesDatabase!K58</f>
        <v>0</v>
      </c>
      <c r="EI7" s="1">
        <f>+SpeciesDatabase!L58</f>
        <v>0</v>
      </c>
      <c r="EJ7" s="1">
        <f>+SpeciesDatabase!M58</f>
        <v>0</v>
      </c>
      <c r="EK7" s="1">
        <f>+SpeciesDatabase!N58</f>
        <v>0</v>
      </c>
      <c r="EL7" s="1">
        <f>+SpeciesDatabase!O58</f>
        <v>0</v>
      </c>
      <c r="EM7" s="1">
        <f>+SpeciesDatabase!P58</f>
        <v>0</v>
      </c>
      <c r="EN7" s="1">
        <f>+SpeciesDatabase!Q58</f>
        <v>0</v>
      </c>
      <c r="EO7" s="1">
        <f>+SpeciesDatabase!R58</f>
        <v>0</v>
      </c>
      <c r="EP7" s="1">
        <f>+SpeciesDatabase!S58</f>
        <v>0</v>
      </c>
      <c r="EQ7" s="1">
        <f>+SpeciesDatabase!T58</f>
        <v>0</v>
      </c>
      <c r="ER7" s="1">
        <f>+SpeciesDatabase!U58</f>
        <v>16</v>
      </c>
      <c r="ES7" s="1">
        <f>+SpeciesDatabase!V58</f>
        <v>8</v>
      </c>
      <c r="ET7" s="114">
        <f>+SpeciesDatabase!W58</f>
        <v>8</v>
      </c>
      <c r="EV7" s="43" t="s">
        <v>191</v>
      </c>
      <c r="EW7" s="43" t="s">
        <v>191</v>
      </c>
      <c r="EX7" s="43" t="s">
        <v>191</v>
      </c>
      <c r="EY7" s="12" t="s">
        <v>191</v>
      </c>
      <c r="EZ7" s="12" t="s">
        <v>191</v>
      </c>
      <c r="FA7" s="12" t="s">
        <v>191</v>
      </c>
    </row>
    <row r="8" spans="1:158" ht="15" customHeight="1">
      <c r="A8" s="92" t="s">
        <v>242</v>
      </c>
      <c r="B8" s="92" t="s">
        <v>244</v>
      </c>
      <c r="C8" s="14" t="str">
        <f t="shared" si="0"/>
        <v>CO2</v>
      </c>
      <c r="D8" s="1">
        <f>'Microbial Model'!EA8</f>
        <v>-386</v>
      </c>
      <c r="E8" s="1">
        <f>'Microbial Model'!EQ8</f>
        <v>0</v>
      </c>
      <c r="F8" s="1">
        <f>'Microbial Model'!ER8</f>
        <v>44</v>
      </c>
      <c r="G8" s="1">
        <f>'Microbial Model'!ES8</f>
        <v>0</v>
      </c>
      <c r="H8" s="2">
        <f>'Microbial Model'!ET8</f>
        <v>0</v>
      </c>
      <c r="J8" s="87" t="s">
        <v>191</v>
      </c>
      <c r="K8" s="43">
        <v>0.01</v>
      </c>
      <c r="L8" s="105">
        <f>K8*$L$21^2/(FA8*EZ8+FA8*$L$21+$L$21^2)</f>
        <v>1.8615628172918292E-3</v>
      </c>
      <c r="M8" s="13">
        <v>0</v>
      </c>
      <c r="N8" s="13">
        <f t="shared" si="1"/>
        <v>-401.57485728995266</v>
      </c>
      <c r="O8" s="106"/>
      <c r="P8" s="109"/>
      <c r="Q8" s="14">
        <f t="shared" si="32"/>
        <v>1</v>
      </c>
      <c r="R8" s="167">
        <v>0</v>
      </c>
      <c r="S8" s="168">
        <v>0</v>
      </c>
      <c r="T8" s="141">
        <f t="shared" si="2"/>
        <v>0</v>
      </c>
      <c r="U8" s="167">
        <v>-1</v>
      </c>
      <c r="V8" s="168">
        <v>0</v>
      </c>
      <c r="W8" s="141">
        <f t="shared" si="3"/>
        <v>-1</v>
      </c>
      <c r="X8" s="140">
        <f t="shared" si="4"/>
        <v>-1</v>
      </c>
      <c r="Y8" s="141">
        <f t="shared" si="33"/>
        <v>-1</v>
      </c>
      <c r="Z8" s="242" t="s">
        <v>340</v>
      </c>
      <c r="AA8" s="109"/>
      <c r="AB8" s="14">
        <f t="shared" si="34"/>
        <v>0</v>
      </c>
      <c r="AC8" s="167">
        <v>0</v>
      </c>
      <c r="AD8" s="168">
        <v>0</v>
      </c>
      <c r="AE8" s="141">
        <f t="shared" si="5"/>
        <v>0</v>
      </c>
      <c r="AF8" s="167">
        <v>-1</v>
      </c>
      <c r="AG8" s="168">
        <v>0</v>
      </c>
      <c r="AH8" s="141">
        <f t="shared" si="6"/>
        <v>-1</v>
      </c>
      <c r="AI8" s="140">
        <f t="shared" si="7"/>
        <v>-1</v>
      </c>
      <c r="AJ8" s="141">
        <f t="shared" si="35"/>
        <v>-0.2</v>
      </c>
      <c r="AL8" s="109"/>
      <c r="AM8" s="14">
        <f t="shared" si="36"/>
        <v>0</v>
      </c>
      <c r="AN8" s="167">
        <v>0</v>
      </c>
      <c r="AO8" s="168">
        <v>0</v>
      </c>
      <c r="AP8" s="141">
        <f t="shared" si="8"/>
        <v>0</v>
      </c>
      <c r="AQ8" s="167">
        <v>-1</v>
      </c>
      <c r="AR8" s="168">
        <v>0</v>
      </c>
      <c r="AS8" s="141">
        <f t="shared" si="9"/>
        <v>-1</v>
      </c>
      <c r="AT8" s="140">
        <f t="shared" si="10"/>
        <v>-1</v>
      </c>
      <c r="AU8" s="141">
        <f t="shared" si="37"/>
        <v>-0.15</v>
      </c>
      <c r="AW8" s="109"/>
      <c r="AX8" s="14">
        <f t="shared" si="38"/>
        <v>0</v>
      </c>
      <c r="AY8" s="167">
        <v>2</v>
      </c>
      <c r="AZ8" s="168">
        <v>0</v>
      </c>
      <c r="BA8" s="141">
        <f t="shared" si="11"/>
        <v>2</v>
      </c>
      <c r="BB8" s="167">
        <v>-1</v>
      </c>
      <c r="BC8" s="168">
        <v>0</v>
      </c>
      <c r="BD8" s="141">
        <f t="shared" si="12"/>
        <v>-1</v>
      </c>
      <c r="BE8" s="140">
        <f t="shared" si="13"/>
        <v>12.333333333333334</v>
      </c>
      <c r="BF8" s="141">
        <f t="shared" si="39"/>
        <v>1.85</v>
      </c>
      <c r="BH8" s="109"/>
      <c r="BI8" s="14">
        <f t="shared" si="40"/>
        <v>0</v>
      </c>
      <c r="BJ8" s="167">
        <v>0</v>
      </c>
      <c r="BK8" s="168">
        <v>0</v>
      </c>
      <c r="BL8" s="141">
        <f t="shared" si="14"/>
        <v>0</v>
      </c>
      <c r="BM8" s="167">
        <v>-1</v>
      </c>
      <c r="BN8" s="168">
        <v>0</v>
      </c>
      <c r="BO8" s="141">
        <f t="shared" si="15"/>
        <v>-1</v>
      </c>
      <c r="BP8" s="140">
        <f t="shared" si="16"/>
        <v>-1</v>
      </c>
      <c r="BQ8" s="141">
        <f t="shared" si="41"/>
        <v>-0.08</v>
      </c>
      <c r="BS8" s="109"/>
      <c r="BT8" s="14">
        <f t="shared" si="42"/>
        <v>0</v>
      </c>
      <c r="BU8" s="167">
        <v>2</v>
      </c>
      <c r="BV8" s="168">
        <v>0</v>
      </c>
      <c r="BW8" s="141">
        <f t="shared" si="17"/>
        <v>2</v>
      </c>
      <c r="BX8" s="167">
        <v>-1</v>
      </c>
      <c r="BY8" s="168">
        <v>0</v>
      </c>
      <c r="BZ8" s="141">
        <f t="shared" si="18"/>
        <v>-1</v>
      </c>
      <c r="CA8" s="140">
        <f t="shared" si="19"/>
        <v>-4.125</v>
      </c>
      <c r="CB8" s="141">
        <f t="shared" si="43"/>
        <v>-0.33</v>
      </c>
      <c r="CD8" s="109"/>
      <c r="CE8" s="14">
        <f t="shared" si="44"/>
        <v>0</v>
      </c>
      <c r="CF8" s="167">
        <v>2</v>
      </c>
      <c r="CG8" s="168">
        <v>0</v>
      </c>
      <c r="CH8" s="141">
        <f t="shared" si="20"/>
        <v>2</v>
      </c>
      <c r="CI8" s="167">
        <v>-1</v>
      </c>
      <c r="CJ8" s="168">
        <v>0</v>
      </c>
      <c r="CK8" s="141">
        <f t="shared" si="21"/>
        <v>-1</v>
      </c>
      <c r="CL8" s="140">
        <f t="shared" si="22"/>
        <v>5.25</v>
      </c>
      <c r="CM8" s="141">
        <f t="shared" si="45"/>
        <v>0.42</v>
      </c>
      <c r="CO8" s="109"/>
      <c r="CP8" s="14">
        <f t="shared" si="46"/>
        <v>0</v>
      </c>
      <c r="CQ8" s="167">
        <v>2</v>
      </c>
      <c r="CR8" s="168">
        <v>0</v>
      </c>
      <c r="CS8" s="141">
        <f t="shared" si="23"/>
        <v>2</v>
      </c>
      <c r="CT8" s="167">
        <v>0</v>
      </c>
      <c r="CU8" s="168">
        <v>2</v>
      </c>
      <c r="CV8" s="141">
        <f t="shared" si="24"/>
        <v>0.05</v>
      </c>
      <c r="CW8" s="140">
        <f t="shared" si="25"/>
        <v>16.19166666666667</v>
      </c>
      <c r="CX8" s="141">
        <f t="shared" si="47"/>
        <v>0.97150000000000014</v>
      </c>
      <c r="CZ8" s="109"/>
      <c r="DA8" s="14">
        <f t="shared" si="48"/>
        <v>0</v>
      </c>
      <c r="DB8" s="167">
        <v>0</v>
      </c>
      <c r="DC8" s="168">
        <v>-1</v>
      </c>
      <c r="DD8" s="141">
        <f t="shared" si="26"/>
        <v>-0.25</v>
      </c>
      <c r="DE8" s="167">
        <v>-1</v>
      </c>
      <c r="DF8" s="168">
        <v>0</v>
      </c>
      <c r="DG8" s="141">
        <f t="shared" si="27"/>
        <v>-1</v>
      </c>
      <c r="DH8" s="140">
        <f t="shared" si="28"/>
        <v>-3.6583333333333332</v>
      </c>
      <c r="DI8" s="141">
        <f t="shared" si="49"/>
        <v>-0.27437500000000004</v>
      </c>
      <c r="DJ8" s="183" t="s">
        <v>342</v>
      </c>
      <c r="DK8" s="109"/>
      <c r="DL8" s="14">
        <f t="shared" si="50"/>
        <v>0</v>
      </c>
      <c r="DM8" s="167">
        <v>1</v>
      </c>
      <c r="DN8" s="168">
        <v>0</v>
      </c>
      <c r="DO8" s="141">
        <f t="shared" si="29"/>
        <v>1</v>
      </c>
      <c r="DP8" s="167">
        <v>0</v>
      </c>
      <c r="DQ8" s="168">
        <v>1</v>
      </c>
      <c r="DR8" s="141">
        <f t="shared" si="30"/>
        <v>-0.47499999999999998</v>
      </c>
      <c r="DS8" s="140">
        <f t="shared" si="31"/>
        <v>13.285714285714285</v>
      </c>
      <c r="DT8" s="141">
        <f t="shared" si="51"/>
        <v>0.93</v>
      </c>
      <c r="DV8" s="109"/>
      <c r="DX8" s="110" t="str">
        <f>SpeciesDatabase!A29</f>
        <v>Carbon Dioxide</v>
      </c>
      <c r="DY8" s="1" t="str">
        <f>SpeciesDatabase!B29</f>
        <v>CO2</v>
      </c>
      <c r="DZ8" s="1" t="str">
        <f>SpeciesDatabase!C29</f>
        <v>CO2</v>
      </c>
      <c r="EA8" s="1">
        <f>SpeciesDatabase!D29</f>
        <v>-386</v>
      </c>
      <c r="EB8" s="1">
        <f>SpeciesDatabase!E29</f>
        <v>-413.8</v>
      </c>
      <c r="EC8" s="1">
        <f>SpeciesDatabase!F29</f>
        <v>117.6</v>
      </c>
      <c r="ED8" s="1">
        <f>SpeciesDatabase!G29</f>
        <v>1</v>
      </c>
      <c r="EE8" s="1">
        <f>SpeciesDatabase!H29</f>
        <v>0</v>
      </c>
      <c r="EF8" s="1">
        <f>SpeciesDatabase!I29</f>
        <v>2</v>
      </c>
      <c r="EG8" s="1">
        <f>SpeciesDatabase!J29</f>
        <v>0</v>
      </c>
      <c r="EH8" s="1">
        <f>SpeciesDatabase!K29</f>
        <v>0</v>
      </c>
      <c r="EI8" s="1">
        <f>SpeciesDatabase!L29</f>
        <v>0</v>
      </c>
      <c r="EJ8" s="1">
        <f>SpeciesDatabase!M29</f>
        <v>0</v>
      </c>
      <c r="EK8" s="1">
        <f>SpeciesDatabase!N29</f>
        <v>0</v>
      </c>
      <c r="EL8" s="1">
        <f>SpeciesDatabase!O29</f>
        <v>0</v>
      </c>
      <c r="EM8" s="1">
        <f>SpeciesDatabase!P29</f>
        <v>0</v>
      </c>
      <c r="EN8" s="1">
        <f>SpeciesDatabase!Q29</f>
        <v>0</v>
      </c>
      <c r="EO8" s="1">
        <f>SpeciesDatabase!R29</f>
        <v>0</v>
      </c>
      <c r="EP8" s="1">
        <f>SpeciesDatabase!S29</f>
        <v>0</v>
      </c>
      <c r="EQ8" s="1">
        <f>SpeciesDatabase!T29</f>
        <v>0</v>
      </c>
      <c r="ER8" s="1">
        <f>SpeciesDatabase!U29</f>
        <v>44</v>
      </c>
      <c r="ES8" s="1">
        <f>SpeciesDatabase!V29</f>
        <v>0</v>
      </c>
      <c r="ET8" s="114">
        <f>SpeciesDatabase!W29</f>
        <v>0</v>
      </c>
      <c r="EV8" s="43" t="s">
        <v>191</v>
      </c>
      <c r="EW8" s="12">
        <f>-LOG(EZ8)</f>
        <v>10.342131099436003</v>
      </c>
      <c r="EX8" s="12">
        <f>-LOG(FA8)</f>
        <v>6.35953417436507</v>
      </c>
      <c r="EY8" s="12">
        <v>0</v>
      </c>
      <c r="EZ8" s="90">
        <f>EXP((SpeciesDatabase!$D$33-SpeciesDatabase!$D$31)/('Microbial Model'!$C$26*'Microbial Model'!$C$27))</f>
        <v>4.5485073472119088E-11</v>
      </c>
      <c r="FA8" s="90">
        <f>EXP((SpeciesDatabase!$D$29+SpeciesDatabase!$D$106-SpeciesDatabase!$D$33)/('Microbial Model'!$C$26*'Microbial Model'!$C$27))</f>
        <v>4.3698429169312641E-7</v>
      </c>
      <c r="FB8" s="89"/>
    </row>
    <row r="9" spans="1:158" ht="15" customHeight="1">
      <c r="A9" s="92" t="s">
        <v>242</v>
      </c>
      <c r="B9" s="92" t="s">
        <v>244</v>
      </c>
      <c r="C9" s="1" t="str">
        <f t="shared" si="0"/>
        <v>H2</v>
      </c>
      <c r="D9" s="1">
        <f>'Microbial Model'!EA9</f>
        <v>17.55</v>
      </c>
      <c r="E9" s="1">
        <f>'Microbial Model'!EQ9</f>
        <v>0</v>
      </c>
      <c r="F9" s="1">
        <f>'Microbial Model'!ER9</f>
        <v>2</v>
      </c>
      <c r="G9" s="1">
        <f>'Microbial Model'!ES9</f>
        <v>2</v>
      </c>
      <c r="H9" s="2">
        <f>'Microbial Model'!ET9</f>
        <v>2</v>
      </c>
      <c r="J9" s="43">
        <v>0.5</v>
      </c>
      <c r="K9" s="87" t="s">
        <v>191</v>
      </c>
      <c r="L9" s="105">
        <f>EXP(-D9/($C$26*$C$27))*J9</f>
        <v>4.1939594601130313E-4</v>
      </c>
      <c r="M9" s="13">
        <v>0</v>
      </c>
      <c r="N9" s="13">
        <f t="shared" si="1"/>
        <v>-1.7173220464342656</v>
      </c>
      <c r="O9" s="106"/>
      <c r="P9" s="109"/>
      <c r="Q9" s="14">
        <f t="shared" si="32"/>
        <v>0</v>
      </c>
      <c r="R9" s="167">
        <v>0</v>
      </c>
      <c r="S9" s="168">
        <v>0</v>
      </c>
      <c r="T9" s="141">
        <f t="shared" si="2"/>
        <v>0</v>
      </c>
      <c r="U9" s="167">
        <v>0</v>
      </c>
      <c r="V9" s="168">
        <v>0</v>
      </c>
      <c r="W9" s="141">
        <f t="shared" si="3"/>
        <v>0</v>
      </c>
      <c r="X9" s="140">
        <f t="shared" si="4"/>
        <v>0</v>
      </c>
      <c r="Y9" s="141">
        <f t="shared" si="33"/>
        <v>0</v>
      </c>
      <c r="Z9" s="28"/>
      <c r="AA9" s="109"/>
      <c r="AB9" s="14">
        <f t="shared" si="34"/>
        <v>0</v>
      </c>
      <c r="AC9" s="167">
        <v>0</v>
      </c>
      <c r="AD9" s="168">
        <v>0</v>
      </c>
      <c r="AE9" s="141">
        <f t="shared" si="5"/>
        <v>0</v>
      </c>
      <c r="AF9" s="167">
        <v>0</v>
      </c>
      <c r="AG9" s="168">
        <v>0</v>
      </c>
      <c r="AH9" s="141">
        <f t="shared" si="6"/>
        <v>0</v>
      </c>
      <c r="AI9" s="140">
        <f t="shared" si="7"/>
        <v>0</v>
      </c>
      <c r="AJ9" s="141">
        <f t="shared" si="35"/>
        <v>0</v>
      </c>
      <c r="AK9" s="28"/>
      <c r="AL9" s="109"/>
      <c r="AM9" s="14">
        <f t="shared" si="36"/>
        <v>0</v>
      </c>
      <c r="AN9" s="167">
        <v>0</v>
      </c>
      <c r="AO9" s="168">
        <v>0</v>
      </c>
      <c r="AP9" s="141">
        <f t="shared" si="8"/>
        <v>0</v>
      </c>
      <c r="AQ9" s="167">
        <v>0</v>
      </c>
      <c r="AR9" s="168">
        <v>0</v>
      </c>
      <c r="AS9" s="141">
        <f t="shared" si="9"/>
        <v>0</v>
      </c>
      <c r="AT9" s="140">
        <f t="shared" si="10"/>
        <v>0</v>
      </c>
      <c r="AU9" s="141">
        <f t="shared" si="37"/>
        <v>0</v>
      </c>
      <c r="AV9" s="28"/>
      <c r="AW9" s="109"/>
      <c r="AX9" s="14">
        <f t="shared" si="38"/>
        <v>0</v>
      </c>
      <c r="AY9" s="167">
        <v>0</v>
      </c>
      <c r="AZ9" s="168">
        <v>0</v>
      </c>
      <c r="BA9" s="141">
        <f t="shared" si="11"/>
        <v>0</v>
      </c>
      <c r="BB9" s="167">
        <v>0</v>
      </c>
      <c r="BC9" s="168">
        <v>0</v>
      </c>
      <c r="BD9" s="141">
        <f t="shared" si="12"/>
        <v>0</v>
      </c>
      <c r="BE9" s="140">
        <f t="shared" si="13"/>
        <v>0</v>
      </c>
      <c r="BF9" s="141">
        <f t="shared" si="39"/>
        <v>0</v>
      </c>
      <c r="BG9" s="28"/>
      <c r="BH9" s="109"/>
      <c r="BI9" s="14">
        <f t="shared" si="40"/>
        <v>0</v>
      </c>
      <c r="BJ9" s="167">
        <v>0</v>
      </c>
      <c r="BK9" s="168">
        <v>0</v>
      </c>
      <c r="BL9" s="141">
        <f t="shared" si="14"/>
        <v>0</v>
      </c>
      <c r="BM9" s="167">
        <v>0</v>
      </c>
      <c r="BN9" s="168">
        <v>0</v>
      </c>
      <c r="BO9" s="141">
        <f t="shared" si="15"/>
        <v>0</v>
      </c>
      <c r="BP9" s="140">
        <f t="shared" si="16"/>
        <v>0</v>
      </c>
      <c r="BQ9" s="141">
        <f t="shared" si="41"/>
        <v>0</v>
      </c>
      <c r="BR9" s="28"/>
      <c r="BS9" s="109"/>
      <c r="BT9" s="14">
        <f t="shared" si="42"/>
        <v>0</v>
      </c>
      <c r="BU9" s="167">
        <v>0</v>
      </c>
      <c r="BV9" s="168">
        <v>0</v>
      </c>
      <c r="BW9" s="141">
        <f t="shared" si="17"/>
        <v>0</v>
      </c>
      <c r="BX9" s="167">
        <v>0</v>
      </c>
      <c r="BY9" s="168">
        <v>0</v>
      </c>
      <c r="BZ9" s="141">
        <f t="shared" si="18"/>
        <v>0</v>
      </c>
      <c r="CA9" s="140">
        <f t="shared" si="19"/>
        <v>0</v>
      </c>
      <c r="CB9" s="141">
        <f t="shared" si="43"/>
        <v>0</v>
      </c>
      <c r="CC9" s="28"/>
      <c r="CD9" s="109"/>
      <c r="CE9" s="14">
        <f t="shared" si="44"/>
        <v>0</v>
      </c>
      <c r="CF9" s="167">
        <v>0</v>
      </c>
      <c r="CG9" s="168">
        <v>0</v>
      </c>
      <c r="CH9" s="141">
        <f t="shared" si="20"/>
        <v>0</v>
      </c>
      <c r="CI9" s="167">
        <v>0</v>
      </c>
      <c r="CJ9" s="168">
        <v>0</v>
      </c>
      <c r="CK9" s="141">
        <f t="shared" si="21"/>
        <v>0</v>
      </c>
      <c r="CL9" s="140">
        <f t="shared" si="22"/>
        <v>0</v>
      </c>
      <c r="CM9" s="141">
        <f t="shared" si="45"/>
        <v>0</v>
      </c>
      <c r="CN9" s="28"/>
      <c r="CO9" s="109"/>
      <c r="CP9" s="14">
        <f t="shared" si="46"/>
        <v>0</v>
      </c>
      <c r="CQ9" s="167">
        <v>0</v>
      </c>
      <c r="CR9" s="168">
        <v>0</v>
      </c>
      <c r="CS9" s="141">
        <f t="shared" si="23"/>
        <v>0</v>
      </c>
      <c r="CT9" s="167">
        <v>0</v>
      </c>
      <c r="CU9" s="168">
        <v>0</v>
      </c>
      <c r="CV9" s="141">
        <f t="shared" si="24"/>
        <v>0</v>
      </c>
      <c r="CW9" s="140">
        <f t="shared" si="25"/>
        <v>0</v>
      </c>
      <c r="CX9" s="141">
        <f t="shared" si="47"/>
        <v>0</v>
      </c>
      <c r="CY9" s="28"/>
      <c r="CZ9" s="109"/>
      <c r="DA9" s="14">
        <f t="shared" si="48"/>
        <v>1</v>
      </c>
      <c r="DB9" s="167">
        <v>-1</v>
      </c>
      <c r="DC9" s="168">
        <v>0</v>
      </c>
      <c r="DD9" s="141">
        <f t="shared" si="26"/>
        <v>-1</v>
      </c>
      <c r="DE9" s="167">
        <v>0</v>
      </c>
      <c r="DF9" s="168">
        <v>-1</v>
      </c>
      <c r="DG9" s="141">
        <f t="shared" si="27"/>
        <v>-2.7</v>
      </c>
      <c r="DH9" s="140">
        <f t="shared" si="28"/>
        <v>-13.333333333333332</v>
      </c>
      <c r="DI9" s="141">
        <f t="shared" si="49"/>
        <v>-1</v>
      </c>
      <c r="DJ9" s="186" t="s">
        <v>340</v>
      </c>
      <c r="DK9" s="109"/>
      <c r="DL9" s="14">
        <f t="shared" si="50"/>
        <v>0</v>
      </c>
      <c r="DM9" s="167">
        <v>0</v>
      </c>
      <c r="DN9" s="168">
        <v>0</v>
      </c>
      <c r="DO9" s="141">
        <f t="shared" si="29"/>
        <v>0</v>
      </c>
      <c r="DP9" s="167">
        <v>0</v>
      </c>
      <c r="DQ9" s="168">
        <v>0</v>
      </c>
      <c r="DR9" s="141">
        <f t="shared" si="30"/>
        <v>0</v>
      </c>
      <c r="DS9" s="140">
        <f t="shared" si="31"/>
        <v>0</v>
      </c>
      <c r="DT9" s="141">
        <f t="shared" si="51"/>
        <v>0</v>
      </c>
      <c r="DU9" s="28"/>
      <c r="DV9" s="109"/>
      <c r="DX9" s="110" t="str">
        <f>SpeciesDatabase!A50</f>
        <v>Hydrogen</v>
      </c>
      <c r="DY9" s="1" t="str">
        <f>SpeciesDatabase!B50</f>
        <v>H2</v>
      </c>
      <c r="DZ9" s="1" t="str">
        <f>SpeciesDatabase!C50</f>
        <v>H2</v>
      </c>
      <c r="EA9" s="1">
        <f>SpeciesDatabase!D50</f>
        <v>17.55</v>
      </c>
      <c r="EB9" s="1">
        <f>SpeciesDatabase!E50</f>
        <v>-4.16</v>
      </c>
      <c r="EC9" s="1">
        <f>SpeciesDatabase!F50</f>
        <v>57.7</v>
      </c>
      <c r="ED9" s="1">
        <f>SpeciesDatabase!G50</f>
        <v>0</v>
      </c>
      <c r="EE9" s="1">
        <f>SpeciesDatabase!H50</f>
        <v>2</v>
      </c>
      <c r="EF9" s="1">
        <f>SpeciesDatabase!I50</f>
        <v>0</v>
      </c>
      <c r="EG9" s="1">
        <f>SpeciesDatabase!J50</f>
        <v>0</v>
      </c>
      <c r="EH9" s="1">
        <f>SpeciesDatabase!K50</f>
        <v>0</v>
      </c>
      <c r="EI9" s="1">
        <f>SpeciesDatabase!L50</f>
        <v>0</v>
      </c>
      <c r="EJ9" s="1">
        <f>SpeciesDatabase!M50</f>
        <v>0</v>
      </c>
      <c r="EK9" s="1">
        <f>SpeciesDatabase!N50</f>
        <v>0</v>
      </c>
      <c r="EL9" s="1">
        <f>SpeciesDatabase!O50</f>
        <v>0</v>
      </c>
      <c r="EM9" s="1">
        <f>SpeciesDatabase!P50</f>
        <v>0</v>
      </c>
      <c r="EN9" s="1">
        <f>SpeciesDatabase!Q50</f>
        <v>0</v>
      </c>
      <c r="EO9" s="1">
        <f>SpeciesDatabase!R50</f>
        <v>0</v>
      </c>
      <c r="EP9" s="1">
        <f>SpeciesDatabase!S50</f>
        <v>0</v>
      </c>
      <c r="EQ9" s="1">
        <f>SpeciesDatabase!T50</f>
        <v>0</v>
      </c>
      <c r="ER9" s="1">
        <f>SpeciesDatabase!U50</f>
        <v>2</v>
      </c>
      <c r="ES9" s="1">
        <f>SpeciesDatabase!V50</f>
        <v>2</v>
      </c>
      <c r="ET9" s="114">
        <f>SpeciesDatabase!W50</f>
        <v>2</v>
      </c>
      <c r="EV9" s="12" t="s">
        <v>191</v>
      </c>
      <c r="EW9" s="12" t="s">
        <v>191</v>
      </c>
      <c r="EX9" s="12" t="s">
        <v>191</v>
      </c>
      <c r="EY9" s="12" t="s">
        <v>191</v>
      </c>
      <c r="EZ9" s="12" t="s">
        <v>191</v>
      </c>
      <c r="FA9" s="12" t="s">
        <v>191</v>
      </c>
    </row>
    <row r="10" spans="1:158" ht="15" customHeight="1">
      <c r="A10" s="92" t="s">
        <v>242</v>
      </c>
      <c r="B10" s="92" t="s">
        <v>244</v>
      </c>
      <c r="C10" s="1" t="str">
        <f t="shared" si="0"/>
        <v>NH4+</v>
      </c>
      <c r="D10" s="1">
        <f>'Microbial Model'!EA10</f>
        <v>-79.37</v>
      </c>
      <c r="E10" s="1">
        <f>'Microbial Model'!EQ10</f>
        <v>1</v>
      </c>
      <c r="F10" s="1">
        <f>'Microbial Model'!ER10</f>
        <v>18</v>
      </c>
      <c r="G10" s="1">
        <f>'Microbial Model'!ES10</f>
        <v>0</v>
      </c>
      <c r="H10" s="2">
        <f>'Microbial Model'!ET10</f>
        <v>0</v>
      </c>
      <c r="J10" s="87" t="s">
        <v>191</v>
      </c>
      <c r="K10" s="43">
        <v>0.01</v>
      </c>
      <c r="L10" s="165">
        <f>K10-(FA10*K10/(FA10+$L$21))</f>
        <v>9.9440895669730637E-3</v>
      </c>
      <c r="M10" s="13">
        <v>0</v>
      </c>
      <c r="N10" s="13">
        <f t="shared" si="1"/>
        <v>-90.793531789482884</v>
      </c>
      <c r="O10" s="106"/>
      <c r="P10" s="109"/>
      <c r="Q10" s="14">
        <f t="shared" si="32"/>
        <v>0</v>
      </c>
      <c r="R10" s="167">
        <v>0</v>
      </c>
      <c r="S10" s="168">
        <v>0</v>
      </c>
      <c r="T10" s="141">
        <f t="shared" si="2"/>
        <v>0</v>
      </c>
      <c r="U10" s="167">
        <v>-0.2</v>
      </c>
      <c r="V10" s="168">
        <v>0</v>
      </c>
      <c r="W10" s="141">
        <f t="shared" si="3"/>
        <v>-0.2</v>
      </c>
      <c r="X10" s="140">
        <f t="shared" si="4"/>
        <v>-0.2</v>
      </c>
      <c r="Y10" s="141">
        <f t="shared" si="33"/>
        <v>-0.2</v>
      </c>
      <c r="Z10" s="28"/>
      <c r="AA10" s="109"/>
      <c r="AB10" s="14">
        <f t="shared" si="34"/>
        <v>1</v>
      </c>
      <c r="AC10" s="167">
        <v>-1</v>
      </c>
      <c r="AD10" s="168">
        <v>0</v>
      </c>
      <c r="AE10" s="141">
        <f t="shared" si="5"/>
        <v>-1</v>
      </c>
      <c r="AF10" s="167">
        <v>-0.2</v>
      </c>
      <c r="AG10" s="168">
        <v>-1</v>
      </c>
      <c r="AH10" s="141">
        <f t="shared" si="6"/>
        <v>-0.90000000000000013</v>
      </c>
      <c r="AI10" s="140">
        <f t="shared" si="7"/>
        <v>-5</v>
      </c>
      <c r="AJ10" s="141">
        <f t="shared" si="35"/>
        <v>-1</v>
      </c>
      <c r="AK10" s="183" t="s">
        <v>340</v>
      </c>
      <c r="AL10" s="109"/>
      <c r="AM10" s="14">
        <f t="shared" si="36"/>
        <v>0</v>
      </c>
      <c r="AN10" s="167">
        <v>0</v>
      </c>
      <c r="AO10" s="168">
        <v>0</v>
      </c>
      <c r="AP10" s="141">
        <f t="shared" si="8"/>
        <v>0</v>
      </c>
      <c r="AQ10" s="167">
        <v>0</v>
      </c>
      <c r="AR10" s="168">
        <v>0</v>
      </c>
      <c r="AS10" s="141">
        <f t="shared" si="9"/>
        <v>0</v>
      </c>
      <c r="AT10" s="140">
        <f t="shared" si="10"/>
        <v>0</v>
      </c>
      <c r="AU10" s="141">
        <f t="shared" si="37"/>
        <v>0</v>
      </c>
      <c r="AW10" s="109"/>
      <c r="AX10" s="14">
        <f t="shared" si="38"/>
        <v>0</v>
      </c>
      <c r="AY10" s="167">
        <v>0</v>
      </c>
      <c r="AZ10" s="168">
        <v>0</v>
      </c>
      <c r="BA10" s="141">
        <f t="shared" si="11"/>
        <v>0</v>
      </c>
      <c r="BB10" s="167">
        <v>0</v>
      </c>
      <c r="BC10" s="168">
        <v>0</v>
      </c>
      <c r="BD10" s="141">
        <f t="shared" si="12"/>
        <v>0</v>
      </c>
      <c r="BE10" s="140">
        <f t="shared" si="13"/>
        <v>0</v>
      </c>
      <c r="BF10" s="141">
        <f t="shared" si="39"/>
        <v>0</v>
      </c>
      <c r="BH10" s="109"/>
      <c r="BI10" s="14">
        <f t="shared" si="40"/>
        <v>0</v>
      </c>
      <c r="BJ10" s="167">
        <v>0</v>
      </c>
      <c r="BK10" s="168">
        <v>0</v>
      </c>
      <c r="BL10" s="141">
        <f t="shared" si="14"/>
        <v>0</v>
      </c>
      <c r="BM10" s="167">
        <v>0</v>
      </c>
      <c r="BN10" s="168">
        <v>0</v>
      </c>
      <c r="BO10" s="141">
        <f t="shared" si="15"/>
        <v>0</v>
      </c>
      <c r="BP10" s="140">
        <f t="shared" si="16"/>
        <v>0</v>
      </c>
      <c r="BQ10" s="141">
        <f t="shared" si="41"/>
        <v>0</v>
      </c>
      <c r="BS10" s="109"/>
      <c r="BT10" s="14">
        <f t="shared" si="42"/>
        <v>0</v>
      </c>
      <c r="BU10" s="167">
        <v>0</v>
      </c>
      <c r="BV10" s="168">
        <v>0</v>
      </c>
      <c r="BW10" s="141">
        <f t="shared" si="17"/>
        <v>0</v>
      </c>
      <c r="BX10" s="167">
        <v>0</v>
      </c>
      <c r="BY10" s="168">
        <v>0</v>
      </c>
      <c r="BZ10" s="141">
        <f t="shared" si="18"/>
        <v>0</v>
      </c>
      <c r="CA10" s="140">
        <f t="shared" si="19"/>
        <v>0</v>
      </c>
      <c r="CB10" s="141">
        <f t="shared" si="43"/>
        <v>0</v>
      </c>
      <c r="CD10" s="109"/>
      <c r="CE10" s="14">
        <f t="shared" si="44"/>
        <v>0</v>
      </c>
      <c r="CF10" s="167">
        <v>0</v>
      </c>
      <c r="CG10" s="168">
        <v>0</v>
      </c>
      <c r="CH10" s="141">
        <f t="shared" si="20"/>
        <v>0</v>
      </c>
      <c r="CI10" s="167">
        <v>0</v>
      </c>
      <c r="CJ10" s="168">
        <v>0</v>
      </c>
      <c r="CK10" s="141">
        <f t="shared" si="21"/>
        <v>0</v>
      </c>
      <c r="CL10" s="140">
        <f t="shared" si="22"/>
        <v>0</v>
      </c>
      <c r="CM10" s="141">
        <f t="shared" si="45"/>
        <v>0</v>
      </c>
      <c r="CO10" s="109"/>
      <c r="CP10" s="14">
        <f t="shared" si="46"/>
        <v>0</v>
      </c>
      <c r="CQ10" s="167">
        <v>0</v>
      </c>
      <c r="CR10" s="168">
        <v>0</v>
      </c>
      <c r="CS10" s="141">
        <f t="shared" si="23"/>
        <v>0</v>
      </c>
      <c r="CT10" s="167">
        <v>-0.2</v>
      </c>
      <c r="CU10" s="168">
        <v>0</v>
      </c>
      <c r="CV10" s="141">
        <f t="shared" si="24"/>
        <v>-0.2</v>
      </c>
      <c r="CW10" s="140">
        <f t="shared" si="25"/>
        <v>-0.2</v>
      </c>
      <c r="CX10" s="141">
        <f t="shared" si="47"/>
        <v>-1.2E-2</v>
      </c>
      <c r="CZ10" s="109"/>
      <c r="DA10" s="14">
        <f t="shared" si="48"/>
        <v>0</v>
      </c>
      <c r="DB10" s="167">
        <v>0</v>
      </c>
      <c r="DC10" s="168">
        <v>0</v>
      </c>
      <c r="DD10" s="141">
        <f t="shared" si="26"/>
        <v>0</v>
      </c>
      <c r="DE10" s="167">
        <v>0</v>
      </c>
      <c r="DF10" s="168">
        <v>0</v>
      </c>
      <c r="DG10" s="141">
        <f t="shared" si="27"/>
        <v>0</v>
      </c>
      <c r="DH10" s="140">
        <f t="shared" si="28"/>
        <v>0</v>
      </c>
      <c r="DI10" s="141">
        <f t="shared" si="49"/>
        <v>0</v>
      </c>
      <c r="DK10" s="109"/>
      <c r="DL10" s="14">
        <f t="shared" si="50"/>
        <v>0</v>
      </c>
      <c r="DM10" s="167">
        <v>0</v>
      </c>
      <c r="DN10" s="168">
        <v>0</v>
      </c>
      <c r="DO10" s="141">
        <f t="shared" si="29"/>
        <v>0</v>
      </c>
      <c r="DP10" s="167">
        <v>-0.2</v>
      </c>
      <c r="DQ10" s="168">
        <v>0</v>
      </c>
      <c r="DR10" s="141">
        <f t="shared" si="30"/>
        <v>-0.2</v>
      </c>
      <c r="DS10" s="140">
        <f t="shared" si="31"/>
        <v>-0.2</v>
      </c>
      <c r="DT10" s="141">
        <f t="shared" si="51"/>
        <v>-1.4000000000000002E-2</v>
      </c>
      <c r="DV10" s="109"/>
      <c r="DX10" s="110" t="str">
        <f>+SpeciesDatabase!A17</f>
        <v>Amonium</v>
      </c>
      <c r="DY10" s="1" t="str">
        <f>+SpeciesDatabase!B17</f>
        <v>NH4+</v>
      </c>
      <c r="DZ10" s="1" t="str">
        <f>+SpeciesDatabase!C17</f>
        <v>NH4+</v>
      </c>
      <c r="EA10" s="1">
        <f>+SpeciesDatabase!D17</f>
        <v>-79.37</v>
      </c>
      <c r="EB10" s="1">
        <f>+SpeciesDatabase!E17</f>
        <v>-133.30000000000001</v>
      </c>
      <c r="EC10" s="1">
        <f>+SpeciesDatabase!F17</f>
        <v>111.2</v>
      </c>
      <c r="ED10" s="1">
        <f>+SpeciesDatabase!G17</f>
        <v>0</v>
      </c>
      <c r="EE10" s="1">
        <f>+SpeciesDatabase!H17</f>
        <v>4</v>
      </c>
      <c r="EF10" s="1">
        <f>+SpeciesDatabase!I17</f>
        <v>0</v>
      </c>
      <c r="EG10" s="1">
        <f>+SpeciesDatabase!J17</f>
        <v>1</v>
      </c>
      <c r="EH10" s="1">
        <f>+SpeciesDatabase!K17</f>
        <v>0</v>
      </c>
      <c r="EI10" s="1">
        <f>+SpeciesDatabase!L17</f>
        <v>0</v>
      </c>
      <c r="EJ10" s="1">
        <f>+SpeciesDatabase!M17</f>
        <v>0</v>
      </c>
      <c r="EK10" s="1">
        <f>+SpeciesDatabase!N17</f>
        <v>0</v>
      </c>
      <c r="EL10" s="1">
        <f>+SpeciesDatabase!O17</f>
        <v>0</v>
      </c>
      <c r="EM10" s="1">
        <f>+SpeciesDatabase!P17</f>
        <v>0</v>
      </c>
      <c r="EN10" s="1">
        <f>+SpeciesDatabase!Q17</f>
        <v>0</v>
      </c>
      <c r="EO10" s="1">
        <f>+SpeciesDatabase!R17</f>
        <v>0</v>
      </c>
      <c r="EP10" s="1">
        <f>+SpeciesDatabase!S17</f>
        <v>0</v>
      </c>
      <c r="EQ10" s="1">
        <f>+SpeciesDatabase!T17</f>
        <v>1</v>
      </c>
      <c r="ER10" s="1">
        <f>+SpeciesDatabase!U17</f>
        <v>18</v>
      </c>
      <c r="ES10" s="1">
        <f>+SpeciesDatabase!V17</f>
        <v>0</v>
      </c>
      <c r="ET10" s="114">
        <f>+SpeciesDatabase!W17</f>
        <v>0</v>
      </c>
      <c r="EV10" s="43" t="s">
        <v>191</v>
      </c>
      <c r="EW10" s="12">
        <v>0</v>
      </c>
      <c r="EX10" s="12">
        <f>-LOG(FA10)</f>
        <v>9.2500721714786085</v>
      </c>
      <c r="EY10" s="12">
        <v>0</v>
      </c>
      <c r="EZ10" s="12">
        <v>0</v>
      </c>
      <c r="FA10" s="90">
        <f>EXP((SpeciesDatabase!$D$17-SpeciesDatabase!$D$15)/('Microbial Model'!$C$26*'Microbial Model'!$C$27))</f>
        <v>5.622478825274284E-10</v>
      </c>
      <c r="FB10" s="89"/>
    </row>
    <row r="11" spans="1:158" ht="15" customHeight="1">
      <c r="A11" s="92" t="s">
        <v>242</v>
      </c>
      <c r="B11" s="92" t="s">
        <v>244</v>
      </c>
      <c r="C11" s="1" t="str">
        <f t="shared" ref="C11:C18" si="52">DY11</f>
        <v>NO2-</v>
      </c>
      <c r="D11" s="1">
        <f>'Microbial Model'!EA11</f>
        <v>-32.200000000000003</v>
      </c>
      <c r="E11" s="1">
        <f>'Microbial Model'!EQ11</f>
        <v>-1</v>
      </c>
      <c r="F11" s="1">
        <f>'Microbial Model'!ER11</f>
        <v>46</v>
      </c>
      <c r="G11" s="1">
        <f>'Microbial Model'!ES11</f>
        <v>-6</v>
      </c>
      <c r="H11" s="2">
        <f>'Microbial Model'!ET11</f>
        <v>-6</v>
      </c>
      <c r="I11" s="139"/>
      <c r="J11" s="87" t="s">
        <v>191</v>
      </c>
      <c r="K11" s="87" t="s">
        <v>191</v>
      </c>
      <c r="L11" s="43">
        <v>0.01</v>
      </c>
      <c r="M11" s="13">
        <v>0</v>
      </c>
      <c r="N11" s="13">
        <f t="shared" si="1"/>
        <v>-43.609640708038889</v>
      </c>
      <c r="O11" s="106"/>
      <c r="P11" s="109"/>
      <c r="Q11" s="14">
        <f t="shared" si="32"/>
        <v>0</v>
      </c>
      <c r="R11" s="167">
        <v>0</v>
      </c>
      <c r="S11" s="168">
        <v>0</v>
      </c>
      <c r="T11" s="141">
        <f t="shared" si="2"/>
        <v>0</v>
      </c>
      <c r="U11" s="167">
        <v>0</v>
      </c>
      <c r="V11" s="168">
        <v>0</v>
      </c>
      <c r="W11" s="141">
        <f t="shared" si="3"/>
        <v>0</v>
      </c>
      <c r="X11" s="140">
        <f t="shared" si="4"/>
        <v>0</v>
      </c>
      <c r="Y11" s="141">
        <f t="shared" si="33"/>
        <v>0</v>
      </c>
      <c r="Z11" s="28"/>
      <c r="AA11" s="109"/>
      <c r="AB11" s="14">
        <f t="shared" si="34"/>
        <v>0</v>
      </c>
      <c r="AC11" s="167">
        <v>1</v>
      </c>
      <c r="AD11" s="168">
        <v>0</v>
      </c>
      <c r="AE11" s="141">
        <f t="shared" si="5"/>
        <v>1</v>
      </c>
      <c r="AF11" s="167">
        <v>0</v>
      </c>
      <c r="AG11" s="168">
        <v>1</v>
      </c>
      <c r="AH11" s="141">
        <f t="shared" si="6"/>
        <v>0.70000000000000007</v>
      </c>
      <c r="AI11" s="140">
        <f t="shared" si="7"/>
        <v>4.8</v>
      </c>
      <c r="AJ11" s="141">
        <f t="shared" si="35"/>
        <v>0.96</v>
      </c>
      <c r="AL11" s="109"/>
      <c r="AM11" s="14">
        <f t="shared" si="36"/>
        <v>1</v>
      </c>
      <c r="AN11" s="167">
        <v>-1</v>
      </c>
      <c r="AO11" s="168">
        <v>0</v>
      </c>
      <c r="AP11" s="141">
        <f t="shared" si="8"/>
        <v>-1</v>
      </c>
      <c r="AQ11" s="167">
        <v>-0.2</v>
      </c>
      <c r="AR11" s="168">
        <v>-1</v>
      </c>
      <c r="AS11" s="141">
        <f t="shared" si="9"/>
        <v>-2.9000000000000004</v>
      </c>
      <c r="AT11" s="140">
        <f t="shared" si="10"/>
        <v>-6.666666666666667</v>
      </c>
      <c r="AU11" s="141">
        <f t="shared" si="37"/>
        <v>-1</v>
      </c>
      <c r="AV11" s="183" t="s">
        <v>340</v>
      </c>
      <c r="AW11" s="109"/>
      <c r="AX11" s="14">
        <f t="shared" si="38"/>
        <v>0</v>
      </c>
      <c r="AY11" s="167">
        <v>0</v>
      </c>
      <c r="AZ11" s="168">
        <v>0</v>
      </c>
      <c r="BA11" s="141">
        <f t="shared" si="11"/>
        <v>0</v>
      </c>
      <c r="BB11" s="167">
        <v>-0.2</v>
      </c>
      <c r="BC11" s="168">
        <v>-1</v>
      </c>
      <c r="BD11" s="141">
        <f t="shared" si="12"/>
        <v>-2.9000000000000004</v>
      </c>
      <c r="BE11" s="140">
        <f t="shared" si="13"/>
        <v>-2.9000000000000004</v>
      </c>
      <c r="BF11" s="141">
        <f t="shared" si="39"/>
        <v>-0.43500000000000005</v>
      </c>
      <c r="BG11" s="183"/>
      <c r="BH11" s="109"/>
      <c r="BI11" s="14">
        <f t="shared" si="40"/>
        <v>0</v>
      </c>
      <c r="BJ11" s="167">
        <v>0</v>
      </c>
      <c r="BK11" s="168">
        <v>0</v>
      </c>
      <c r="BL11" s="141">
        <f t="shared" si="14"/>
        <v>0</v>
      </c>
      <c r="BM11" s="167">
        <v>-0.2</v>
      </c>
      <c r="BN11" s="168">
        <v>0</v>
      </c>
      <c r="BO11" s="141">
        <f t="shared" si="15"/>
        <v>-0.2</v>
      </c>
      <c r="BP11" s="140">
        <f t="shared" si="16"/>
        <v>-0.2</v>
      </c>
      <c r="BQ11" s="141">
        <f t="shared" si="41"/>
        <v>-1.6E-2</v>
      </c>
      <c r="BR11" s="28"/>
      <c r="BS11" s="109"/>
      <c r="BT11" s="14">
        <f t="shared" si="42"/>
        <v>0</v>
      </c>
      <c r="BU11" s="167">
        <v>0</v>
      </c>
      <c r="BV11" s="168">
        <v>0</v>
      </c>
      <c r="BW11" s="141">
        <f t="shared" si="17"/>
        <v>0</v>
      </c>
      <c r="BX11" s="167">
        <v>-0.2</v>
      </c>
      <c r="BY11" s="168">
        <v>0</v>
      </c>
      <c r="BZ11" s="141">
        <f t="shared" si="18"/>
        <v>-0.2</v>
      </c>
      <c r="CA11" s="140">
        <f t="shared" si="19"/>
        <v>-0.2</v>
      </c>
      <c r="CB11" s="141">
        <f t="shared" si="43"/>
        <v>-1.6E-2</v>
      </c>
      <c r="CC11" s="28"/>
      <c r="CD11" s="109"/>
      <c r="CE11" s="14">
        <f t="shared" si="44"/>
        <v>0</v>
      </c>
      <c r="CF11" s="167">
        <v>0</v>
      </c>
      <c r="CG11" s="168">
        <v>0</v>
      </c>
      <c r="CH11" s="141">
        <f t="shared" si="20"/>
        <v>0</v>
      </c>
      <c r="CI11" s="167">
        <v>-0.2</v>
      </c>
      <c r="CJ11" s="168">
        <v>0</v>
      </c>
      <c r="CK11" s="141">
        <f t="shared" si="21"/>
        <v>-0.2</v>
      </c>
      <c r="CL11" s="140">
        <f t="shared" si="22"/>
        <v>-0.2</v>
      </c>
      <c r="CM11" s="141">
        <f t="shared" si="45"/>
        <v>-1.6E-2</v>
      </c>
      <c r="CN11" s="28"/>
      <c r="CO11" s="109"/>
      <c r="CP11" s="14">
        <f t="shared" si="46"/>
        <v>0</v>
      </c>
      <c r="CQ11" s="167">
        <v>0</v>
      </c>
      <c r="CR11" s="168">
        <v>0</v>
      </c>
      <c r="CS11" s="141">
        <f t="shared" si="23"/>
        <v>0</v>
      </c>
      <c r="CT11" s="167">
        <v>0</v>
      </c>
      <c r="CU11" s="168">
        <v>0</v>
      </c>
      <c r="CV11" s="141">
        <f t="shared" si="24"/>
        <v>0</v>
      </c>
      <c r="CW11" s="140">
        <f t="shared" si="25"/>
        <v>0</v>
      </c>
      <c r="CX11" s="141">
        <f t="shared" si="47"/>
        <v>0</v>
      </c>
      <c r="CY11" s="28"/>
      <c r="CZ11" s="109"/>
      <c r="DA11" s="14">
        <f t="shared" si="48"/>
        <v>0</v>
      </c>
      <c r="DB11" s="167">
        <v>0</v>
      </c>
      <c r="DC11" s="168">
        <v>0</v>
      </c>
      <c r="DD11" s="141">
        <f t="shared" si="26"/>
        <v>0</v>
      </c>
      <c r="DE11" s="167">
        <v>-0.2</v>
      </c>
      <c r="DF11" s="168">
        <v>0</v>
      </c>
      <c r="DG11" s="141">
        <f t="shared" si="27"/>
        <v>-0.2</v>
      </c>
      <c r="DH11" s="140">
        <f t="shared" si="28"/>
        <v>-0.2</v>
      </c>
      <c r="DI11" s="141">
        <f t="shared" si="49"/>
        <v>-1.5000000000000003E-2</v>
      </c>
      <c r="DJ11" s="28"/>
      <c r="DK11" s="109"/>
      <c r="DL11" s="14">
        <f t="shared" si="50"/>
        <v>0</v>
      </c>
      <c r="DM11" s="167">
        <v>0</v>
      </c>
      <c r="DN11" s="168">
        <v>0</v>
      </c>
      <c r="DO11" s="141">
        <f t="shared" si="29"/>
        <v>0</v>
      </c>
      <c r="DP11" s="167">
        <v>0</v>
      </c>
      <c r="DQ11" s="168">
        <v>0</v>
      </c>
      <c r="DR11" s="141">
        <f t="shared" si="30"/>
        <v>0</v>
      </c>
      <c r="DS11" s="140">
        <f t="shared" si="31"/>
        <v>0</v>
      </c>
      <c r="DT11" s="141">
        <f t="shared" si="51"/>
        <v>0</v>
      </c>
      <c r="DU11" s="28"/>
      <c r="DV11" s="109"/>
      <c r="DX11" s="110" t="str">
        <f>+SpeciesDatabase!A69</f>
        <v>Nitrite</v>
      </c>
      <c r="DY11" s="1" t="str">
        <f>+SpeciesDatabase!B69</f>
        <v>NO2-</v>
      </c>
      <c r="DZ11" s="3" t="str">
        <f>+SpeciesDatabase!C69</f>
        <v>NO2-</v>
      </c>
      <c r="EA11" s="3">
        <f>+SpeciesDatabase!D69</f>
        <v>-32.200000000000003</v>
      </c>
      <c r="EB11" s="1">
        <f>+SpeciesDatabase!E69</f>
        <v>-104.6</v>
      </c>
      <c r="EC11" s="1">
        <f>+SpeciesDatabase!F69</f>
        <v>123</v>
      </c>
      <c r="ED11" s="1">
        <f>+SpeciesDatabase!G69</f>
        <v>0</v>
      </c>
      <c r="EE11" s="1">
        <f>+SpeciesDatabase!H69</f>
        <v>0</v>
      </c>
      <c r="EF11" s="1">
        <f>+SpeciesDatabase!I69</f>
        <v>2</v>
      </c>
      <c r="EG11" s="1">
        <f>+SpeciesDatabase!J69</f>
        <v>1</v>
      </c>
      <c r="EH11" s="1">
        <f>+SpeciesDatabase!K69</f>
        <v>0</v>
      </c>
      <c r="EI11" s="1">
        <f>+SpeciesDatabase!L69</f>
        <v>0</v>
      </c>
      <c r="EJ11" s="1">
        <f>+SpeciesDatabase!M69</f>
        <v>0</v>
      </c>
      <c r="EK11" s="1">
        <f>+SpeciesDatabase!N69</f>
        <v>0</v>
      </c>
      <c r="EL11" s="1">
        <f>+SpeciesDatabase!O69</f>
        <v>0</v>
      </c>
      <c r="EM11" s="1">
        <f>+SpeciesDatabase!P69</f>
        <v>0</v>
      </c>
      <c r="EN11" s="1">
        <f>+SpeciesDatabase!Q69</f>
        <v>0</v>
      </c>
      <c r="EO11" s="1">
        <f>+SpeciesDatabase!R69</f>
        <v>0</v>
      </c>
      <c r="EP11" s="1">
        <f>+SpeciesDatabase!S69</f>
        <v>0</v>
      </c>
      <c r="EQ11" s="1">
        <f>+SpeciesDatabase!T69</f>
        <v>-1</v>
      </c>
      <c r="ER11" s="1">
        <f>+SpeciesDatabase!U69</f>
        <v>46</v>
      </c>
      <c r="ES11" s="1">
        <f>+SpeciesDatabase!V69</f>
        <v>-6</v>
      </c>
      <c r="ET11" s="114">
        <f>+SpeciesDatabase!W69</f>
        <v>-6</v>
      </c>
      <c r="EV11" s="43"/>
      <c r="EW11" s="43"/>
      <c r="EX11" s="43"/>
      <c r="EY11" s="12"/>
      <c r="EZ11" s="12"/>
      <c r="FA11" s="12"/>
    </row>
    <row r="12" spans="1:158" ht="15" customHeight="1">
      <c r="A12" s="92" t="s">
        <v>242</v>
      </c>
      <c r="B12" s="92" t="s">
        <v>244</v>
      </c>
      <c r="C12" s="1" t="str">
        <f t="shared" si="52"/>
        <v>NO3-</v>
      </c>
      <c r="D12" s="1">
        <f>'Microbial Model'!EA12</f>
        <v>-111.3</v>
      </c>
      <c r="E12" s="1">
        <f>'Microbial Model'!EQ12</f>
        <v>-1</v>
      </c>
      <c r="F12" s="1">
        <f>'Microbial Model'!ER12</f>
        <v>62</v>
      </c>
      <c r="G12" s="1">
        <f>'Microbial Model'!ES12</f>
        <v>-8</v>
      </c>
      <c r="H12" s="2">
        <f>'Microbial Model'!ET12</f>
        <v>-8</v>
      </c>
      <c r="I12" s="139"/>
      <c r="J12" s="87" t="s">
        <v>191</v>
      </c>
      <c r="K12" s="87" t="s">
        <v>191</v>
      </c>
      <c r="L12" s="43">
        <v>0.01</v>
      </c>
      <c r="M12" s="13">
        <v>0</v>
      </c>
      <c r="N12" s="13">
        <f t="shared" si="1"/>
        <v>-122.70964070803888</v>
      </c>
      <c r="O12" s="106"/>
      <c r="P12" s="109"/>
      <c r="Q12" s="14">
        <f t="shared" si="32"/>
        <v>0</v>
      </c>
      <c r="R12" s="167">
        <v>0</v>
      </c>
      <c r="S12" s="168">
        <v>0</v>
      </c>
      <c r="T12" s="141">
        <f t="shared" si="2"/>
        <v>0</v>
      </c>
      <c r="U12" s="167">
        <v>0</v>
      </c>
      <c r="V12" s="168">
        <v>0</v>
      </c>
      <c r="W12" s="141">
        <f t="shared" si="3"/>
        <v>0</v>
      </c>
      <c r="X12" s="140">
        <f t="shared" si="4"/>
        <v>0</v>
      </c>
      <c r="Y12" s="141">
        <f t="shared" si="33"/>
        <v>0</v>
      </c>
      <c r="Z12" s="28"/>
      <c r="AA12" s="109"/>
      <c r="AB12" s="14">
        <f t="shared" si="34"/>
        <v>0</v>
      </c>
      <c r="AC12" s="167">
        <v>0</v>
      </c>
      <c r="AD12" s="168">
        <v>0</v>
      </c>
      <c r="AE12" s="141">
        <f t="shared" si="5"/>
        <v>0</v>
      </c>
      <c r="AF12" s="167">
        <v>0</v>
      </c>
      <c r="AG12" s="168">
        <v>0</v>
      </c>
      <c r="AH12" s="141">
        <f t="shared" si="6"/>
        <v>0</v>
      </c>
      <c r="AI12" s="140">
        <f t="shared" si="7"/>
        <v>0</v>
      </c>
      <c r="AJ12" s="141">
        <f t="shared" si="35"/>
        <v>0</v>
      </c>
      <c r="AK12" s="28"/>
      <c r="AL12" s="109"/>
      <c r="AM12" s="14">
        <f t="shared" si="36"/>
        <v>0</v>
      </c>
      <c r="AN12" s="167">
        <v>1</v>
      </c>
      <c r="AO12" s="168">
        <v>0</v>
      </c>
      <c r="AP12" s="141">
        <f t="shared" si="8"/>
        <v>1</v>
      </c>
      <c r="AQ12" s="167">
        <v>0</v>
      </c>
      <c r="AR12" s="168">
        <v>1</v>
      </c>
      <c r="AS12" s="141">
        <f t="shared" si="9"/>
        <v>2.7</v>
      </c>
      <c r="AT12" s="140">
        <f t="shared" si="10"/>
        <v>6.4666666666666668</v>
      </c>
      <c r="AU12" s="141">
        <f t="shared" si="37"/>
        <v>0.97</v>
      </c>
      <c r="AV12" s="28"/>
      <c r="AW12" s="109"/>
      <c r="AX12" s="14">
        <f t="shared" si="38"/>
        <v>0</v>
      </c>
      <c r="AY12" s="167">
        <v>0</v>
      </c>
      <c r="AZ12" s="168">
        <v>-1</v>
      </c>
      <c r="BA12" s="141">
        <f t="shared" si="11"/>
        <v>-1.6</v>
      </c>
      <c r="BB12" s="167">
        <v>0</v>
      </c>
      <c r="BC12" s="168">
        <v>1</v>
      </c>
      <c r="BD12" s="141">
        <f t="shared" si="12"/>
        <v>2.7</v>
      </c>
      <c r="BE12" s="140">
        <f t="shared" si="13"/>
        <v>-7.9666666666666677</v>
      </c>
      <c r="BF12" s="141">
        <f t="shared" si="39"/>
        <v>-1.1950000000000001</v>
      </c>
      <c r="BG12" s="22" t="s">
        <v>342</v>
      </c>
      <c r="BH12" s="109"/>
      <c r="BI12" s="14">
        <f t="shared" si="40"/>
        <v>0</v>
      </c>
      <c r="BJ12" s="167">
        <v>0</v>
      </c>
      <c r="BK12" s="168">
        <v>0</v>
      </c>
      <c r="BL12" s="141">
        <f t="shared" si="14"/>
        <v>0</v>
      </c>
      <c r="BM12" s="167">
        <v>0</v>
      </c>
      <c r="BN12" s="168">
        <v>0</v>
      </c>
      <c r="BO12" s="141">
        <f t="shared" si="15"/>
        <v>0</v>
      </c>
      <c r="BP12" s="140">
        <f t="shared" si="16"/>
        <v>0</v>
      </c>
      <c r="BQ12" s="141">
        <f t="shared" si="41"/>
        <v>0</v>
      </c>
      <c r="BR12" s="28"/>
      <c r="BS12" s="109"/>
      <c r="BT12" s="14">
        <f t="shared" si="42"/>
        <v>0</v>
      </c>
      <c r="BU12" s="167">
        <v>0</v>
      </c>
      <c r="BV12" s="168">
        <v>0</v>
      </c>
      <c r="BW12" s="141">
        <f t="shared" si="17"/>
        <v>0</v>
      </c>
      <c r="BX12" s="167">
        <v>0</v>
      </c>
      <c r="BY12" s="168">
        <v>0</v>
      </c>
      <c r="BZ12" s="141">
        <f t="shared" si="18"/>
        <v>0</v>
      </c>
      <c r="CA12" s="140">
        <f t="shared" si="19"/>
        <v>0</v>
      </c>
      <c r="CB12" s="141">
        <f t="shared" si="43"/>
        <v>0</v>
      </c>
      <c r="CC12" s="28"/>
      <c r="CD12" s="109"/>
      <c r="CE12" s="14">
        <f t="shared" si="44"/>
        <v>0</v>
      </c>
      <c r="CF12" s="167">
        <v>0</v>
      </c>
      <c r="CG12" s="168">
        <v>0</v>
      </c>
      <c r="CH12" s="141">
        <f t="shared" si="20"/>
        <v>0</v>
      </c>
      <c r="CI12" s="167">
        <v>0</v>
      </c>
      <c r="CJ12" s="168">
        <v>0</v>
      </c>
      <c r="CK12" s="141">
        <f t="shared" si="21"/>
        <v>0</v>
      </c>
      <c r="CL12" s="140">
        <f t="shared" si="22"/>
        <v>0</v>
      </c>
      <c r="CM12" s="141">
        <f t="shared" si="45"/>
        <v>0</v>
      </c>
      <c r="CN12" s="28"/>
      <c r="CO12" s="109"/>
      <c r="CP12" s="14">
        <f t="shared" si="46"/>
        <v>0</v>
      </c>
      <c r="CQ12" s="167">
        <v>0</v>
      </c>
      <c r="CR12" s="168">
        <v>0</v>
      </c>
      <c r="CS12" s="141">
        <f t="shared" si="23"/>
        <v>0</v>
      </c>
      <c r="CT12" s="167">
        <v>0</v>
      </c>
      <c r="CU12" s="168">
        <v>0</v>
      </c>
      <c r="CV12" s="141">
        <f t="shared" si="24"/>
        <v>0</v>
      </c>
      <c r="CW12" s="140">
        <f t="shared" si="25"/>
        <v>0</v>
      </c>
      <c r="CX12" s="141">
        <f t="shared" si="47"/>
        <v>0</v>
      </c>
      <c r="CY12" s="28"/>
      <c r="CZ12" s="109"/>
      <c r="DA12" s="14">
        <f t="shared" si="48"/>
        <v>0</v>
      </c>
      <c r="DB12" s="167">
        <v>0</v>
      </c>
      <c r="DC12" s="168">
        <v>0</v>
      </c>
      <c r="DD12" s="141">
        <f t="shared" si="26"/>
        <v>0</v>
      </c>
      <c r="DE12" s="167">
        <v>0</v>
      </c>
      <c r="DF12" s="168">
        <v>0</v>
      </c>
      <c r="DG12" s="141">
        <f t="shared" si="27"/>
        <v>0</v>
      </c>
      <c r="DH12" s="140">
        <f t="shared" si="28"/>
        <v>0</v>
      </c>
      <c r="DI12" s="141">
        <f t="shared" si="49"/>
        <v>0</v>
      </c>
      <c r="DJ12" s="28"/>
      <c r="DK12" s="109"/>
      <c r="DL12" s="14">
        <f t="shared" si="50"/>
        <v>0</v>
      </c>
      <c r="DM12" s="167">
        <v>0</v>
      </c>
      <c r="DN12" s="168">
        <v>0</v>
      </c>
      <c r="DO12" s="141">
        <f t="shared" si="29"/>
        <v>0</v>
      </c>
      <c r="DP12" s="167">
        <v>0</v>
      </c>
      <c r="DQ12" s="168">
        <v>0</v>
      </c>
      <c r="DR12" s="141">
        <f t="shared" si="30"/>
        <v>0</v>
      </c>
      <c r="DS12" s="140">
        <f t="shared" si="31"/>
        <v>0</v>
      </c>
      <c r="DT12" s="141">
        <f t="shared" si="51"/>
        <v>0</v>
      </c>
      <c r="DU12" s="28"/>
      <c r="DV12" s="109"/>
      <c r="DX12" s="110" t="str">
        <f>+SpeciesDatabase!A67</f>
        <v>Nitrate</v>
      </c>
      <c r="DY12" s="1" t="str">
        <f>+SpeciesDatabase!B67</f>
        <v>NO3-</v>
      </c>
      <c r="DZ12" s="3" t="str">
        <f>+SpeciesDatabase!C67</f>
        <v>NO3-</v>
      </c>
      <c r="EA12" s="3">
        <f>+SpeciesDatabase!D67</f>
        <v>-111.3</v>
      </c>
      <c r="EB12" s="1">
        <f>+SpeciesDatabase!E67</f>
        <v>-207.4</v>
      </c>
      <c r="EC12" s="1">
        <f>+SpeciesDatabase!F67</f>
        <v>146.4</v>
      </c>
      <c r="ED12" s="1">
        <f>+SpeciesDatabase!G67</f>
        <v>0</v>
      </c>
      <c r="EE12" s="1">
        <f>+SpeciesDatabase!H67</f>
        <v>0</v>
      </c>
      <c r="EF12" s="1">
        <f>+SpeciesDatabase!I67</f>
        <v>3</v>
      </c>
      <c r="EG12" s="1">
        <f>+SpeciesDatabase!J67</f>
        <v>1</v>
      </c>
      <c r="EH12" s="1">
        <f>+SpeciesDatabase!K67</f>
        <v>0</v>
      </c>
      <c r="EI12" s="1">
        <f>+SpeciesDatabase!L67</f>
        <v>0</v>
      </c>
      <c r="EJ12" s="1">
        <f>+SpeciesDatabase!M67</f>
        <v>0</v>
      </c>
      <c r="EK12" s="1">
        <f>+SpeciesDatabase!N67</f>
        <v>0</v>
      </c>
      <c r="EL12" s="1">
        <f>+SpeciesDatabase!O67</f>
        <v>0</v>
      </c>
      <c r="EM12" s="1">
        <f>+SpeciesDatabase!P67</f>
        <v>0</v>
      </c>
      <c r="EN12" s="1">
        <f>+SpeciesDatabase!Q67</f>
        <v>0</v>
      </c>
      <c r="EO12" s="1">
        <f>+SpeciesDatabase!R67</f>
        <v>0</v>
      </c>
      <c r="EP12" s="1">
        <f>+SpeciesDatabase!S67</f>
        <v>0</v>
      </c>
      <c r="EQ12" s="1">
        <f>+SpeciesDatabase!T67</f>
        <v>-1</v>
      </c>
      <c r="ER12" s="1">
        <f>+SpeciesDatabase!U67</f>
        <v>62</v>
      </c>
      <c r="ES12" s="1">
        <f>+SpeciesDatabase!V67</f>
        <v>-8</v>
      </c>
      <c r="ET12" s="114">
        <f>+SpeciesDatabase!W67</f>
        <v>-8</v>
      </c>
      <c r="EV12" s="43" t="s">
        <v>191</v>
      </c>
      <c r="EW12" s="43" t="s">
        <v>191</v>
      </c>
      <c r="EX12" s="43">
        <v>-1</v>
      </c>
      <c r="EY12" s="12" t="s">
        <v>191</v>
      </c>
      <c r="EZ12" s="12" t="s">
        <v>191</v>
      </c>
      <c r="FA12" s="12">
        <f>10^(-EX12)</f>
        <v>10</v>
      </c>
    </row>
    <row r="13" spans="1:158" ht="15" customHeight="1">
      <c r="A13" s="92" t="s">
        <v>242</v>
      </c>
      <c r="B13" s="92" t="s">
        <v>244</v>
      </c>
      <c r="C13" s="1" t="str">
        <f>DY13</f>
        <v>N2 (g)</v>
      </c>
      <c r="D13" s="1">
        <f>'Microbial Model'!EA13</f>
        <v>0</v>
      </c>
      <c r="E13" s="1">
        <f>'Microbial Model'!EQ13</f>
        <v>0</v>
      </c>
      <c r="F13" s="1">
        <f>'Microbial Model'!ER13</f>
        <v>28</v>
      </c>
      <c r="G13" s="1">
        <f>'Microbial Model'!ES13</f>
        <v>-6</v>
      </c>
      <c r="H13" s="2">
        <f>'Microbial Model'!ET13</f>
        <v>-6</v>
      </c>
      <c r="I13" s="139"/>
      <c r="J13" s="43">
        <v>0.01</v>
      </c>
      <c r="K13" s="87" t="s">
        <v>191</v>
      </c>
      <c r="L13" s="105">
        <f>EXP(-D13/($C$26*$C$27))*J13</f>
        <v>0.01</v>
      </c>
      <c r="M13" s="13">
        <v>0</v>
      </c>
      <c r="N13" s="13">
        <f>D13+$C$26*$C$27*LN($L13)+E13*$C$25*M13</f>
        <v>-11.409640708038886</v>
      </c>
      <c r="O13" s="106"/>
      <c r="P13" s="109"/>
      <c r="Q13" s="14">
        <f>+IF(Z13="eD",1,0)</f>
        <v>0</v>
      </c>
      <c r="R13" s="167">
        <v>0</v>
      </c>
      <c r="S13" s="168">
        <v>0</v>
      </c>
      <c r="T13" s="141">
        <f>+R13*R$24+S13*S$24</f>
        <v>0</v>
      </c>
      <c r="U13" s="167">
        <v>0</v>
      </c>
      <c r="V13" s="168">
        <v>0</v>
      </c>
      <c r="W13" s="141">
        <f>+U13*U$24+V13*V$24</f>
        <v>0</v>
      </c>
      <c r="X13" s="140">
        <f>+T$24*T13+W$24*W13</f>
        <v>0</v>
      </c>
      <c r="Y13" s="141">
        <f>+X13/-SUMPRODUCT(Q$4:Q$23,X$4:X$23)</f>
        <v>0</v>
      </c>
      <c r="Z13" s="28"/>
      <c r="AA13" s="109"/>
      <c r="AB13" s="14">
        <f t="shared" si="34"/>
        <v>0</v>
      </c>
      <c r="AC13" s="167">
        <v>0</v>
      </c>
      <c r="AD13" s="168">
        <v>0</v>
      </c>
      <c r="AE13" s="141">
        <f t="shared" si="5"/>
        <v>0</v>
      </c>
      <c r="AF13" s="167">
        <v>0</v>
      </c>
      <c r="AG13" s="168">
        <v>0</v>
      </c>
      <c r="AH13" s="141">
        <f t="shared" si="6"/>
        <v>0</v>
      </c>
      <c r="AI13" s="140">
        <f t="shared" si="7"/>
        <v>0</v>
      </c>
      <c r="AJ13" s="141">
        <f t="shared" si="35"/>
        <v>0</v>
      </c>
      <c r="AK13" s="28"/>
      <c r="AL13" s="109"/>
      <c r="AM13" s="14">
        <f t="shared" si="36"/>
        <v>0</v>
      </c>
      <c r="AN13" s="167">
        <v>0</v>
      </c>
      <c r="AO13" s="168">
        <v>0</v>
      </c>
      <c r="AP13" s="141">
        <f t="shared" si="8"/>
        <v>0</v>
      </c>
      <c r="AQ13" s="167">
        <v>0</v>
      </c>
      <c r="AR13" s="168">
        <v>0</v>
      </c>
      <c r="AS13" s="141">
        <f t="shared" si="9"/>
        <v>0</v>
      </c>
      <c r="AT13" s="140">
        <f t="shared" si="10"/>
        <v>0</v>
      </c>
      <c r="AU13" s="141">
        <f t="shared" si="37"/>
        <v>0</v>
      </c>
      <c r="AV13" s="28"/>
      <c r="AW13" s="109"/>
      <c r="AX13" s="14">
        <f t="shared" si="38"/>
        <v>0</v>
      </c>
      <c r="AY13" s="167">
        <v>0</v>
      </c>
      <c r="AZ13" s="168">
        <v>0.5</v>
      </c>
      <c r="BA13" s="141">
        <f t="shared" si="11"/>
        <v>0.8</v>
      </c>
      <c r="BB13" s="167">
        <v>0</v>
      </c>
      <c r="BC13" s="168">
        <v>0</v>
      </c>
      <c r="BD13" s="141">
        <f t="shared" si="12"/>
        <v>0</v>
      </c>
      <c r="BE13" s="140">
        <f t="shared" si="13"/>
        <v>5.3333333333333339</v>
      </c>
      <c r="BF13" s="141">
        <f t="shared" si="39"/>
        <v>0.8</v>
      </c>
      <c r="BG13" s="28"/>
      <c r="BH13" s="109"/>
      <c r="BI13" s="14">
        <f t="shared" si="40"/>
        <v>0</v>
      </c>
      <c r="BJ13" s="167">
        <v>0</v>
      </c>
      <c r="BK13" s="168">
        <v>0</v>
      </c>
      <c r="BL13" s="141">
        <f t="shared" si="14"/>
        <v>0</v>
      </c>
      <c r="BM13" s="167">
        <v>0</v>
      </c>
      <c r="BN13" s="168">
        <v>0</v>
      </c>
      <c r="BO13" s="141">
        <f t="shared" si="15"/>
        <v>0</v>
      </c>
      <c r="BP13" s="140">
        <f t="shared" si="16"/>
        <v>0</v>
      </c>
      <c r="BQ13" s="141">
        <f t="shared" si="41"/>
        <v>0</v>
      </c>
      <c r="BR13" s="28"/>
      <c r="BS13" s="109"/>
      <c r="BT13" s="14">
        <f t="shared" si="42"/>
        <v>0</v>
      </c>
      <c r="BU13" s="167">
        <v>0</v>
      </c>
      <c r="BV13" s="168">
        <v>0</v>
      </c>
      <c r="BW13" s="141">
        <f t="shared" si="17"/>
        <v>0</v>
      </c>
      <c r="BX13" s="167">
        <v>0</v>
      </c>
      <c r="BY13" s="168">
        <v>0</v>
      </c>
      <c r="BZ13" s="141">
        <f t="shared" si="18"/>
        <v>0</v>
      </c>
      <c r="CA13" s="140">
        <f t="shared" si="19"/>
        <v>0</v>
      </c>
      <c r="CB13" s="141">
        <f t="shared" si="43"/>
        <v>0</v>
      </c>
      <c r="CC13" s="28"/>
      <c r="CD13" s="109"/>
      <c r="CE13" s="14">
        <f t="shared" si="44"/>
        <v>0</v>
      </c>
      <c r="CF13" s="167">
        <v>0</v>
      </c>
      <c r="CG13" s="168">
        <v>0</v>
      </c>
      <c r="CH13" s="141">
        <f t="shared" si="20"/>
        <v>0</v>
      </c>
      <c r="CI13" s="167">
        <v>0</v>
      </c>
      <c r="CJ13" s="168">
        <v>0</v>
      </c>
      <c r="CK13" s="141">
        <f t="shared" si="21"/>
        <v>0</v>
      </c>
      <c r="CL13" s="140">
        <f t="shared" si="22"/>
        <v>0</v>
      </c>
      <c r="CM13" s="141">
        <f t="shared" si="45"/>
        <v>0</v>
      </c>
      <c r="CN13" s="28"/>
      <c r="CO13" s="109"/>
      <c r="CP13" s="14">
        <f t="shared" si="46"/>
        <v>0</v>
      </c>
      <c r="CQ13" s="167">
        <v>0</v>
      </c>
      <c r="CR13" s="168">
        <v>0</v>
      </c>
      <c r="CS13" s="141">
        <f t="shared" si="23"/>
        <v>0</v>
      </c>
      <c r="CT13" s="167">
        <v>0</v>
      </c>
      <c r="CU13" s="168">
        <v>0</v>
      </c>
      <c r="CV13" s="141">
        <f t="shared" si="24"/>
        <v>0</v>
      </c>
      <c r="CW13" s="140">
        <f t="shared" si="25"/>
        <v>0</v>
      </c>
      <c r="CX13" s="141">
        <f t="shared" si="47"/>
        <v>0</v>
      </c>
      <c r="CY13" s="28"/>
      <c r="CZ13" s="109"/>
      <c r="DA13" s="14">
        <f t="shared" si="48"/>
        <v>0</v>
      </c>
      <c r="DB13" s="167">
        <v>0</v>
      </c>
      <c r="DC13" s="168">
        <v>0</v>
      </c>
      <c r="DD13" s="141">
        <f t="shared" si="26"/>
        <v>0</v>
      </c>
      <c r="DE13" s="167">
        <v>0</v>
      </c>
      <c r="DF13" s="168">
        <v>0</v>
      </c>
      <c r="DG13" s="141">
        <f t="shared" si="27"/>
        <v>0</v>
      </c>
      <c r="DH13" s="140">
        <f t="shared" si="28"/>
        <v>0</v>
      </c>
      <c r="DI13" s="141">
        <f t="shared" si="49"/>
        <v>0</v>
      </c>
      <c r="DJ13" s="28"/>
      <c r="DK13" s="109"/>
      <c r="DL13" s="14">
        <f t="shared" si="50"/>
        <v>0</v>
      </c>
      <c r="DM13" s="167">
        <v>0</v>
      </c>
      <c r="DN13" s="168">
        <v>0</v>
      </c>
      <c r="DO13" s="141">
        <f t="shared" si="29"/>
        <v>0</v>
      </c>
      <c r="DP13" s="167">
        <v>0</v>
      </c>
      <c r="DQ13" s="168">
        <v>0</v>
      </c>
      <c r="DR13" s="141">
        <f t="shared" si="30"/>
        <v>0</v>
      </c>
      <c r="DS13" s="140">
        <f t="shared" si="31"/>
        <v>0</v>
      </c>
      <c r="DT13" s="141">
        <f t="shared" si="51"/>
        <v>0</v>
      </c>
      <c r="DU13" s="28"/>
      <c r="DV13" s="109"/>
      <c r="DX13" s="110" t="str">
        <f>+SpeciesDatabase!A66</f>
        <v>Nitrogen (g)</v>
      </c>
      <c r="DY13" s="1" t="str">
        <f>+SpeciesDatabase!B66</f>
        <v>N2 (g)</v>
      </c>
      <c r="DZ13" s="3" t="str">
        <f>+SpeciesDatabase!C66</f>
        <v>N2(g)</v>
      </c>
      <c r="EA13" s="3">
        <f>+SpeciesDatabase!D66</f>
        <v>0</v>
      </c>
      <c r="EB13" s="1">
        <f>+SpeciesDatabase!E66</f>
        <v>0</v>
      </c>
      <c r="EC13" s="1" t="str">
        <f>+SpeciesDatabase!F66</f>
        <v>NA</v>
      </c>
      <c r="ED13" s="1">
        <f>+SpeciesDatabase!G66</f>
        <v>0</v>
      </c>
      <c r="EE13" s="1">
        <f>+SpeciesDatabase!H66</f>
        <v>0</v>
      </c>
      <c r="EF13" s="1">
        <f>+SpeciesDatabase!I66</f>
        <v>0</v>
      </c>
      <c r="EG13" s="1">
        <f>+SpeciesDatabase!J66</f>
        <v>2</v>
      </c>
      <c r="EH13" s="1">
        <f>+SpeciesDatabase!K66</f>
        <v>0</v>
      </c>
      <c r="EI13" s="1">
        <f>+SpeciesDatabase!L66</f>
        <v>0</v>
      </c>
      <c r="EJ13" s="1">
        <f>+SpeciesDatabase!M66</f>
        <v>0</v>
      </c>
      <c r="EK13" s="1">
        <f>+SpeciesDatabase!N66</f>
        <v>0</v>
      </c>
      <c r="EL13" s="1">
        <f>+SpeciesDatabase!O66</f>
        <v>0</v>
      </c>
      <c r="EM13" s="1">
        <f>+SpeciesDatabase!P66</f>
        <v>0</v>
      </c>
      <c r="EN13" s="1">
        <f>+SpeciesDatabase!Q66</f>
        <v>0</v>
      </c>
      <c r="EO13" s="1">
        <f>+SpeciesDatabase!R66</f>
        <v>0</v>
      </c>
      <c r="EP13" s="1">
        <f>+SpeciesDatabase!S66</f>
        <v>0</v>
      </c>
      <c r="EQ13" s="1">
        <f>+SpeciesDatabase!T66</f>
        <v>0</v>
      </c>
      <c r="ER13" s="1">
        <f>+SpeciesDatabase!U66</f>
        <v>28</v>
      </c>
      <c r="ES13" s="1">
        <f>+SpeciesDatabase!V66</f>
        <v>-6</v>
      </c>
      <c r="ET13" s="114">
        <f>+SpeciesDatabase!W66</f>
        <v>-6</v>
      </c>
      <c r="EV13" s="43" t="s">
        <v>191</v>
      </c>
      <c r="EW13" s="43" t="s">
        <v>191</v>
      </c>
      <c r="EX13" s="43" t="s">
        <v>191</v>
      </c>
      <c r="EY13" s="12" t="s">
        <v>191</v>
      </c>
      <c r="EZ13" s="12" t="s">
        <v>191</v>
      </c>
      <c r="FA13" s="12" t="s">
        <v>191</v>
      </c>
    </row>
    <row r="14" spans="1:158" ht="15" customHeight="1">
      <c r="A14" s="92" t="s">
        <v>242</v>
      </c>
      <c r="B14" s="92" t="s">
        <v>244</v>
      </c>
      <c r="C14" s="1" t="str">
        <f t="shared" si="52"/>
        <v>HS-</v>
      </c>
      <c r="D14" s="1">
        <f>'Microbial Model'!EA14</f>
        <v>12.1</v>
      </c>
      <c r="E14" s="1">
        <f>'Microbial Model'!EQ14</f>
        <v>-1</v>
      </c>
      <c r="F14" s="1">
        <f>'Microbial Model'!ER14</f>
        <v>33</v>
      </c>
      <c r="G14" s="1">
        <f>'Microbial Model'!ES14</f>
        <v>8</v>
      </c>
      <c r="H14" s="2">
        <f>'Microbial Model'!ET14</f>
        <v>8</v>
      </c>
      <c r="I14" s="139"/>
      <c r="J14" s="87" t="s">
        <v>191</v>
      </c>
      <c r="K14" s="87" t="s">
        <v>191</v>
      </c>
      <c r="L14" s="43">
        <v>0.01</v>
      </c>
      <c r="M14" s="13">
        <v>0</v>
      </c>
      <c r="N14" s="13">
        <f t="shared" si="1"/>
        <v>0.6903592919611139</v>
      </c>
      <c r="O14" s="106"/>
      <c r="P14" s="109"/>
      <c r="Q14" s="14">
        <f t="shared" si="32"/>
        <v>0</v>
      </c>
      <c r="R14" s="167">
        <v>0</v>
      </c>
      <c r="S14" s="168">
        <v>0</v>
      </c>
      <c r="T14" s="141">
        <f t="shared" si="2"/>
        <v>0</v>
      </c>
      <c r="U14" s="167">
        <v>0</v>
      </c>
      <c r="V14" s="168">
        <v>0</v>
      </c>
      <c r="W14" s="141">
        <f t="shared" si="3"/>
        <v>0</v>
      </c>
      <c r="X14" s="140">
        <f t="shared" si="4"/>
        <v>0</v>
      </c>
      <c r="Y14" s="141">
        <f t="shared" si="33"/>
        <v>0</v>
      </c>
      <c r="Z14" s="28"/>
      <c r="AA14" s="109"/>
      <c r="AB14" s="14">
        <f t="shared" si="34"/>
        <v>0</v>
      </c>
      <c r="AC14" s="167">
        <v>0</v>
      </c>
      <c r="AD14" s="168">
        <v>0</v>
      </c>
      <c r="AE14" s="141">
        <f t="shared" si="5"/>
        <v>0</v>
      </c>
      <c r="AF14" s="167">
        <v>0</v>
      </c>
      <c r="AG14" s="168">
        <v>0</v>
      </c>
      <c r="AH14" s="141">
        <f t="shared" si="6"/>
        <v>0</v>
      </c>
      <c r="AI14" s="140">
        <f t="shared" si="7"/>
        <v>0</v>
      </c>
      <c r="AJ14" s="141">
        <f t="shared" si="35"/>
        <v>0</v>
      </c>
      <c r="AK14" s="28"/>
      <c r="AL14" s="109"/>
      <c r="AM14" s="14">
        <f t="shared" si="36"/>
        <v>0</v>
      </c>
      <c r="AN14" s="167">
        <v>0</v>
      </c>
      <c r="AO14" s="168">
        <v>0</v>
      </c>
      <c r="AP14" s="141">
        <f t="shared" si="8"/>
        <v>0</v>
      </c>
      <c r="AQ14" s="167">
        <v>0</v>
      </c>
      <c r="AR14" s="168">
        <v>0</v>
      </c>
      <c r="AS14" s="141">
        <f t="shared" si="9"/>
        <v>0</v>
      </c>
      <c r="AT14" s="140">
        <f t="shared" si="10"/>
        <v>0</v>
      </c>
      <c r="AU14" s="141">
        <f t="shared" si="37"/>
        <v>0</v>
      </c>
      <c r="AV14" s="28"/>
      <c r="AW14" s="109"/>
      <c r="AX14" s="14">
        <f t="shared" si="38"/>
        <v>0</v>
      </c>
      <c r="AY14" s="167">
        <v>0</v>
      </c>
      <c r="AZ14" s="168">
        <v>0</v>
      </c>
      <c r="BA14" s="141">
        <f t="shared" si="11"/>
        <v>0</v>
      </c>
      <c r="BB14" s="167">
        <v>0</v>
      </c>
      <c r="BC14" s="168">
        <v>0</v>
      </c>
      <c r="BD14" s="141">
        <f t="shared" si="12"/>
        <v>0</v>
      </c>
      <c r="BE14" s="140">
        <f t="shared" si="13"/>
        <v>0</v>
      </c>
      <c r="BF14" s="141">
        <f t="shared" si="39"/>
        <v>0</v>
      </c>
      <c r="BG14" s="28"/>
      <c r="BH14" s="109"/>
      <c r="BI14" s="14">
        <f t="shared" si="40"/>
        <v>1</v>
      </c>
      <c r="BJ14" s="167">
        <v>1</v>
      </c>
      <c r="BK14" s="168">
        <v>0</v>
      </c>
      <c r="BL14" s="141">
        <f t="shared" si="14"/>
        <v>1</v>
      </c>
      <c r="BM14" s="167">
        <v>0</v>
      </c>
      <c r="BN14" s="168">
        <v>-1</v>
      </c>
      <c r="BO14" s="141">
        <f t="shared" si="15"/>
        <v>-0.67500000000000004</v>
      </c>
      <c r="BP14" s="140">
        <f t="shared" si="16"/>
        <v>-12.5</v>
      </c>
      <c r="BQ14" s="141">
        <f t="shared" si="41"/>
        <v>-1</v>
      </c>
      <c r="BR14" s="22" t="s">
        <v>340</v>
      </c>
      <c r="BS14" s="109"/>
      <c r="BT14" s="14">
        <f t="shared" si="42"/>
        <v>0</v>
      </c>
      <c r="BU14" s="167">
        <v>0</v>
      </c>
      <c r="BV14" s="168">
        <v>0</v>
      </c>
      <c r="BW14" s="141">
        <f t="shared" si="17"/>
        <v>0</v>
      </c>
      <c r="BX14" s="167">
        <v>0</v>
      </c>
      <c r="BY14" s="168">
        <v>-1</v>
      </c>
      <c r="BZ14" s="141">
        <f t="shared" si="18"/>
        <v>-0.67500000000000004</v>
      </c>
      <c r="CA14" s="140">
        <f t="shared" si="19"/>
        <v>-0.67500000000000004</v>
      </c>
      <c r="CB14" s="141">
        <f t="shared" si="43"/>
        <v>-5.4000000000000006E-2</v>
      </c>
      <c r="CC14" s="22"/>
      <c r="CD14" s="109"/>
      <c r="CE14" s="14">
        <f t="shared" si="44"/>
        <v>0</v>
      </c>
      <c r="CF14" s="167">
        <v>0</v>
      </c>
      <c r="CG14" s="168">
        <v>0</v>
      </c>
      <c r="CH14" s="141">
        <f t="shared" si="20"/>
        <v>0</v>
      </c>
      <c r="CI14" s="167">
        <v>0</v>
      </c>
      <c r="CJ14" s="168">
        <v>-1</v>
      </c>
      <c r="CK14" s="141">
        <f t="shared" si="21"/>
        <v>-0.67500000000000004</v>
      </c>
      <c r="CL14" s="140">
        <f t="shared" si="22"/>
        <v>-0.67500000000000004</v>
      </c>
      <c r="CM14" s="141">
        <f t="shared" si="45"/>
        <v>-5.4000000000000006E-2</v>
      </c>
      <c r="CN14" s="22"/>
      <c r="CO14" s="109"/>
      <c r="CP14" s="14">
        <f t="shared" si="46"/>
        <v>0</v>
      </c>
      <c r="CQ14" s="167">
        <v>0</v>
      </c>
      <c r="CR14" s="168">
        <v>0</v>
      </c>
      <c r="CS14" s="141">
        <f t="shared" si="23"/>
        <v>0</v>
      </c>
      <c r="CT14" s="167">
        <v>0</v>
      </c>
      <c r="CU14" s="168">
        <v>0</v>
      </c>
      <c r="CV14" s="141">
        <f t="shared" si="24"/>
        <v>0</v>
      </c>
      <c r="CW14" s="140">
        <f t="shared" si="25"/>
        <v>0</v>
      </c>
      <c r="CX14" s="141">
        <f t="shared" si="47"/>
        <v>0</v>
      </c>
      <c r="CY14" s="28"/>
      <c r="CZ14" s="109"/>
      <c r="DA14" s="14">
        <f t="shared" si="48"/>
        <v>0</v>
      </c>
      <c r="DB14" s="167">
        <v>0</v>
      </c>
      <c r="DC14" s="168">
        <v>0</v>
      </c>
      <c r="DD14" s="141">
        <f t="shared" si="26"/>
        <v>0</v>
      </c>
      <c r="DE14" s="167">
        <v>0</v>
      </c>
      <c r="DF14" s="168">
        <v>0</v>
      </c>
      <c r="DG14" s="141">
        <f t="shared" si="27"/>
        <v>0</v>
      </c>
      <c r="DH14" s="140">
        <f t="shared" si="28"/>
        <v>0</v>
      </c>
      <c r="DI14" s="141">
        <f t="shared" si="49"/>
        <v>0</v>
      </c>
      <c r="DJ14" s="28"/>
      <c r="DK14" s="109"/>
      <c r="DL14" s="14">
        <f t="shared" si="50"/>
        <v>0</v>
      </c>
      <c r="DM14" s="167">
        <v>0</v>
      </c>
      <c r="DN14" s="168">
        <v>0</v>
      </c>
      <c r="DO14" s="141">
        <f t="shared" si="29"/>
        <v>0</v>
      </c>
      <c r="DP14" s="167">
        <v>0</v>
      </c>
      <c r="DQ14" s="168">
        <v>0</v>
      </c>
      <c r="DR14" s="141">
        <f t="shared" si="30"/>
        <v>0</v>
      </c>
      <c r="DS14" s="140">
        <f t="shared" si="31"/>
        <v>0</v>
      </c>
      <c r="DT14" s="141">
        <f t="shared" si="51"/>
        <v>0</v>
      </c>
      <c r="DU14" s="28"/>
      <c r="DV14" s="109"/>
      <c r="DX14" s="110" t="str">
        <f>+SpeciesDatabase!A91</f>
        <v>Hydrogen Sulfide</v>
      </c>
      <c r="DY14" s="1" t="str">
        <f>+SpeciesDatabase!B91</f>
        <v>HS-</v>
      </c>
      <c r="DZ14" s="3" t="str">
        <f>+SpeciesDatabase!C91</f>
        <v>HS-</v>
      </c>
      <c r="EA14" s="3">
        <f>+SpeciesDatabase!D91</f>
        <v>12.1</v>
      </c>
      <c r="EB14" s="1">
        <f>+SpeciesDatabase!E91</f>
        <v>-17.600000000000001</v>
      </c>
      <c r="EC14" s="1">
        <f>+SpeciesDatabase!F91</f>
        <v>62.8</v>
      </c>
      <c r="ED14" s="1">
        <f>+SpeciesDatabase!G91</f>
        <v>0</v>
      </c>
      <c r="EE14" s="1">
        <f>+SpeciesDatabase!H91</f>
        <v>1</v>
      </c>
      <c r="EF14" s="1">
        <f>+SpeciesDatabase!I91</f>
        <v>0</v>
      </c>
      <c r="EG14" s="1">
        <f>+SpeciesDatabase!J91</f>
        <v>0</v>
      </c>
      <c r="EH14" s="1">
        <f>+SpeciesDatabase!K91</f>
        <v>0</v>
      </c>
      <c r="EI14" s="1">
        <f>+SpeciesDatabase!L91</f>
        <v>1</v>
      </c>
      <c r="EJ14" s="1">
        <f>+SpeciesDatabase!M91</f>
        <v>0</v>
      </c>
      <c r="EK14" s="1">
        <f>+SpeciesDatabase!N91</f>
        <v>0</v>
      </c>
      <c r="EL14" s="1">
        <f>+SpeciesDatabase!O91</f>
        <v>0</v>
      </c>
      <c r="EM14" s="1">
        <f>+SpeciesDatabase!P91</f>
        <v>0</v>
      </c>
      <c r="EN14" s="1">
        <f>+SpeciesDatabase!Q91</f>
        <v>0</v>
      </c>
      <c r="EO14" s="1">
        <f>+SpeciesDatabase!R91</f>
        <v>0</v>
      </c>
      <c r="EP14" s="1">
        <f>+SpeciesDatabase!S91</f>
        <v>0</v>
      </c>
      <c r="EQ14" s="1">
        <f>+SpeciesDatabase!T91</f>
        <v>-1</v>
      </c>
      <c r="ER14" s="1">
        <f>+SpeciesDatabase!U91</f>
        <v>33</v>
      </c>
      <c r="ES14" s="1">
        <f>+SpeciesDatabase!V91</f>
        <v>8</v>
      </c>
      <c r="ET14" s="114">
        <f>+SpeciesDatabase!W91</f>
        <v>8</v>
      </c>
      <c r="EV14" s="43" t="s">
        <v>191</v>
      </c>
      <c r="EW14" s="43">
        <v>11.96</v>
      </c>
      <c r="EX14" s="43">
        <v>7.04</v>
      </c>
      <c r="EY14" s="12" t="s">
        <v>191</v>
      </c>
      <c r="EZ14" s="12">
        <f>10^(-EW14)</f>
        <v>1.0964781961431817E-12</v>
      </c>
      <c r="FA14" s="12">
        <f>10^(-EX14)</f>
        <v>9.120108393559095E-8</v>
      </c>
    </row>
    <row r="15" spans="1:158" ht="15" customHeight="1">
      <c r="A15" s="92" t="s">
        <v>242</v>
      </c>
      <c r="B15" s="92" t="s">
        <v>244</v>
      </c>
      <c r="C15" s="1" t="str">
        <f t="shared" si="52"/>
        <v>SO42-</v>
      </c>
      <c r="D15" s="1">
        <f>'Microbial Model'!EA15</f>
        <v>-744.6</v>
      </c>
      <c r="E15" s="1">
        <f>'Microbial Model'!EQ15</f>
        <v>-2</v>
      </c>
      <c r="F15" s="1">
        <f>'Microbial Model'!ER15</f>
        <v>96</v>
      </c>
      <c r="G15" s="1">
        <f>'Microbial Model'!ES15</f>
        <v>0</v>
      </c>
      <c r="H15" s="2">
        <f>'Microbial Model'!ET15</f>
        <v>0</v>
      </c>
      <c r="I15" s="139"/>
      <c r="J15" s="87" t="s">
        <v>191</v>
      </c>
      <c r="K15" s="43">
        <v>0.01</v>
      </c>
      <c r="L15" s="105">
        <f>FA15*K15/(FA15+$L$21)</f>
        <v>9.9999999989999998E-3</v>
      </c>
      <c r="M15" s="13">
        <v>0</v>
      </c>
      <c r="N15" s="13">
        <f t="shared" si="1"/>
        <v>-756.00964070828672</v>
      </c>
      <c r="O15" s="106"/>
      <c r="P15" s="109"/>
      <c r="Q15" s="14">
        <f t="shared" si="32"/>
        <v>0</v>
      </c>
      <c r="R15" s="167">
        <v>0</v>
      </c>
      <c r="S15" s="168">
        <v>0</v>
      </c>
      <c r="T15" s="141">
        <f t="shared" si="2"/>
        <v>0</v>
      </c>
      <c r="U15" s="167">
        <v>0</v>
      </c>
      <c r="V15" s="168">
        <v>0</v>
      </c>
      <c r="W15" s="141">
        <f t="shared" si="3"/>
        <v>0</v>
      </c>
      <c r="X15" s="140">
        <f t="shared" si="4"/>
        <v>0</v>
      </c>
      <c r="Y15" s="141">
        <f t="shared" si="33"/>
        <v>0</v>
      </c>
      <c r="Z15" s="28"/>
      <c r="AA15" s="109"/>
      <c r="AB15" s="14">
        <f t="shared" si="34"/>
        <v>0</v>
      </c>
      <c r="AC15" s="167">
        <v>0</v>
      </c>
      <c r="AD15" s="168">
        <v>0</v>
      </c>
      <c r="AE15" s="141">
        <f t="shared" si="5"/>
        <v>0</v>
      </c>
      <c r="AF15" s="167">
        <v>0</v>
      </c>
      <c r="AG15" s="168">
        <v>0</v>
      </c>
      <c r="AH15" s="141">
        <f t="shared" si="6"/>
        <v>0</v>
      </c>
      <c r="AI15" s="140">
        <f t="shared" si="7"/>
        <v>0</v>
      </c>
      <c r="AJ15" s="141">
        <f t="shared" si="35"/>
        <v>0</v>
      </c>
      <c r="AK15" s="28"/>
      <c r="AL15" s="109"/>
      <c r="AM15" s="14">
        <f t="shared" si="36"/>
        <v>0</v>
      </c>
      <c r="AN15" s="167">
        <v>0</v>
      </c>
      <c r="AO15" s="168">
        <v>0</v>
      </c>
      <c r="AP15" s="141">
        <f t="shared" si="8"/>
        <v>0</v>
      </c>
      <c r="AQ15" s="167">
        <v>0</v>
      </c>
      <c r="AR15" s="168">
        <v>0</v>
      </c>
      <c r="AS15" s="141">
        <f t="shared" si="9"/>
        <v>0</v>
      </c>
      <c r="AT15" s="140">
        <f t="shared" si="10"/>
        <v>0</v>
      </c>
      <c r="AU15" s="141">
        <f t="shared" si="37"/>
        <v>0</v>
      </c>
      <c r="AV15" s="28"/>
      <c r="AW15" s="109"/>
      <c r="AX15" s="14">
        <f t="shared" si="38"/>
        <v>0</v>
      </c>
      <c r="AY15" s="167">
        <v>0</v>
      </c>
      <c r="AZ15" s="168">
        <v>0</v>
      </c>
      <c r="BA15" s="141">
        <f t="shared" si="11"/>
        <v>0</v>
      </c>
      <c r="BB15" s="167">
        <v>0</v>
      </c>
      <c r="BC15" s="168">
        <v>0</v>
      </c>
      <c r="BD15" s="141">
        <f t="shared" si="12"/>
        <v>0</v>
      </c>
      <c r="BE15" s="140">
        <f t="shared" si="13"/>
        <v>0</v>
      </c>
      <c r="BF15" s="141">
        <f t="shared" si="39"/>
        <v>0</v>
      </c>
      <c r="BG15" s="28"/>
      <c r="BH15" s="109"/>
      <c r="BI15" s="14">
        <f t="shared" si="40"/>
        <v>0</v>
      </c>
      <c r="BJ15" s="167">
        <v>-1</v>
      </c>
      <c r="BK15" s="168">
        <v>0</v>
      </c>
      <c r="BL15" s="141">
        <f t="shared" si="14"/>
        <v>-1</v>
      </c>
      <c r="BM15" s="167">
        <v>0</v>
      </c>
      <c r="BN15" s="168">
        <v>1</v>
      </c>
      <c r="BO15" s="141">
        <f t="shared" si="15"/>
        <v>0.67500000000000004</v>
      </c>
      <c r="BP15" s="140">
        <f t="shared" si="16"/>
        <v>12.5</v>
      </c>
      <c r="BQ15" s="141">
        <f t="shared" si="41"/>
        <v>1</v>
      </c>
      <c r="BR15" s="28"/>
      <c r="BS15" s="109"/>
      <c r="BT15" s="14">
        <f t="shared" si="42"/>
        <v>0</v>
      </c>
      <c r="BU15" s="167">
        <v>0</v>
      </c>
      <c r="BV15" s="168">
        <v>0</v>
      </c>
      <c r="BW15" s="141">
        <f t="shared" si="17"/>
        <v>0</v>
      </c>
      <c r="BX15" s="167">
        <v>0</v>
      </c>
      <c r="BY15" s="168">
        <v>1</v>
      </c>
      <c r="BZ15" s="141">
        <f t="shared" si="18"/>
        <v>0.67500000000000004</v>
      </c>
      <c r="CA15" s="140">
        <f t="shared" si="19"/>
        <v>0.67500000000000004</v>
      </c>
      <c r="CB15" s="141">
        <f t="shared" si="43"/>
        <v>5.4000000000000006E-2</v>
      </c>
      <c r="CC15" s="28"/>
      <c r="CD15" s="109"/>
      <c r="CE15" s="14">
        <f t="shared" si="44"/>
        <v>0</v>
      </c>
      <c r="CF15" s="167">
        <v>0</v>
      </c>
      <c r="CG15" s="168">
        <v>0</v>
      </c>
      <c r="CH15" s="141">
        <f t="shared" si="20"/>
        <v>0</v>
      </c>
      <c r="CI15" s="167">
        <v>0</v>
      </c>
      <c r="CJ15" s="168">
        <v>1</v>
      </c>
      <c r="CK15" s="141">
        <f t="shared" si="21"/>
        <v>0.67500000000000004</v>
      </c>
      <c r="CL15" s="140">
        <f t="shared" si="22"/>
        <v>0.67500000000000004</v>
      </c>
      <c r="CM15" s="141">
        <f t="shared" si="45"/>
        <v>5.4000000000000006E-2</v>
      </c>
      <c r="CN15" s="28"/>
      <c r="CO15" s="109"/>
      <c r="CP15" s="14">
        <f t="shared" si="46"/>
        <v>0</v>
      </c>
      <c r="CQ15" s="167">
        <v>0</v>
      </c>
      <c r="CR15" s="168">
        <v>0</v>
      </c>
      <c r="CS15" s="141">
        <f t="shared" si="23"/>
        <v>0</v>
      </c>
      <c r="CT15" s="167">
        <v>0</v>
      </c>
      <c r="CU15" s="168">
        <v>0</v>
      </c>
      <c r="CV15" s="141">
        <f t="shared" si="24"/>
        <v>0</v>
      </c>
      <c r="CW15" s="140">
        <f t="shared" si="25"/>
        <v>0</v>
      </c>
      <c r="CX15" s="141">
        <f t="shared" si="47"/>
        <v>0</v>
      </c>
      <c r="CY15" s="28"/>
      <c r="CZ15" s="109"/>
      <c r="DA15" s="14">
        <f t="shared" si="48"/>
        <v>0</v>
      </c>
      <c r="DB15" s="167">
        <v>0</v>
      </c>
      <c r="DC15" s="168">
        <v>0</v>
      </c>
      <c r="DD15" s="141">
        <f t="shared" si="26"/>
        <v>0</v>
      </c>
      <c r="DE15" s="167">
        <v>0</v>
      </c>
      <c r="DF15" s="168">
        <v>0</v>
      </c>
      <c r="DG15" s="141">
        <f t="shared" si="27"/>
        <v>0</v>
      </c>
      <c r="DH15" s="140">
        <f t="shared" si="28"/>
        <v>0</v>
      </c>
      <c r="DI15" s="141">
        <f t="shared" si="49"/>
        <v>0</v>
      </c>
      <c r="DJ15" s="28"/>
      <c r="DK15" s="109"/>
      <c r="DL15" s="14">
        <f t="shared" si="50"/>
        <v>0</v>
      </c>
      <c r="DM15" s="167">
        <v>0</v>
      </c>
      <c r="DN15" s="168">
        <v>0</v>
      </c>
      <c r="DO15" s="141">
        <f t="shared" si="29"/>
        <v>0</v>
      </c>
      <c r="DP15" s="167">
        <v>0</v>
      </c>
      <c r="DQ15" s="168">
        <v>0</v>
      </c>
      <c r="DR15" s="141">
        <f t="shared" si="30"/>
        <v>0</v>
      </c>
      <c r="DS15" s="140">
        <f t="shared" si="31"/>
        <v>0</v>
      </c>
      <c r="DT15" s="141">
        <f t="shared" si="51"/>
        <v>0</v>
      </c>
      <c r="DU15" s="28"/>
      <c r="DV15" s="109"/>
      <c r="DX15" s="110" t="str">
        <f>+SpeciesDatabase!A94</f>
        <v>Sulfate</v>
      </c>
      <c r="DY15" s="1" t="str">
        <f>+SpeciesDatabase!B94</f>
        <v>SO42-</v>
      </c>
      <c r="DZ15" s="3" t="str">
        <f>+SpeciesDatabase!C94</f>
        <v>SO42-</v>
      </c>
      <c r="EA15" s="3">
        <f>+SpeciesDatabase!D94</f>
        <v>-744.6</v>
      </c>
      <c r="EB15" s="1">
        <f>+SpeciesDatabase!E94</f>
        <v>-909.6</v>
      </c>
      <c r="EC15" s="1" t="str">
        <f>+SpeciesDatabase!F94</f>
        <v>NA</v>
      </c>
      <c r="ED15" s="1">
        <f>+SpeciesDatabase!G94</f>
        <v>0</v>
      </c>
      <c r="EE15" s="1">
        <f>+SpeciesDatabase!H94</f>
        <v>0</v>
      </c>
      <c r="EF15" s="1">
        <f>+SpeciesDatabase!I94</f>
        <v>4</v>
      </c>
      <c r="EG15" s="1">
        <f>+SpeciesDatabase!J94</f>
        <v>0</v>
      </c>
      <c r="EH15" s="1">
        <f>+SpeciesDatabase!K94</f>
        <v>0</v>
      </c>
      <c r="EI15" s="1">
        <f>+SpeciesDatabase!L94</f>
        <v>1</v>
      </c>
      <c r="EJ15" s="1">
        <f>+SpeciesDatabase!M94</f>
        <v>0</v>
      </c>
      <c r="EK15" s="1">
        <f>+SpeciesDatabase!N94</f>
        <v>0</v>
      </c>
      <c r="EL15" s="1">
        <f>+SpeciesDatabase!O94</f>
        <v>0</v>
      </c>
      <c r="EM15" s="1">
        <f>+SpeciesDatabase!P94</f>
        <v>0</v>
      </c>
      <c r="EN15" s="1">
        <f>+SpeciesDatabase!Q94</f>
        <v>0</v>
      </c>
      <c r="EO15" s="1">
        <f>+SpeciesDatabase!R94</f>
        <v>0</v>
      </c>
      <c r="EP15" s="1">
        <f>+SpeciesDatabase!S94</f>
        <v>0</v>
      </c>
      <c r="EQ15" s="1">
        <f>+SpeciesDatabase!T94</f>
        <v>-2</v>
      </c>
      <c r="ER15" s="1">
        <f>+SpeciesDatabase!U94</f>
        <v>96</v>
      </c>
      <c r="ES15" s="1">
        <f>+SpeciesDatabase!V94</f>
        <v>0</v>
      </c>
      <c r="ET15" s="114">
        <f>+SpeciesDatabase!W94</f>
        <v>0</v>
      </c>
      <c r="EV15" s="43" t="s">
        <v>191</v>
      </c>
      <c r="EW15" s="43">
        <v>1.99</v>
      </c>
      <c r="EX15" s="43">
        <v>-3</v>
      </c>
      <c r="EY15" s="12" t="s">
        <v>191</v>
      </c>
      <c r="EZ15" s="12">
        <f>10^(-EW15)</f>
        <v>1.0232929922807535E-2</v>
      </c>
      <c r="FA15" s="12">
        <f>10^(-EX15)</f>
        <v>1000</v>
      </c>
    </row>
    <row r="16" spans="1:158" ht="15" customHeight="1">
      <c r="A16" s="92" t="s">
        <v>242</v>
      </c>
      <c r="B16" s="92" t="s">
        <v>244</v>
      </c>
      <c r="C16" s="1" t="str">
        <f>DY16</f>
        <v>Fe(s)</v>
      </c>
      <c r="D16" s="1">
        <f>'Microbial Model'!EA16</f>
        <v>0</v>
      </c>
      <c r="E16" s="1">
        <f>'Microbial Model'!EQ16</f>
        <v>0</v>
      </c>
      <c r="F16" s="1">
        <f>'Microbial Model'!ER16</f>
        <v>56</v>
      </c>
      <c r="G16" s="1">
        <f>'Microbial Model'!ES16</f>
        <v>3</v>
      </c>
      <c r="H16" s="2">
        <f>'Microbial Model'!ET16</f>
        <v>3</v>
      </c>
      <c r="I16" s="139"/>
      <c r="J16" s="87" t="s">
        <v>191</v>
      </c>
      <c r="K16" s="87" t="s">
        <v>191</v>
      </c>
      <c r="L16" s="43">
        <v>1</v>
      </c>
      <c r="M16" s="13">
        <v>0</v>
      </c>
      <c r="N16" s="13">
        <f>D16+$C$26*$C$27*LN($L16)+E16*$C$25*M16</f>
        <v>0</v>
      </c>
      <c r="O16" s="106"/>
      <c r="P16" s="109"/>
      <c r="Q16" s="14">
        <f>+IF(Z16="eD",1,0)</f>
        <v>0</v>
      </c>
      <c r="R16" s="167">
        <v>0</v>
      </c>
      <c r="S16" s="168">
        <v>0</v>
      </c>
      <c r="T16" s="141">
        <f>+R16*R$24+S16*S$24</f>
        <v>0</v>
      </c>
      <c r="U16" s="167">
        <v>0</v>
      </c>
      <c r="V16" s="168">
        <v>0</v>
      </c>
      <c r="W16" s="141">
        <f>+U16*U$24+V16*V$24</f>
        <v>0</v>
      </c>
      <c r="X16" s="140">
        <f>+T$24*T16+W$24*W16</f>
        <v>0</v>
      </c>
      <c r="Y16" s="141">
        <f>+X16/-SUMPRODUCT(Q$4:Q$23,X$4:X$23)</f>
        <v>0</v>
      </c>
      <c r="Z16" s="28"/>
      <c r="AA16" s="109"/>
      <c r="AB16" s="14">
        <f t="shared" si="34"/>
        <v>0</v>
      </c>
      <c r="AC16" s="167">
        <v>0</v>
      </c>
      <c r="AD16" s="168">
        <v>0</v>
      </c>
      <c r="AE16" s="141">
        <f t="shared" si="5"/>
        <v>0</v>
      </c>
      <c r="AF16" s="167">
        <v>0</v>
      </c>
      <c r="AG16" s="168">
        <v>0</v>
      </c>
      <c r="AH16" s="141">
        <f t="shared" si="6"/>
        <v>0</v>
      </c>
      <c r="AI16" s="140">
        <f t="shared" si="7"/>
        <v>0</v>
      </c>
      <c r="AJ16" s="141">
        <f t="shared" si="35"/>
        <v>0</v>
      </c>
      <c r="AK16" s="28"/>
      <c r="AL16" s="109"/>
      <c r="AM16" s="14">
        <f t="shared" si="36"/>
        <v>0</v>
      </c>
      <c r="AN16" s="167">
        <v>0</v>
      </c>
      <c r="AO16" s="168">
        <v>0</v>
      </c>
      <c r="AP16" s="141">
        <f t="shared" si="8"/>
        <v>0</v>
      </c>
      <c r="AQ16" s="167">
        <v>0</v>
      </c>
      <c r="AR16" s="168">
        <v>0</v>
      </c>
      <c r="AS16" s="141">
        <f t="shared" si="9"/>
        <v>0</v>
      </c>
      <c r="AT16" s="140">
        <f t="shared" si="10"/>
        <v>0</v>
      </c>
      <c r="AU16" s="141">
        <f t="shared" si="37"/>
        <v>0</v>
      </c>
      <c r="AV16" s="28"/>
      <c r="AW16" s="109"/>
      <c r="AX16" s="14">
        <f t="shared" si="38"/>
        <v>0</v>
      </c>
      <c r="AY16" s="167">
        <v>0</v>
      </c>
      <c r="AZ16" s="168">
        <v>0</v>
      </c>
      <c r="BA16" s="141">
        <f t="shared" si="11"/>
        <v>0</v>
      </c>
      <c r="BB16" s="167">
        <v>0</v>
      </c>
      <c r="BC16" s="168">
        <v>0</v>
      </c>
      <c r="BD16" s="141">
        <f t="shared" si="12"/>
        <v>0</v>
      </c>
      <c r="BE16" s="140">
        <f t="shared" si="13"/>
        <v>0</v>
      </c>
      <c r="BF16" s="141">
        <f t="shared" si="39"/>
        <v>0</v>
      </c>
      <c r="BG16" s="28"/>
      <c r="BH16" s="109"/>
      <c r="BI16" s="14">
        <f t="shared" si="40"/>
        <v>0</v>
      </c>
      <c r="BJ16" s="167">
        <v>0</v>
      </c>
      <c r="BK16" s="168">
        <v>0</v>
      </c>
      <c r="BL16" s="141">
        <f t="shared" si="14"/>
        <v>0</v>
      </c>
      <c r="BM16" s="167">
        <v>0</v>
      </c>
      <c r="BN16" s="168">
        <v>0</v>
      </c>
      <c r="BO16" s="141">
        <f t="shared" si="15"/>
        <v>0</v>
      </c>
      <c r="BP16" s="140">
        <f t="shared" si="16"/>
        <v>0</v>
      </c>
      <c r="BQ16" s="141">
        <f t="shared" si="41"/>
        <v>0</v>
      </c>
      <c r="BR16" s="28"/>
      <c r="BS16" s="109"/>
      <c r="BT16" s="14">
        <f t="shared" si="42"/>
        <v>0</v>
      </c>
      <c r="BU16" s="167">
        <v>0</v>
      </c>
      <c r="BV16" s="168">
        <v>0</v>
      </c>
      <c r="BW16" s="141">
        <f t="shared" si="17"/>
        <v>0</v>
      </c>
      <c r="BX16" s="167">
        <v>0</v>
      </c>
      <c r="BY16" s="168">
        <v>0</v>
      </c>
      <c r="BZ16" s="141">
        <f t="shared" si="18"/>
        <v>0</v>
      </c>
      <c r="CA16" s="140">
        <f t="shared" si="19"/>
        <v>0</v>
      </c>
      <c r="CB16" s="141">
        <f t="shared" si="43"/>
        <v>0</v>
      </c>
      <c r="CC16" s="28"/>
      <c r="CD16" s="109"/>
      <c r="CE16" s="14">
        <f t="shared" si="44"/>
        <v>0</v>
      </c>
      <c r="CF16" s="167">
        <v>0</v>
      </c>
      <c r="CG16" s="168">
        <v>1</v>
      </c>
      <c r="CH16" s="141">
        <f t="shared" si="20"/>
        <v>4</v>
      </c>
      <c r="CI16" s="167">
        <v>0</v>
      </c>
      <c r="CJ16" s="168">
        <v>0</v>
      </c>
      <c r="CK16" s="141">
        <f t="shared" si="21"/>
        <v>0</v>
      </c>
      <c r="CL16" s="140">
        <f t="shared" si="22"/>
        <v>12.5</v>
      </c>
      <c r="CM16" s="141">
        <f t="shared" si="45"/>
        <v>1</v>
      </c>
      <c r="CN16" s="28"/>
      <c r="CO16" s="109"/>
      <c r="CP16" s="14">
        <f t="shared" si="46"/>
        <v>0</v>
      </c>
      <c r="CQ16" s="167">
        <v>0</v>
      </c>
      <c r="CR16" s="168">
        <v>0</v>
      </c>
      <c r="CS16" s="141">
        <f t="shared" si="23"/>
        <v>0</v>
      </c>
      <c r="CT16" s="167">
        <v>0</v>
      </c>
      <c r="CU16" s="168">
        <v>0</v>
      </c>
      <c r="CV16" s="141">
        <f t="shared" si="24"/>
        <v>0</v>
      </c>
      <c r="CW16" s="140">
        <f t="shared" si="25"/>
        <v>0</v>
      </c>
      <c r="CX16" s="141">
        <f t="shared" si="47"/>
        <v>0</v>
      </c>
      <c r="CY16" s="28"/>
      <c r="CZ16" s="109"/>
      <c r="DA16" s="14">
        <f t="shared" si="48"/>
        <v>0</v>
      </c>
      <c r="DB16" s="167">
        <v>0</v>
      </c>
      <c r="DC16" s="168">
        <v>0</v>
      </c>
      <c r="DD16" s="141">
        <f t="shared" si="26"/>
        <v>0</v>
      </c>
      <c r="DE16" s="167">
        <v>0</v>
      </c>
      <c r="DF16" s="168">
        <v>0</v>
      </c>
      <c r="DG16" s="141">
        <f t="shared" si="27"/>
        <v>0</v>
      </c>
      <c r="DH16" s="140">
        <f t="shared" si="28"/>
        <v>0</v>
      </c>
      <c r="DI16" s="141">
        <f t="shared" si="49"/>
        <v>0</v>
      </c>
      <c r="DJ16" s="28"/>
      <c r="DK16" s="109"/>
      <c r="DL16" s="14">
        <f t="shared" si="50"/>
        <v>0</v>
      </c>
      <c r="DM16" s="167">
        <v>0</v>
      </c>
      <c r="DN16" s="168">
        <v>0</v>
      </c>
      <c r="DO16" s="141">
        <f t="shared" si="29"/>
        <v>0</v>
      </c>
      <c r="DP16" s="167">
        <v>0</v>
      </c>
      <c r="DQ16" s="168">
        <v>0</v>
      </c>
      <c r="DR16" s="141">
        <f t="shared" si="30"/>
        <v>0</v>
      </c>
      <c r="DS16" s="140">
        <f t="shared" si="31"/>
        <v>0</v>
      </c>
      <c r="DT16" s="141">
        <f t="shared" si="51"/>
        <v>0</v>
      </c>
      <c r="DU16" s="28"/>
      <c r="DV16" s="109"/>
      <c r="DX16" s="110" t="str">
        <f>+SpeciesDatabase!A103</f>
        <v>Iron (s)</v>
      </c>
      <c r="DY16" s="1" t="str">
        <f>+SpeciesDatabase!B103</f>
        <v>Fe(s)</v>
      </c>
      <c r="DZ16" s="3" t="str">
        <f>+SpeciesDatabase!C103</f>
        <v>Fe(s)</v>
      </c>
      <c r="EA16" s="3">
        <f>+SpeciesDatabase!D103</f>
        <v>0</v>
      </c>
      <c r="EB16" s="1">
        <f>+SpeciesDatabase!E103</f>
        <v>0</v>
      </c>
      <c r="EC16" s="1" t="str">
        <f>+SpeciesDatabase!F103</f>
        <v>NA</v>
      </c>
      <c r="ED16" s="1">
        <f>+SpeciesDatabase!G103</f>
        <v>0</v>
      </c>
      <c r="EE16" s="1">
        <f>+SpeciesDatabase!H103</f>
        <v>0</v>
      </c>
      <c r="EF16" s="1">
        <f>+SpeciesDatabase!I103</f>
        <v>0</v>
      </c>
      <c r="EG16" s="1">
        <f>+SpeciesDatabase!J103</f>
        <v>0</v>
      </c>
      <c r="EH16" s="1">
        <f>+SpeciesDatabase!K103</f>
        <v>0</v>
      </c>
      <c r="EI16" s="1">
        <f>+SpeciesDatabase!L103</f>
        <v>0</v>
      </c>
      <c r="EJ16" s="1">
        <f>+SpeciesDatabase!M103</f>
        <v>0</v>
      </c>
      <c r="EK16" s="1">
        <f>+SpeciesDatabase!N103</f>
        <v>1</v>
      </c>
      <c r="EL16" s="1">
        <f>+SpeciesDatabase!O103</f>
        <v>0</v>
      </c>
      <c r="EM16" s="1">
        <f>+SpeciesDatabase!P103</f>
        <v>0</v>
      </c>
      <c r="EN16" s="1">
        <f>+SpeciesDatabase!Q103</f>
        <v>0</v>
      </c>
      <c r="EO16" s="1">
        <f>+SpeciesDatabase!R103</f>
        <v>0</v>
      </c>
      <c r="EP16" s="1">
        <f>+SpeciesDatabase!S103</f>
        <v>0</v>
      </c>
      <c r="EQ16" s="1">
        <f>+SpeciesDatabase!T103</f>
        <v>0</v>
      </c>
      <c r="ER16" s="1">
        <f>+SpeciesDatabase!U103</f>
        <v>56</v>
      </c>
      <c r="ES16" s="1">
        <f>+SpeciesDatabase!V103</f>
        <v>3</v>
      </c>
      <c r="ET16" s="114">
        <f>+SpeciesDatabase!W103</f>
        <v>3</v>
      </c>
      <c r="EV16" s="43" t="s">
        <v>191</v>
      </c>
      <c r="EW16" s="43" t="s">
        <v>191</v>
      </c>
      <c r="EX16" s="43" t="s">
        <v>191</v>
      </c>
      <c r="EY16" s="12" t="s">
        <v>191</v>
      </c>
      <c r="EZ16" s="12" t="s">
        <v>191</v>
      </c>
      <c r="FA16" s="12" t="s">
        <v>191</v>
      </c>
    </row>
    <row r="17" spans="1:157" ht="15" customHeight="1">
      <c r="A17" s="92" t="s">
        <v>242</v>
      </c>
      <c r="B17" s="92" t="s">
        <v>244</v>
      </c>
      <c r="C17" s="1" t="str">
        <f t="shared" si="52"/>
        <v>Fe2+</v>
      </c>
      <c r="D17" s="1">
        <f>'Microbial Model'!EA17</f>
        <v>-78.900000000000006</v>
      </c>
      <c r="E17" s="1">
        <f>'Microbial Model'!EQ17</f>
        <v>2</v>
      </c>
      <c r="F17" s="1">
        <f>'Microbial Model'!ER17</f>
        <v>56</v>
      </c>
      <c r="G17" s="1">
        <f>'Microbial Model'!ES17</f>
        <v>1</v>
      </c>
      <c r="H17" s="2">
        <f>'Microbial Model'!ET17</f>
        <v>1</v>
      </c>
      <c r="I17" s="139"/>
      <c r="J17" s="87" t="s">
        <v>191</v>
      </c>
      <c r="K17" s="87" t="s">
        <v>191</v>
      </c>
      <c r="L17" s="43">
        <v>0.01</v>
      </c>
      <c r="M17" s="13">
        <v>0</v>
      </c>
      <c r="N17" s="13">
        <f t="shared" si="1"/>
        <v>-90.309640708038899</v>
      </c>
      <c r="O17" s="106"/>
      <c r="P17" s="109"/>
      <c r="Q17" s="14">
        <f t="shared" si="32"/>
        <v>0</v>
      </c>
      <c r="R17" s="167">
        <v>0</v>
      </c>
      <c r="S17" s="168">
        <v>0</v>
      </c>
      <c r="T17" s="141">
        <f t="shared" si="2"/>
        <v>0</v>
      </c>
      <c r="U17" s="167">
        <v>0</v>
      </c>
      <c r="V17" s="168">
        <v>0</v>
      </c>
      <c r="W17" s="141">
        <f t="shared" si="3"/>
        <v>0</v>
      </c>
      <c r="X17" s="140">
        <f t="shared" si="4"/>
        <v>0</v>
      </c>
      <c r="Y17" s="141">
        <f t="shared" si="33"/>
        <v>0</v>
      </c>
      <c r="Z17" s="28"/>
      <c r="AA17" s="109"/>
      <c r="AB17" s="14">
        <f t="shared" si="34"/>
        <v>0</v>
      </c>
      <c r="AC17" s="167">
        <v>0</v>
      </c>
      <c r="AD17" s="168">
        <v>0</v>
      </c>
      <c r="AE17" s="141">
        <f t="shared" si="5"/>
        <v>0</v>
      </c>
      <c r="AF17" s="167">
        <v>0</v>
      </c>
      <c r="AG17" s="168">
        <v>0</v>
      </c>
      <c r="AH17" s="141">
        <f t="shared" si="6"/>
        <v>0</v>
      </c>
      <c r="AI17" s="140">
        <f t="shared" si="7"/>
        <v>0</v>
      </c>
      <c r="AJ17" s="141">
        <f t="shared" si="35"/>
        <v>0</v>
      </c>
      <c r="AK17" s="28"/>
      <c r="AL17" s="109"/>
      <c r="AM17" s="14">
        <f t="shared" si="36"/>
        <v>0</v>
      </c>
      <c r="AN17" s="167">
        <v>0</v>
      </c>
      <c r="AO17" s="168">
        <v>0</v>
      </c>
      <c r="AP17" s="141">
        <f t="shared" si="8"/>
        <v>0</v>
      </c>
      <c r="AQ17" s="167">
        <v>0</v>
      </c>
      <c r="AR17" s="168">
        <v>0</v>
      </c>
      <c r="AS17" s="141">
        <f t="shared" si="9"/>
        <v>0</v>
      </c>
      <c r="AT17" s="140">
        <f t="shared" si="10"/>
        <v>0</v>
      </c>
      <c r="AU17" s="141">
        <f t="shared" si="37"/>
        <v>0</v>
      </c>
      <c r="AV17" s="28"/>
      <c r="AW17" s="109"/>
      <c r="AX17" s="14">
        <f t="shared" si="38"/>
        <v>0</v>
      </c>
      <c r="AY17" s="167">
        <v>0</v>
      </c>
      <c r="AZ17" s="168">
        <v>0</v>
      </c>
      <c r="BA17" s="141">
        <f t="shared" si="11"/>
        <v>0</v>
      </c>
      <c r="BB17" s="167">
        <v>0</v>
      </c>
      <c r="BC17" s="168">
        <v>0</v>
      </c>
      <c r="BD17" s="141">
        <f t="shared" si="12"/>
        <v>0</v>
      </c>
      <c r="BE17" s="140">
        <f t="shared" si="13"/>
        <v>0</v>
      </c>
      <c r="BF17" s="141">
        <f t="shared" si="39"/>
        <v>0</v>
      </c>
      <c r="BG17" s="28"/>
      <c r="BH17" s="109"/>
      <c r="BI17" s="14">
        <f t="shared" si="40"/>
        <v>0</v>
      </c>
      <c r="BJ17" s="167">
        <v>0</v>
      </c>
      <c r="BK17" s="168">
        <v>0</v>
      </c>
      <c r="BL17" s="141">
        <f t="shared" si="14"/>
        <v>0</v>
      </c>
      <c r="BM17" s="167">
        <v>0</v>
      </c>
      <c r="BN17" s="168">
        <v>0</v>
      </c>
      <c r="BO17" s="141">
        <f t="shared" si="15"/>
        <v>0</v>
      </c>
      <c r="BP17" s="140">
        <f t="shared" si="16"/>
        <v>0</v>
      </c>
      <c r="BQ17" s="141">
        <f t="shared" si="41"/>
        <v>0</v>
      </c>
      <c r="BR17" s="28"/>
      <c r="BS17" s="109"/>
      <c r="BT17" s="14">
        <f t="shared" si="42"/>
        <v>1</v>
      </c>
      <c r="BU17" s="167">
        <v>0</v>
      </c>
      <c r="BV17" s="168">
        <v>1</v>
      </c>
      <c r="BW17" s="141">
        <f t="shared" si="17"/>
        <v>8</v>
      </c>
      <c r="BX17" s="167">
        <v>0</v>
      </c>
      <c r="BY17" s="168">
        <v>0</v>
      </c>
      <c r="BZ17" s="141">
        <f t="shared" si="18"/>
        <v>0</v>
      </c>
      <c r="CA17" s="140">
        <f t="shared" si="19"/>
        <v>-12.5</v>
      </c>
      <c r="CB17" s="141">
        <f t="shared" si="43"/>
        <v>-1</v>
      </c>
      <c r="CC17" s="28" t="s">
        <v>340</v>
      </c>
      <c r="CD17" s="109"/>
      <c r="CE17" s="14">
        <f t="shared" si="44"/>
        <v>1</v>
      </c>
      <c r="CF17" s="167">
        <v>0</v>
      </c>
      <c r="CG17" s="168">
        <v>-1</v>
      </c>
      <c r="CH17" s="141">
        <f t="shared" si="20"/>
        <v>-4</v>
      </c>
      <c r="CI17" s="167">
        <v>0</v>
      </c>
      <c r="CJ17" s="168">
        <v>0</v>
      </c>
      <c r="CK17" s="141">
        <f t="shared" si="21"/>
        <v>0</v>
      </c>
      <c r="CL17" s="140">
        <f t="shared" si="22"/>
        <v>-12.5</v>
      </c>
      <c r="CM17" s="141">
        <f t="shared" si="45"/>
        <v>-1</v>
      </c>
      <c r="CN17" s="28" t="s">
        <v>340</v>
      </c>
      <c r="CO17" s="109"/>
      <c r="CP17" s="14">
        <f t="shared" si="46"/>
        <v>0</v>
      </c>
      <c r="CQ17" s="167">
        <v>0</v>
      </c>
      <c r="CR17" s="168">
        <v>0</v>
      </c>
      <c r="CS17" s="141">
        <f t="shared" si="23"/>
        <v>0</v>
      </c>
      <c r="CT17" s="167">
        <v>0</v>
      </c>
      <c r="CU17" s="168">
        <v>0</v>
      </c>
      <c r="CV17" s="141">
        <f t="shared" si="24"/>
        <v>0</v>
      </c>
      <c r="CW17" s="140">
        <f t="shared" si="25"/>
        <v>0</v>
      </c>
      <c r="CX17" s="141">
        <f t="shared" si="47"/>
        <v>0</v>
      </c>
      <c r="CY17" s="28"/>
      <c r="CZ17" s="109"/>
      <c r="DA17" s="14">
        <f t="shared" si="48"/>
        <v>0</v>
      </c>
      <c r="DB17" s="167">
        <v>0</v>
      </c>
      <c r="DC17" s="168">
        <v>0</v>
      </c>
      <c r="DD17" s="141">
        <f t="shared" si="26"/>
        <v>0</v>
      </c>
      <c r="DE17" s="167">
        <v>0</v>
      </c>
      <c r="DF17" s="168">
        <v>0</v>
      </c>
      <c r="DG17" s="141">
        <f t="shared" si="27"/>
        <v>0</v>
      </c>
      <c r="DH17" s="140">
        <f t="shared" si="28"/>
        <v>0</v>
      </c>
      <c r="DI17" s="141">
        <f t="shared" si="49"/>
        <v>0</v>
      </c>
      <c r="DJ17" s="28"/>
      <c r="DK17" s="109"/>
      <c r="DL17" s="14">
        <f t="shared" si="50"/>
        <v>0</v>
      </c>
      <c r="DM17" s="167">
        <v>0</v>
      </c>
      <c r="DN17" s="168">
        <v>0</v>
      </c>
      <c r="DO17" s="141">
        <f t="shared" si="29"/>
        <v>0</v>
      </c>
      <c r="DP17" s="167">
        <v>0</v>
      </c>
      <c r="DQ17" s="168">
        <v>0</v>
      </c>
      <c r="DR17" s="141">
        <f t="shared" si="30"/>
        <v>0</v>
      </c>
      <c r="DS17" s="140">
        <f t="shared" si="31"/>
        <v>0</v>
      </c>
      <c r="DT17" s="141">
        <f t="shared" si="51"/>
        <v>0</v>
      </c>
      <c r="DU17" s="28"/>
      <c r="DV17" s="109"/>
      <c r="DX17" s="110" t="str">
        <f>+SpeciesDatabase!A104</f>
        <v>Ferrous iron</v>
      </c>
      <c r="DY17" s="1" t="str">
        <f>+SpeciesDatabase!B104</f>
        <v>Fe2+</v>
      </c>
      <c r="DZ17" s="3" t="str">
        <f>+SpeciesDatabase!C104</f>
        <v>Fe2+</v>
      </c>
      <c r="EA17" s="3">
        <f>+SpeciesDatabase!D104</f>
        <v>-78.900000000000006</v>
      </c>
      <c r="EB17" s="1">
        <f>+SpeciesDatabase!E104</f>
        <v>-89.1</v>
      </c>
      <c r="EC17" s="1" t="str">
        <f>+SpeciesDatabase!F104</f>
        <v>NA</v>
      </c>
      <c r="ED17" s="1">
        <f>+SpeciesDatabase!G104</f>
        <v>0</v>
      </c>
      <c r="EE17" s="1">
        <f>+SpeciesDatabase!H104</f>
        <v>0</v>
      </c>
      <c r="EF17" s="1">
        <f>+SpeciesDatabase!I104</f>
        <v>0</v>
      </c>
      <c r="EG17" s="1">
        <f>+SpeciesDatabase!J104</f>
        <v>0</v>
      </c>
      <c r="EH17" s="1">
        <f>+SpeciesDatabase!K104</f>
        <v>0</v>
      </c>
      <c r="EI17" s="1">
        <f>+SpeciesDatabase!L104</f>
        <v>0</v>
      </c>
      <c r="EJ17" s="1">
        <f>+SpeciesDatabase!M104</f>
        <v>0</v>
      </c>
      <c r="EK17" s="1">
        <f>+SpeciesDatabase!N104</f>
        <v>1</v>
      </c>
      <c r="EL17" s="1">
        <f>+SpeciesDatabase!O104</f>
        <v>0</v>
      </c>
      <c r="EM17" s="1">
        <f>+SpeciesDatabase!P104</f>
        <v>0</v>
      </c>
      <c r="EN17" s="1">
        <f>+SpeciesDatabase!Q104</f>
        <v>0</v>
      </c>
      <c r="EO17" s="1">
        <f>+SpeciesDatabase!R104</f>
        <v>0</v>
      </c>
      <c r="EP17" s="1">
        <f>+SpeciesDatabase!S104</f>
        <v>0</v>
      </c>
      <c r="EQ17" s="1">
        <f>+SpeciesDatabase!T104</f>
        <v>2</v>
      </c>
      <c r="ER17" s="1">
        <f>+SpeciesDatabase!U104</f>
        <v>56</v>
      </c>
      <c r="ES17" s="1">
        <f>+SpeciesDatabase!V104</f>
        <v>1</v>
      </c>
      <c r="ET17" s="114">
        <f>+SpeciesDatabase!W104</f>
        <v>1</v>
      </c>
      <c r="EV17" s="43" t="s">
        <v>191</v>
      </c>
      <c r="EW17" s="43" t="s">
        <v>191</v>
      </c>
      <c r="EX17" s="43" t="s">
        <v>191</v>
      </c>
      <c r="EY17" s="12" t="s">
        <v>191</v>
      </c>
      <c r="EZ17" s="12" t="s">
        <v>191</v>
      </c>
      <c r="FA17" s="12" t="s">
        <v>191</v>
      </c>
    </row>
    <row r="18" spans="1:157" ht="15" customHeight="1">
      <c r="A18" s="92" t="s">
        <v>242</v>
      </c>
      <c r="B18" s="92" t="s">
        <v>244</v>
      </c>
      <c r="C18" s="1" t="str">
        <f t="shared" si="52"/>
        <v>Fe3+</v>
      </c>
      <c r="D18" s="1">
        <f>'Microbial Model'!EA18</f>
        <v>-4.5999999999999996</v>
      </c>
      <c r="E18" s="1">
        <f>'Microbial Model'!EQ18</f>
        <v>3</v>
      </c>
      <c r="F18" s="1">
        <f>'Microbial Model'!ER18</f>
        <v>56</v>
      </c>
      <c r="G18" s="1">
        <f>'Microbial Model'!ES18</f>
        <v>0</v>
      </c>
      <c r="H18" s="2">
        <f>'Microbial Model'!ET18</f>
        <v>0</v>
      </c>
      <c r="I18" s="139"/>
      <c r="J18" s="87" t="s">
        <v>191</v>
      </c>
      <c r="K18" s="87" t="s">
        <v>191</v>
      </c>
      <c r="L18" s="43">
        <v>0.01</v>
      </c>
      <c r="M18" s="13">
        <v>0</v>
      </c>
      <c r="N18" s="13">
        <f t="shared" si="1"/>
        <v>-16.009640708038887</v>
      </c>
      <c r="O18" s="106"/>
      <c r="P18" s="109"/>
      <c r="Q18" s="14">
        <f t="shared" si="32"/>
        <v>0</v>
      </c>
      <c r="R18" s="167">
        <v>0</v>
      </c>
      <c r="S18" s="168">
        <v>0</v>
      </c>
      <c r="T18" s="141">
        <f t="shared" si="2"/>
        <v>0</v>
      </c>
      <c r="U18" s="167">
        <v>0</v>
      </c>
      <c r="V18" s="168">
        <v>0</v>
      </c>
      <c r="W18" s="141">
        <f t="shared" si="3"/>
        <v>0</v>
      </c>
      <c r="X18" s="140">
        <f t="shared" si="4"/>
        <v>0</v>
      </c>
      <c r="Y18" s="141">
        <f t="shared" si="33"/>
        <v>0</v>
      </c>
      <c r="Z18" s="28"/>
      <c r="AA18" s="109"/>
      <c r="AB18" s="14">
        <f t="shared" si="34"/>
        <v>0</v>
      </c>
      <c r="AC18" s="167">
        <v>0</v>
      </c>
      <c r="AD18" s="168">
        <v>0</v>
      </c>
      <c r="AE18" s="141">
        <f t="shared" si="5"/>
        <v>0</v>
      </c>
      <c r="AF18" s="167">
        <v>0</v>
      </c>
      <c r="AG18" s="168">
        <v>0</v>
      </c>
      <c r="AH18" s="141">
        <f t="shared" si="6"/>
        <v>0</v>
      </c>
      <c r="AI18" s="140">
        <f t="shared" si="7"/>
        <v>0</v>
      </c>
      <c r="AJ18" s="141">
        <f t="shared" si="35"/>
        <v>0</v>
      </c>
      <c r="AK18" s="28"/>
      <c r="AL18" s="109"/>
      <c r="AM18" s="14">
        <f t="shared" si="36"/>
        <v>0</v>
      </c>
      <c r="AN18" s="167">
        <v>0</v>
      </c>
      <c r="AO18" s="168">
        <v>0</v>
      </c>
      <c r="AP18" s="141">
        <f t="shared" si="8"/>
        <v>0</v>
      </c>
      <c r="AQ18" s="167">
        <v>0</v>
      </c>
      <c r="AR18" s="168">
        <v>0</v>
      </c>
      <c r="AS18" s="141">
        <f t="shared" si="9"/>
        <v>0</v>
      </c>
      <c r="AT18" s="140">
        <f t="shared" si="10"/>
        <v>0</v>
      </c>
      <c r="AU18" s="141">
        <f t="shared" si="37"/>
        <v>0</v>
      </c>
      <c r="AV18" s="28"/>
      <c r="AW18" s="109"/>
      <c r="AX18" s="14">
        <f t="shared" si="38"/>
        <v>0</v>
      </c>
      <c r="AY18" s="167">
        <v>0</v>
      </c>
      <c r="AZ18" s="168">
        <v>0</v>
      </c>
      <c r="BA18" s="141">
        <f t="shared" si="11"/>
        <v>0</v>
      </c>
      <c r="BB18" s="167">
        <v>0</v>
      </c>
      <c r="BC18" s="168">
        <v>0</v>
      </c>
      <c r="BD18" s="141">
        <f t="shared" si="12"/>
        <v>0</v>
      </c>
      <c r="BE18" s="140">
        <f t="shared" si="13"/>
        <v>0</v>
      </c>
      <c r="BF18" s="141">
        <f t="shared" si="39"/>
        <v>0</v>
      </c>
      <c r="BG18" s="28"/>
      <c r="BH18" s="109"/>
      <c r="BI18" s="14">
        <f t="shared" si="40"/>
        <v>0</v>
      </c>
      <c r="BJ18" s="167">
        <v>0</v>
      </c>
      <c r="BK18" s="168">
        <v>0</v>
      </c>
      <c r="BL18" s="141">
        <f t="shared" si="14"/>
        <v>0</v>
      </c>
      <c r="BM18" s="167">
        <v>0</v>
      </c>
      <c r="BN18" s="168">
        <v>0</v>
      </c>
      <c r="BO18" s="141">
        <f t="shared" si="15"/>
        <v>0</v>
      </c>
      <c r="BP18" s="140">
        <f t="shared" si="16"/>
        <v>0</v>
      </c>
      <c r="BQ18" s="141">
        <f t="shared" si="41"/>
        <v>0</v>
      </c>
      <c r="BR18" s="28"/>
      <c r="BS18" s="109"/>
      <c r="BT18" s="14">
        <f t="shared" si="42"/>
        <v>0</v>
      </c>
      <c r="BU18" s="167">
        <v>0</v>
      </c>
      <c r="BV18" s="168">
        <v>-1</v>
      </c>
      <c r="BW18" s="141">
        <f t="shared" si="17"/>
        <v>-8</v>
      </c>
      <c r="BX18" s="167">
        <v>0</v>
      </c>
      <c r="BY18" s="168">
        <v>0</v>
      </c>
      <c r="BZ18" s="141">
        <f t="shared" si="18"/>
        <v>0</v>
      </c>
      <c r="CA18" s="140">
        <f t="shared" si="19"/>
        <v>12.5</v>
      </c>
      <c r="CB18" s="141">
        <f t="shared" si="43"/>
        <v>1</v>
      </c>
      <c r="CC18" s="28"/>
      <c r="CD18" s="109"/>
      <c r="CE18" s="14">
        <f t="shared" si="44"/>
        <v>0</v>
      </c>
      <c r="CF18" s="167">
        <v>0</v>
      </c>
      <c r="CG18" s="168">
        <v>0</v>
      </c>
      <c r="CH18" s="141">
        <f t="shared" si="20"/>
        <v>0</v>
      </c>
      <c r="CI18" s="167">
        <v>0</v>
      </c>
      <c r="CJ18" s="168">
        <v>0</v>
      </c>
      <c r="CK18" s="141">
        <f t="shared" si="21"/>
        <v>0</v>
      </c>
      <c r="CL18" s="140">
        <f t="shared" si="22"/>
        <v>0</v>
      </c>
      <c r="CM18" s="141">
        <f t="shared" si="45"/>
        <v>0</v>
      </c>
      <c r="CN18" s="28"/>
      <c r="CO18" s="109"/>
      <c r="CP18" s="14">
        <f t="shared" si="46"/>
        <v>0</v>
      </c>
      <c r="CQ18" s="167">
        <v>0</v>
      </c>
      <c r="CR18" s="168">
        <v>0</v>
      </c>
      <c r="CS18" s="141">
        <f t="shared" si="23"/>
        <v>0</v>
      </c>
      <c r="CT18" s="167">
        <v>0</v>
      </c>
      <c r="CU18" s="168">
        <v>0</v>
      </c>
      <c r="CV18" s="141">
        <f t="shared" si="24"/>
        <v>0</v>
      </c>
      <c r="CW18" s="140">
        <f t="shared" si="25"/>
        <v>0</v>
      </c>
      <c r="CX18" s="141">
        <f t="shared" si="47"/>
        <v>0</v>
      </c>
      <c r="CY18" s="28"/>
      <c r="CZ18" s="109"/>
      <c r="DA18" s="14">
        <f t="shared" si="48"/>
        <v>0</v>
      </c>
      <c r="DB18" s="167">
        <v>0</v>
      </c>
      <c r="DC18" s="168">
        <v>0</v>
      </c>
      <c r="DD18" s="141">
        <f t="shared" si="26"/>
        <v>0</v>
      </c>
      <c r="DE18" s="167">
        <v>0</v>
      </c>
      <c r="DF18" s="168">
        <v>0</v>
      </c>
      <c r="DG18" s="141">
        <f t="shared" si="27"/>
        <v>0</v>
      </c>
      <c r="DH18" s="140">
        <f t="shared" si="28"/>
        <v>0</v>
      </c>
      <c r="DI18" s="141">
        <f t="shared" si="49"/>
        <v>0</v>
      </c>
      <c r="DJ18" s="28"/>
      <c r="DK18" s="109"/>
      <c r="DL18" s="14">
        <f t="shared" si="50"/>
        <v>0</v>
      </c>
      <c r="DM18" s="167">
        <v>0</v>
      </c>
      <c r="DN18" s="168">
        <v>0</v>
      </c>
      <c r="DO18" s="141">
        <f t="shared" si="29"/>
        <v>0</v>
      </c>
      <c r="DP18" s="167">
        <v>0</v>
      </c>
      <c r="DQ18" s="168">
        <v>0</v>
      </c>
      <c r="DR18" s="141">
        <f t="shared" si="30"/>
        <v>0</v>
      </c>
      <c r="DS18" s="140">
        <f t="shared" si="31"/>
        <v>0</v>
      </c>
      <c r="DT18" s="141">
        <f t="shared" si="51"/>
        <v>0</v>
      </c>
      <c r="DU18" s="28"/>
      <c r="DV18" s="109"/>
      <c r="DX18" s="110" t="str">
        <f>+SpeciesDatabase!A105</f>
        <v>Ferric iron</v>
      </c>
      <c r="DY18" s="1" t="str">
        <f>+SpeciesDatabase!B105</f>
        <v>Fe3+</v>
      </c>
      <c r="DZ18" s="3" t="str">
        <f>+SpeciesDatabase!C105</f>
        <v>Fe3+</v>
      </c>
      <c r="EA18" s="3">
        <f>+SpeciesDatabase!D105</f>
        <v>-4.5999999999999996</v>
      </c>
      <c r="EB18" s="1">
        <f>+SpeciesDatabase!E105</f>
        <v>-48.5</v>
      </c>
      <c r="EC18" s="1" t="str">
        <f>+SpeciesDatabase!F105</f>
        <v>NA</v>
      </c>
      <c r="ED18" s="1">
        <f>+SpeciesDatabase!G105</f>
        <v>0</v>
      </c>
      <c r="EE18" s="1">
        <f>+SpeciesDatabase!H105</f>
        <v>0</v>
      </c>
      <c r="EF18" s="1">
        <f>+SpeciesDatabase!I105</f>
        <v>0</v>
      </c>
      <c r="EG18" s="1">
        <f>+SpeciesDatabase!J105</f>
        <v>0</v>
      </c>
      <c r="EH18" s="1">
        <f>+SpeciesDatabase!K105</f>
        <v>0</v>
      </c>
      <c r="EI18" s="1">
        <f>+SpeciesDatabase!L105</f>
        <v>0</v>
      </c>
      <c r="EJ18" s="1">
        <f>+SpeciesDatabase!M105</f>
        <v>0</v>
      </c>
      <c r="EK18" s="1">
        <f>+SpeciesDatabase!N105</f>
        <v>1</v>
      </c>
      <c r="EL18" s="1">
        <f>+SpeciesDatabase!O105</f>
        <v>0</v>
      </c>
      <c r="EM18" s="1">
        <f>+SpeciesDatabase!P105</f>
        <v>0</v>
      </c>
      <c r="EN18" s="1">
        <f>+SpeciesDatabase!Q105</f>
        <v>0</v>
      </c>
      <c r="EO18" s="1">
        <f>+SpeciesDatabase!R105</f>
        <v>0</v>
      </c>
      <c r="EP18" s="1">
        <f>+SpeciesDatabase!S105</f>
        <v>0</v>
      </c>
      <c r="EQ18" s="1">
        <f>+SpeciesDatabase!T105</f>
        <v>3</v>
      </c>
      <c r="ER18" s="1">
        <f>+SpeciesDatabase!U105</f>
        <v>56</v>
      </c>
      <c r="ES18" s="1">
        <f>+SpeciesDatabase!V105</f>
        <v>0</v>
      </c>
      <c r="ET18" s="114">
        <f>+SpeciesDatabase!W105</f>
        <v>0</v>
      </c>
      <c r="EV18" s="43" t="s">
        <v>191</v>
      </c>
      <c r="EW18" s="43" t="s">
        <v>191</v>
      </c>
      <c r="EX18" s="43" t="s">
        <v>191</v>
      </c>
      <c r="EY18" s="12" t="s">
        <v>191</v>
      </c>
      <c r="EZ18" s="12" t="s">
        <v>191</v>
      </c>
      <c r="FA18" s="12" t="s">
        <v>191</v>
      </c>
    </row>
    <row r="19" spans="1:157" ht="15" customHeight="1">
      <c r="A19" s="92" t="s">
        <v>242</v>
      </c>
      <c r="B19" s="92" t="s">
        <v>244</v>
      </c>
      <c r="C19" s="1" t="str">
        <f>DY19</f>
        <v>O2</v>
      </c>
      <c r="D19" s="1">
        <f>'Microbial Model'!EA19</f>
        <v>16.399999999999999</v>
      </c>
      <c r="E19" s="1">
        <f>'Microbial Model'!EQ19</f>
        <v>0</v>
      </c>
      <c r="F19" s="1">
        <f>'Microbial Model'!ER19</f>
        <v>32</v>
      </c>
      <c r="G19" s="1">
        <f>'Microbial Model'!ES19</f>
        <v>-4</v>
      </c>
      <c r="H19" s="2">
        <f>'Microbial Model'!ET19</f>
        <v>-4</v>
      </c>
      <c r="I19" s="139"/>
      <c r="J19" s="87" t="s">
        <v>191</v>
      </c>
      <c r="K19" s="87" t="s">
        <v>191</v>
      </c>
      <c r="L19" s="105">
        <v>1E-4</v>
      </c>
      <c r="M19" s="13">
        <v>0</v>
      </c>
      <c r="N19" s="13">
        <f t="shared" si="1"/>
        <v>-6.4192814160777729</v>
      </c>
      <c r="O19" s="106"/>
      <c r="P19" s="109"/>
      <c r="Q19" s="14">
        <f t="shared" si="32"/>
        <v>0</v>
      </c>
      <c r="R19" s="167">
        <v>0</v>
      </c>
      <c r="S19" s="168">
        <v>0</v>
      </c>
      <c r="T19" s="141">
        <f t="shared" si="2"/>
        <v>0</v>
      </c>
      <c r="U19" s="167">
        <v>0</v>
      </c>
      <c r="V19" s="168">
        <v>0.5</v>
      </c>
      <c r="W19" s="141">
        <f t="shared" si="3"/>
        <v>1.05</v>
      </c>
      <c r="X19" s="140">
        <f t="shared" si="4"/>
        <v>1.05</v>
      </c>
      <c r="Y19" s="141">
        <f t="shared" si="33"/>
        <v>1.05</v>
      </c>
      <c r="Z19" s="28"/>
      <c r="AA19" s="109"/>
      <c r="AB19" s="14">
        <f t="shared" si="34"/>
        <v>0</v>
      </c>
      <c r="AC19" s="167">
        <v>0</v>
      </c>
      <c r="AD19" s="168">
        <v>-1</v>
      </c>
      <c r="AE19" s="141">
        <f t="shared" si="5"/>
        <v>-1.5</v>
      </c>
      <c r="AF19" s="167">
        <v>0</v>
      </c>
      <c r="AG19" s="168">
        <v>0</v>
      </c>
      <c r="AH19" s="141">
        <f t="shared" si="6"/>
        <v>0</v>
      </c>
      <c r="AI19" s="140">
        <f t="shared" si="7"/>
        <v>-6.1499999999999995</v>
      </c>
      <c r="AJ19" s="141">
        <f t="shared" si="35"/>
        <v>-1.23</v>
      </c>
      <c r="AK19" s="183" t="s">
        <v>342</v>
      </c>
      <c r="AL19" s="109"/>
      <c r="AM19" s="14">
        <f t="shared" si="36"/>
        <v>0</v>
      </c>
      <c r="AN19" s="167">
        <v>0</v>
      </c>
      <c r="AO19" s="168">
        <v>-1</v>
      </c>
      <c r="AP19" s="141">
        <f t="shared" si="8"/>
        <v>-0.5</v>
      </c>
      <c r="AQ19" s="167">
        <v>0</v>
      </c>
      <c r="AR19" s="168">
        <v>0</v>
      </c>
      <c r="AS19" s="141">
        <f t="shared" si="9"/>
        <v>0</v>
      </c>
      <c r="AT19" s="140">
        <f t="shared" si="10"/>
        <v>-1.8833333333333333</v>
      </c>
      <c r="AU19" s="141">
        <f t="shared" si="37"/>
        <v>-0.28249999999999997</v>
      </c>
      <c r="AV19" s="183" t="s">
        <v>342</v>
      </c>
      <c r="AW19" s="109"/>
      <c r="AX19" s="14">
        <f t="shared" si="38"/>
        <v>0</v>
      </c>
      <c r="AY19" s="167">
        <v>0</v>
      </c>
      <c r="AZ19" s="168">
        <v>0</v>
      </c>
      <c r="BA19" s="141">
        <f t="shared" si="11"/>
        <v>0</v>
      </c>
      <c r="BB19" s="167">
        <v>0</v>
      </c>
      <c r="BC19" s="168">
        <v>0</v>
      </c>
      <c r="BD19" s="141">
        <f t="shared" si="12"/>
        <v>0</v>
      </c>
      <c r="BE19" s="140">
        <f t="shared" si="13"/>
        <v>0</v>
      </c>
      <c r="BF19" s="141">
        <f t="shared" si="39"/>
        <v>0</v>
      </c>
      <c r="BG19" s="183"/>
      <c r="BH19" s="109"/>
      <c r="BI19" s="14">
        <f t="shared" si="40"/>
        <v>0</v>
      </c>
      <c r="BJ19" s="167">
        <v>0</v>
      </c>
      <c r="BK19" s="168">
        <v>-1</v>
      </c>
      <c r="BL19" s="141">
        <f t="shared" si="14"/>
        <v>2</v>
      </c>
      <c r="BM19" s="167">
        <v>0</v>
      </c>
      <c r="BN19" s="168">
        <v>0</v>
      </c>
      <c r="BO19" s="141">
        <f t="shared" si="15"/>
        <v>0</v>
      </c>
      <c r="BP19" s="140">
        <f t="shared" si="16"/>
        <v>-23.65</v>
      </c>
      <c r="BQ19" s="141">
        <f t="shared" si="41"/>
        <v>-1.8919999999999999</v>
      </c>
      <c r="BR19" s="183" t="s">
        <v>342</v>
      </c>
      <c r="BS19" s="109"/>
      <c r="BT19" s="14">
        <f t="shared" si="42"/>
        <v>0</v>
      </c>
      <c r="BU19" s="167">
        <v>0</v>
      </c>
      <c r="BV19" s="168">
        <v>0</v>
      </c>
      <c r="BW19" s="141">
        <f t="shared" si="17"/>
        <v>0</v>
      </c>
      <c r="BX19" s="167">
        <v>0</v>
      </c>
      <c r="BY19" s="168">
        <v>0</v>
      </c>
      <c r="BZ19" s="141">
        <f t="shared" si="18"/>
        <v>0</v>
      </c>
      <c r="CA19" s="140">
        <f t="shared" si="19"/>
        <v>0</v>
      </c>
      <c r="CB19" s="141">
        <f t="shared" si="43"/>
        <v>0</v>
      </c>
      <c r="CC19" s="183" t="s">
        <v>342</v>
      </c>
      <c r="CD19" s="109"/>
      <c r="CE19" s="14">
        <f t="shared" si="44"/>
        <v>0</v>
      </c>
      <c r="CF19" s="167">
        <v>0</v>
      </c>
      <c r="CG19" s="168">
        <v>0</v>
      </c>
      <c r="CH19" s="141">
        <f t="shared" si="20"/>
        <v>0</v>
      </c>
      <c r="CI19" s="167">
        <v>0</v>
      </c>
      <c r="CJ19" s="168">
        <v>0</v>
      </c>
      <c r="CK19" s="141">
        <f t="shared" si="21"/>
        <v>0</v>
      </c>
      <c r="CL19" s="140">
        <f t="shared" si="22"/>
        <v>0</v>
      </c>
      <c r="CM19" s="141">
        <f t="shared" si="45"/>
        <v>0</v>
      </c>
      <c r="CN19" s="183" t="s">
        <v>342</v>
      </c>
      <c r="CO19" s="109"/>
      <c r="CP19" s="14">
        <f t="shared" si="46"/>
        <v>0</v>
      </c>
      <c r="CQ19" s="167">
        <v>0</v>
      </c>
      <c r="CR19" s="168">
        <v>0</v>
      </c>
      <c r="CS19" s="141">
        <f t="shared" si="23"/>
        <v>0</v>
      </c>
      <c r="CT19" s="167">
        <v>0</v>
      </c>
      <c r="CU19" s="168">
        <v>0</v>
      </c>
      <c r="CV19" s="141">
        <f t="shared" si="24"/>
        <v>0</v>
      </c>
      <c r="CW19" s="140">
        <f t="shared" si="25"/>
        <v>0</v>
      </c>
      <c r="CX19" s="141">
        <f t="shared" si="47"/>
        <v>0</v>
      </c>
      <c r="CY19" s="183"/>
      <c r="CZ19" s="109"/>
      <c r="DA19" s="14">
        <f t="shared" si="48"/>
        <v>0</v>
      </c>
      <c r="DB19" s="167">
        <v>0</v>
      </c>
      <c r="DC19" s="168">
        <v>0</v>
      </c>
      <c r="DD19" s="141">
        <f t="shared" si="26"/>
        <v>0</v>
      </c>
      <c r="DE19" s="167">
        <v>0</v>
      </c>
      <c r="DF19" s="168">
        <v>0</v>
      </c>
      <c r="DG19" s="141">
        <f t="shared" si="27"/>
        <v>0</v>
      </c>
      <c r="DH19" s="140">
        <f t="shared" si="28"/>
        <v>0</v>
      </c>
      <c r="DI19" s="141">
        <f t="shared" si="49"/>
        <v>0</v>
      </c>
      <c r="DJ19" s="183"/>
      <c r="DK19" s="109"/>
      <c r="DL19" s="14">
        <f t="shared" si="50"/>
        <v>0</v>
      </c>
      <c r="DM19" s="167">
        <v>0</v>
      </c>
      <c r="DN19" s="168">
        <v>-1</v>
      </c>
      <c r="DO19" s="141">
        <f t="shared" si="29"/>
        <v>-2</v>
      </c>
      <c r="DP19" s="167">
        <v>0</v>
      </c>
      <c r="DQ19" s="168">
        <v>0</v>
      </c>
      <c r="DR19" s="141">
        <f t="shared" si="30"/>
        <v>0</v>
      </c>
      <c r="DS19" s="140">
        <f t="shared" si="31"/>
        <v>-27.521428571428569</v>
      </c>
      <c r="DT19" s="141">
        <f t="shared" si="51"/>
        <v>-1.9264999999999999</v>
      </c>
      <c r="DU19" s="183" t="s">
        <v>342</v>
      </c>
      <c r="DV19" s="109"/>
      <c r="DX19" s="110" t="str">
        <f>+SpeciesDatabase!A72</f>
        <v>Oxygen</v>
      </c>
      <c r="DY19" s="1" t="str">
        <f>+SpeciesDatabase!B72</f>
        <v>O2</v>
      </c>
      <c r="DZ19" s="3" t="str">
        <f>+SpeciesDatabase!C72</f>
        <v>O2</v>
      </c>
      <c r="EA19" s="3">
        <f>+SpeciesDatabase!D72</f>
        <v>16.399999999999999</v>
      </c>
      <c r="EB19" s="1">
        <f>+SpeciesDatabase!E72</f>
        <v>-11.7</v>
      </c>
      <c r="EC19" s="1">
        <f>+SpeciesDatabase!F72</f>
        <v>110.9</v>
      </c>
      <c r="ED19" s="1">
        <f>+SpeciesDatabase!G72</f>
        <v>0</v>
      </c>
      <c r="EE19" s="1">
        <f>+SpeciesDatabase!H72</f>
        <v>0</v>
      </c>
      <c r="EF19" s="1">
        <f>+SpeciesDatabase!I72</f>
        <v>2</v>
      </c>
      <c r="EG19" s="1">
        <f>+SpeciesDatabase!J72</f>
        <v>0</v>
      </c>
      <c r="EH19" s="1">
        <f>+SpeciesDatabase!K72</f>
        <v>0</v>
      </c>
      <c r="EI19" s="1">
        <f>+SpeciesDatabase!L72</f>
        <v>0</v>
      </c>
      <c r="EJ19" s="1">
        <f>+SpeciesDatabase!M72</f>
        <v>0</v>
      </c>
      <c r="EK19" s="1">
        <f>+SpeciesDatabase!N72</f>
        <v>0</v>
      </c>
      <c r="EL19" s="1">
        <f>+SpeciesDatabase!O72</f>
        <v>0</v>
      </c>
      <c r="EM19" s="1">
        <f>+SpeciesDatabase!P72</f>
        <v>0</v>
      </c>
      <c r="EN19" s="1">
        <f>+SpeciesDatabase!Q72</f>
        <v>0</v>
      </c>
      <c r="EO19" s="1">
        <f>+SpeciesDatabase!R72</f>
        <v>0</v>
      </c>
      <c r="EP19" s="1">
        <f>+SpeciesDatabase!S72</f>
        <v>0</v>
      </c>
      <c r="EQ19" s="1">
        <f>+SpeciesDatabase!T72</f>
        <v>0</v>
      </c>
      <c r="ER19" s="1">
        <f>+SpeciesDatabase!U72</f>
        <v>32</v>
      </c>
      <c r="ES19" s="1">
        <f>+SpeciesDatabase!V72</f>
        <v>-4</v>
      </c>
      <c r="ET19" s="114">
        <f>+SpeciesDatabase!W72</f>
        <v>-4</v>
      </c>
      <c r="EV19" s="43" t="s">
        <v>191</v>
      </c>
      <c r="EW19" s="43" t="s">
        <v>191</v>
      </c>
      <c r="EX19" s="43" t="s">
        <v>191</v>
      </c>
      <c r="EY19" s="12" t="s">
        <v>191</v>
      </c>
      <c r="EZ19" s="12" t="s">
        <v>191</v>
      </c>
      <c r="FA19" s="12" t="s">
        <v>191</v>
      </c>
    </row>
    <row r="20" spans="1:157" ht="14.25" customHeight="1">
      <c r="A20" s="97" t="s">
        <v>242</v>
      </c>
      <c r="B20" s="97" t="s">
        <v>244</v>
      </c>
      <c r="C20" s="98" t="str">
        <f>DY20</f>
        <v>H2O</v>
      </c>
      <c r="D20" s="98">
        <f>'Microbial Model'!EA20</f>
        <v>-237.18</v>
      </c>
      <c r="E20" s="98">
        <f>'Microbial Model'!EQ20</f>
        <v>0</v>
      </c>
      <c r="F20" s="98">
        <f>'Microbial Model'!ER20</f>
        <v>18</v>
      </c>
      <c r="G20" s="98">
        <f>'Microbial Model'!ES20</f>
        <v>0</v>
      </c>
      <c r="H20" s="99">
        <f>'Microbial Model'!ET20</f>
        <v>0</v>
      </c>
      <c r="J20" s="100" t="s">
        <v>191</v>
      </c>
      <c r="K20" s="100" t="s">
        <v>191</v>
      </c>
      <c r="L20" s="101">
        <v>1</v>
      </c>
      <c r="M20" s="101">
        <v>0</v>
      </c>
      <c r="N20" s="101">
        <f t="shared" si="1"/>
        <v>-237.18</v>
      </c>
      <c r="O20" s="106"/>
      <c r="P20" s="109"/>
      <c r="Q20" s="14">
        <f t="shared" si="32"/>
        <v>0</v>
      </c>
      <c r="R20" s="169">
        <v>0</v>
      </c>
      <c r="S20" s="170">
        <v>0</v>
      </c>
      <c r="T20" s="143">
        <f t="shared" si="2"/>
        <v>0</v>
      </c>
      <c r="U20" s="169">
        <v>1.5</v>
      </c>
      <c r="V20" s="170">
        <v>-1</v>
      </c>
      <c r="W20" s="143">
        <f t="shared" si="3"/>
        <v>-0.60000000000000009</v>
      </c>
      <c r="X20" s="142">
        <f t="shared" si="4"/>
        <v>-0.60000000000000009</v>
      </c>
      <c r="Y20" s="143">
        <f t="shared" si="33"/>
        <v>-0.60000000000000009</v>
      </c>
      <c r="Z20" s="183"/>
      <c r="AA20" s="109"/>
      <c r="AB20" s="14">
        <f t="shared" si="34"/>
        <v>0</v>
      </c>
      <c r="AC20" s="169">
        <v>-2</v>
      </c>
      <c r="AD20" s="170">
        <v>2</v>
      </c>
      <c r="AE20" s="143">
        <f t="shared" si="5"/>
        <v>1</v>
      </c>
      <c r="AF20" s="169">
        <v>1.5</v>
      </c>
      <c r="AG20" s="170">
        <v>-2</v>
      </c>
      <c r="AH20" s="143">
        <f t="shared" si="6"/>
        <v>9.9999999999999867E-2</v>
      </c>
      <c r="AI20" s="142">
        <f t="shared" si="7"/>
        <v>4.1999999999999993</v>
      </c>
      <c r="AJ20" s="143">
        <f t="shared" si="35"/>
        <v>0.83999999999999986</v>
      </c>
      <c r="AL20" s="109"/>
      <c r="AM20" s="14">
        <f t="shared" si="36"/>
        <v>0</v>
      </c>
      <c r="AN20" s="169">
        <v>-1</v>
      </c>
      <c r="AO20" s="170">
        <v>2</v>
      </c>
      <c r="AP20" s="143">
        <f t="shared" si="8"/>
        <v>0</v>
      </c>
      <c r="AQ20" s="169">
        <v>1.9</v>
      </c>
      <c r="AR20" s="170">
        <v>-1</v>
      </c>
      <c r="AS20" s="143">
        <f t="shared" si="9"/>
        <v>-0.80000000000000027</v>
      </c>
      <c r="AT20" s="142">
        <f t="shared" si="10"/>
        <v>-0.80000000000000027</v>
      </c>
      <c r="AU20" s="143">
        <f t="shared" si="37"/>
        <v>-0.12000000000000004</v>
      </c>
      <c r="AW20" s="109"/>
      <c r="AX20" s="14">
        <f t="shared" si="38"/>
        <v>0</v>
      </c>
      <c r="AY20" s="169">
        <v>-2</v>
      </c>
      <c r="AZ20" s="170">
        <v>3</v>
      </c>
      <c r="BA20" s="143">
        <f t="shared" si="11"/>
        <v>2.8000000000000007</v>
      </c>
      <c r="BB20" s="169">
        <v>1.9</v>
      </c>
      <c r="BC20" s="170">
        <v>-1</v>
      </c>
      <c r="BD20" s="143">
        <f t="shared" si="12"/>
        <v>-0.80000000000000027</v>
      </c>
      <c r="BE20" s="142">
        <f t="shared" si="13"/>
        <v>17.866666666666671</v>
      </c>
      <c r="BF20" s="143">
        <f t="shared" si="39"/>
        <v>2.6800000000000006</v>
      </c>
      <c r="BH20" s="109"/>
      <c r="BI20" s="14">
        <f t="shared" si="40"/>
        <v>0</v>
      </c>
      <c r="BJ20" s="169">
        <v>4</v>
      </c>
      <c r="BK20" s="170">
        <v>2</v>
      </c>
      <c r="BL20" s="143">
        <f t="shared" si="14"/>
        <v>0</v>
      </c>
      <c r="BM20" s="169">
        <v>1.9</v>
      </c>
      <c r="BN20" s="170">
        <v>-4</v>
      </c>
      <c r="BO20" s="143">
        <f t="shared" si="15"/>
        <v>-0.80000000000000027</v>
      </c>
      <c r="BP20" s="142">
        <f t="shared" si="16"/>
        <v>-0.80000000000000027</v>
      </c>
      <c r="BQ20" s="143">
        <f t="shared" si="41"/>
        <v>-6.4000000000000015E-2</v>
      </c>
      <c r="BS20" s="109"/>
      <c r="BT20" s="14">
        <f t="shared" si="42"/>
        <v>0</v>
      </c>
      <c r="BU20" s="169">
        <v>-2</v>
      </c>
      <c r="BV20" s="170">
        <v>0</v>
      </c>
      <c r="BW20" s="143">
        <f t="shared" si="17"/>
        <v>-2</v>
      </c>
      <c r="BX20" s="169">
        <v>1.9</v>
      </c>
      <c r="BY20" s="170">
        <v>-4</v>
      </c>
      <c r="BZ20" s="143">
        <f t="shared" si="18"/>
        <v>-0.80000000000000027</v>
      </c>
      <c r="CA20" s="142">
        <f t="shared" si="19"/>
        <v>2.3249999999999997</v>
      </c>
      <c r="CB20" s="143">
        <f t="shared" si="43"/>
        <v>0.18599999999999997</v>
      </c>
      <c r="CD20" s="109"/>
      <c r="CE20" s="14">
        <f t="shared" si="44"/>
        <v>0</v>
      </c>
      <c r="CF20" s="169">
        <v>-2</v>
      </c>
      <c r="CG20" s="170">
        <v>0</v>
      </c>
      <c r="CH20" s="143">
        <f t="shared" si="20"/>
        <v>-2</v>
      </c>
      <c r="CI20" s="169">
        <v>1.9</v>
      </c>
      <c r="CJ20" s="170">
        <v>-4</v>
      </c>
      <c r="CK20" s="143">
        <f t="shared" si="21"/>
        <v>-0.80000000000000027</v>
      </c>
      <c r="CL20" s="142">
        <f t="shared" si="22"/>
        <v>-7.0500000000000007</v>
      </c>
      <c r="CM20" s="143">
        <f t="shared" si="45"/>
        <v>-0.56400000000000006</v>
      </c>
      <c r="CO20" s="109"/>
      <c r="CP20" s="14">
        <f t="shared" si="46"/>
        <v>0</v>
      </c>
      <c r="CQ20" s="169">
        <v>-2</v>
      </c>
      <c r="CR20" s="170">
        <v>2</v>
      </c>
      <c r="CS20" s="143">
        <f t="shared" si="23"/>
        <v>0</v>
      </c>
      <c r="CT20" s="169">
        <v>0.5</v>
      </c>
      <c r="CU20" s="170">
        <v>-2</v>
      </c>
      <c r="CV20" s="143">
        <f t="shared" si="24"/>
        <v>0.45</v>
      </c>
      <c r="CW20" s="142">
        <f t="shared" si="25"/>
        <v>0.45</v>
      </c>
      <c r="CX20" s="143">
        <f t="shared" si="47"/>
        <v>2.7E-2</v>
      </c>
      <c r="CZ20" s="109"/>
      <c r="DA20" s="14">
        <f t="shared" si="48"/>
        <v>0</v>
      </c>
      <c r="DB20" s="169">
        <v>0</v>
      </c>
      <c r="DC20" s="170">
        <v>2</v>
      </c>
      <c r="DD20" s="143">
        <f t="shared" si="26"/>
        <v>0.5</v>
      </c>
      <c r="DE20" s="169">
        <v>1.9</v>
      </c>
      <c r="DF20" s="170">
        <v>0</v>
      </c>
      <c r="DG20" s="143">
        <f t="shared" si="27"/>
        <v>1.9</v>
      </c>
      <c r="DH20" s="142">
        <f t="shared" si="28"/>
        <v>7.2166666666666668</v>
      </c>
      <c r="DI20" s="143">
        <f t="shared" si="49"/>
        <v>0.54125000000000001</v>
      </c>
      <c r="DK20" s="109"/>
      <c r="DL20" s="14">
        <f t="shared" si="50"/>
        <v>0</v>
      </c>
      <c r="DM20" s="169">
        <v>-2</v>
      </c>
      <c r="DN20" s="170">
        <v>2</v>
      </c>
      <c r="DO20" s="143">
        <f t="shared" si="29"/>
        <v>2</v>
      </c>
      <c r="DP20" s="169">
        <v>-0.5</v>
      </c>
      <c r="DQ20" s="170">
        <v>-2</v>
      </c>
      <c r="DR20" s="143">
        <f t="shared" si="30"/>
        <v>0.44999999999999996</v>
      </c>
      <c r="DS20" s="142">
        <f t="shared" si="31"/>
        <v>27.971428571428568</v>
      </c>
      <c r="DT20" s="143">
        <f t="shared" si="51"/>
        <v>1.958</v>
      </c>
      <c r="DV20" s="109"/>
      <c r="DX20" s="111" t="str">
        <f>SpeciesDatabase!A106</f>
        <v>Water</v>
      </c>
      <c r="DY20" s="98" t="str">
        <f>SpeciesDatabase!B106</f>
        <v>H2O</v>
      </c>
      <c r="DZ20" s="98" t="str">
        <f>SpeciesDatabase!C106</f>
        <v>H2O</v>
      </c>
      <c r="EA20" s="98">
        <f>SpeciesDatabase!D106</f>
        <v>-237.18</v>
      </c>
      <c r="EB20" s="98">
        <f>SpeciesDatabase!E106</f>
        <v>-285.8</v>
      </c>
      <c r="EC20" s="98">
        <f>SpeciesDatabase!F106</f>
        <v>69.900000000000006</v>
      </c>
      <c r="ED20" s="98">
        <f>SpeciesDatabase!G106</f>
        <v>0</v>
      </c>
      <c r="EE20" s="98">
        <f>SpeciesDatabase!H106</f>
        <v>2</v>
      </c>
      <c r="EF20" s="98">
        <f>SpeciesDatabase!I106</f>
        <v>1</v>
      </c>
      <c r="EG20" s="98">
        <f>SpeciesDatabase!J106</f>
        <v>0</v>
      </c>
      <c r="EH20" s="98">
        <f>SpeciesDatabase!K106</f>
        <v>0</v>
      </c>
      <c r="EI20" s="98">
        <f>SpeciesDatabase!L106</f>
        <v>0</v>
      </c>
      <c r="EJ20" s="98">
        <f>SpeciesDatabase!M106</f>
        <v>0</v>
      </c>
      <c r="EK20" s="98">
        <f>SpeciesDatabase!N106</f>
        <v>0</v>
      </c>
      <c r="EL20" s="98">
        <f>SpeciesDatabase!O106</f>
        <v>0</v>
      </c>
      <c r="EM20" s="98">
        <f>SpeciesDatabase!P106</f>
        <v>0</v>
      </c>
      <c r="EN20" s="98">
        <f>SpeciesDatabase!Q106</f>
        <v>0</v>
      </c>
      <c r="EO20" s="98">
        <f>SpeciesDatabase!R106</f>
        <v>0</v>
      </c>
      <c r="EP20" s="98">
        <f>SpeciesDatabase!S106</f>
        <v>0</v>
      </c>
      <c r="EQ20" s="98">
        <f>SpeciesDatabase!T106</f>
        <v>0</v>
      </c>
      <c r="ER20" s="98">
        <f>SpeciesDatabase!U106</f>
        <v>18</v>
      </c>
      <c r="ES20" s="98">
        <f>SpeciesDatabase!V106</f>
        <v>0</v>
      </c>
      <c r="ET20" s="115">
        <f>SpeciesDatabase!W106</f>
        <v>0</v>
      </c>
      <c r="EV20" s="102" t="s">
        <v>191</v>
      </c>
      <c r="EW20" s="102" t="s">
        <v>191</v>
      </c>
      <c r="EX20" s="102" t="s">
        <v>191</v>
      </c>
      <c r="EY20" s="102" t="s">
        <v>191</v>
      </c>
      <c r="EZ20" s="102" t="s">
        <v>191</v>
      </c>
      <c r="FA20" s="102" t="s">
        <v>191</v>
      </c>
    </row>
    <row r="21" spans="1:157" ht="15" customHeight="1" thickBot="1">
      <c r="A21" s="93" t="s">
        <v>242</v>
      </c>
      <c r="B21" s="93" t="s">
        <v>244</v>
      </c>
      <c r="C21" s="1" t="str">
        <f>DY21</f>
        <v>H+</v>
      </c>
      <c r="D21" s="1">
        <f>'Microbial Model'!EA21</f>
        <v>0</v>
      </c>
      <c r="E21" s="1">
        <f>'Microbial Model'!EQ21</f>
        <v>1</v>
      </c>
      <c r="F21" s="1">
        <f>'Microbial Model'!ER21</f>
        <v>1</v>
      </c>
      <c r="G21" s="1">
        <f>'Microbial Model'!ES21</f>
        <v>0</v>
      </c>
      <c r="H21" s="2">
        <f>'Microbial Model'!ET21</f>
        <v>0</v>
      </c>
      <c r="J21" s="87" t="s">
        <v>191</v>
      </c>
      <c r="K21" s="87" t="s">
        <v>191</v>
      </c>
      <c r="L21" s="44">
        <v>9.9999999999999995E-8</v>
      </c>
      <c r="M21" s="13">
        <v>0</v>
      </c>
      <c r="N21" s="13">
        <f t="shared" si="1"/>
        <v>-39.933742478136104</v>
      </c>
      <c r="O21" s="106"/>
      <c r="P21" s="109"/>
      <c r="Q21" s="14">
        <f t="shared" si="32"/>
        <v>0</v>
      </c>
      <c r="R21" s="167">
        <v>0</v>
      </c>
      <c r="S21" s="168">
        <v>0</v>
      </c>
      <c r="T21" s="141">
        <f t="shared" si="2"/>
        <v>0</v>
      </c>
      <c r="U21" s="167">
        <v>-4</v>
      </c>
      <c r="V21" s="168">
        <v>2</v>
      </c>
      <c r="W21" s="141">
        <f t="shared" si="3"/>
        <v>0.20000000000000018</v>
      </c>
      <c r="X21" s="140">
        <f t="shared" si="4"/>
        <v>0.20000000000000018</v>
      </c>
      <c r="Y21" s="141">
        <f t="shared" si="33"/>
        <v>0.20000000000000018</v>
      </c>
      <c r="Z21" s="28"/>
      <c r="AA21" s="109"/>
      <c r="AB21" s="14">
        <f t="shared" si="34"/>
        <v>0</v>
      </c>
      <c r="AC21" s="167">
        <v>8</v>
      </c>
      <c r="AD21" s="168">
        <v>-4</v>
      </c>
      <c r="AE21" s="141">
        <f t="shared" si="5"/>
        <v>2</v>
      </c>
      <c r="AF21" s="167">
        <v>-4</v>
      </c>
      <c r="AG21" s="168">
        <v>8</v>
      </c>
      <c r="AH21" s="141">
        <f t="shared" si="6"/>
        <v>1.6000000000000005</v>
      </c>
      <c r="AI21" s="140">
        <f t="shared" si="7"/>
        <v>9.8000000000000007</v>
      </c>
      <c r="AJ21" s="141">
        <f t="shared" si="35"/>
        <v>1.9600000000000002</v>
      </c>
      <c r="AK21" s="28"/>
      <c r="AL21" s="109"/>
      <c r="AM21" s="14">
        <f t="shared" si="36"/>
        <v>0</v>
      </c>
      <c r="AN21" s="167">
        <v>2</v>
      </c>
      <c r="AO21" s="168">
        <v>-4</v>
      </c>
      <c r="AP21" s="141">
        <f t="shared" si="8"/>
        <v>0</v>
      </c>
      <c r="AQ21" s="167">
        <v>-5.6</v>
      </c>
      <c r="AR21" s="168">
        <v>2</v>
      </c>
      <c r="AS21" s="141">
        <f t="shared" si="9"/>
        <v>-0.19999999999999929</v>
      </c>
      <c r="AT21" s="140">
        <f t="shared" si="10"/>
        <v>-0.19999999999999929</v>
      </c>
      <c r="AU21" s="141">
        <f t="shared" si="37"/>
        <v>-2.9999999999999891E-2</v>
      </c>
      <c r="AV21" s="28"/>
      <c r="AW21" s="109"/>
      <c r="AX21" s="14">
        <f t="shared" si="38"/>
        <v>0</v>
      </c>
      <c r="AY21" s="167">
        <v>7</v>
      </c>
      <c r="AZ21" s="168">
        <v>-6</v>
      </c>
      <c r="BA21" s="141">
        <f t="shared" si="11"/>
        <v>-2.6000000000000014</v>
      </c>
      <c r="BB21" s="167">
        <v>-5.6</v>
      </c>
      <c r="BC21" s="168">
        <v>2</v>
      </c>
      <c r="BD21" s="141">
        <f t="shared" si="12"/>
        <v>-0.19999999999999929</v>
      </c>
      <c r="BE21" s="140">
        <f t="shared" si="13"/>
        <v>-17.533333333333342</v>
      </c>
      <c r="BF21" s="141">
        <f t="shared" si="39"/>
        <v>-2.6300000000000012</v>
      </c>
      <c r="BG21" s="28"/>
      <c r="BH21" s="109"/>
      <c r="BI21" s="14">
        <f t="shared" si="40"/>
        <v>0</v>
      </c>
      <c r="BJ21" s="167">
        <v>-9</v>
      </c>
      <c r="BK21" s="168">
        <v>-4</v>
      </c>
      <c r="BL21" s="141">
        <f t="shared" si="14"/>
        <v>-1</v>
      </c>
      <c r="BM21" s="167">
        <v>-5.6</v>
      </c>
      <c r="BN21" s="168">
        <v>9</v>
      </c>
      <c r="BO21" s="141">
        <f t="shared" si="15"/>
        <v>0.47500000000000053</v>
      </c>
      <c r="BP21" s="140">
        <f t="shared" si="16"/>
        <v>12.3</v>
      </c>
      <c r="BQ21" s="141">
        <f t="shared" si="41"/>
        <v>0.9840000000000001</v>
      </c>
      <c r="BR21" s="28"/>
      <c r="BS21" s="109"/>
      <c r="BT21" s="14">
        <f t="shared" si="42"/>
        <v>0</v>
      </c>
      <c r="BU21" s="167">
        <v>7</v>
      </c>
      <c r="BV21" s="168">
        <v>0</v>
      </c>
      <c r="BW21" s="141">
        <f t="shared" si="17"/>
        <v>7</v>
      </c>
      <c r="BX21" s="167">
        <v>-5.6</v>
      </c>
      <c r="BY21" s="168">
        <v>9</v>
      </c>
      <c r="BZ21" s="141">
        <f t="shared" si="18"/>
        <v>0.47500000000000053</v>
      </c>
      <c r="CA21" s="140">
        <f t="shared" si="19"/>
        <v>-10.462499999999999</v>
      </c>
      <c r="CB21" s="141">
        <f t="shared" si="43"/>
        <v>-0.83699999999999986</v>
      </c>
      <c r="CC21" s="28"/>
      <c r="CD21" s="109"/>
      <c r="CE21" s="14">
        <f t="shared" si="44"/>
        <v>0</v>
      </c>
      <c r="CF21" s="167">
        <v>7</v>
      </c>
      <c r="CG21" s="168">
        <v>0</v>
      </c>
      <c r="CH21" s="141">
        <f t="shared" si="20"/>
        <v>7</v>
      </c>
      <c r="CI21" s="167">
        <v>-5.6</v>
      </c>
      <c r="CJ21" s="168">
        <v>9</v>
      </c>
      <c r="CK21" s="141">
        <f t="shared" si="21"/>
        <v>0.47500000000000053</v>
      </c>
      <c r="CL21" s="140">
        <f t="shared" si="22"/>
        <v>22.35</v>
      </c>
      <c r="CM21" s="141">
        <f t="shared" si="45"/>
        <v>1.788</v>
      </c>
      <c r="CN21" s="28"/>
      <c r="CO21" s="109"/>
      <c r="CP21" s="14">
        <f t="shared" si="46"/>
        <v>0</v>
      </c>
      <c r="CQ21" s="167">
        <v>7</v>
      </c>
      <c r="CR21" s="168">
        <v>-9</v>
      </c>
      <c r="CS21" s="141">
        <f t="shared" si="23"/>
        <v>-2</v>
      </c>
      <c r="CT21" s="167">
        <v>-0.5</v>
      </c>
      <c r="CU21" s="168">
        <v>7</v>
      </c>
      <c r="CV21" s="141">
        <f t="shared" si="24"/>
        <v>-0.32499999999999996</v>
      </c>
      <c r="CW21" s="140">
        <f t="shared" si="25"/>
        <v>-16.466666666666669</v>
      </c>
      <c r="CX21" s="141">
        <f t="shared" si="47"/>
        <v>-0.98799999999999999</v>
      </c>
      <c r="CY21" s="28"/>
      <c r="CZ21" s="109"/>
      <c r="DA21" s="14">
        <f t="shared" si="48"/>
        <v>0</v>
      </c>
      <c r="DB21" s="167">
        <v>2</v>
      </c>
      <c r="DC21" s="168">
        <v>-8</v>
      </c>
      <c r="DD21" s="141">
        <f t="shared" si="26"/>
        <v>0</v>
      </c>
      <c r="DE21" s="167">
        <v>-5.6</v>
      </c>
      <c r="DF21" s="168">
        <v>2</v>
      </c>
      <c r="DG21" s="141">
        <f t="shared" si="27"/>
        <v>-0.19999999999999929</v>
      </c>
      <c r="DH21" s="140">
        <f t="shared" si="28"/>
        <v>-0.19999999999999929</v>
      </c>
      <c r="DI21" s="141">
        <f t="shared" si="49"/>
        <v>-1.4999999999999947E-2</v>
      </c>
      <c r="DJ21" s="28"/>
      <c r="DK21" s="109"/>
      <c r="DL21" s="14">
        <f t="shared" si="50"/>
        <v>0</v>
      </c>
      <c r="DM21" s="167">
        <v>8</v>
      </c>
      <c r="DN21" s="168">
        <v>-4</v>
      </c>
      <c r="DO21" s="141">
        <f t="shared" si="29"/>
        <v>0</v>
      </c>
      <c r="DP21" s="167">
        <v>4</v>
      </c>
      <c r="DQ21" s="168">
        <v>8</v>
      </c>
      <c r="DR21" s="141">
        <f t="shared" si="30"/>
        <v>0.20000000000000018</v>
      </c>
      <c r="DS21" s="140">
        <f t="shared" si="31"/>
        <v>0.20000000000000018</v>
      </c>
      <c r="DT21" s="141">
        <f t="shared" si="51"/>
        <v>1.4000000000000014E-2</v>
      </c>
      <c r="DU21" s="28"/>
      <c r="DV21" s="109"/>
      <c r="DX21" s="110" t="str">
        <f>SpeciesDatabase!A82</f>
        <v>Proton</v>
      </c>
      <c r="DY21" s="1" t="str">
        <f>SpeciesDatabase!B82</f>
        <v>H+</v>
      </c>
      <c r="DZ21" s="1" t="str">
        <f>SpeciesDatabase!C82</f>
        <v>H+</v>
      </c>
      <c r="EA21" s="1">
        <f>SpeciesDatabase!D82</f>
        <v>0</v>
      </c>
      <c r="EB21" s="1">
        <f>SpeciesDatabase!E82</f>
        <v>0</v>
      </c>
      <c r="EC21" s="1">
        <f>SpeciesDatabase!F82</f>
        <v>0</v>
      </c>
      <c r="ED21" s="1">
        <f>SpeciesDatabase!G82</f>
        <v>0</v>
      </c>
      <c r="EE21" s="1">
        <f>SpeciesDatabase!H82</f>
        <v>1</v>
      </c>
      <c r="EF21" s="1">
        <f>SpeciesDatabase!I82</f>
        <v>0</v>
      </c>
      <c r="EG21" s="1">
        <f>SpeciesDatabase!J82</f>
        <v>0</v>
      </c>
      <c r="EH21" s="1">
        <f>SpeciesDatabase!K82</f>
        <v>0</v>
      </c>
      <c r="EI21" s="1">
        <f>SpeciesDatabase!L82</f>
        <v>0</v>
      </c>
      <c r="EJ21" s="1">
        <f>SpeciesDatabase!M82</f>
        <v>0</v>
      </c>
      <c r="EK21" s="1">
        <f>SpeciesDatabase!N82</f>
        <v>0</v>
      </c>
      <c r="EL21" s="1">
        <f>SpeciesDatabase!O82</f>
        <v>0</v>
      </c>
      <c r="EM21" s="1">
        <f>SpeciesDatabase!P82</f>
        <v>0</v>
      </c>
      <c r="EN21" s="1">
        <f>SpeciesDatabase!Q82</f>
        <v>0</v>
      </c>
      <c r="EO21" s="1">
        <f>SpeciesDatabase!R82</f>
        <v>0</v>
      </c>
      <c r="EP21" s="1">
        <f>SpeciesDatabase!S82</f>
        <v>0</v>
      </c>
      <c r="EQ21" s="1">
        <f>SpeciesDatabase!T82</f>
        <v>1</v>
      </c>
      <c r="ER21" s="1">
        <f>SpeciesDatabase!U82</f>
        <v>1</v>
      </c>
      <c r="ES21" s="1">
        <f>SpeciesDatabase!V82</f>
        <v>0</v>
      </c>
      <c r="ET21" s="114">
        <f>SpeciesDatabase!W82</f>
        <v>0</v>
      </c>
      <c r="EV21" s="12" t="s">
        <v>191</v>
      </c>
      <c r="EW21" s="12" t="s">
        <v>191</v>
      </c>
      <c r="EX21" s="12" t="s">
        <v>191</v>
      </c>
      <c r="EY21" s="12" t="s">
        <v>191</v>
      </c>
      <c r="EZ21" s="12" t="s">
        <v>191</v>
      </c>
      <c r="FA21" s="12" t="s">
        <v>191</v>
      </c>
    </row>
    <row r="22" spans="1:157" ht="15" customHeight="1" thickBot="1">
      <c r="A22" s="94" t="s">
        <v>242</v>
      </c>
      <c r="B22" s="94" t="s">
        <v>244</v>
      </c>
      <c r="C22" s="4" t="str">
        <f>DY22</f>
        <v>X</v>
      </c>
      <c r="D22" s="4">
        <f>'Microbial Model'!EA22</f>
        <v>-67</v>
      </c>
      <c r="E22" s="4">
        <f>'Microbial Model'!EQ22</f>
        <v>0</v>
      </c>
      <c r="F22" s="4">
        <f>'Microbial Model'!ER22</f>
        <v>24.6</v>
      </c>
      <c r="G22" s="4">
        <f>'Microbial Model'!ES22</f>
        <v>4.1999999999999993</v>
      </c>
      <c r="H22" s="5">
        <f>'Microbial Model'!ET22</f>
        <v>4.1999999999999993</v>
      </c>
      <c r="J22" s="26" t="s">
        <v>191</v>
      </c>
      <c r="K22" s="26" t="s">
        <v>191</v>
      </c>
      <c r="L22" s="26">
        <v>1</v>
      </c>
      <c r="M22" s="26">
        <v>0</v>
      </c>
      <c r="N22" s="27">
        <f t="shared" si="1"/>
        <v>-67</v>
      </c>
      <c r="O22" s="106"/>
      <c r="P22" s="109"/>
      <c r="Q22" s="14">
        <f t="shared" si="32"/>
        <v>0</v>
      </c>
      <c r="R22" s="171">
        <v>0</v>
      </c>
      <c r="S22" s="172">
        <v>0</v>
      </c>
      <c r="T22" s="145">
        <f t="shared" si="2"/>
        <v>0</v>
      </c>
      <c r="U22" s="171">
        <v>1</v>
      </c>
      <c r="V22" s="172">
        <v>0</v>
      </c>
      <c r="W22" s="145">
        <f t="shared" si="3"/>
        <v>1</v>
      </c>
      <c r="X22" s="144">
        <f t="shared" si="4"/>
        <v>1</v>
      </c>
      <c r="Y22" s="145">
        <f t="shared" si="33"/>
        <v>1</v>
      </c>
      <c r="Z22" s="28"/>
      <c r="AA22" s="109"/>
      <c r="AB22" s="14">
        <f t="shared" si="34"/>
        <v>0</v>
      </c>
      <c r="AC22" s="171">
        <v>0</v>
      </c>
      <c r="AD22" s="172">
        <v>0</v>
      </c>
      <c r="AE22" s="145">
        <f t="shared" si="5"/>
        <v>0</v>
      </c>
      <c r="AF22" s="171">
        <v>1</v>
      </c>
      <c r="AG22" s="172">
        <v>0</v>
      </c>
      <c r="AH22" s="145">
        <f t="shared" si="6"/>
        <v>1</v>
      </c>
      <c r="AI22" s="144">
        <f t="shared" si="7"/>
        <v>1</v>
      </c>
      <c r="AJ22" s="145">
        <f t="shared" si="35"/>
        <v>0.2</v>
      </c>
      <c r="AK22" s="28"/>
      <c r="AL22" s="109"/>
      <c r="AM22" s="14">
        <f t="shared" si="36"/>
        <v>0</v>
      </c>
      <c r="AN22" s="171">
        <v>0</v>
      </c>
      <c r="AO22" s="172">
        <v>0</v>
      </c>
      <c r="AP22" s="145">
        <f t="shared" si="8"/>
        <v>0</v>
      </c>
      <c r="AQ22" s="171">
        <v>1</v>
      </c>
      <c r="AR22" s="172">
        <v>0</v>
      </c>
      <c r="AS22" s="145">
        <f t="shared" si="9"/>
        <v>1</v>
      </c>
      <c r="AT22" s="144">
        <f t="shared" si="10"/>
        <v>1</v>
      </c>
      <c r="AU22" s="145">
        <f t="shared" si="37"/>
        <v>0.15</v>
      </c>
      <c r="AV22" s="28"/>
      <c r="AW22" s="109"/>
      <c r="AX22" s="14">
        <f t="shared" si="38"/>
        <v>0</v>
      </c>
      <c r="AY22" s="171">
        <v>0</v>
      </c>
      <c r="AZ22" s="172">
        <v>0</v>
      </c>
      <c r="BA22" s="145">
        <f t="shared" si="11"/>
        <v>0</v>
      </c>
      <c r="BB22" s="171">
        <v>1</v>
      </c>
      <c r="BC22" s="172">
        <v>0</v>
      </c>
      <c r="BD22" s="145">
        <f t="shared" si="12"/>
        <v>1</v>
      </c>
      <c r="BE22" s="144">
        <f t="shared" si="13"/>
        <v>1</v>
      </c>
      <c r="BF22" s="145">
        <f t="shared" si="39"/>
        <v>0.15</v>
      </c>
      <c r="BG22" s="28"/>
      <c r="BH22" s="109"/>
      <c r="BI22" s="14">
        <f t="shared" si="40"/>
        <v>0</v>
      </c>
      <c r="BJ22" s="171">
        <v>0</v>
      </c>
      <c r="BK22" s="172">
        <v>0</v>
      </c>
      <c r="BL22" s="145">
        <f t="shared" si="14"/>
        <v>0</v>
      </c>
      <c r="BM22" s="171">
        <v>1</v>
      </c>
      <c r="BN22" s="172">
        <v>0</v>
      </c>
      <c r="BO22" s="145">
        <f t="shared" si="15"/>
        <v>1</v>
      </c>
      <c r="BP22" s="144">
        <f t="shared" si="16"/>
        <v>1</v>
      </c>
      <c r="BQ22" s="145">
        <f t="shared" si="41"/>
        <v>0.08</v>
      </c>
      <c r="BR22" s="28"/>
      <c r="BS22" s="109"/>
      <c r="BT22" s="14">
        <f t="shared" si="42"/>
        <v>0</v>
      </c>
      <c r="BU22" s="171">
        <v>0</v>
      </c>
      <c r="BV22" s="172">
        <v>0</v>
      </c>
      <c r="BW22" s="145">
        <f t="shared" si="17"/>
        <v>0</v>
      </c>
      <c r="BX22" s="171">
        <v>1</v>
      </c>
      <c r="BY22" s="172">
        <v>0</v>
      </c>
      <c r="BZ22" s="145">
        <f t="shared" si="18"/>
        <v>1</v>
      </c>
      <c r="CA22" s="144">
        <f t="shared" si="19"/>
        <v>1</v>
      </c>
      <c r="CB22" s="145">
        <f t="shared" si="43"/>
        <v>0.08</v>
      </c>
      <c r="CC22" s="28"/>
      <c r="CD22" s="109"/>
      <c r="CE22" s="14">
        <f t="shared" si="44"/>
        <v>0</v>
      </c>
      <c r="CF22" s="171">
        <v>0</v>
      </c>
      <c r="CG22" s="172">
        <v>0</v>
      </c>
      <c r="CH22" s="145">
        <f t="shared" si="20"/>
        <v>0</v>
      </c>
      <c r="CI22" s="171">
        <v>1</v>
      </c>
      <c r="CJ22" s="172">
        <v>0</v>
      </c>
      <c r="CK22" s="145">
        <f t="shared" si="21"/>
        <v>1</v>
      </c>
      <c r="CL22" s="144">
        <f t="shared" si="22"/>
        <v>1</v>
      </c>
      <c r="CM22" s="145">
        <f t="shared" si="45"/>
        <v>0.08</v>
      </c>
      <c r="CN22" s="28"/>
      <c r="CO22" s="109"/>
      <c r="CP22" s="14">
        <f t="shared" si="46"/>
        <v>0</v>
      </c>
      <c r="CQ22" s="171">
        <v>0</v>
      </c>
      <c r="CR22" s="172">
        <v>0</v>
      </c>
      <c r="CS22" s="145">
        <f t="shared" si="23"/>
        <v>0</v>
      </c>
      <c r="CT22" s="171">
        <v>1</v>
      </c>
      <c r="CU22" s="172">
        <v>0</v>
      </c>
      <c r="CV22" s="145">
        <f t="shared" si="24"/>
        <v>1</v>
      </c>
      <c r="CW22" s="144">
        <f t="shared" si="25"/>
        <v>1</v>
      </c>
      <c r="CX22" s="145">
        <f t="shared" si="47"/>
        <v>0.06</v>
      </c>
      <c r="CY22" s="28"/>
      <c r="CZ22" s="109"/>
      <c r="DA22" s="14">
        <f t="shared" si="48"/>
        <v>0</v>
      </c>
      <c r="DB22" s="171">
        <v>0</v>
      </c>
      <c r="DC22" s="172">
        <v>0</v>
      </c>
      <c r="DD22" s="145">
        <f t="shared" si="26"/>
        <v>0</v>
      </c>
      <c r="DE22" s="171">
        <v>1</v>
      </c>
      <c r="DF22" s="172">
        <v>0</v>
      </c>
      <c r="DG22" s="145">
        <f t="shared" si="27"/>
        <v>1</v>
      </c>
      <c r="DH22" s="144">
        <f t="shared" si="28"/>
        <v>1</v>
      </c>
      <c r="DI22" s="145">
        <f t="shared" si="49"/>
        <v>7.5000000000000011E-2</v>
      </c>
      <c r="DJ22" s="28"/>
      <c r="DK22" s="109"/>
      <c r="DL22" s="14">
        <f t="shared" si="50"/>
        <v>0</v>
      </c>
      <c r="DM22" s="171">
        <v>0</v>
      </c>
      <c r="DN22" s="172">
        <v>0</v>
      </c>
      <c r="DO22" s="145">
        <f t="shared" si="29"/>
        <v>0</v>
      </c>
      <c r="DP22" s="171">
        <v>1</v>
      </c>
      <c r="DQ22" s="172">
        <v>0</v>
      </c>
      <c r="DR22" s="145">
        <f t="shared" si="30"/>
        <v>1</v>
      </c>
      <c r="DS22" s="144">
        <f t="shared" si="31"/>
        <v>1</v>
      </c>
      <c r="DT22" s="145">
        <f t="shared" si="51"/>
        <v>7.0000000000000007E-2</v>
      </c>
      <c r="DU22" s="28"/>
      <c r="DV22" s="109"/>
      <c r="DX22" s="112" t="str">
        <f>SpeciesDatabase!A20</f>
        <v>Biomass (NH4 source)</v>
      </c>
      <c r="DY22" s="4" t="str">
        <f>SpeciesDatabase!B20</f>
        <v>X</v>
      </c>
      <c r="DZ22" s="25" t="str">
        <f>SpeciesDatabase!C20</f>
        <v>CH1.8O0.5N0.2</v>
      </c>
      <c r="EA22" s="25">
        <f>SpeciesDatabase!D20</f>
        <v>-67</v>
      </c>
      <c r="EB22" s="4">
        <f>SpeciesDatabase!E20</f>
        <v>-91</v>
      </c>
      <c r="EC22" s="4" t="str">
        <f>SpeciesDatabase!F20</f>
        <v>NA</v>
      </c>
      <c r="ED22" s="4">
        <f>SpeciesDatabase!G20</f>
        <v>1</v>
      </c>
      <c r="EE22" s="4">
        <f>SpeciesDatabase!H20</f>
        <v>1.8</v>
      </c>
      <c r="EF22" s="4">
        <f>SpeciesDatabase!I20</f>
        <v>0.5</v>
      </c>
      <c r="EG22" s="4">
        <f>SpeciesDatabase!J20</f>
        <v>0.2</v>
      </c>
      <c r="EH22" s="4">
        <f>SpeciesDatabase!K20</f>
        <v>0</v>
      </c>
      <c r="EI22" s="4">
        <f>SpeciesDatabase!L20</f>
        <v>0</v>
      </c>
      <c r="EJ22" s="4">
        <f>SpeciesDatabase!M20</f>
        <v>0</v>
      </c>
      <c r="EK22" s="4">
        <f>SpeciesDatabase!N20</f>
        <v>0</v>
      </c>
      <c r="EL22" s="4">
        <f>SpeciesDatabase!O20</f>
        <v>0</v>
      </c>
      <c r="EM22" s="4">
        <f>SpeciesDatabase!P20</f>
        <v>0</v>
      </c>
      <c r="EN22" s="4">
        <f>SpeciesDatabase!Q20</f>
        <v>0</v>
      </c>
      <c r="EO22" s="4">
        <f>SpeciesDatabase!R20</f>
        <v>0</v>
      </c>
      <c r="EP22" s="4">
        <f>SpeciesDatabase!S20</f>
        <v>0</v>
      </c>
      <c r="EQ22" s="4">
        <f>SpeciesDatabase!T20</f>
        <v>0</v>
      </c>
      <c r="ER22" s="4">
        <f>SpeciesDatabase!U20</f>
        <v>24.6</v>
      </c>
      <c r="ES22" s="4">
        <f>SpeciesDatabase!V20</f>
        <v>4.1999999999999993</v>
      </c>
      <c r="ET22" s="116">
        <f>SpeciesDatabase!W20</f>
        <v>4.1999999999999993</v>
      </c>
      <c r="EV22" s="26"/>
      <c r="EW22" s="26"/>
      <c r="EX22" s="26"/>
      <c r="EY22" s="26"/>
      <c r="EZ22" s="26"/>
      <c r="FA22" s="26"/>
    </row>
    <row r="23" spans="1:157" ht="15.75" customHeight="1" thickBot="1">
      <c r="A23" s="95" t="s">
        <v>242</v>
      </c>
      <c r="B23" s="95" t="s">
        <v>244</v>
      </c>
      <c r="C23" s="6" t="str">
        <f>DY23</f>
        <v>e-</v>
      </c>
      <c r="D23" s="6">
        <f>'Microbial Model'!EA23</f>
        <v>0</v>
      </c>
      <c r="E23" s="6">
        <f>'Microbial Model'!EQ23</f>
        <v>-1</v>
      </c>
      <c r="F23" s="6">
        <f>'Microbial Model'!ER23</f>
        <v>0</v>
      </c>
      <c r="G23" s="6">
        <f>'Microbial Model'!ES23</f>
        <v>1</v>
      </c>
      <c r="H23" s="7">
        <f>'Microbial Model'!ET23</f>
        <v>1</v>
      </c>
      <c r="J23" s="88" t="s">
        <v>191</v>
      </c>
      <c r="K23" s="88">
        <v>0</v>
      </c>
      <c r="L23" s="29">
        <v>1</v>
      </c>
      <c r="M23" s="14">
        <v>0</v>
      </c>
      <c r="N23" s="29">
        <f t="shared" si="1"/>
        <v>0</v>
      </c>
      <c r="O23" s="106"/>
      <c r="P23" s="109"/>
      <c r="Q23" s="14">
        <f t="shared" si="32"/>
        <v>0</v>
      </c>
      <c r="R23" s="173">
        <v>0</v>
      </c>
      <c r="S23" s="174">
        <v>0</v>
      </c>
      <c r="T23" s="147">
        <f t="shared" si="2"/>
        <v>0</v>
      </c>
      <c r="U23" s="173">
        <v>-4.2</v>
      </c>
      <c r="V23" s="174">
        <v>2</v>
      </c>
      <c r="W23" s="147">
        <f t="shared" si="3"/>
        <v>0</v>
      </c>
      <c r="X23" s="146">
        <f t="shared" si="4"/>
        <v>0</v>
      </c>
      <c r="Y23" s="147">
        <f t="shared" si="33"/>
        <v>0</v>
      </c>
      <c r="Z23" s="28"/>
      <c r="AA23" s="109"/>
      <c r="AB23" s="14">
        <f t="shared" si="34"/>
        <v>0</v>
      </c>
      <c r="AC23" s="173">
        <v>6</v>
      </c>
      <c r="AD23" s="174">
        <v>-4</v>
      </c>
      <c r="AE23" s="147">
        <f t="shared" si="5"/>
        <v>0</v>
      </c>
      <c r="AF23" s="173">
        <v>-4.2</v>
      </c>
      <c r="AG23" s="174">
        <v>6</v>
      </c>
      <c r="AH23" s="147">
        <f t="shared" si="6"/>
        <v>0</v>
      </c>
      <c r="AI23" s="146">
        <f t="shared" si="7"/>
        <v>0</v>
      </c>
      <c r="AJ23" s="147">
        <f t="shared" si="35"/>
        <v>0</v>
      </c>
      <c r="AK23" s="28"/>
      <c r="AL23" s="109"/>
      <c r="AM23" s="14">
        <f t="shared" si="36"/>
        <v>0</v>
      </c>
      <c r="AN23" s="173">
        <v>2</v>
      </c>
      <c r="AO23" s="174">
        <v>-4</v>
      </c>
      <c r="AP23" s="147">
        <f t="shared" si="8"/>
        <v>0</v>
      </c>
      <c r="AQ23" s="173">
        <v>-5.4</v>
      </c>
      <c r="AR23" s="174">
        <v>2</v>
      </c>
      <c r="AS23" s="147">
        <f t="shared" si="9"/>
        <v>0</v>
      </c>
      <c r="AT23" s="146">
        <f t="shared" si="10"/>
        <v>0</v>
      </c>
      <c r="AU23" s="147">
        <f t="shared" si="37"/>
        <v>0</v>
      </c>
      <c r="AV23" s="28"/>
      <c r="AW23" s="109"/>
      <c r="AX23" s="14">
        <f t="shared" si="38"/>
        <v>0</v>
      </c>
      <c r="AY23" s="173">
        <v>8</v>
      </c>
      <c r="AZ23" s="174">
        <v>-5</v>
      </c>
      <c r="BA23" s="147">
        <f t="shared" si="11"/>
        <v>0</v>
      </c>
      <c r="BB23" s="173">
        <v>-5.4</v>
      </c>
      <c r="BC23" s="174">
        <v>2</v>
      </c>
      <c r="BD23" s="147">
        <f t="shared" si="12"/>
        <v>0</v>
      </c>
      <c r="BE23" s="146">
        <f t="shared" si="13"/>
        <v>0</v>
      </c>
      <c r="BF23" s="147">
        <f t="shared" si="39"/>
        <v>0</v>
      </c>
      <c r="BG23" s="28"/>
      <c r="BH23" s="109"/>
      <c r="BI23" s="14">
        <f t="shared" si="40"/>
        <v>0</v>
      </c>
      <c r="BJ23" s="173">
        <v>-8</v>
      </c>
      <c r="BK23" s="174">
        <v>-4</v>
      </c>
      <c r="BL23" s="147">
        <f t="shared" si="14"/>
        <v>0</v>
      </c>
      <c r="BM23" s="173">
        <v>-5.4</v>
      </c>
      <c r="BN23" s="174">
        <v>8</v>
      </c>
      <c r="BO23" s="147">
        <f t="shared" si="15"/>
        <v>0</v>
      </c>
      <c r="BP23" s="146">
        <f t="shared" si="16"/>
        <v>0</v>
      </c>
      <c r="BQ23" s="147">
        <f t="shared" si="41"/>
        <v>0</v>
      </c>
      <c r="BR23" s="28"/>
      <c r="BS23" s="109"/>
      <c r="BT23" s="14">
        <f t="shared" si="42"/>
        <v>0</v>
      </c>
      <c r="BU23" s="173">
        <v>8</v>
      </c>
      <c r="BV23" s="174">
        <v>-1</v>
      </c>
      <c r="BW23" s="147">
        <f t="shared" si="17"/>
        <v>0</v>
      </c>
      <c r="BX23" s="173">
        <v>-5.4</v>
      </c>
      <c r="BY23" s="174">
        <v>8</v>
      </c>
      <c r="BZ23" s="147">
        <f t="shared" si="18"/>
        <v>0</v>
      </c>
      <c r="CA23" s="146">
        <f t="shared" si="19"/>
        <v>0</v>
      </c>
      <c r="CB23" s="147">
        <f t="shared" si="43"/>
        <v>0</v>
      </c>
      <c r="CC23" s="28"/>
      <c r="CD23" s="109"/>
      <c r="CE23" s="14">
        <f t="shared" si="44"/>
        <v>0</v>
      </c>
      <c r="CF23" s="173">
        <v>8</v>
      </c>
      <c r="CG23" s="174">
        <v>-2</v>
      </c>
      <c r="CH23" s="147">
        <f t="shared" si="20"/>
        <v>0</v>
      </c>
      <c r="CI23" s="173">
        <v>-5.4</v>
      </c>
      <c r="CJ23" s="174">
        <v>8</v>
      </c>
      <c r="CK23" s="147">
        <f t="shared" si="21"/>
        <v>0</v>
      </c>
      <c r="CL23" s="146">
        <f t="shared" si="22"/>
        <v>0</v>
      </c>
      <c r="CM23" s="147">
        <f t="shared" si="45"/>
        <v>0</v>
      </c>
      <c r="CN23" s="28"/>
      <c r="CO23" s="109"/>
      <c r="CP23" s="14">
        <f t="shared" si="46"/>
        <v>0</v>
      </c>
      <c r="CQ23" s="173">
        <v>8</v>
      </c>
      <c r="CR23" s="174">
        <v>-8</v>
      </c>
      <c r="CS23" s="147">
        <f t="shared" si="23"/>
        <v>0</v>
      </c>
      <c r="CT23" s="173">
        <v>-0.2</v>
      </c>
      <c r="CU23" s="174">
        <v>8</v>
      </c>
      <c r="CV23" s="147">
        <f t="shared" si="24"/>
        <v>0</v>
      </c>
      <c r="CW23" s="146">
        <f t="shared" si="25"/>
        <v>0</v>
      </c>
      <c r="CX23" s="147">
        <f t="shared" si="47"/>
        <v>0</v>
      </c>
      <c r="CY23" s="28"/>
      <c r="CZ23" s="109"/>
      <c r="DA23" s="14">
        <f t="shared" si="48"/>
        <v>0</v>
      </c>
      <c r="DB23" s="173">
        <v>2</v>
      </c>
      <c r="DC23" s="174">
        <v>-8</v>
      </c>
      <c r="DD23" s="147">
        <f t="shared" si="26"/>
        <v>0</v>
      </c>
      <c r="DE23" s="173">
        <v>-5.4</v>
      </c>
      <c r="DF23" s="174">
        <v>2</v>
      </c>
      <c r="DG23" s="147">
        <f t="shared" si="27"/>
        <v>0</v>
      </c>
      <c r="DH23" s="146">
        <f t="shared" si="28"/>
        <v>0</v>
      </c>
      <c r="DI23" s="147">
        <f t="shared" si="49"/>
        <v>0</v>
      </c>
      <c r="DJ23" s="28"/>
      <c r="DK23" s="109"/>
      <c r="DL23" s="14">
        <f t="shared" si="50"/>
        <v>0</v>
      </c>
      <c r="DM23" s="173">
        <v>8</v>
      </c>
      <c r="DN23" s="174">
        <v>-4</v>
      </c>
      <c r="DO23" s="147">
        <f t="shared" si="29"/>
        <v>0</v>
      </c>
      <c r="DP23" s="173">
        <v>3.8</v>
      </c>
      <c r="DQ23" s="174">
        <v>8</v>
      </c>
      <c r="DR23" s="147">
        <f t="shared" si="30"/>
        <v>0</v>
      </c>
      <c r="DS23" s="146">
        <f t="shared" si="31"/>
        <v>0</v>
      </c>
      <c r="DT23" s="147">
        <f t="shared" si="51"/>
        <v>0</v>
      </c>
      <c r="DU23" s="28"/>
      <c r="DV23" s="109"/>
      <c r="DX23" s="113" t="str">
        <f>+SpeciesDatabase!A36</f>
        <v>Electron</v>
      </c>
      <c r="DY23" s="6" t="str">
        <f>+SpeciesDatabase!B36</f>
        <v>e-</v>
      </c>
      <c r="DZ23" s="6" t="str">
        <f>+SpeciesDatabase!C36</f>
        <v>e-</v>
      </c>
      <c r="EA23" s="6">
        <f>+SpeciesDatabase!D36</f>
        <v>0</v>
      </c>
      <c r="EB23" s="6">
        <f>+SpeciesDatabase!E36</f>
        <v>0</v>
      </c>
      <c r="EC23" s="6">
        <f>+SpeciesDatabase!F36</f>
        <v>65.25</v>
      </c>
      <c r="ED23" s="6">
        <f>+SpeciesDatabase!G36</f>
        <v>0</v>
      </c>
      <c r="EE23" s="6">
        <f>+SpeciesDatabase!H36</f>
        <v>0</v>
      </c>
      <c r="EF23" s="6">
        <f>+SpeciesDatabase!I36</f>
        <v>0</v>
      </c>
      <c r="EG23" s="6">
        <f>+SpeciesDatabase!J36</f>
        <v>0</v>
      </c>
      <c r="EH23" s="6">
        <f>+SpeciesDatabase!K36</f>
        <v>0</v>
      </c>
      <c r="EI23" s="6">
        <f>+SpeciesDatabase!L36</f>
        <v>0</v>
      </c>
      <c r="EJ23" s="6">
        <f>+SpeciesDatabase!M36</f>
        <v>0</v>
      </c>
      <c r="EK23" s="6">
        <f>+SpeciesDatabase!N36</f>
        <v>0</v>
      </c>
      <c r="EL23" s="6">
        <f>+SpeciesDatabase!O36</f>
        <v>0</v>
      </c>
      <c r="EM23" s="6">
        <f>+SpeciesDatabase!P36</f>
        <v>0</v>
      </c>
      <c r="EN23" s="6">
        <f>+SpeciesDatabase!Q36</f>
        <v>0</v>
      </c>
      <c r="EO23" s="6">
        <f>+SpeciesDatabase!R36</f>
        <v>0</v>
      </c>
      <c r="EP23" s="6">
        <f>+SpeciesDatabase!S36</f>
        <v>0</v>
      </c>
      <c r="EQ23" s="6">
        <f>+SpeciesDatabase!T36</f>
        <v>-1</v>
      </c>
      <c r="ER23" s="6">
        <f>+SpeciesDatabase!U36</f>
        <v>0</v>
      </c>
      <c r="ES23" s="6">
        <f>+SpeciesDatabase!V36</f>
        <v>1</v>
      </c>
      <c r="ET23" s="117">
        <f>+SpeciesDatabase!W36</f>
        <v>1</v>
      </c>
      <c r="EV23" s="128" t="str">
        <f t="shared" ref="EV23:FA23" si="53">EV21</f>
        <v>NA</v>
      </c>
      <c r="EW23" s="128" t="str">
        <f t="shared" si="53"/>
        <v>NA</v>
      </c>
      <c r="EX23" s="128" t="str">
        <f t="shared" si="53"/>
        <v>NA</v>
      </c>
      <c r="EY23" s="128" t="str">
        <f t="shared" si="53"/>
        <v>NA</v>
      </c>
      <c r="EZ23" s="128" t="str">
        <f t="shared" si="53"/>
        <v>NA</v>
      </c>
      <c r="FA23" s="128" t="str">
        <f t="shared" si="53"/>
        <v>NA</v>
      </c>
    </row>
    <row r="24" spans="1:157" ht="15.75" customHeight="1" thickTop="1">
      <c r="O24" s="106"/>
      <c r="P24" s="109"/>
      <c r="R24" s="241">
        <v>0</v>
      </c>
      <c r="S24" s="241">
        <v>0</v>
      </c>
      <c r="T24" s="241">
        <v>0</v>
      </c>
      <c r="U24" s="153">
        <v>1</v>
      </c>
      <c r="V24" s="153">
        <f>-U$24*U$23/V$23</f>
        <v>2.1</v>
      </c>
      <c r="W24" s="153">
        <v>1</v>
      </c>
      <c r="X24" s="153"/>
      <c r="Y24" s="175">
        <v>1</v>
      </c>
      <c r="AA24" s="109"/>
      <c r="AC24" s="153">
        <v>1</v>
      </c>
      <c r="AD24" s="153">
        <f>-AC$24*AC$23/AD$23</f>
        <v>1.5</v>
      </c>
      <c r="AE24" s="185">
        <f>-(1+AJ$24*SUMPRODUCT(AB4:AB23,AH4:AH23))/(SUMPRODUCT(AB4:AB23,AE4:AE23)*AJ$24)</f>
        <v>4.0999999999999996</v>
      </c>
      <c r="AF24" s="153">
        <v>1</v>
      </c>
      <c r="AG24" s="153">
        <f>-AF$24*AF$23/AG$23</f>
        <v>0.70000000000000007</v>
      </c>
      <c r="AH24" s="153">
        <v>1</v>
      </c>
      <c r="AI24" s="153"/>
      <c r="AJ24" s="175">
        <v>0.2</v>
      </c>
      <c r="AL24" s="109"/>
      <c r="AN24" s="153">
        <v>1</v>
      </c>
      <c r="AO24" s="153">
        <f>-AN$24*AN$23/AO$23</f>
        <v>0.5</v>
      </c>
      <c r="AP24" s="185">
        <f>-(1+AU$24*SUMPRODUCT(AM4:AM23,AS4:AS23))/(SUMPRODUCT(AM4:AM23,AP4:AP23)*AU$24)</f>
        <v>3.7666666666666666</v>
      </c>
      <c r="AQ24" s="153">
        <v>1</v>
      </c>
      <c r="AR24" s="153">
        <f>-AQ$24*AQ$23/AR$23</f>
        <v>2.7</v>
      </c>
      <c r="AS24" s="153">
        <v>1</v>
      </c>
      <c r="AT24" s="153"/>
      <c r="AU24" s="175">
        <v>0.15</v>
      </c>
      <c r="AW24" s="109"/>
      <c r="AY24" s="153">
        <v>1</v>
      </c>
      <c r="AZ24" s="153">
        <f>-AY$24*AY$23/AZ$23</f>
        <v>1.6</v>
      </c>
      <c r="BA24" s="185">
        <f>-(1+BF$24*SUMPRODUCT(AX4:AX23,BD4:BD23))/(SUMPRODUCT(AX4:AX23,BA4:BA23)*BF$24)</f>
        <v>6.666666666666667</v>
      </c>
      <c r="BB24" s="153">
        <v>1</v>
      </c>
      <c r="BC24" s="153">
        <f>-BB$24*BB$23/BC$23</f>
        <v>2.7</v>
      </c>
      <c r="BD24" s="153">
        <v>1</v>
      </c>
      <c r="BE24" s="153"/>
      <c r="BF24" s="175">
        <v>0.15</v>
      </c>
      <c r="BH24" s="109"/>
      <c r="BJ24" s="153">
        <v>1</v>
      </c>
      <c r="BK24" s="153">
        <f>-BJ$24*BJ$23/BK$23</f>
        <v>-2</v>
      </c>
      <c r="BL24" s="185">
        <f>-(1+BQ$24*SUMPRODUCT(BI4:BI23,BO4:BO23))/(SUMPRODUCT(BI4:BI23,BL4:BL23)*BQ$24)</f>
        <v>-11.824999999999999</v>
      </c>
      <c r="BM24" s="153">
        <v>1</v>
      </c>
      <c r="BN24" s="153">
        <f>-BM$24*BM$23/BN$23</f>
        <v>0.67500000000000004</v>
      </c>
      <c r="BO24" s="153">
        <v>1</v>
      </c>
      <c r="BP24" s="153"/>
      <c r="BQ24" s="175">
        <v>0.08</v>
      </c>
      <c r="BS24" s="109"/>
      <c r="BU24" s="153">
        <v>1</v>
      </c>
      <c r="BV24" s="153">
        <f>-BU$24*BU$23/BV$23</f>
        <v>8</v>
      </c>
      <c r="BW24" s="185">
        <f>-(1+CB$24*SUMPRODUCT(BT4:BT23,BZ4:BZ23))/(SUMPRODUCT(BT4:BT23,BW4:BW23)*CB$24)</f>
        <v>-1.5625</v>
      </c>
      <c r="BX24" s="153">
        <v>1</v>
      </c>
      <c r="BY24" s="153">
        <f>-BX$24*BX$23/BY$23</f>
        <v>0.67500000000000004</v>
      </c>
      <c r="BZ24" s="153">
        <v>1</v>
      </c>
      <c r="CA24" s="153"/>
      <c r="CB24" s="175">
        <v>0.08</v>
      </c>
      <c r="CD24" s="109"/>
      <c r="CF24" s="153">
        <v>1</v>
      </c>
      <c r="CG24" s="153">
        <f>-CF$24*CF$23/CG$23</f>
        <v>4</v>
      </c>
      <c r="CH24" s="185">
        <f>-(1+CM$24*SUMPRODUCT(CE4:CE23,CK4:CK23))/(SUMPRODUCT(CE4:CE23,CH4:CH23)*CM$24)</f>
        <v>3.125</v>
      </c>
      <c r="CI24" s="153">
        <v>1</v>
      </c>
      <c r="CJ24" s="153">
        <f>-CI$24*CI$23/CJ$23</f>
        <v>0.67500000000000004</v>
      </c>
      <c r="CK24" s="153">
        <v>1</v>
      </c>
      <c r="CL24" s="153"/>
      <c r="CM24" s="175">
        <v>0.08</v>
      </c>
      <c r="CO24" s="109"/>
      <c r="CQ24" s="153">
        <v>1</v>
      </c>
      <c r="CR24" s="153">
        <f>-CQ$24*CQ$23/CR$23</f>
        <v>1</v>
      </c>
      <c r="CS24" s="185">
        <f>-(1+CX$24*SUMPRODUCT(CP4:CP23,CV4:CV23))/(SUMPRODUCT(CP4:CP23,CS4:CS23)*CX$24)</f>
        <v>8.0708333333333346</v>
      </c>
      <c r="CT24" s="153">
        <v>1</v>
      </c>
      <c r="CU24" s="153">
        <f>-CT$24*CT$23/CU$23</f>
        <v>2.5000000000000001E-2</v>
      </c>
      <c r="CV24" s="153">
        <v>1</v>
      </c>
      <c r="CW24" s="153"/>
      <c r="CX24" s="175">
        <v>0.06</v>
      </c>
      <c r="CZ24" s="109"/>
      <c r="DB24" s="153">
        <v>1</v>
      </c>
      <c r="DC24" s="153">
        <f>-DB$24*DB$23/DC$23</f>
        <v>0.25</v>
      </c>
      <c r="DD24" s="185">
        <f>-(1+DI$24*$DG$9)/($DD$9*DI$24)</f>
        <v>10.633333333333333</v>
      </c>
      <c r="DE24" s="153">
        <v>1</v>
      </c>
      <c r="DF24" s="153">
        <f>-DE$24*DE$23/DF$23</f>
        <v>2.7</v>
      </c>
      <c r="DG24" s="153">
        <v>1</v>
      </c>
      <c r="DH24" s="153"/>
      <c r="DI24" s="175">
        <v>7.4999999999999997E-2</v>
      </c>
      <c r="DK24" s="109"/>
      <c r="DM24" s="153">
        <v>1</v>
      </c>
      <c r="DN24" s="153">
        <f>-DM$24*DM$23/DN$23</f>
        <v>2</v>
      </c>
      <c r="DO24" s="185">
        <f>-(1+DT$24*$DR$7)/($DO$7*DT$24)</f>
        <v>13.760714285714284</v>
      </c>
      <c r="DP24" s="153">
        <v>1</v>
      </c>
      <c r="DQ24" s="153">
        <f>-DP$24*DP$23/DQ$23</f>
        <v>-0.47499999999999998</v>
      </c>
      <c r="DR24" s="153">
        <v>1</v>
      </c>
      <c r="DS24" s="153"/>
      <c r="DT24" s="175">
        <v>7.0000000000000007E-2</v>
      </c>
      <c r="DV24" s="109"/>
      <c r="EC24" s="30" t="s">
        <v>193</v>
      </c>
      <c r="ED24" s="31">
        <f>SpeciesDatabase!G107</f>
        <v>12</v>
      </c>
      <c r="EE24" s="32">
        <f>SpeciesDatabase!H107</f>
        <v>1</v>
      </c>
      <c r="EF24" s="32">
        <f>SpeciesDatabase!I107</f>
        <v>16</v>
      </c>
      <c r="EG24" s="32">
        <f>SpeciesDatabase!J107</f>
        <v>14</v>
      </c>
      <c r="EH24" s="33">
        <f>SpeciesDatabase!K107</f>
        <v>31</v>
      </c>
      <c r="EI24" s="33">
        <f>SpeciesDatabase!L107</f>
        <v>32</v>
      </c>
      <c r="EJ24" s="33">
        <f>SpeciesDatabase!M107</f>
        <v>35.5</v>
      </c>
      <c r="EK24" s="33">
        <f>SpeciesDatabase!N107</f>
        <v>56</v>
      </c>
      <c r="EL24" s="33">
        <f>SpeciesDatabase!O107</f>
        <v>0</v>
      </c>
      <c r="EM24" s="33">
        <f>SpeciesDatabase!P107</f>
        <v>0</v>
      </c>
      <c r="EN24" s="33">
        <f>SpeciesDatabase!Q107</f>
        <v>0</v>
      </c>
      <c r="EO24" s="33">
        <f>SpeciesDatabase!R107</f>
        <v>0</v>
      </c>
      <c r="EP24" s="33">
        <f>SpeciesDatabase!S107</f>
        <v>0</v>
      </c>
      <c r="EQ24" s="86">
        <f>SpeciesDatabase!T107</f>
        <v>0</v>
      </c>
    </row>
    <row r="25" spans="1:157" ht="15.75" customHeight="1" thickBot="1">
      <c r="B25" s="40" t="s">
        <v>205</v>
      </c>
      <c r="C25" s="16">
        <v>96.484999999999999</v>
      </c>
      <c r="D25" s="15" t="s">
        <v>214</v>
      </c>
      <c r="O25" s="106"/>
      <c r="P25" s="109"/>
      <c r="R25" s="154" t="s">
        <v>525</v>
      </c>
      <c r="S25" s="154" t="s">
        <v>526</v>
      </c>
      <c r="T25" s="154" t="s">
        <v>337</v>
      </c>
      <c r="U25" s="154" t="s">
        <v>523</v>
      </c>
      <c r="V25" s="154" t="s">
        <v>524</v>
      </c>
      <c r="W25" s="154" t="s">
        <v>336</v>
      </c>
      <c r="X25" s="154"/>
      <c r="Y25" s="155" t="s">
        <v>328</v>
      </c>
      <c r="AA25" s="109"/>
      <c r="AC25" s="154" t="s">
        <v>525</v>
      </c>
      <c r="AD25" s="154" t="s">
        <v>526</v>
      </c>
      <c r="AE25" s="154" t="s">
        <v>337</v>
      </c>
      <c r="AF25" s="154" t="s">
        <v>523</v>
      </c>
      <c r="AG25" s="154" t="s">
        <v>524</v>
      </c>
      <c r="AH25" s="154" t="s">
        <v>336</v>
      </c>
      <c r="AI25" s="154"/>
      <c r="AJ25" s="155" t="s">
        <v>349</v>
      </c>
      <c r="AL25" s="109"/>
      <c r="AN25" s="154" t="s">
        <v>525</v>
      </c>
      <c r="AO25" s="154" t="s">
        <v>526</v>
      </c>
      <c r="AP25" s="154" t="s">
        <v>337</v>
      </c>
      <c r="AQ25" s="154" t="s">
        <v>523</v>
      </c>
      <c r="AR25" s="154" t="s">
        <v>524</v>
      </c>
      <c r="AS25" s="154" t="s">
        <v>336</v>
      </c>
      <c r="AT25" s="154"/>
      <c r="AU25" s="155" t="s">
        <v>348</v>
      </c>
      <c r="AW25" s="109"/>
      <c r="AY25" s="154" t="s">
        <v>525</v>
      </c>
      <c r="AZ25" s="154" t="s">
        <v>526</v>
      </c>
      <c r="BA25" s="154" t="s">
        <v>337</v>
      </c>
      <c r="BB25" s="154" t="s">
        <v>523</v>
      </c>
      <c r="BC25" s="154" t="s">
        <v>524</v>
      </c>
      <c r="BD25" s="154" t="s">
        <v>336</v>
      </c>
      <c r="BE25" s="154"/>
      <c r="BF25" s="155" t="s">
        <v>535</v>
      </c>
      <c r="BH25" s="109"/>
      <c r="BJ25" s="154" t="s">
        <v>525</v>
      </c>
      <c r="BK25" s="154" t="s">
        <v>526</v>
      </c>
      <c r="BL25" s="154" t="s">
        <v>337</v>
      </c>
      <c r="BM25" s="154" t="s">
        <v>523</v>
      </c>
      <c r="BN25" s="154" t="s">
        <v>524</v>
      </c>
      <c r="BO25" s="154" t="s">
        <v>336</v>
      </c>
      <c r="BP25" s="154"/>
      <c r="BQ25" s="155" t="s">
        <v>352</v>
      </c>
      <c r="BS25" s="109"/>
      <c r="BU25" s="154" t="s">
        <v>525</v>
      </c>
      <c r="BV25" s="154" t="s">
        <v>526</v>
      </c>
      <c r="BW25" s="154" t="s">
        <v>337</v>
      </c>
      <c r="BX25" s="154" t="s">
        <v>523</v>
      </c>
      <c r="BY25" s="154" t="s">
        <v>524</v>
      </c>
      <c r="BZ25" s="154" t="s">
        <v>336</v>
      </c>
      <c r="CA25" s="154"/>
      <c r="CB25" s="155" t="s">
        <v>352</v>
      </c>
      <c r="CD25" s="109"/>
      <c r="CF25" s="154" t="s">
        <v>525</v>
      </c>
      <c r="CG25" s="154" t="s">
        <v>526</v>
      </c>
      <c r="CH25" s="154" t="s">
        <v>337</v>
      </c>
      <c r="CI25" s="154" t="s">
        <v>523</v>
      </c>
      <c r="CJ25" s="154" t="s">
        <v>524</v>
      </c>
      <c r="CK25" s="154" t="s">
        <v>336</v>
      </c>
      <c r="CL25" s="154"/>
      <c r="CM25" s="155" t="s">
        <v>352</v>
      </c>
      <c r="CO25" s="109"/>
      <c r="CQ25" s="154" t="s">
        <v>525</v>
      </c>
      <c r="CR25" s="154" t="s">
        <v>526</v>
      </c>
      <c r="CS25" s="154" t="s">
        <v>337</v>
      </c>
      <c r="CT25" s="154" t="s">
        <v>523</v>
      </c>
      <c r="CU25" s="154" t="s">
        <v>524</v>
      </c>
      <c r="CV25" s="154" t="s">
        <v>336</v>
      </c>
      <c r="CW25" s="154"/>
      <c r="CX25" s="155" t="s">
        <v>350</v>
      </c>
      <c r="CZ25" s="109"/>
      <c r="DB25" s="154" t="s">
        <v>525</v>
      </c>
      <c r="DC25" s="154" t="s">
        <v>526</v>
      </c>
      <c r="DD25" s="154" t="s">
        <v>337</v>
      </c>
      <c r="DE25" s="154" t="s">
        <v>523</v>
      </c>
      <c r="DF25" s="154" t="s">
        <v>524</v>
      </c>
      <c r="DG25" s="154" t="s">
        <v>336</v>
      </c>
      <c r="DH25" s="154"/>
      <c r="DI25" s="155" t="s">
        <v>521</v>
      </c>
      <c r="DK25" s="109"/>
      <c r="DM25" s="154" t="s">
        <v>525</v>
      </c>
      <c r="DN25" s="154" t="s">
        <v>526</v>
      </c>
      <c r="DO25" s="154" t="s">
        <v>337</v>
      </c>
      <c r="DP25" s="154" t="s">
        <v>523</v>
      </c>
      <c r="DQ25" s="154" t="s">
        <v>524</v>
      </c>
      <c r="DR25" s="154" t="s">
        <v>336</v>
      </c>
      <c r="DS25" s="154"/>
      <c r="DT25" s="155" t="s">
        <v>351</v>
      </c>
      <c r="DV25" s="109"/>
      <c r="EC25" s="35" t="s">
        <v>128</v>
      </c>
      <c r="ED25" s="36">
        <f>SpeciesDatabase!G108</f>
        <v>4</v>
      </c>
      <c r="EE25" s="37">
        <f>SpeciesDatabase!H108</f>
        <v>1</v>
      </c>
      <c r="EF25" s="37">
        <f>SpeciesDatabase!I108</f>
        <v>-2</v>
      </c>
      <c r="EG25" s="37">
        <f>SpeciesDatabase!J108</f>
        <v>-3</v>
      </c>
      <c r="EH25" s="38">
        <f>SpeciesDatabase!K108</f>
        <v>5</v>
      </c>
      <c r="EI25" s="38">
        <f>SpeciesDatabase!L108</f>
        <v>6</v>
      </c>
      <c r="EJ25" s="38">
        <f>SpeciesDatabase!M108</f>
        <v>-1</v>
      </c>
      <c r="EK25" s="38">
        <f>SpeciesDatabase!N108</f>
        <v>3</v>
      </c>
      <c r="EL25" s="38">
        <f>SpeciesDatabase!O108</f>
        <v>0</v>
      </c>
      <c r="EM25" s="38">
        <f>SpeciesDatabase!P108</f>
        <v>0</v>
      </c>
      <c r="EN25" s="38">
        <f>SpeciesDatabase!Q108</f>
        <v>-2</v>
      </c>
      <c r="EO25" s="38">
        <f>SpeciesDatabase!R108</f>
        <v>0</v>
      </c>
      <c r="EP25" s="38">
        <f>SpeciesDatabase!S108</f>
        <v>0</v>
      </c>
      <c r="EQ25" s="85">
        <f>SpeciesDatabase!T108</f>
        <v>-1</v>
      </c>
    </row>
    <row r="26" spans="1:157" ht="15.75" customHeight="1" thickTop="1">
      <c r="B26" s="40" t="s">
        <v>206</v>
      </c>
      <c r="C26" s="16">
        <v>8.3140000000000002E-3</v>
      </c>
      <c r="D26" s="15" t="s">
        <v>207</v>
      </c>
      <c r="O26" s="106"/>
      <c r="P26" s="109"/>
      <c r="Y26" s="240" t="str">
        <f>IF(-Y$22/SUMPRODUCT(Q4:Q23,Y4:Y23)=Y24,"OK","ERROR")</f>
        <v>OK</v>
      </c>
      <c r="AA26" s="109"/>
      <c r="AJ26" s="240" t="str">
        <f>IF(-AJ$22/SUMPRODUCT(AB4:AB23,AJ4:AJ23)=AJ24,"OK","ERROR")</f>
        <v>OK</v>
      </c>
      <c r="AL26" s="109"/>
      <c r="AU26" s="240" t="str">
        <f>IF(-AU$22/SUMPRODUCT(AM4:AM23,AU4:AU23)=AU24,"OK","ERROR")</f>
        <v>OK</v>
      </c>
      <c r="AW26" s="109"/>
      <c r="BF26" s="240" t="str">
        <f>IF(-BF$22/SUMPRODUCT(AX4:AX23,BF4:BF23)=BF24,"OK","ERROR")</f>
        <v>OK</v>
      </c>
      <c r="BH26" s="109"/>
      <c r="BQ26" s="240" t="str">
        <f>IF(-BQ$22/SUMPRODUCT(BI4:BI23,BQ4:BQ23)=BQ24,"OK","ERROR")</f>
        <v>OK</v>
      </c>
      <c r="BS26" s="109"/>
      <c r="CB26" s="240" t="str">
        <f>IF(-CB$22/SUMPRODUCT(BT4:BT23,CB4:CB23)=CB24,"OK","ERROR")</f>
        <v>OK</v>
      </c>
      <c r="CD26" s="109"/>
      <c r="CM26" s="240" t="str">
        <f>IF(-CM$22/SUMPRODUCT(CE4:CE23,CM4:CM23)=CM24,"OK","ERROR")</f>
        <v>OK</v>
      </c>
      <c r="CO26" s="109"/>
      <c r="CX26" s="240" t="str">
        <f>IF(-CX$22/SUMPRODUCT(CP4:CP23,CX4:CX23)=CX24,"OK","ERROR")</f>
        <v>OK</v>
      </c>
      <c r="CZ26" s="109"/>
      <c r="DI26" s="240" t="str">
        <f>IF(-DI$22/SUMPRODUCT(DA4:DA23,DI4:DI23)=DI24,"OK","ERROR")</f>
        <v>OK</v>
      </c>
      <c r="DK26" s="109"/>
      <c r="DT26" s="240" t="str">
        <f>IF(-DT$22/SUMPRODUCT(DL4:DL23,DT4:DT23)=DT24,"OK","ERROR")</f>
        <v>OK</v>
      </c>
      <c r="DV26" s="109"/>
    </row>
    <row r="27" spans="1:157" ht="15.75" customHeight="1" thickBot="1">
      <c r="B27" s="40" t="s">
        <v>208</v>
      </c>
      <c r="C27" s="16">
        <v>298</v>
      </c>
      <c r="D27" s="15" t="s">
        <v>209</v>
      </c>
      <c r="O27" s="106"/>
      <c r="P27" s="109"/>
      <c r="AA27" s="109"/>
      <c r="AL27" s="109"/>
      <c r="AW27" s="109"/>
      <c r="BH27" s="109"/>
      <c r="BS27" s="109"/>
      <c r="CD27" s="109"/>
      <c r="CO27" s="109"/>
      <c r="CZ27" s="109"/>
      <c r="DK27" s="109"/>
      <c r="DV27" s="109"/>
    </row>
    <row r="28" spans="1:157" ht="15.75" customHeight="1" thickTop="1" thickBot="1">
      <c r="C28" s="24" t="s">
        <v>202</v>
      </c>
      <c r="N28" s="24" t="s">
        <v>202</v>
      </c>
      <c r="O28" s="106"/>
      <c r="P28" s="109"/>
      <c r="R28" s="148">
        <f t="shared" ref="R28:X28" si="54">+SUMPRODUCT($N$4:$N$23,R$4:R$23)</f>
        <v>0</v>
      </c>
      <c r="S28" s="149">
        <f t="shared" si="54"/>
        <v>0</v>
      </c>
      <c r="T28" s="149">
        <f t="shared" si="54"/>
        <v>0</v>
      </c>
      <c r="U28" s="149">
        <f t="shared" si="54"/>
        <v>156.69853356039366</v>
      </c>
      <c r="V28" s="149">
        <f t="shared" si="54"/>
        <v>154.10287433568891</v>
      </c>
      <c r="W28" s="149">
        <f t="shared" si="54"/>
        <v>480.31456966534029</v>
      </c>
      <c r="X28" s="149">
        <f t="shared" si="54"/>
        <v>480.31456966534029</v>
      </c>
      <c r="Y28" s="150">
        <f>+SUMPRODUCT($N$4:$N$23,X$4:X$23)</f>
        <v>480.31456966534029</v>
      </c>
      <c r="Z28" s="11"/>
      <c r="AA28" s="109"/>
      <c r="AC28" s="148">
        <f t="shared" ref="AC28:AI28" si="55">+SUMPRODUCT($N$4:$N$23,AC$4:AC$23)</f>
        <v>202.0739512563552</v>
      </c>
      <c r="AD28" s="149">
        <f t="shared" si="55"/>
        <v>-308.20574867137782</v>
      </c>
      <c r="AE28" s="149">
        <f t="shared" si="55"/>
        <v>-260.23467175071158</v>
      </c>
      <c r="AF28" s="149">
        <f t="shared" si="55"/>
        <v>156.69853356039366</v>
      </c>
      <c r="AG28" s="149">
        <f t="shared" si="55"/>
        <v>202.0739512563552</v>
      </c>
      <c r="AH28" s="149">
        <f t="shared" si="55"/>
        <v>298.15029943984229</v>
      </c>
      <c r="AI28" s="149">
        <f t="shared" si="55"/>
        <v>-768.811854738075</v>
      </c>
      <c r="AJ28" s="150">
        <f>+SUMPRODUCT($N$4:$N$23,AI$4:AI$23)</f>
        <v>-768.811854738075</v>
      </c>
      <c r="AK28" s="11"/>
      <c r="AL28" s="109"/>
      <c r="AN28" s="148">
        <f t="shared" ref="AN28:AT28" si="56">+SUMPRODUCT($N$4:$N$23,AN$4:AN$23)</f>
        <v>78.212515043727805</v>
      </c>
      <c r="AO28" s="149">
        <f t="shared" si="56"/>
        <v>-308.20574867137782</v>
      </c>
      <c r="AP28" s="149">
        <f t="shared" si="56"/>
        <v>-75.890359291961104</v>
      </c>
      <c r="AQ28" s="149">
        <f t="shared" si="56"/>
        <v>116.28374330912263</v>
      </c>
      <c r="AR28" s="149">
        <f t="shared" si="56"/>
        <v>78.212515043727805</v>
      </c>
      <c r="AS28" s="149">
        <f t="shared" si="56"/>
        <v>327.45753392718774</v>
      </c>
      <c r="AT28" s="149">
        <f t="shared" si="56"/>
        <v>41.603847260800862</v>
      </c>
      <c r="AU28" s="150">
        <f>+SUMPRODUCT($N$4:$N$23,AT$4:AT$23)</f>
        <v>41.603847260800862</v>
      </c>
      <c r="AV28" s="11"/>
      <c r="AW28" s="109"/>
      <c r="AY28" s="148">
        <f t="shared" ref="AY28:BE28" si="57">+SUMPRODUCT($N$4:$N$23,AY$4:AY$23)</f>
        <v>-227.49185315904708</v>
      </c>
      <c r="AZ28" s="149">
        <f t="shared" si="57"/>
        <v>-354.93272477716391</v>
      </c>
      <c r="BA28" s="149">
        <f t="shared" si="57"/>
        <v>-795.38421280250952</v>
      </c>
      <c r="BB28" s="149">
        <f t="shared" si="57"/>
        <v>116.28374330912263</v>
      </c>
      <c r="BC28" s="149">
        <f t="shared" si="57"/>
        <v>78.212515043727805</v>
      </c>
      <c r="BD28" s="149">
        <f t="shared" si="57"/>
        <v>327.45753392718774</v>
      </c>
      <c r="BE28" s="149">
        <f t="shared" si="57"/>
        <v>-4975.1038847562095</v>
      </c>
      <c r="BF28" s="150">
        <f>+SUMPRODUCT($N$4:$N$23,BE$4:BE$23)</f>
        <v>-4975.1038847562095</v>
      </c>
      <c r="BG28" s="11"/>
      <c r="BH28" s="109"/>
      <c r="BJ28" s="148">
        <f t="shared" ref="BJ28:BP28" si="58">+SUMPRODUCT($N$4:$N$23,BJ$4:BJ$23)</f>
        <v>167.38368230347277</v>
      </c>
      <c r="BK28" s="149">
        <f t="shared" si="58"/>
        <v>-308.20574867137782</v>
      </c>
      <c r="BL28" s="149">
        <f t="shared" si="58"/>
        <v>783.79517964622846</v>
      </c>
      <c r="BM28" s="149">
        <f t="shared" si="58"/>
        <v>116.28374330912263</v>
      </c>
      <c r="BN28" s="149">
        <f t="shared" si="58"/>
        <v>-167.38368230347277</v>
      </c>
      <c r="BO28" s="149">
        <f t="shared" si="58"/>
        <v>3.2997577542785166</v>
      </c>
      <c r="BP28" s="149">
        <f t="shared" si="58"/>
        <v>-9265.0782415623726</v>
      </c>
      <c r="BQ28" s="150">
        <f>+SUMPRODUCT($N$4:$N$23,BP$4:BP$23)</f>
        <v>-9265.0782415623726</v>
      </c>
      <c r="BR28" s="11"/>
      <c r="BS28" s="109"/>
      <c r="BU28" s="148">
        <f t="shared" ref="BU28:CA28" si="59">+SUMPRODUCT($N$4:$N$23,BU$4:BU$23)</f>
        <v>-227.49185315904708</v>
      </c>
      <c r="BV28" s="149">
        <f t="shared" si="59"/>
        <v>-74.300000000000011</v>
      </c>
      <c r="BW28" s="149">
        <f t="shared" si="59"/>
        <v>-821.89185315904706</v>
      </c>
      <c r="BX28" s="149">
        <f t="shared" si="59"/>
        <v>116.28374330912263</v>
      </c>
      <c r="BY28" s="149">
        <f t="shared" si="59"/>
        <v>-167.38368230347277</v>
      </c>
      <c r="BZ28" s="149">
        <f t="shared" si="59"/>
        <v>3.2997577542785166</v>
      </c>
      <c r="CA28" s="149">
        <f t="shared" si="59"/>
        <v>1287.5057783152893</v>
      </c>
      <c r="CB28" s="150">
        <f>+SUMPRODUCT($N$4:$N$23,CA$4:CA$23)</f>
        <v>1287.5057783152893</v>
      </c>
      <c r="CC28" s="11"/>
      <c r="CD28" s="109"/>
      <c r="CF28" s="148">
        <f t="shared" ref="CF28:CL28" si="60">+SUMPRODUCT($N$4:$N$23,CF$4:CF$23)</f>
        <v>-227.49185315904708</v>
      </c>
      <c r="CG28" s="149">
        <f t="shared" si="60"/>
        <v>90.309640708038899</v>
      </c>
      <c r="CH28" s="149">
        <f t="shared" si="60"/>
        <v>133.74670967310851</v>
      </c>
      <c r="CI28" s="149">
        <f t="shared" si="60"/>
        <v>116.28374330912263</v>
      </c>
      <c r="CJ28" s="149">
        <f t="shared" si="60"/>
        <v>-167.38368230347277</v>
      </c>
      <c r="CK28" s="149">
        <f t="shared" si="60"/>
        <v>3.2997577542785166</v>
      </c>
      <c r="CL28" s="149">
        <f t="shared" si="60"/>
        <v>421.25822548274266</v>
      </c>
      <c r="CM28" s="150">
        <f>+SUMPRODUCT($N$4:$N$23,CL$4:CL$23)</f>
        <v>421.25822548274266</v>
      </c>
      <c r="CN28" s="11"/>
      <c r="CO28" s="109"/>
      <c r="CQ28" s="148">
        <f t="shared" ref="CQ28:CW28" si="61">+SUMPRODUCT($N$4:$N$23,CQ$4:CQ$23)</f>
        <v>-227.49185315904708</v>
      </c>
      <c r="CR28" s="149">
        <f t="shared" si="61"/>
        <v>162.84881894691921</v>
      </c>
      <c r="CS28" s="149">
        <f t="shared" si="61"/>
        <v>-64.64303421212783</v>
      </c>
      <c r="CT28" s="149">
        <f t="shared" si="61"/>
        <v>42.952606980870129</v>
      </c>
      <c r="CU28" s="149">
        <f t="shared" si="61"/>
        <v>-227.49185315904708</v>
      </c>
      <c r="CV28" s="149">
        <f t="shared" si="61"/>
        <v>37.265310651893941</v>
      </c>
      <c r="CW28" s="149">
        <f t="shared" si="61"/>
        <v>-484.45784463515531</v>
      </c>
      <c r="CX28" s="150">
        <f>+SUMPRODUCT($N$4:$N$23,CW$4:CW$23)</f>
        <v>-484.45784463515531</v>
      </c>
      <c r="CY28" s="11"/>
      <c r="CZ28" s="109"/>
      <c r="DB28" s="148">
        <f t="shared" ref="DB28:DH28" si="62">+SUMPRODUCT($N$4:$N$23,DB$4:DB$23)</f>
        <v>-78.150162909837945</v>
      </c>
      <c r="DC28" s="149">
        <f t="shared" si="62"/>
        <v>195.17033605298315</v>
      </c>
      <c r="DD28" s="149">
        <f t="shared" si="62"/>
        <v>-29.357578896592159</v>
      </c>
      <c r="DE28" s="149">
        <f t="shared" si="62"/>
        <v>116.28374330912263</v>
      </c>
      <c r="DF28" s="149">
        <f t="shared" si="62"/>
        <v>-78.150162909837945</v>
      </c>
      <c r="DG28" s="149">
        <f t="shared" si="62"/>
        <v>-94.721696547439805</v>
      </c>
      <c r="DH28" s="149">
        <f t="shared" si="62"/>
        <v>-406.89061881453648</v>
      </c>
      <c r="DI28" s="150">
        <f>+SUMPRODUCT($N$4:$N$23,DH$4:DH$23)</f>
        <v>-406.89061881453648</v>
      </c>
      <c r="DJ28" s="11"/>
      <c r="DK28" s="109"/>
      <c r="DM28" s="148">
        <f t="shared" ref="DM28:DS28" si="63">+SUMPRODUCT($N$4:$N$23,DM$4:DM$23)</f>
        <v>-195.17033605298315</v>
      </c>
      <c r="DN28" s="149">
        <f t="shared" si="63"/>
        <v>-308.20574867137782</v>
      </c>
      <c r="DO28" s="149">
        <f t="shared" si="63"/>
        <v>-811.58183339573884</v>
      </c>
      <c r="DP28" s="149">
        <f t="shared" si="63"/>
        <v>-38.471802492589489</v>
      </c>
      <c r="DQ28" s="149">
        <f t="shared" si="63"/>
        <v>-195.17033605298315</v>
      </c>
      <c r="DR28" s="149">
        <f t="shared" si="63"/>
        <v>54.234107132577506</v>
      </c>
      <c r="DS28" s="149">
        <f t="shared" si="63"/>
        <v>-11113.711621702354</v>
      </c>
      <c r="DT28" s="150">
        <f>+SUMPRODUCT($N$4:$N$23,DS$4:DS$23)</f>
        <v>-11113.711621702354</v>
      </c>
      <c r="DU28" s="11"/>
      <c r="DV28" s="109"/>
      <c r="DX28" s="16"/>
    </row>
    <row r="29" spans="1:157" ht="13.5" customHeight="1" thickTop="1" thickBot="1">
      <c r="C29" s="24" t="s">
        <v>203</v>
      </c>
      <c r="N29" s="24" t="s">
        <v>203</v>
      </c>
      <c r="O29" s="106"/>
      <c r="P29" s="109"/>
      <c r="R29" s="148">
        <f t="shared" ref="R29:X29" si="64">+R33+(R21+R23)*$C$26*298*LN(10^(-7))</f>
        <v>0</v>
      </c>
      <c r="S29" s="149">
        <f t="shared" si="64"/>
        <v>0</v>
      </c>
      <c r="T29" s="149">
        <f t="shared" si="64"/>
        <v>0</v>
      </c>
      <c r="U29" s="149">
        <f t="shared" si="64"/>
        <v>306.56068832071605</v>
      </c>
      <c r="V29" s="149">
        <f t="shared" si="64"/>
        <v>85.645030087455581</v>
      </c>
      <c r="W29" s="149">
        <f t="shared" si="64"/>
        <v>486.4152515043728</v>
      </c>
      <c r="X29" s="149">
        <f t="shared" si="64"/>
        <v>486.4152515043728</v>
      </c>
      <c r="Y29" s="150">
        <f>+Y33+(X21+X23)*$C$26*298*LN(10^(-7))</f>
        <v>486.4152515043728</v>
      </c>
      <c r="Z29" s="11"/>
      <c r="AA29" s="109"/>
      <c r="AC29" s="148">
        <f t="shared" ref="AC29:AI29" si="65">+AC33+(AC21+AC23)*$C$26*298*LN(10^(-7))</f>
        <v>-37.542394693905521</v>
      </c>
      <c r="AD29" s="149">
        <f t="shared" si="65"/>
        <v>-171.29006017491116</v>
      </c>
      <c r="AE29" s="149">
        <f t="shared" si="65"/>
        <v>-294.47748495627224</v>
      </c>
      <c r="AF29" s="149">
        <f t="shared" si="65"/>
        <v>306.56068832071605</v>
      </c>
      <c r="AG29" s="149">
        <f t="shared" si="65"/>
        <v>-37.542394693905521</v>
      </c>
      <c r="AH29" s="149">
        <f t="shared" si="65"/>
        <v>280.28101203498221</v>
      </c>
      <c r="AI29" s="149">
        <f t="shared" si="65"/>
        <v>-927.07667628573381</v>
      </c>
      <c r="AJ29" s="150">
        <f>+AJ33+(AI21+AI23)*$C$26*298*LN(10^(-7))</f>
        <v>-927.07667628573381</v>
      </c>
      <c r="AK29" s="11"/>
      <c r="AL29" s="109"/>
      <c r="AN29" s="148">
        <f t="shared" ref="AN29:AT29" si="66">+AN33+(AN21+AN23)*$C$26*298*LN(10^(-7))</f>
        <v>-1.6549699125444022</v>
      </c>
      <c r="AO29" s="149">
        <f t="shared" si="66"/>
        <v>-171.29006017491116</v>
      </c>
      <c r="AP29" s="149">
        <f t="shared" si="66"/>
        <v>-87.3</v>
      </c>
      <c r="AQ29" s="149">
        <f t="shared" si="66"/>
        <v>314.06916725949719</v>
      </c>
      <c r="AR29" s="149">
        <f t="shared" si="66"/>
        <v>-1.6549699125444022</v>
      </c>
      <c r="AS29" s="149">
        <f t="shared" si="66"/>
        <v>309.60074849562722</v>
      </c>
      <c r="AT29" s="149">
        <f t="shared" si="66"/>
        <v>-19.229251504372673</v>
      </c>
      <c r="AU29" s="150">
        <f>+AU33+(AT21+AT23)*$C$26*298*LN(10^(-7))</f>
        <v>-19.229251504372673</v>
      </c>
      <c r="AV29" s="11"/>
      <c r="AW29" s="109"/>
      <c r="AY29" s="148">
        <f t="shared" ref="AY29:BE29" si="67">+AY33+(AY21+AY23)*$C$26*298*LN(10^(-7))</f>
        <v>-527.23613717204171</v>
      </c>
      <c r="AZ29" s="149">
        <f t="shared" si="67"/>
        <v>-160.96883274050282</v>
      </c>
      <c r="BA29" s="149">
        <f t="shared" si="67"/>
        <v>-784.78626955684626</v>
      </c>
      <c r="BB29" s="149">
        <f t="shared" si="67"/>
        <v>314.06916725949719</v>
      </c>
      <c r="BC29" s="149">
        <f t="shared" si="67"/>
        <v>-1.6549699125444022</v>
      </c>
      <c r="BD29" s="149">
        <f t="shared" si="67"/>
        <v>309.60074849562722</v>
      </c>
      <c r="BE29" s="149">
        <f t="shared" si="67"/>
        <v>-4922.3077152166807</v>
      </c>
      <c r="BF29" s="150">
        <f>+BF33+(BE21+BE23)*$C$26*298*LN(10^(-7))</f>
        <v>-4922.3077152166807</v>
      </c>
      <c r="BG29" s="11"/>
      <c r="BH29" s="109"/>
      <c r="BJ29" s="148">
        <f t="shared" ref="BJ29:BP29" si="68">+BJ33+(BJ21+BJ23)*$C$26*298*LN(10^(-7))</f>
        <v>486.85362212831387</v>
      </c>
      <c r="BK29" s="149">
        <f t="shared" si="68"/>
        <v>-171.29006017491116</v>
      </c>
      <c r="BL29" s="149">
        <f t="shared" si="68"/>
        <v>829.43374247813608</v>
      </c>
      <c r="BM29" s="149">
        <f t="shared" si="68"/>
        <v>314.06916725949719</v>
      </c>
      <c r="BN29" s="149">
        <f t="shared" si="68"/>
        <v>-486.85362212831387</v>
      </c>
      <c r="BO29" s="149">
        <f t="shared" si="68"/>
        <v>-14.557027677114711</v>
      </c>
      <c r="BP29" s="149">
        <f t="shared" si="68"/>
        <v>-9822.6110324810743</v>
      </c>
      <c r="BQ29" s="150">
        <f>+BQ33+(BP21+BP23)*$C$26*298*LN(10^(-7))</f>
        <v>-9822.6110324810743</v>
      </c>
      <c r="BR29" s="11"/>
      <c r="BS29" s="109"/>
      <c r="BU29" s="148">
        <f t="shared" ref="BU29:CA29" si="69">+BU33+(BU21+BU23)*$C$26*298*LN(10^(-7))</f>
        <v>-527.23613717204171</v>
      </c>
      <c r="BV29" s="149">
        <f t="shared" si="69"/>
        <v>-34.366257521863908</v>
      </c>
      <c r="BW29" s="149">
        <f t="shared" si="69"/>
        <v>-802.16619734695269</v>
      </c>
      <c r="BX29" s="149">
        <f t="shared" si="69"/>
        <v>314.06916725949719</v>
      </c>
      <c r="BY29" s="149">
        <f t="shared" si="69"/>
        <v>-486.85362212831387</v>
      </c>
      <c r="BZ29" s="149">
        <f t="shared" si="69"/>
        <v>-14.557027677114711</v>
      </c>
      <c r="CA29" s="149">
        <f t="shared" si="69"/>
        <v>1238.827655677499</v>
      </c>
      <c r="CB29" s="150">
        <f>+CB33+(CA21+CA23)*$C$26*298*LN(10^(-7))</f>
        <v>1238.827655677499</v>
      </c>
      <c r="CC29" s="11"/>
      <c r="CD29" s="109"/>
      <c r="CF29" s="148">
        <f t="shared" ref="CF29:CL29" si="70">+CF33+(CF21+CF23)*$C$26*298*LN(10^(-7))</f>
        <v>-527.23613717204171</v>
      </c>
      <c r="CG29" s="149">
        <f t="shared" si="70"/>
        <v>158.7674849562722</v>
      </c>
      <c r="CH29" s="149">
        <f t="shared" si="70"/>
        <v>107.83380265304731</v>
      </c>
      <c r="CI29" s="149">
        <f t="shared" si="70"/>
        <v>314.06916725949719</v>
      </c>
      <c r="CJ29" s="149">
        <f t="shared" si="70"/>
        <v>-486.85362212831387</v>
      </c>
      <c r="CK29" s="149">
        <f t="shared" si="70"/>
        <v>-14.557027677114711</v>
      </c>
      <c r="CL29" s="149">
        <f t="shared" si="70"/>
        <v>322.42360561365808</v>
      </c>
      <c r="CM29" s="150">
        <f>+CM33+(CL21+CL23)*$C$26*298*LN(10^(-7))</f>
        <v>322.42360561365808</v>
      </c>
      <c r="CN29" s="11"/>
      <c r="CO29" s="109"/>
      <c r="CQ29" s="148">
        <f t="shared" ref="CQ29:CW29" si="71">+CQ33+(CQ21+CQ23)*$C$26*298*LN(10^(-7))</f>
        <v>-527.23613717204171</v>
      </c>
      <c r="CR29" s="149">
        <f t="shared" si="71"/>
        <v>505.12362212831385</v>
      </c>
      <c r="CS29" s="149">
        <f t="shared" si="71"/>
        <v>-22.112515043727697</v>
      </c>
      <c r="CT29" s="149">
        <f t="shared" si="71"/>
        <v>42.942619734695278</v>
      </c>
      <c r="CU29" s="149">
        <f t="shared" si="71"/>
        <v>-527.23613717204171</v>
      </c>
      <c r="CV29" s="149">
        <f t="shared" si="71"/>
        <v>29.761716305394231</v>
      </c>
      <c r="CW29" s="149">
        <f t="shared" si="71"/>
        <v>-148.70470719335935</v>
      </c>
      <c r="CX29" s="150">
        <f>+CX33+(CW21+CW23)*$C$26*298*LN(10^(-7))</f>
        <v>-148.70470719335935</v>
      </c>
      <c r="CY29" s="11"/>
      <c r="CZ29" s="109"/>
      <c r="DB29" s="148">
        <f t="shared" ref="DB29:DH29" si="72">+DB33+(DB21+DB23)*$C$26*298*LN(10^(-7))</f>
        <v>-177.28496991254443</v>
      </c>
      <c r="DC29" s="149">
        <f t="shared" si="72"/>
        <v>516.17987965017767</v>
      </c>
      <c r="DD29" s="149">
        <f t="shared" si="72"/>
        <v>-48.239999999999995</v>
      </c>
      <c r="DE29" s="149">
        <f t="shared" si="72"/>
        <v>314.06916725949719</v>
      </c>
      <c r="DF29" s="149">
        <f t="shared" si="72"/>
        <v>-177.28496991254443</v>
      </c>
      <c r="DG29" s="149">
        <f t="shared" si="72"/>
        <v>-164.60025150437281</v>
      </c>
      <c r="DH29" s="149">
        <f t="shared" si="72"/>
        <v>-677.55225150437298</v>
      </c>
      <c r="DI29" s="150">
        <f>+DI33+(DH21+DH23)*$C$26*298*LN(10^(-7))</f>
        <v>-677.55225150437298</v>
      </c>
      <c r="DJ29" s="11"/>
      <c r="DK29" s="109"/>
      <c r="DM29" s="148">
        <f t="shared" ref="DM29:DS29" si="73">+DM33+(DM21+DM23)*$C$26*298*LN(10^(-7))</f>
        <v>-516.17987965017767</v>
      </c>
      <c r="DN29" s="149">
        <f t="shared" si="73"/>
        <v>-171.29006017491116</v>
      </c>
      <c r="DO29" s="149">
        <f t="shared" si="73"/>
        <v>-858.76</v>
      </c>
      <c r="DP29" s="149">
        <f t="shared" si="73"/>
        <v>-209.61919132946159</v>
      </c>
      <c r="DQ29" s="149">
        <f t="shared" si="73"/>
        <v>-516.17987965017767</v>
      </c>
      <c r="DR29" s="149">
        <f t="shared" si="73"/>
        <v>35.566251504372765</v>
      </c>
      <c r="DS29" s="149">
        <f t="shared" si="73"/>
        <v>-11781.584748495625</v>
      </c>
      <c r="DT29" s="150">
        <f>+DT33+(DS21+DS23)*$C$26*298*LN(10^(-7))</f>
        <v>-11781.584748495625</v>
      </c>
      <c r="DU29" s="11"/>
      <c r="DV29" s="109"/>
      <c r="DX29" s="16"/>
    </row>
    <row r="30" spans="1:157" ht="13.5" customHeight="1" thickTop="1" thickBot="1">
      <c r="C30" s="24" t="s">
        <v>528</v>
      </c>
      <c r="N30" s="24" t="s">
        <v>528</v>
      </c>
      <c r="O30" s="106"/>
      <c r="P30" s="109"/>
      <c r="R30" s="148" t="str">
        <f>IF(R$23&lt;&gt;0,-(R$28/ABS(R$23))/$C$25,"NA")</f>
        <v>NA</v>
      </c>
      <c r="S30" s="149" t="str">
        <f>IF(S$23&lt;&gt;0,-(S$28/ABS(S$23))/$C$25,"NA")</f>
        <v>NA</v>
      </c>
      <c r="T30" s="149" t="str">
        <f t="shared" ref="T30:Y30" si="74">IF(T$23&lt;&gt;0,-(T$28/ABS(T$23))/$C$25,"NA")</f>
        <v>NA</v>
      </c>
      <c r="U30" s="149">
        <f t="shared" si="74"/>
        <v>-0.38668367784874935</v>
      </c>
      <c r="V30" s="149">
        <f t="shared" si="74"/>
        <v>-0.7985846211104779</v>
      </c>
      <c r="W30" s="149" t="str">
        <f t="shared" si="74"/>
        <v>NA</v>
      </c>
      <c r="X30" s="149" t="str">
        <f t="shared" si="74"/>
        <v>NA</v>
      </c>
      <c r="Y30" s="150" t="str">
        <f t="shared" si="74"/>
        <v>NA</v>
      </c>
      <c r="Z30" s="11"/>
      <c r="AA30" s="109"/>
      <c r="AC30" s="148">
        <f>IF(AC$23&lt;&gt;0,-(AC$28/ABS(AC$23))/$C$25,"NA")</f>
        <v>-0.34905935509207858</v>
      </c>
      <c r="AD30" s="149">
        <f>IF(AD$23&lt;&gt;0,-(AD$28/ABS(AD$23))/$C$25,"NA")</f>
        <v>0.7985846211104779</v>
      </c>
      <c r="AE30" s="149" t="str">
        <f t="shared" ref="AE30:AJ30" si="75">IF(AE$23&lt;&gt;0,-(AE$28/ABS(AE$23))/$C$25,"NA")</f>
        <v>NA</v>
      </c>
      <c r="AF30" s="149">
        <f t="shared" si="75"/>
        <v>-0.38668367784874935</v>
      </c>
      <c r="AG30" s="149">
        <f t="shared" si="75"/>
        <v>-0.34905935509207858</v>
      </c>
      <c r="AH30" s="149" t="str">
        <f t="shared" si="75"/>
        <v>NA</v>
      </c>
      <c r="AI30" s="149" t="str">
        <f t="shared" si="75"/>
        <v>NA</v>
      </c>
      <c r="AJ30" s="150" t="str">
        <f t="shared" si="75"/>
        <v>NA</v>
      </c>
      <c r="AK30" s="11"/>
      <c r="AL30" s="109"/>
      <c r="AN30" s="148">
        <f>IF(AN$23&lt;&gt;0,-(AN$28/ABS(AN$23))/$C$25,"NA")</f>
        <v>-0.40530919336543403</v>
      </c>
      <c r="AO30" s="149">
        <f>IF(AO$23&lt;&gt;0,-(AO$28/ABS(AO$23))/$C$25,"NA")</f>
        <v>0.7985846211104779</v>
      </c>
      <c r="AP30" s="149" t="str">
        <f t="shared" ref="AP30:AU30" si="76">IF(AP$23&lt;&gt;0,-(AP$28/ABS(AP$23))/$C$25,"NA")</f>
        <v>NA</v>
      </c>
      <c r="AQ30" s="149">
        <f t="shared" si="76"/>
        <v>-0.22318522608412097</v>
      </c>
      <c r="AR30" s="149">
        <f t="shared" si="76"/>
        <v>-0.40530919336543403</v>
      </c>
      <c r="AS30" s="149" t="str">
        <f t="shared" si="76"/>
        <v>NA</v>
      </c>
      <c r="AT30" s="149" t="str">
        <f t="shared" si="76"/>
        <v>NA</v>
      </c>
      <c r="AU30" s="150" t="str">
        <f t="shared" si="76"/>
        <v>NA</v>
      </c>
      <c r="AV30" s="11"/>
      <c r="AW30" s="109"/>
      <c r="AY30" s="148">
        <f>IF(AY$23&lt;&gt;0,-(AY$28/ABS(AY$23))/$C$25,"NA")</f>
        <v>0.29472437834773163</v>
      </c>
      <c r="AZ30" s="149">
        <f>IF(AZ$23&lt;&gt;0,-(AZ$28/ABS(AZ$23))/$C$25,"NA")</f>
        <v>0.73572622641273544</v>
      </c>
      <c r="BA30" s="149" t="str">
        <f t="shared" ref="BA30:BF30" si="77">IF(BA$23&lt;&gt;0,-(BA$28/ABS(BA$23))/$C$25,"NA")</f>
        <v>NA</v>
      </c>
      <c r="BB30" s="149">
        <f t="shared" si="77"/>
        <v>-0.22318522608412097</v>
      </c>
      <c r="BC30" s="149">
        <f t="shared" si="77"/>
        <v>-0.40530919336543403</v>
      </c>
      <c r="BD30" s="149" t="str">
        <f t="shared" si="77"/>
        <v>NA</v>
      </c>
      <c r="BE30" s="149" t="str">
        <f t="shared" si="77"/>
        <v>NA</v>
      </c>
      <c r="BF30" s="150" t="str">
        <f t="shared" si="77"/>
        <v>NA</v>
      </c>
      <c r="BG30" s="11"/>
      <c r="BH30" s="109"/>
      <c r="BJ30" s="148">
        <f>IF(BJ$23&lt;&gt;0,-(BJ$28/ABS(BJ$23))/$C$25,"NA")</f>
        <v>-0.21685194888256304</v>
      </c>
      <c r="BK30" s="149">
        <f>IF(BK$23&lt;&gt;0,-(BK$28/ABS(BK$23))/$C$25,"NA")</f>
        <v>0.7985846211104779</v>
      </c>
      <c r="BL30" s="149" t="str">
        <f t="shared" ref="BL30:BQ30" si="78">IF(BL$23&lt;&gt;0,-(BL$28/ABS(BL$23))/$C$25,"NA")</f>
        <v>NA</v>
      </c>
      <c r="BM30" s="149">
        <f t="shared" si="78"/>
        <v>-0.22318522608412097</v>
      </c>
      <c r="BN30" s="149">
        <f t="shared" si="78"/>
        <v>0.21685194888256304</v>
      </c>
      <c r="BO30" s="149" t="str">
        <f t="shared" si="78"/>
        <v>NA</v>
      </c>
      <c r="BP30" s="149" t="str">
        <f t="shared" si="78"/>
        <v>NA</v>
      </c>
      <c r="BQ30" s="150" t="str">
        <f t="shared" si="78"/>
        <v>NA</v>
      </c>
      <c r="BR30" s="11"/>
      <c r="BS30" s="109"/>
      <c r="BU30" s="148">
        <f>IF(BU$23&lt;&gt;0,-(BU$28/ABS(BU$23))/$C$25,"NA")</f>
        <v>0.29472437834773163</v>
      </c>
      <c r="BV30" s="149">
        <f>IF(BV$23&lt;&gt;0,-(BV$28/ABS(BV$23))/$C$25,"NA")</f>
        <v>0.77006788619992761</v>
      </c>
      <c r="BW30" s="149" t="str">
        <f t="shared" ref="BW30:CB30" si="79">IF(BW$23&lt;&gt;0,-(BW$28/ABS(BW$23))/$C$25,"NA")</f>
        <v>NA</v>
      </c>
      <c r="BX30" s="149">
        <f t="shared" si="79"/>
        <v>-0.22318522608412097</v>
      </c>
      <c r="BY30" s="149">
        <f t="shared" si="79"/>
        <v>0.21685194888256304</v>
      </c>
      <c r="BZ30" s="149" t="str">
        <f t="shared" si="79"/>
        <v>NA</v>
      </c>
      <c r="CA30" s="149" t="str">
        <f t="shared" si="79"/>
        <v>NA</v>
      </c>
      <c r="CB30" s="150" t="str">
        <f t="shared" si="79"/>
        <v>NA</v>
      </c>
      <c r="CC30" s="11"/>
      <c r="CD30" s="109"/>
      <c r="CF30" s="148">
        <f>IF(CF$23&lt;&gt;0,-(CF$28/ABS(CF$23))/$C$25,"NA")</f>
        <v>0.29472437834773163</v>
      </c>
      <c r="CG30" s="149">
        <f>IF(CG$23&lt;&gt;0,-(CG$28/ABS(CG$23))/$C$25,"NA")</f>
        <v>-0.46799834538031249</v>
      </c>
      <c r="CH30" s="149" t="str">
        <f t="shared" ref="CH30:CM30" si="80">IF(CH$23&lt;&gt;0,-(CH$28/ABS(CH$23))/$C$25,"NA")</f>
        <v>NA</v>
      </c>
      <c r="CI30" s="149">
        <f t="shared" si="80"/>
        <v>-0.22318522608412097</v>
      </c>
      <c r="CJ30" s="149">
        <f t="shared" si="80"/>
        <v>0.21685194888256304</v>
      </c>
      <c r="CK30" s="149" t="str">
        <f t="shared" si="80"/>
        <v>NA</v>
      </c>
      <c r="CL30" s="149" t="str">
        <f t="shared" si="80"/>
        <v>NA</v>
      </c>
      <c r="CM30" s="150" t="str">
        <f t="shared" si="80"/>
        <v>NA</v>
      </c>
      <c r="CN30" s="11"/>
      <c r="CO30" s="109"/>
      <c r="CQ30" s="148">
        <f>IF(CQ$23&lt;&gt;0,-(CQ$28/ABS(CQ$23))/$C$25,"NA")</f>
        <v>0.29472437834773163</v>
      </c>
      <c r="CR30" s="149">
        <f>IF(CR$23&lt;&gt;0,-(CR$28/ABS(CR$23))/$C$25,"NA")</f>
        <v>-0.21097686032403898</v>
      </c>
      <c r="CS30" s="149" t="str">
        <f t="shared" ref="CS30:CX30" si="81">IF(CS$23&lt;&gt;0,-(CS$28/ABS(CS$23))/$C$25,"NA")</f>
        <v>NA</v>
      </c>
      <c r="CT30" s="149">
        <f t="shared" si="81"/>
        <v>-2.2258696678691052</v>
      </c>
      <c r="CU30" s="149">
        <f t="shared" si="81"/>
        <v>0.29472437834773163</v>
      </c>
      <c r="CV30" s="149" t="str">
        <f t="shared" si="81"/>
        <v>NA</v>
      </c>
      <c r="CW30" s="149" t="str">
        <f t="shared" si="81"/>
        <v>NA</v>
      </c>
      <c r="CX30" s="150" t="str">
        <f t="shared" si="81"/>
        <v>NA</v>
      </c>
      <c r="CY30" s="11"/>
      <c r="CZ30" s="109"/>
      <c r="DB30" s="148">
        <f>IF(DB$23&lt;&gt;0,-(DB$28/ABS(DB$23))/$C$25,"NA")</f>
        <v>0.40498607508855233</v>
      </c>
      <c r="DC30" s="149">
        <f>IF(DC$23&lt;&gt;0,-(DC$28/ABS(DC$23))/$C$25,"NA")</f>
        <v>-0.25285061933588532</v>
      </c>
      <c r="DD30" s="149" t="str">
        <f t="shared" ref="DD30:DI30" si="82">IF(DD$23&lt;&gt;0,-(DD$28/ABS(DD$23))/$C$25,"NA")</f>
        <v>NA</v>
      </c>
      <c r="DE30" s="149">
        <f t="shared" si="82"/>
        <v>-0.22318522608412097</v>
      </c>
      <c r="DF30" s="149">
        <f t="shared" si="82"/>
        <v>0.40498607508855233</v>
      </c>
      <c r="DG30" s="149" t="str">
        <f t="shared" si="82"/>
        <v>NA</v>
      </c>
      <c r="DH30" s="149" t="str">
        <f t="shared" si="82"/>
        <v>NA</v>
      </c>
      <c r="DI30" s="150" t="str">
        <f t="shared" si="82"/>
        <v>NA</v>
      </c>
      <c r="DJ30" s="11"/>
      <c r="DK30" s="109"/>
      <c r="DM30" s="148">
        <f>IF(DM$23&lt;&gt;0,-(DM$28/ABS(DM$23))/$C$25,"NA")</f>
        <v>0.25285061933588532</v>
      </c>
      <c r="DN30" s="149">
        <f>IF(DN$23&lt;&gt;0,-(DN$28/ABS(DN$23))/$C$25,"NA")</f>
        <v>0.7985846211104779</v>
      </c>
      <c r="DO30" s="149" t="str">
        <f t="shared" ref="DO30:DT30" si="83">IF(DO$23&lt;&gt;0,-(DO$28/ABS(DO$23))/$C$25,"NA")</f>
        <v>NA</v>
      </c>
      <c r="DP30" s="149">
        <f t="shared" si="83"/>
        <v>0.10492987045324605</v>
      </c>
      <c r="DQ30" s="149">
        <f t="shared" si="83"/>
        <v>0.25285061933588532</v>
      </c>
      <c r="DR30" s="149" t="str">
        <f t="shared" si="83"/>
        <v>NA</v>
      </c>
      <c r="DS30" s="149" t="str">
        <f t="shared" si="83"/>
        <v>NA</v>
      </c>
      <c r="DT30" s="150" t="str">
        <f t="shared" si="83"/>
        <v>NA</v>
      </c>
      <c r="DU30" s="11"/>
      <c r="DV30" s="109"/>
      <c r="DX30" s="16"/>
    </row>
    <row r="31" spans="1:157" ht="13.5" customHeight="1" thickTop="1" thickBot="1">
      <c r="C31" s="24" t="s">
        <v>540</v>
      </c>
      <c r="N31" s="24" t="s">
        <v>540</v>
      </c>
      <c r="O31" s="106"/>
      <c r="P31" s="109"/>
      <c r="R31" s="148" t="str">
        <f>IF(R$23&lt;&gt;0,-(R$29/ABS(R$23))/$C$25,"NA")</f>
        <v>NA</v>
      </c>
      <c r="S31" s="149" t="str">
        <f t="shared" ref="S31:Y31" si="84">IF(S$23&lt;&gt;0,-(S$29/ABS(S$23))/$C$25,"NA")</f>
        <v>NA</v>
      </c>
      <c r="T31" s="149" t="str">
        <f t="shared" si="84"/>
        <v>NA</v>
      </c>
      <c r="U31" s="149">
        <f t="shared" si="84"/>
        <v>-0.7564972801612786</v>
      </c>
      <c r="V31" s="149">
        <f t="shared" si="84"/>
        <v>-0.44382562101598994</v>
      </c>
      <c r="W31" s="149" t="str">
        <f t="shared" si="84"/>
        <v>NA</v>
      </c>
      <c r="X31" s="149" t="str">
        <f t="shared" si="84"/>
        <v>NA</v>
      </c>
      <c r="Y31" s="150" t="str">
        <f t="shared" si="84"/>
        <v>NA</v>
      </c>
      <c r="Z31" s="11"/>
      <c r="AA31" s="109"/>
      <c r="AC31" s="148">
        <f>IF(AC$23&lt;&gt;0,-(AC$29/ABS(AC$23))/$C$25,"NA")</f>
        <v>6.4850140253071328E-2</v>
      </c>
      <c r="AD31" s="149">
        <f t="shared" ref="AD31:AJ31" si="85">IF(AD$23&lt;&gt;0,-(AD$29/ABS(AD$23))/$C$25,"NA")</f>
        <v>0.44382562101598994</v>
      </c>
      <c r="AE31" s="149" t="str">
        <f t="shared" si="85"/>
        <v>NA</v>
      </c>
      <c r="AF31" s="149">
        <f t="shared" si="85"/>
        <v>-0.7564972801612786</v>
      </c>
      <c r="AG31" s="149">
        <f t="shared" si="85"/>
        <v>6.4850140253071328E-2</v>
      </c>
      <c r="AH31" s="149" t="str">
        <f t="shared" si="85"/>
        <v>NA</v>
      </c>
      <c r="AI31" s="149" t="str">
        <f t="shared" si="85"/>
        <v>NA</v>
      </c>
      <c r="AJ31" s="150" t="str">
        <f t="shared" si="85"/>
        <v>NA</v>
      </c>
      <c r="AK31" s="11"/>
      <c r="AL31" s="109"/>
      <c r="AN31" s="148">
        <f>IF(AN$23&lt;&gt;0,-(AN$29/ABS(AN$23))/$C$25,"NA")</f>
        <v>8.5763067448017937E-3</v>
      </c>
      <c r="AO31" s="149">
        <f t="shared" ref="AO31:AU31" si="86">IF(AO$23&lt;&gt;0,-(AO$29/ABS(AO$23))/$C$25,"NA")</f>
        <v>0.44382562101598994</v>
      </c>
      <c r="AP31" s="149" t="str">
        <f t="shared" si="86"/>
        <v>NA</v>
      </c>
      <c r="AQ31" s="149">
        <f t="shared" si="86"/>
        <v>-0.60279791573723263</v>
      </c>
      <c r="AR31" s="149">
        <f t="shared" si="86"/>
        <v>8.5763067448017937E-3</v>
      </c>
      <c r="AS31" s="149" t="str">
        <f t="shared" si="86"/>
        <v>NA</v>
      </c>
      <c r="AT31" s="149" t="str">
        <f t="shared" si="86"/>
        <v>NA</v>
      </c>
      <c r="AU31" s="150" t="str">
        <f t="shared" si="86"/>
        <v>NA</v>
      </c>
      <c r="AV31" s="11"/>
      <c r="AW31" s="109"/>
      <c r="AY31" s="148">
        <f>IF(AY$23&lt;&gt;0,-(AY$29/ABS(AY$23))/$C$25,"NA")</f>
        <v>0.68305453849308406</v>
      </c>
      <c r="AZ31" s="149">
        <f t="shared" ref="AZ31:BF31" si="87">IF(AZ$23&lt;&gt;0,-(AZ$29/ABS(AZ$23))/$C$25,"NA")</f>
        <v>0.33366602630564918</v>
      </c>
      <c r="BA31" s="149" t="str">
        <f t="shared" si="87"/>
        <v>NA</v>
      </c>
      <c r="BB31" s="149">
        <f t="shared" si="87"/>
        <v>-0.60279791573723263</v>
      </c>
      <c r="BC31" s="149">
        <f t="shared" si="87"/>
        <v>8.5763067448017937E-3</v>
      </c>
      <c r="BD31" s="149" t="str">
        <f t="shared" si="87"/>
        <v>NA</v>
      </c>
      <c r="BE31" s="149" t="str">
        <f t="shared" si="87"/>
        <v>NA</v>
      </c>
      <c r="BF31" s="150" t="str">
        <f t="shared" si="87"/>
        <v>NA</v>
      </c>
      <c r="BG31" s="11"/>
      <c r="BH31" s="109"/>
      <c r="BJ31" s="148">
        <f>IF(BJ$23&lt;&gt;0,-(BJ$29/ABS(BJ$23))/$C$25,"NA")</f>
        <v>-0.63073744899247797</v>
      </c>
      <c r="BK31" s="149">
        <f t="shared" ref="BK31:BQ31" si="88">IF(BK$23&lt;&gt;0,-(BK$29/ABS(BK$23))/$C$25,"NA")</f>
        <v>0.44382562101598994</v>
      </c>
      <c r="BL31" s="149" t="str">
        <f t="shared" si="88"/>
        <v>NA</v>
      </c>
      <c r="BM31" s="149">
        <f t="shared" si="88"/>
        <v>-0.60279791573723263</v>
      </c>
      <c r="BN31" s="149">
        <f t="shared" si="88"/>
        <v>0.63073744899247797</v>
      </c>
      <c r="BO31" s="149" t="str">
        <f t="shared" si="88"/>
        <v>NA</v>
      </c>
      <c r="BP31" s="149" t="str">
        <f t="shared" si="88"/>
        <v>NA</v>
      </c>
      <c r="BQ31" s="150" t="str">
        <f t="shared" si="88"/>
        <v>NA</v>
      </c>
      <c r="BR31" s="11"/>
      <c r="BS31" s="109"/>
      <c r="BU31" s="148">
        <f>IF(BU$23&lt;&gt;0,-(BU$29/ABS(BU$23))/$C$25,"NA")</f>
        <v>0.68305453849308406</v>
      </c>
      <c r="BV31" s="149">
        <f t="shared" ref="BV31:CB31" si="89">IF(BV$23&lt;&gt;0,-(BV$29/ABS(BV$23))/$C$25,"NA")</f>
        <v>0.35618238608969177</v>
      </c>
      <c r="BW31" s="149" t="str">
        <f t="shared" si="89"/>
        <v>NA</v>
      </c>
      <c r="BX31" s="149">
        <f t="shared" si="89"/>
        <v>-0.60279791573723263</v>
      </c>
      <c r="BY31" s="149">
        <f t="shared" si="89"/>
        <v>0.63073744899247797</v>
      </c>
      <c r="BZ31" s="149" t="str">
        <f t="shared" si="89"/>
        <v>NA</v>
      </c>
      <c r="CA31" s="149" t="str">
        <f t="shared" si="89"/>
        <v>NA</v>
      </c>
      <c r="CB31" s="150" t="str">
        <f t="shared" si="89"/>
        <v>NA</v>
      </c>
      <c r="CC31" s="11"/>
      <c r="CD31" s="109"/>
      <c r="CF31" s="148">
        <f>IF(CF$23&lt;&gt;0,-(CF$29/ABS(CF$23))/$C$25,"NA")</f>
        <v>0.68305453849308406</v>
      </c>
      <c r="CG31" s="149">
        <f t="shared" ref="CG31:CM31" si="90">IF(CG$23&lt;&gt;0,-(CG$29/ABS(CG$23))/$C$25,"NA")</f>
        <v>-0.82275734547480017</v>
      </c>
      <c r="CH31" s="149" t="str">
        <f t="shared" si="90"/>
        <v>NA</v>
      </c>
      <c r="CI31" s="149">
        <f t="shared" si="90"/>
        <v>-0.60279791573723263</v>
      </c>
      <c r="CJ31" s="149">
        <f t="shared" si="90"/>
        <v>0.63073744899247797</v>
      </c>
      <c r="CK31" s="149" t="str">
        <f t="shared" si="90"/>
        <v>NA</v>
      </c>
      <c r="CL31" s="149" t="str">
        <f t="shared" si="90"/>
        <v>NA</v>
      </c>
      <c r="CM31" s="150" t="str">
        <f t="shared" si="90"/>
        <v>NA</v>
      </c>
      <c r="CN31" s="11"/>
      <c r="CO31" s="109"/>
      <c r="CQ31" s="148">
        <f>IF(CQ$23&lt;&gt;0,-(CQ$29/ABS(CQ$23))/$C$25,"NA")</f>
        <v>0.68305453849308406</v>
      </c>
      <c r="CR31" s="149">
        <f t="shared" ref="CR31:CX31" si="91">IF(CR$23&lt;&gt;0,-(CR$29/ABS(CR$23))/$C$25,"NA")</f>
        <v>-0.6544069312954266</v>
      </c>
      <c r="CS31" s="149" t="str">
        <f t="shared" si="91"/>
        <v>NA</v>
      </c>
      <c r="CT31" s="149">
        <f t="shared" si="91"/>
        <v>-2.2253521135251737</v>
      </c>
      <c r="CU31" s="149">
        <f t="shared" si="91"/>
        <v>0.68305453849308406</v>
      </c>
      <c r="CV31" s="149" t="str">
        <f t="shared" si="91"/>
        <v>NA</v>
      </c>
      <c r="CW31" s="149" t="str">
        <f t="shared" si="91"/>
        <v>NA</v>
      </c>
      <c r="CX31" s="150" t="str">
        <f t="shared" si="91"/>
        <v>NA</v>
      </c>
      <c r="CY31" s="11"/>
      <c r="CZ31" s="109"/>
      <c r="DB31" s="148">
        <f>IF(DB$23&lt;&gt;0,-(DB$29/ABS(DB$23))/$C$25,"NA")</f>
        <v>0.91871777951258971</v>
      </c>
      <c r="DC31" s="149">
        <f t="shared" ref="DC31:DI31" si="92">IF(DC$23&lt;&gt;0,-(DC$29/ABS(DC$23))/$C$25,"NA")</f>
        <v>-0.66873073489425516</v>
      </c>
      <c r="DD31" s="149" t="str">
        <f t="shared" si="92"/>
        <v>NA</v>
      </c>
      <c r="DE31" s="149">
        <f t="shared" si="92"/>
        <v>-0.60279791573723263</v>
      </c>
      <c r="DF31" s="149">
        <f t="shared" si="92"/>
        <v>0.91871777951258971</v>
      </c>
      <c r="DG31" s="149" t="str">
        <f t="shared" si="92"/>
        <v>NA</v>
      </c>
      <c r="DH31" s="149" t="str">
        <f t="shared" si="92"/>
        <v>NA</v>
      </c>
      <c r="DI31" s="150" t="str">
        <f t="shared" si="92"/>
        <v>NA</v>
      </c>
      <c r="DJ31" s="11"/>
      <c r="DK31" s="109"/>
      <c r="DM31" s="148">
        <f>IF(DM$23&lt;&gt;0,-(DM$29/ABS(DM$23))/$C$25,"NA")</f>
        <v>0.66873073489425516</v>
      </c>
      <c r="DN31" s="149">
        <f t="shared" ref="DN31:DT31" si="93">IF(DN$23&lt;&gt;0,-(DN$29/ABS(DN$23))/$C$25,"NA")</f>
        <v>0.44382562101598994</v>
      </c>
      <c r="DO31" s="149" t="str">
        <f t="shared" si="93"/>
        <v>NA</v>
      </c>
      <c r="DP31" s="149">
        <f t="shared" si="93"/>
        <v>0.57172560591491339</v>
      </c>
      <c r="DQ31" s="149">
        <f t="shared" si="93"/>
        <v>0.66873073489425516</v>
      </c>
      <c r="DR31" s="149" t="str">
        <f t="shared" si="93"/>
        <v>NA</v>
      </c>
      <c r="DS31" s="149" t="str">
        <f t="shared" si="93"/>
        <v>NA</v>
      </c>
      <c r="DT31" s="150" t="str">
        <f t="shared" si="93"/>
        <v>NA</v>
      </c>
      <c r="DU31" s="11"/>
      <c r="DV31" s="109"/>
      <c r="DX31" s="16"/>
    </row>
    <row r="32" spans="1:157" ht="13.5" customHeight="1" thickTop="1" thickBot="1">
      <c r="C32" s="24" t="s">
        <v>529</v>
      </c>
      <c r="N32" s="24" t="s">
        <v>529</v>
      </c>
      <c r="O32" s="106"/>
      <c r="P32" s="109"/>
      <c r="R32" s="148" t="str">
        <f>IF(R$23&lt;&gt;0,-(R$33/ABS(R$23))/$C$25,"NA")</f>
        <v>NA</v>
      </c>
      <c r="S32" s="149" t="str">
        <f t="shared" ref="S32:Y32" si="94">IF(S$23&lt;&gt;0,-(S$33/ABS(S$23))/$C$25,"NA")</f>
        <v>NA</v>
      </c>
      <c r="T32" s="149" t="str">
        <f t="shared" si="94"/>
        <v>NA</v>
      </c>
      <c r="U32" s="149">
        <f t="shared" si="94"/>
        <v>5.1564886720610305E-2</v>
      </c>
      <c r="V32" s="149">
        <f t="shared" si="94"/>
        <v>-1.2715966212364616</v>
      </c>
      <c r="W32" s="149" t="str">
        <f t="shared" si="94"/>
        <v>NA</v>
      </c>
      <c r="X32" s="149" t="str">
        <f t="shared" si="94"/>
        <v>NA</v>
      </c>
      <c r="Y32" s="150" t="str">
        <f t="shared" si="94"/>
        <v>NA</v>
      </c>
      <c r="Z32" s="11"/>
      <c r="AA32" s="109"/>
      <c r="AC32" s="148">
        <f>IF(AC$23&lt;&gt;0,-(AC$33/ABS(AC$23))/$C$25,"NA")</f>
        <v>-0.90088269333747906</v>
      </c>
      <c r="AD32" s="149">
        <f t="shared" ref="AD32:AJ32" si="95">IF(AD$23&lt;&gt;0,-(AD$33/ABS(AD$23))/$C$25,"NA")</f>
        <v>1.2715966212364616</v>
      </c>
      <c r="AE32" s="149" t="str">
        <f t="shared" si="95"/>
        <v>NA</v>
      </c>
      <c r="AF32" s="149">
        <f t="shared" si="95"/>
        <v>5.1564886720610305E-2</v>
      </c>
      <c r="AG32" s="149">
        <f t="shared" si="95"/>
        <v>-0.90088269333747906</v>
      </c>
      <c r="AH32" s="149" t="str">
        <f t="shared" si="95"/>
        <v>NA</v>
      </c>
      <c r="AI32" s="149" t="str">
        <f t="shared" si="95"/>
        <v>NA</v>
      </c>
      <c r="AJ32" s="150" t="str">
        <f t="shared" si="95"/>
        <v>NA</v>
      </c>
      <c r="AK32" s="11"/>
      <c r="AL32" s="109"/>
      <c r="AN32" s="148">
        <f>IF(AN$23&lt;&gt;0,-(AN$33/ABS(AN$23))/$C$25,"NA")</f>
        <v>-0.81919469347566987</v>
      </c>
      <c r="AO32" s="149">
        <f t="shared" ref="AO32:AU32" si="96">IF(AO$23&lt;&gt;0,-(AO$33/ABS(AO$23))/$C$25,"NA")</f>
        <v>1.2715966212364616</v>
      </c>
      <c r="AP32" s="149" t="str">
        <f t="shared" si="96"/>
        <v>NA</v>
      </c>
      <c r="AQ32" s="149">
        <f t="shared" si="96"/>
        <v>0.24030217707991453</v>
      </c>
      <c r="AR32" s="149">
        <f t="shared" si="96"/>
        <v>-0.81919469347566987</v>
      </c>
      <c r="AS32" s="149" t="str">
        <f t="shared" si="96"/>
        <v>NA</v>
      </c>
      <c r="AT32" s="149" t="str">
        <f t="shared" si="96"/>
        <v>NA</v>
      </c>
      <c r="AU32" s="150" t="str">
        <f t="shared" si="96"/>
        <v>NA</v>
      </c>
      <c r="AV32" s="11"/>
      <c r="AW32" s="109"/>
      <c r="AY32" s="148">
        <f>IF(AY$23&lt;&gt;0,-(AY$33/ABS(AY$23))/$C$25,"NA")</f>
        <v>-9.2980774213608383E-2</v>
      </c>
      <c r="AZ32" s="149">
        <f t="shared" ref="AZ32:BF32" si="97">IF(AZ$23&lt;&gt;0,-(AZ$33/ABS(AZ$23))/$C$25,"NA")</f>
        <v>1.2442141265481681</v>
      </c>
      <c r="BA32" s="149" t="str">
        <f t="shared" si="97"/>
        <v>NA</v>
      </c>
      <c r="BB32" s="149">
        <f t="shared" si="97"/>
        <v>0.24030217707991453</v>
      </c>
      <c r="BC32" s="149">
        <f t="shared" si="97"/>
        <v>-0.81919469347566987</v>
      </c>
      <c r="BD32" s="149" t="str">
        <f t="shared" si="97"/>
        <v>NA</v>
      </c>
      <c r="BE32" s="149" t="str">
        <f t="shared" si="97"/>
        <v>NA</v>
      </c>
      <c r="BF32" s="150" t="str">
        <f t="shared" si="97"/>
        <v>NA</v>
      </c>
      <c r="BG32" s="11"/>
      <c r="BH32" s="109"/>
      <c r="BJ32" s="148">
        <f>IF(BJ$23&lt;&gt;0,-(BJ$33/ABS(BJ$23))/$C$25,"NA")</f>
        <v>0.24876923874177331</v>
      </c>
      <c r="BK32" s="149">
        <f t="shared" ref="BK32:BQ32" si="98">IF(BK$23&lt;&gt;0,-(BK$33/ABS(BK$23))/$C$25,"NA")</f>
        <v>1.2715966212364616</v>
      </c>
      <c r="BL32" s="149" t="str">
        <f t="shared" si="98"/>
        <v>NA</v>
      </c>
      <c r="BM32" s="149">
        <f t="shared" si="98"/>
        <v>0.24030217707991453</v>
      </c>
      <c r="BN32" s="149">
        <f t="shared" si="98"/>
        <v>-0.24876923874177331</v>
      </c>
      <c r="BO32" s="149" t="str">
        <f t="shared" si="98"/>
        <v>NA</v>
      </c>
      <c r="BP32" s="149" t="str">
        <f t="shared" si="98"/>
        <v>NA</v>
      </c>
      <c r="BQ32" s="150" t="str">
        <f t="shared" si="98"/>
        <v>NA</v>
      </c>
      <c r="BR32" s="11"/>
      <c r="BS32" s="109"/>
      <c r="BU32" s="148">
        <f>IF(BU$23&lt;&gt;0,-(BU$33/ABS(BU$23))/$C$25,"NA")</f>
        <v>-9.2980774213608383E-2</v>
      </c>
      <c r="BV32" s="149">
        <f t="shared" ref="BV32:CB32" si="99">IF(BV$23&lt;&gt;0,-(BV$33/ABS(BV$23))/$C$25,"NA")</f>
        <v>0.77006788619992761</v>
      </c>
      <c r="BW32" s="149" t="str">
        <f t="shared" si="99"/>
        <v>NA</v>
      </c>
      <c r="BX32" s="149">
        <f t="shared" si="99"/>
        <v>0.24030217707991453</v>
      </c>
      <c r="BY32" s="149">
        <f t="shared" si="99"/>
        <v>-0.24876923874177331</v>
      </c>
      <c r="BZ32" s="149" t="str">
        <f t="shared" si="99"/>
        <v>NA</v>
      </c>
      <c r="CA32" s="149" t="str">
        <f t="shared" si="99"/>
        <v>NA</v>
      </c>
      <c r="CB32" s="150" t="str">
        <f t="shared" si="99"/>
        <v>NA</v>
      </c>
      <c r="CC32" s="11"/>
      <c r="CD32" s="109"/>
      <c r="CF32" s="148">
        <f>IF(CF$23&lt;&gt;0,-(CF$33/ABS(CF$23))/$C$25,"NA")</f>
        <v>-9.2980774213608383E-2</v>
      </c>
      <c r="CG32" s="149">
        <f t="shared" ref="CG32:CM32" si="100">IF(CG$23&lt;&gt;0,-(CG$33/ABS(CG$23))/$C$25,"NA")</f>
        <v>-0.40887184536456445</v>
      </c>
      <c r="CH32" s="149" t="str">
        <f t="shared" si="100"/>
        <v>NA</v>
      </c>
      <c r="CI32" s="149">
        <f t="shared" si="100"/>
        <v>0.24030217707991453</v>
      </c>
      <c r="CJ32" s="149">
        <f t="shared" si="100"/>
        <v>-0.24876923874177331</v>
      </c>
      <c r="CK32" s="149" t="str">
        <f t="shared" si="100"/>
        <v>NA</v>
      </c>
      <c r="CL32" s="149" t="str">
        <f t="shared" si="100"/>
        <v>NA</v>
      </c>
      <c r="CM32" s="150" t="str">
        <f t="shared" si="100"/>
        <v>NA</v>
      </c>
      <c r="CN32" s="11"/>
      <c r="CO32" s="109"/>
      <c r="CQ32" s="148">
        <f>IF(CQ$23&lt;&gt;0,-(CQ$33/ABS(CQ$23))/$C$25,"NA")</f>
        <v>-9.2980774213608383E-2</v>
      </c>
      <c r="CR32" s="149">
        <f t="shared" ref="CR32:CX32" si="101">IF(CR$23&lt;&gt;0,-(CR$33/ABS(CR$23))/$C$25,"NA")</f>
        <v>0.22509975643882468</v>
      </c>
      <c r="CS32" s="149" t="str">
        <f t="shared" si="101"/>
        <v>NA</v>
      </c>
      <c r="CT32" s="149">
        <f t="shared" si="101"/>
        <v>-0.77675286313934833</v>
      </c>
      <c r="CU32" s="149">
        <f t="shared" si="101"/>
        <v>-9.2980774213608383E-2</v>
      </c>
      <c r="CV32" s="149" t="str">
        <f t="shared" si="101"/>
        <v>NA</v>
      </c>
      <c r="CW32" s="149" t="str">
        <f t="shared" si="101"/>
        <v>NA</v>
      </c>
      <c r="CX32" s="150" t="str">
        <f t="shared" si="101"/>
        <v>NA</v>
      </c>
      <c r="CY32" s="11"/>
      <c r="CZ32" s="109"/>
      <c r="DB32" s="148">
        <f>IF(DB$23&lt;&gt;0,-(DB$33/ABS(DB$23))/$C$25,"NA")</f>
        <v>9.0946779292117946E-2</v>
      </c>
      <c r="DC32" s="149">
        <f t="shared" ref="DC32:DI32" si="102">IF(DC$23&lt;&gt;0,-(DC$33/ABS(DC$23))/$C$25,"NA")</f>
        <v>0.15904026532621651</v>
      </c>
      <c r="DD32" s="149" t="str">
        <f t="shared" si="102"/>
        <v>NA</v>
      </c>
      <c r="DE32" s="149">
        <f t="shared" si="102"/>
        <v>0.24030217707991453</v>
      </c>
      <c r="DF32" s="149">
        <f t="shared" si="102"/>
        <v>9.0946779292117946E-2</v>
      </c>
      <c r="DG32" s="149" t="str">
        <f t="shared" si="102"/>
        <v>NA</v>
      </c>
      <c r="DH32" s="149" t="str">
        <f t="shared" si="102"/>
        <v>NA</v>
      </c>
      <c r="DI32" s="150" t="str">
        <f t="shared" si="102"/>
        <v>NA</v>
      </c>
      <c r="DJ32" s="11"/>
      <c r="DK32" s="109"/>
      <c r="DM32" s="148">
        <f>IF(DM$23&lt;&gt;0,-(DM$33/ABS(DM$23))/$C$25,"NA")</f>
        <v>-0.15904026532621651</v>
      </c>
      <c r="DN32" s="149">
        <f t="shared" ref="DN32:DT32" si="103">IF(DN$23&lt;&gt;0,-(DN$33/ABS(DN$23))/$C$25,"NA")</f>
        <v>1.2715966212364616</v>
      </c>
      <c r="DO32" s="149" t="str">
        <f t="shared" si="103"/>
        <v>NA</v>
      </c>
      <c r="DP32" s="149">
        <f t="shared" si="103"/>
        <v>-0.27782884167978117</v>
      </c>
      <c r="DQ32" s="149">
        <f t="shared" si="103"/>
        <v>-0.15904026532621651</v>
      </c>
      <c r="DR32" s="149" t="str">
        <f t="shared" si="103"/>
        <v>NA</v>
      </c>
      <c r="DS32" s="149" t="str">
        <f t="shared" si="103"/>
        <v>NA</v>
      </c>
      <c r="DT32" s="150" t="str">
        <f t="shared" si="103"/>
        <v>NA</v>
      </c>
      <c r="DU32" s="11"/>
      <c r="DV32" s="109"/>
      <c r="DX32" s="16"/>
    </row>
    <row r="33" spans="2:152" ht="13.5" customHeight="1" thickTop="1" thickBot="1">
      <c r="C33" s="24" t="s">
        <v>204</v>
      </c>
      <c r="N33" s="24" t="s">
        <v>204</v>
      </c>
      <c r="O33" s="106"/>
      <c r="P33" s="109"/>
      <c r="R33" s="148">
        <f t="shared" ref="R33:X33" si="104">+SUMPRODUCT($D$4:$D$23,R$4:R$23)</f>
        <v>0</v>
      </c>
      <c r="S33" s="149">
        <f t="shared" si="104"/>
        <v>0</v>
      </c>
      <c r="T33" s="149">
        <f t="shared" si="104"/>
        <v>0</v>
      </c>
      <c r="U33" s="149">
        <f t="shared" si="104"/>
        <v>-20.895999999999958</v>
      </c>
      <c r="V33" s="149">
        <f t="shared" si="104"/>
        <v>245.38</v>
      </c>
      <c r="W33" s="149">
        <f t="shared" si="104"/>
        <v>494.40200000000004</v>
      </c>
      <c r="X33" s="149">
        <f t="shared" si="104"/>
        <v>494.40200000000004</v>
      </c>
      <c r="Y33" s="150">
        <f>+SUMPRODUCT($D$4:$D$23,X$4:X$23)</f>
        <v>494.40200000000004</v>
      </c>
      <c r="Z33" s="11"/>
      <c r="AA33" s="109"/>
      <c r="AC33" s="148">
        <f t="shared" ref="AC33:AI33" si="105">+SUMPRODUCT($D$4:$D$23,AC$4:AC$23)</f>
        <v>521.53</v>
      </c>
      <c r="AD33" s="149">
        <f t="shared" si="105"/>
        <v>-490.76</v>
      </c>
      <c r="AE33" s="149">
        <f t="shared" si="105"/>
        <v>-214.61</v>
      </c>
      <c r="AF33" s="149">
        <f t="shared" si="105"/>
        <v>-20.895999999999958</v>
      </c>
      <c r="AG33" s="149">
        <f t="shared" si="105"/>
        <v>521.53</v>
      </c>
      <c r="AH33" s="149">
        <f t="shared" si="105"/>
        <v>344.17500000000001</v>
      </c>
      <c r="AI33" s="149">
        <f t="shared" si="105"/>
        <v>-535.72599999999989</v>
      </c>
      <c r="AJ33" s="150">
        <f>+SUMPRODUCT($D$4:$D$23,AI$4:AI$23)</f>
        <v>-535.72599999999989</v>
      </c>
      <c r="AK33" s="11"/>
      <c r="AL33" s="109"/>
      <c r="AN33" s="148">
        <f t="shared" ref="AN33:AT33" si="106">+SUMPRODUCT($D$4:$D$23,AN$4:AN$23)</f>
        <v>158.08000000000001</v>
      </c>
      <c r="AO33" s="149">
        <f t="shared" si="106"/>
        <v>-490.76</v>
      </c>
      <c r="AP33" s="149">
        <f t="shared" si="106"/>
        <v>-87.3</v>
      </c>
      <c r="AQ33" s="149">
        <f t="shared" si="106"/>
        <v>-125.202</v>
      </c>
      <c r="AR33" s="149">
        <f t="shared" si="106"/>
        <v>158.08000000000001</v>
      </c>
      <c r="AS33" s="149">
        <f t="shared" si="106"/>
        <v>301.61400000000003</v>
      </c>
      <c r="AT33" s="149">
        <f t="shared" si="106"/>
        <v>-27.215999999999866</v>
      </c>
      <c r="AU33" s="150">
        <f>+SUMPRODUCT($D$4:$D$23,AT$4:AT$23)</f>
        <v>-27.215999999999866</v>
      </c>
      <c r="AV33" s="11"/>
      <c r="AW33" s="109"/>
      <c r="AY33" s="148">
        <f t="shared" ref="AY33:BE33" si="107">+SUMPRODUCT($D$4:$D$23,AY$4:AY$23)</f>
        <v>71.770000000000039</v>
      </c>
      <c r="AZ33" s="149">
        <f t="shared" si="107"/>
        <v>-600.24</v>
      </c>
      <c r="BA33" s="149">
        <f t="shared" si="107"/>
        <v>-888.61400000000015</v>
      </c>
      <c r="BB33" s="149">
        <f t="shared" si="107"/>
        <v>-125.202</v>
      </c>
      <c r="BC33" s="149">
        <f t="shared" si="107"/>
        <v>158.08000000000001</v>
      </c>
      <c r="BD33" s="149">
        <f t="shared" si="107"/>
        <v>301.61400000000003</v>
      </c>
      <c r="BE33" s="149">
        <f t="shared" si="107"/>
        <v>-5622.4793333333346</v>
      </c>
      <c r="BF33" s="150">
        <f>+SUMPRODUCT($D$4:$D$23,BE$4:BE$23)</f>
        <v>-5622.4793333333346</v>
      </c>
      <c r="BG33" s="11"/>
      <c r="BH33" s="109"/>
      <c r="BJ33" s="148">
        <f t="shared" ref="BJ33:BP33" si="108">+SUMPRODUCT($D$4:$D$23,BJ$4:BJ$23)</f>
        <v>-192.01999999999998</v>
      </c>
      <c r="BK33" s="149">
        <f t="shared" si="108"/>
        <v>-490.76</v>
      </c>
      <c r="BL33" s="149">
        <f t="shared" si="108"/>
        <v>789.5</v>
      </c>
      <c r="BM33" s="149">
        <f t="shared" si="108"/>
        <v>-125.202</v>
      </c>
      <c r="BN33" s="149">
        <f t="shared" si="108"/>
        <v>192.01999999999998</v>
      </c>
      <c r="BO33" s="149">
        <f t="shared" si="108"/>
        <v>4.4114999999999611</v>
      </c>
      <c r="BP33" s="149">
        <f t="shared" si="108"/>
        <v>-9331.4259999999995</v>
      </c>
      <c r="BQ33" s="150">
        <f>+SUMPRODUCT($D$4:$D$23,BP$4:BP$23)</f>
        <v>-9331.4259999999995</v>
      </c>
      <c r="BR33" s="11"/>
      <c r="BS33" s="109"/>
      <c r="BU33" s="148">
        <f t="shared" ref="BU33:CA33" si="109">+SUMPRODUCT($D$4:$D$23,BU$4:BU$23)</f>
        <v>71.770000000000039</v>
      </c>
      <c r="BV33" s="149">
        <f t="shared" si="109"/>
        <v>-74.300000000000011</v>
      </c>
      <c r="BW33" s="149">
        <f t="shared" si="109"/>
        <v>-522.63</v>
      </c>
      <c r="BX33" s="149">
        <f t="shared" si="109"/>
        <v>-125.202</v>
      </c>
      <c r="BY33" s="149">
        <f t="shared" si="109"/>
        <v>192.01999999999998</v>
      </c>
      <c r="BZ33" s="149">
        <f t="shared" si="109"/>
        <v>4.4114999999999611</v>
      </c>
      <c r="CA33" s="149">
        <f t="shared" si="109"/>
        <v>821.02087500000005</v>
      </c>
      <c r="CB33" s="150">
        <f>+SUMPRODUCT($D$4:$D$23,CA$4:CA$23)</f>
        <v>821.02087500000005</v>
      </c>
      <c r="CC33" s="11"/>
      <c r="CD33" s="109"/>
      <c r="CF33" s="148">
        <f t="shared" ref="CF33:CL33" si="110">+SUMPRODUCT($D$4:$D$23,CF$4:CF$23)</f>
        <v>71.770000000000039</v>
      </c>
      <c r="CG33" s="149">
        <f t="shared" si="110"/>
        <v>78.900000000000006</v>
      </c>
      <c r="CH33" s="149">
        <f t="shared" si="110"/>
        <v>387.37000000000006</v>
      </c>
      <c r="CI33" s="149">
        <f t="shared" si="110"/>
        <v>-125.202</v>
      </c>
      <c r="CJ33" s="149">
        <f t="shared" si="110"/>
        <v>192.01999999999998</v>
      </c>
      <c r="CK33" s="149">
        <f t="shared" si="110"/>
        <v>4.4114999999999611</v>
      </c>
      <c r="CL33" s="149">
        <f t="shared" si="110"/>
        <v>1214.9427500000002</v>
      </c>
      <c r="CM33" s="150">
        <f>+SUMPRODUCT($D$4:$D$23,CL$4:CL$23)</f>
        <v>1214.9427500000002</v>
      </c>
      <c r="CN33" s="11"/>
      <c r="CO33" s="109"/>
      <c r="CQ33" s="148">
        <f t="shared" ref="CQ33:CW33" si="111">+SUMPRODUCT($D$4:$D$23,CQ$4:CQ$23)</f>
        <v>71.770000000000039</v>
      </c>
      <c r="CR33" s="149">
        <f t="shared" si="111"/>
        <v>-173.75</v>
      </c>
      <c r="CS33" s="149">
        <f t="shared" si="111"/>
        <v>-101.9799999999999</v>
      </c>
      <c r="CT33" s="149">
        <f t="shared" si="111"/>
        <v>14.989000000000004</v>
      </c>
      <c r="CU33" s="149">
        <f t="shared" si="111"/>
        <v>71.770000000000039</v>
      </c>
      <c r="CV33" s="149">
        <f t="shared" si="111"/>
        <v>16.783249999999995</v>
      </c>
      <c r="CW33" s="149">
        <f t="shared" si="111"/>
        <v>-806.28033333333406</v>
      </c>
      <c r="CX33" s="150">
        <f>+SUMPRODUCT($D$4:$D$23,CW$4:CW$23)</f>
        <v>-806.28033333333406</v>
      </c>
      <c r="CY33" s="11"/>
      <c r="CZ33" s="109"/>
      <c r="DB33" s="148">
        <f t="shared" ref="DB33:DH33" si="112">+SUMPRODUCT($D$4:$D$23,DB$4:DB$23)</f>
        <v>-17.55</v>
      </c>
      <c r="DC33" s="149">
        <f t="shared" si="112"/>
        <v>-122.75999999999999</v>
      </c>
      <c r="DD33" s="149">
        <f t="shared" si="112"/>
        <v>-48.239999999999995</v>
      </c>
      <c r="DE33" s="149">
        <f t="shared" si="112"/>
        <v>-125.202</v>
      </c>
      <c r="DF33" s="149">
        <f t="shared" si="112"/>
        <v>-17.55</v>
      </c>
      <c r="DG33" s="149">
        <f t="shared" si="112"/>
        <v>-172.58699999999999</v>
      </c>
      <c r="DH33" s="149">
        <f t="shared" si="112"/>
        <v>-685.53900000000021</v>
      </c>
      <c r="DI33" s="150">
        <f>+SUMPRODUCT($D$4:$D$23,DH$4:DH$23)</f>
        <v>-685.53900000000021</v>
      </c>
      <c r="DJ33" s="11"/>
      <c r="DK33" s="109"/>
      <c r="DM33" s="148">
        <f t="shared" ref="DM33:DS33" si="113">+SUMPRODUCT($D$4:$D$23,DM$4:DM$23)</f>
        <v>122.75999999999999</v>
      </c>
      <c r="DN33" s="149">
        <f t="shared" si="113"/>
        <v>-490.76</v>
      </c>
      <c r="DO33" s="149">
        <f t="shared" si="113"/>
        <v>-858.76</v>
      </c>
      <c r="DP33" s="149">
        <f t="shared" si="113"/>
        <v>101.864</v>
      </c>
      <c r="DQ33" s="149">
        <f t="shared" si="113"/>
        <v>122.75999999999999</v>
      </c>
      <c r="DR33" s="149">
        <f t="shared" si="113"/>
        <v>43.552999999999997</v>
      </c>
      <c r="DS33" s="149">
        <f t="shared" si="113"/>
        <v>-11773.597999999998</v>
      </c>
      <c r="DT33" s="150">
        <f>+SUMPRODUCT($D$4:$D$23,DS$4:DS$23)</f>
        <v>-11773.597999999998</v>
      </c>
      <c r="DU33" s="11"/>
      <c r="DV33" s="109"/>
      <c r="DX33" s="16"/>
    </row>
    <row r="34" spans="2:152" ht="13.5" customHeight="1" thickTop="1">
      <c r="B34" s="129"/>
      <c r="C34" s="41" t="s">
        <v>131</v>
      </c>
      <c r="N34" s="41" t="s">
        <v>131</v>
      </c>
      <c r="O34" s="106"/>
      <c r="P34" s="109"/>
      <c r="R34" s="156">
        <f t="shared" ref="R34:X34" si="114">+SUMPRODUCT($ED$4:$ED$23,R$4:R$23)</f>
        <v>0</v>
      </c>
      <c r="S34" s="157">
        <f t="shared" si="114"/>
        <v>0</v>
      </c>
      <c r="T34" s="157">
        <f t="shared" si="114"/>
        <v>0</v>
      </c>
      <c r="U34" s="157">
        <f t="shared" si="114"/>
        <v>0</v>
      </c>
      <c r="V34" s="157">
        <f t="shared" si="114"/>
        <v>0</v>
      </c>
      <c r="W34" s="157">
        <f t="shared" si="114"/>
        <v>0</v>
      </c>
      <c r="X34" s="157">
        <f t="shared" si="114"/>
        <v>0</v>
      </c>
      <c r="Y34" s="158">
        <f>+SUMPRODUCT($ED$4:$ED$23,X$4:X$23)</f>
        <v>0</v>
      </c>
      <c r="Z34" s="3"/>
      <c r="AA34" s="109"/>
      <c r="AC34" s="156">
        <f t="shared" ref="AC34:AI34" si="115">+SUMPRODUCT($ED$4:$ED$23,AC$4:AC$23)</f>
        <v>0</v>
      </c>
      <c r="AD34" s="157">
        <f t="shared" si="115"/>
        <v>0</v>
      </c>
      <c r="AE34" s="157">
        <f t="shared" si="115"/>
        <v>0</v>
      </c>
      <c r="AF34" s="157">
        <f t="shared" si="115"/>
        <v>0</v>
      </c>
      <c r="AG34" s="157">
        <f t="shared" si="115"/>
        <v>0</v>
      </c>
      <c r="AH34" s="157">
        <f t="shared" si="115"/>
        <v>0</v>
      </c>
      <c r="AI34" s="157">
        <f t="shared" si="115"/>
        <v>0</v>
      </c>
      <c r="AJ34" s="158">
        <f>+SUMPRODUCT($ED$4:$ED$23,AI$4:AI$23)</f>
        <v>0</v>
      </c>
      <c r="AK34" s="3"/>
      <c r="AL34" s="109"/>
      <c r="AN34" s="156">
        <f t="shared" ref="AN34:AT34" si="116">+SUMPRODUCT($ED$4:$ED$23,AN$4:AN$23)</f>
        <v>0</v>
      </c>
      <c r="AO34" s="157">
        <f t="shared" si="116"/>
        <v>0</v>
      </c>
      <c r="AP34" s="157">
        <f t="shared" si="116"/>
        <v>0</v>
      </c>
      <c r="AQ34" s="157">
        <f t="shared" si="116"/>
        <v>0</v>
      </c>
      <c r="AR34" s="157">
        <f t="shared" si="116"/>
        <v>0</v>
      </c>
      <c r="AS34" s="157">
        <f t="shared" si="116"/>
        <v>0</v>
      </c>
      <c r="AT34" s="157">
        <f t="shared" si="116"/>
        <v>0</v>
      </c>
      <c r="AU34" s="158">
        <f>+SUMPRODUCT($ED$4:$ED$23,AT$4:AT$23)</f>
        <v>0</v>
      </c>
      <c r="AV34" s="3"/>
      <c r="AW34" s="109"/>
      <c r="AY34" s="156">
        <f t="shared" ref="AY34:BE34" si="117">+SUMPRODUCT($ED$4:$ED$23,AY$4:AY$23)</f>
        <v>0</v>
      </c>
      <c r="AZ34" s="157">
        <f t="shared" si="117"/>
        <v>0</v>
      </c>
      <c r="BA34" s="157">
        <f t="shared" si="117"/>
        <v>0</v>
      </c>
      <c r="BB34" s="157">
        <f t="shared" si="117"/>
        <v>0</v>
      </c>
      <c r="BC34" s="157">
        <f t="shared" si="117"/>
        <v>0</v>
      </c>
      <c r="BD34" s="157">
        <f t="shared" si="117"/>
        <v>0</v>
      </c>
      <c r="BE34" s="157">
        <f t="shared" si="117"/>
        <v>0</v>
      </c>
      <c r="BF34" s="158">
        <f>+SUMPRODUCT($ED$4:$ED$23,BE$4:BE$23)</f>
        <v>0</v>
      </c>
      <c r="BG34" s="3"/>
      <c r="BH34" s="109"/>
      <c r="BJ34" s="156">
        <f t="shared" ref="BJ34:BP34" si="118">+SUMPRODUCT($ED$4:$ED$23,BJ$4:BJ$23)</f>
        <v>0</v>
      </c>
      <c r="BK34" s="157">
        <f t="shared" si="118"/>
        <v>0</v>
      </c>
      <c r="BL34" s="157">
        <f t="shared" si="118"/>
        <v>0</v>
      </c>
      <c r="BM34" s="157">
        <f t="shared" si="118"/>
        <v>0</v>
      </c>
      <c r="BN34" s="157">
        <f t="shared" si="118"/>
        <v>0</v>
      </c>
      <c r="BO34" s="157">
        <f t="shared" si="118"/>
        <v>0</v>
      </c>
      <c r="BP34" s="157">
        <f t="shared" si="118"/>
        <v>0</v>
      </c>
      <c r="BQ34" s="158">
        <f>+SUMPRODUCT($ED$4:$ED$23,BP$4:BP$23)</f>
        <v>0</v>
      </c>
      <c r="BR34" s="3"/>
      <c r="BS34" s="109"/>
      <c r="BU34" s="156">
        <f t="shared" ref="BU34:CA34" si="119">+SUMPRODUCT($ED$4:$ED$23,BU$4:BU$23)</f>
        <v>0</v>
      </c>
      <c r="BV34" s="157">
        <f t="shared" si="119"/>
        <v>0</v>
      </c>
      <c r="BW34" s="157">
        <f t="shared" si="119"/>
        <v>0</v>
      </c>
      <c r="BX34" s="157">
        <f t="shared" si="119"/>
        <v>0</v>
      </c>
      <c r="BY34" s="157">
        <f t="shared" si="119"/>
        <v>0</v>
      </c>
      <c r="BZ34" s="157">
        <f t="shared" si="119"/>
        <v>0</v>
      </c>
      <c r="CA34" s="157">
        <f t="shared" si="119"/>
        <v>0</v>
      </c>
      <c r="CB34" s="158">
        <f>+SUMPRODUCT($ED$4:$ED$23,CA$4:CA$23)</f>
        <v>0</v>
      </c>
      <c r="CC34" s="3"/>
      <c r="CD34" s="109"/>
      <c r="CF34" s="156">
        <f t="shared" ref="CF34:CL34" si="120">+SUMPRODUCT($ED$4:$ED$23,CF$4:CF$23)</f>
        <v>0</v>
      </c>
      <c r="CG34" s="157">
        <f t="shared" si="120"/>
        <v>0</v>
      </c>
      <c r="CH34" s="157">
        <f t="shared" si="120"/>
        <v>0</v>
      </c>
      <c r="CI34" s="157">
        <f t="shared" si="120"/>
        <v>0</v>
      </c>
      <c r="CJ34" s="157">
        <f t="shared" si="120"/>
        <v>0</v>
      </c>
      <c r="CK34" s="157">
        <f t="shared" si="120"/>
        <v>0</v>
      </c>
      <c r="CL34" s="157">
        <f t="shared" si="120"/>
        <v>0</v>
      </c>
      <c r="CM34" s="158">
        <f>+SUMPRODUCT($ED$4:$ED$23,CL$4:CL$23)</f>
        <v>0</v>
      </c>
      <c r="CN34" s="3"/>
      <c r="CO34" s="109"/>
      <c r="CQ34" s="156">
        <f t="shared" ref="CQ34:CW34" si="121">+SUMPRODUCT($ED$4:$ED$23,CQ$4:CQ$23)</f>
        <v>0</v>
      </c>
      <c r="CR34" s="157">
        <f t="shared" si="121"/>
        <v>0</v>
      </c>
      <c r="CS34" s="157">
        <f t="shared" si="121"/>
        <v>0</v>
      </c>
      <c r="CT34" s="157">
        <f t="shared" si="121"/>
        <v>0</v>
      </c>
      <c r="CU34" s="157">
        <f t="shared" si="121"/>
        <v>0</v>
      </c>
      <c r="CV34" s="157">
        <f t="shared" si="121"/>
        <v>0</v>
      </c>
      <c r="CW34" s="157">
        <f t="shared" si="121"/>
        <v>3.5527136788005009E-15</v>
      </c>
      <c r="CX34" s="158">
        <f>+SUMPRODUCT($ED$4:$ED$23,CW$4:CW$23)</f>
        <v>3.5527136788005009E-15</v>
      </c>
      <c r="CY34" s="3"/>
      <c r="CZ34" s="109"/>
      <c r="DB34" s="156">
        <f t="shared" ref="DB34:DH34" si="122">+SUMPRODUCT($ED$4:$ED$23,DB$4:DB$23)</f>
        <v>0</v>
      </c>
      <c r="DC34" s="157">
        <f t="shared" si="122"/>
        <v>0</v>
      </c>
      <c r="DD34" s="157">
        <f t="shared" si="122"/>
        <v>0</v>
      </c>
      <c r="DE34" s="157">
        <f t="shared" si="122"/>
        <v>0</v>
      </c>
      <c r="DF34" s="157">
        <f t="shared" si="122"/>
        <v>0</v>
      </c>
      <c r="DG34" s="157">
        <f t="shared" si="122"/>
        <v>0</v>
      </c>
      <c r="DH34" s="157">
        <f t="shared" si="122"/>
        <v>0</v>
      </c>
      <c r="DI34" s="158">
        <f>+SUMPRODUCT($ED$4:$ED$23,DH$4:DH$23)</f>
        <v>0</v>
      </c>
      <c r="DJ34" s="3"/>
      <c r="DK34" s="109"/>
      <c r="DM34" s="156">
        <f t="shared" ref="DM34:DS34" si="123">+SUMPRODUCT($ED$4:$ED$23,DM$4:DM$23)</f>
        <v>0</v>
      </c>
      <c r="DN34" s="157">
        <f t="shared" si="123"/>
        <v>0</v>
      </c>
      <c r="DO34" s="157">
        <f t="shared" si="123"/>
        <v>0</v>
      </c>
      <c r="DP34" s="157">
        <f t="shared" si="123"/>
        <v>0</v>
      </c>
      <c r="DQ34" s="157">
        <f t="shared" si="123"/>
        <v>0</v>
      </c>
      <c r="DR34" s="157">
        <f t="shared" si="123"/>
        <v>0</v>
      </c>
      <c r="DS34" s="157">
        <f t="shared" si="123"/>
        <v>0</v>
      </c>
      <c r="DT34" s="158">
        <f>+SUMPRODUCT($ED$4:$ED$23,DS$4:DS$23)</f>
        <v>0</v>
      </c>
      <c r="DU34" s="3"/>
      <c r="DV34" s="109"/>
    </row>
    <row r="35" spans="2:152" ht="13.5" customHeight="1">
      <c r="B35" s="129"/>
      <c r="C35" s="41" t="s">
        <v>133</v>
      </c>
      <c r="N35" s="41" t="s">
        <v>133</v>
      </c>
      <c r="O35" s="106"/>
      <c r="P35" s="109"/>
      <c r="R35" s="159">
        <f t="shared" ref="R35:X35" si="124">+SUMPRODUCT($EE$4:$EE$23,R$4:R$23)</f>
        <v>0</v>
      </c>
      <c r="S35" s="160">
        <f t="shared" si="124"/>
        <v>0</v>
      </c>
      <c r="T35" s="160">
        <f t="shared" si="124"/>
        <v>0</v>
      </c>
      <c r="U35" s="160">
        <f t="shared" si="124"/>
        <v>2.2204460492503131E-16</v>
      </c>
      <c r="V35" s="160">
        <f t="shared" si="124"/>
        <v>0</v>
      </c>
      <c r="W35" s="160">
        <f t="shared" si="124"/>
        <v>2.2204460492503131E-16</v>
      </c>
      <c r="X35" s="160">
        <f t="shared" si="124"/>
        <v>2.2204460492503131E-16</v>
      </c>
      <c r="Y35" s="161">
        <f>+SUMPRODUCT($EE$4:$EE$23,X$4:X$23)</f>
        <v>2.2204460492503131E-16</v>
      </c>
      <c r="Z35" s="3"/>
      <c r="AA35" s="109"/>
      <c r="AC35" s="159">
        <f t="shared" ref="AC35:AI35" si="125">+SUMPRODUCT($EE$4:$EE$23,AC$4:AC$23)</f>
        <v>0</v>
      </c>
      <c r="AD35" s="160">
        <f t="shared" si="125"/>
        <v>0</v>
      </c>
      <c r="AE35" s="160">
        <f t="shared" si="125"/>
        <v>0</v>
      </c>
      <c r="AF35" s="160">
        <f t="shared" si="125"/>
        <v>2.2204460492503131E-16</v>
      </c>
      <c r="AG35" s="160">
        <f t="shared" si="125"/>
        <v>0</v>
      </c>
      <c r="AH35" s="160">
        <f t="shared" si="125"/>
        <v>-2.2204460492503131E-16</v>
      </c>
      <c r="AI35" s="160">
        <f t="shared" si="125"/>
        <v>-6.6613381477509392E-16</v>
      </c>
      <c r="AJ35" s="161">
        <f>+SUMPRODUCT($EE$4:$EE$23,AI$4:AI$23)</f>
        <v>-6.6613381477509392E-16</v>
      </c>
      <c r="AK35" s="3"/>
      <c r="AL35" s="109"/>
      <c r="AN35" s="159">
        <f t="shared" ref="AN35:AT35" si="126">+SUMPRODUCT($EE$4:$EE$23,AN$4:AN$23)</f>
        <v>0</v>
      </c>
      <c r="AO35" s="160">
        <f t="shared" si="126"/>
        <v>0</v>
      </c>
      <c r="AP35" s="160">
        <f t="shared" si="126"/>
        <v>0</v>
      </c>
      <c r="AQ35" s="160">
        <f t="shared" si="126"/>
        <v>2.2204460492503131E-16</v>
      </c>
      <c r="AR35" s="160">
        <f t="shared" si="126"/>
        <v>0</v>
      </c>
      <c r="AS35" s="160">
        <f t="shared" si="126"/>
        <v>2.2204460492503131E-16</v>
      </c>
      <c r="AT35" s="160">
        <f t="shared" si="126"/>
        <v>2.2204460492503131E-16</v>
      </c>
      <c r="AU35" s="161">
        <f>+SUMPRODUCT($EE$4:$EE$23,AT$4:AT$23)</f>
        <v>2.2204460492503131E-16</v>
      </c>
      <c r="AV35" s="3"/>
      <c r="AW35" s="109"/>
      <c r="AY35" s="159">
        <f t="shared" ref="AY35:BE35" si="127">+SUMPRODUCT($EE$4:$EE$23,AY$4:AY$23)</f>
        <v>0</v>
      </c>
      <c r="AZ35" s="160">
        <f t="shared" si="127"/>
        <v>0</v>
      </c>
      <c r="BA35" s="160">
        <f t="shared" si="127"/>
        <v>0</v>
      </c>
      <c r="BB35" s="160">
        <f t="shared" si="127"/>
        <v>2.2204460492503131E-16</v>
      </c>
      <c r="BC35" s="160">
        <f t="shared" si="127"/>
        <v>0</v>
      </c>
      <c r="BD35" s="160">
        <f t="shared" si="127"/>
        <v>2.2204460492503131E-16</v>
      </c>
      <c r="BE35" s="160">
        <f t="shared" si="127"/>
        <v>-6.6613381477509392E-16</v>
      </c>
      <c r="BF35" s="161">
        <f>+SUMPRODUCT($EE$4:$EE$23,BE$4:BE$23)</f>
        <v>-6.6613381477509392E-16</v>
      </c>
      <c r="BG35" s="3"/>
      <c r="BH35" s="109"/>
      <c r="BJ35" s="159">
        <f t="shared" ref="BJ35:BP35" si="128">+SUMPRODUCT($EE$4:$EE$23,BJ$4:BJ$23)</f>
        <v>0</v>
      </c>
      <c r="BK35" s="160">
        <f t="shared" si="128"/>
        <v>0</v>
      </c>
      <c r="BL35" s="160">
        <f t="shared" si="128"/>
        <v>0</v>
      </c>
      <c r="BM35" s="160">
        <f t="shared" si="128"/>
        <v>2.2204460492503131E-16</v>
      </c>
      <c r="BN35" s="160">
        <f t="shared" si="128"/>
        <v>0</v>
      </c>
      <c r="BO35" s="160">
        <f t="shared" si="128"/>
        <v>2.2204460492503131E-16</v>
      </c>
      <c r="BP35" s="160">
        <f t="shared" si="128"/>
        <v>-6.6613381477509392E-16</v>
      </c>
      <c r="BQ35" s="161">
        <f>+SUMPRODUCT($EE$4:$EE$23,BP$4:BP$23)</f>
        <v>-6.6613381477509392E-16</v>
      </c>
      <c r="BR35" s="3"/>
      <c r="BS35" s="109"/>
      <c r="BU35" s="159">
        <f t="shared" ref="BU35:CA35" si="129">+SUMPRODUCT($EE$4:$EE$23,BU$4:BU$23)</f>
        <v>0</v>
      </c>
      <c r="BV35" s="160">
        <f t="shared" si="129"/>
        <v>0</v>
      </c>
      <c r="BW35" s="160">
        <f t="shared" si="129"/>
        <v>0</v>
      </c>
      <c r="BX35" s="160">
        <f t="shared" si="129"/>
        <v>2.2204460492503131E-16</v>
      </c>
      <c r="BY35" s="160">
        <f t="shared" si="129"/>
        <v>0</v>
      </c>
      <c r="BZ35" s="160">
        <f t="shared" si="129"/>
        <v>2.2204460492503131E-16</v>
      </c>
      <c r="CA35" s="160">
        <f t="shared" si="129"/>
        <v>1.1102230246251565E-15</v>
      </c>
      <c r="CB35" s="161">
        <f>+SUMPRODUCT($EE$4:$EE$23,CA$4:CA$23)</f>
        <v>1.1102230246251565E-15</v>
      </c>
      <c r="CC35" s="3"/>
      <c r="CD35" s="109"/>
      <c r="CF35" s="159">
        <f t="shared" ref="CF35:CL35" si="130">+SUMPRODUCT($EE$4:$EE$23,CF$4:CF$23)</f>
        <v>0</v>
      </c>
      <c r="CG35" s="160">
        <f t="shared" si="130"/>
        <v>0</v>
      </c>
      <c r="CH35" s="160">
        <f t="shared" si="130"/>
        <v>0</v>
      </c>
      <c r="CI35" s="160">
        <f t="shared" si="130"/>
        <v>2.2204460492503131E-16</v>
      </c>
      <c r="CJ35" s="160">
        <f t="shared" si="130"/>
        <v>0</v>
      </c>
      <c r="CK35" s="160">
        <f t="shared" si="130"/>
        <v>2.2204460492503131E-16</v>
      </c>
      <c r="CL35" s="160">
        <f t="shared" si="130"/>
        <v>-6.6613381477509392E-16</v>
      </c>
      <c r="CM35" s="161">
        <f>+SUMPRODUCT($EE$4:$EE$23,CL$4:CL$23)</f>
        <v>-6.6613381477509392E-16</v>
      </c>
      <c r="CN35" s="3"/>
      <c r="CO35" s="109"/>
      <c r="CQ35" s="159">
        <f t="shared" ref="CQ35:CW35" si="131">+SUMPRODUCT($EE$4:$EE$23,CQ$4:CQ$23)</f>
        <v>0</v>
      </c>
      <c r="CR35" s="160">
        <f t="shared" si="131"/>
        <v>0</v>
      </c>
      <c r="CS35" s="160">
        <f t="shared" si="131"/>
        <v>0</v>
      </c>
      <c r="CT35" s="160">
        <f t="shared" si="131"/>
        <v>2.2204460492503131E-16</v>
      </c>
      <c r="CU35" s="160">
        <f t="shared" si="131"/>
        <v>0</v>
      </c>
      <c r="CV35" s="160">
        <f t="shared" si="131"/>
        <v>0</v>
      </c>
      <c r="CW35" s="160">
        <f t="shared" si="131"/>
        <v>8.2156503822261584E-15</v>
      </c>
      <c r="CX35" s="161">
        <f>+SUMPRODUCT($EE$4:$EE$23,CW$4:CW$23)</f>
        <v>8.2156503822261584E-15</v>
      </c>
      <c r="CY35" s="3"/>
      <c r="CZ35" s="109"/>
      <c r="DB35" s="159">
        <f t="shared" ref="DB35:DH35" si="132">+SUMPRODUCT($EE$4:$EE$23,DB$4:DB$23)</f>
        <v>0</v>
      </c>
      <c r="DC35" s="160">
        <f t="shared" si="132"/>
        <v>0</v>
      </c>
      <c r="DD35" s="160">
        <f t="shared" si="132"/>
        <v>0</v>
      </c>
      <c r="DE35" s="160">
        <f t="shared" si="132"/>
        <v>2.2204460492503131E-16</v>
      </c>
      <c r="DF35" s="160">
        <f t="shared" si="132"/>
        <v>0</v>
      </c>
      <c r="DG35" s="160">
        <f t="shared" si="132"/>
        <v>2.2204460492503131E-16</v>
      </c>
      <c r="DH35" s="160">
        <f t="shared" si="132"/>
        <v>2.886579864025407E-15</v>
      </c>
      <c r="DI35" s="161">
        <f>+SUMPRODUCT($EE$4:$EE$23,DH$4:DH$23)</f>
        <v>2.886579864025407E-15</v>
      </c>
      <c r="DJ35" s="3"/>
      <c r="DK35" s="109"/>
      <c r="DM35" s="159">
        <f t="shared" ref="DM35:DS35" si="133">+SUMPRODUCT($EE$4:$EE$23,DM$4:DM$23)</f>
        <v>0</v>
      </c>
      <c r="DN35" s="160">
        <f t="shared" si="133"/>
        <v>0</v>
      </c>
      <c r="DO35" s="160">
        <f t="shared" si="133"/>
        <v>0</v>
      </c>
      <c r="DP35" s="160">
        <f t="shared" si="133"/>
        <v>2.2204460492503131E-16</v>
      </c>
      <c r="DQ35" s="160">
        <f t="shared" si="133"/>
        <v>0</v>
      </c>
      <c r="DR35" s="160">
        <f t="shared" si="133"/>
        <v>-2.2204460492503131E-16</v>
      </c>
      <c r="DS35" s="160">
        <f t="shared" si="133"/>
        <v>2.2204460492503131E-16</v>
      </c>
      <c r="DT35" s="161">
        <f>+SUMPRODUCT($EE$4:$EE$23,DS$4:DS$23)</f>
        <v>2.2204460492503131E-16</v>
      </c>
      <c r="DU35" s="3"/>
      <c r="DV35" s="109"/>
      <c r="EB35" s="1"/>
      <c r="EC35" s="1"/>
      <c r="ED35" s="1"/>
      <c r="EE35" s="1"/>
    </row>
    <row r="36" spans="2:152" ht="13.5" customHeight="1">
      <c r="B36" s="129"/>
      <c r="C36" s="41" t="s">
        <v>135</v>
      </c>
      <c r="N36" s="41" t="s">
        <v>135</v>
      </c>
      <c r="O36" s="106"/>
      <c r="P36" s="109"/>
      <c r="R36" s="159">
        <f t="shared" ref="R36:X36" si="134">+SUMPRODUCT($EF$4:$EF$23,R$4:R$23)</f>
        <v>0</v>
      </c>
      <c r="S36" s="160">
        <f t="shared" si="134"/>
        <v>0</v>
      </c>
      <c r="T36" s="160">
        <f t="shared" si="134"/>
        <v>0</v>
      </c>
      <c r="U36" s="160">
        <f t="shared" si="134"/>
        <v>0</v>
      </c>
      <c r="V36" s="160">
        <f t="shared" si="134"/>
        <v>0</v>
      </c>
      <c r="W36" s="160">
        <f t="shared" si="134"/>
        <v>0</v>
      </c>
      <c r="X36" s="160">
        <f t="shared" si="134"/>
        <v>0</v>
      </c>
      <c r="Y36" s="161">
        <f>+SUMPRODUCT($EF$4:$EF$23,X$4:X$23)</f>
        <v>0</v>
      </c>
      <c r="Z36" s="3"/>
      <c r="AA36" s="109"/>
      <c r="AC36" s="159">
        <f t="shared" ref="AC36:AI36" si="135">+SUMPRODUCT($EF$4:$EF$23,AC$4:AC$23)</f>
        <v>0</v>
      </c>
      <c r="AD36" s="160">
        <f t="shared" si="135"/>
        <v>0</v>
      </c>
      <c r="AE36" s="160">
        <f t="shared" si="135"/>
        <v>0</v>
      </c>
      <c r="AF36" s="160">
        <f t="shared" si="135"/>
        <v>0</v>
      </c>
      <c r="AG36" s="160">
        <f t="shared" si="135"/>
        <v>0</v>
      </c>
      <c r="AH36" s="160">
        <f t="shared" si="135"/>
        <v>0</v>
      </c>
      <c r="AI36" s="160">
        <f t="shared" si="135"/>
        <v>0</v>
      </c>
      <c r="AJ36" s="161">
        <f>+SUMPRODUCT($EF$4:$EF$23,AI$4:AI$23)</f>
        <v>0</v>
      </c>
      <c r="AK36" s="3"/>
      <c r="AL36" s="109"/>
      <c r="AN36" s="159">
        <f t="shared" ref="AN36:AT36" si="136">+SUMPRODUCT($EF$4:$EF$23,AN$4:AN$23)</f>
        <v>0</v>
      </c>
      <c r="AO36" s="160">
        <f t="shared" si="136"/>
        <v>0</v>
      </c>
      <c r="AP36" s="160">
        <f t="shared" si="136"/>
        <v>0</v>
      </c>
      <c r="AQ36" s="160">
        <f t="shared" si="136"/>
        <v>0</v>
      </c>
      <c r="AR36" s="160">
        <f t="shared" si="136"/>
        <v>0</v>
      </c>
      <c r="AS36" s="160">
        <f t="shared" si="136"/>
        <v>4.4408920985006262E-16</v>
      </c>
      <c r="AT36" s="160">
        <f t="shared" si="136"/>
        <v>-2.2204460492503131E-15</v>
      </c>
      <c r="AU36" s="161">
        <f>+SUMPRODUCT($EF$4:$EF$23,AT$4:AT$23)</f>
        <v>-2.2204460492503131E-15</v>
      </c>
      <c r="AV36" s="3"/>
      <c r="AW36" s="109"/>
      <c r="AY36" s="159">
        <f t="shared" ref="AY36:BE36" si="137">+SUMPRODUCT($EF$4:$EF$23,AY$4:AY$23)</f>
        <v>0</v>
      </c>
      <c r="AZ36" s="160">
        <f t="shared" si="137"/>
        <v>0</v>
      </c>
      <c r="BA36" s="160">
        <f t="shared" si="137"/>
        <v>0</v>
      </c>
      <c r="BB36" s="160">
        <f t="shared" si="137"/>
        <v>0</v>
      </c>
      <c r="BC36" s="160">
        <f t="shared" si="137"/>
        <v>0</v>
      </c>
      <c r="BD36" s="160">
        <f t="shared" si="137"/>
        <v>4.4408920985006262E-16</v>
      </c>
      <c r="BE36" s="160">
        <f t="shared" si="137"/>
        <v>3.5527136788005009E-15</v>
      </c>
      <c r="BF36" s="161">
        <f>+SUMPRODUCT($EF$4:$EF$23,BE$4:BE$23)</f>
        <v>3.5527136788005009E-15</v>
      </c>
      <c r="BG36" s="3"/>
      <c r="BH36" s="109"/>
      <c r="BJ36" s="159">
        <f t="shared" ref="BJ36:BP36" si="138">+SUMPRODUCT($EF$4:$EF$23,BJ$4:BJ$23)</f>
        <v>0</v>
      </c>
      <c r="BK36" s="160">
        <f t="shared" si="138"/>
        <v>0</v>
      </c>
      <c r="BL36" s="160">
        <f t="shared" si="138"/>
        <v>0</v>
      </c>
      <c r="BM36" s="160">
        <f t="shared" si="138"/>
        <v>0</v>
      </c>
      <c r="BN36" s="160">
        <f t="shared" si="138"/>
        <v>0</v>
      </c>
      <c r="BO36" s="160">
        <f t="shared" si="138"/>
        <v>0</v>
      </c>
      <c r="BP36" s="160">
        <f t="shared" si="138"/>
        <v>3.9968028886505635E-15</v>
      </c>
      <c r="BQ36" s="161">
        <f>+SUMPRODUCT($EF$4:$EF$23,BP$4:BP$23)</f>
        <v>3.9968028886505635E-15</v>
      </c>
      <c r="BR36" s="3"/>
      <c r="BS36" s="109"/>
      <c r="BU36" s="159">
        <f t="shared" ref="BU36:CA36" si="139">+SUMPRODUCT($EF$4:$EF$23,BU$4:BU$23)</f>
        <v>0</v>
      </c>
      <c r="BV36" s="160">
        <f t="shared" si="139"/>
        <v>0</v>
      </c>
      <c r="BW36" s="160">
        <f t="shared" si="139"/>
        <v>0</v>
      </c>
      <c r="BX36" s="160">
        <f t="shared" si="139"/>
        <v>0</v>
      </c>
      <c r="BY36" s="160">
        <f t="shared" si="139"/>
        <v>0</v>
      </c>
      <c r="BZ36" s="160">
        <f t="shared" si="139"/>
        <v>0</v>
      </c>
      <c r="CA36" s="160">
        <f t="shared" si="139"/>
        <v>-4.4408920985006262E-16</v>
      </c>
      <c r="CB36" s="161">
        <f>+SUMPRODUCT($EF$4:$EF$23,CA$4:CA$23)</f>
        <v>-4.4408920985006262E-16</v>
      </c>
      <c r="CC36" s="3"/>
      <c r="CD36" s="109"/>
      <c r="CF36" s="159">
        <f t="shared" ref="CF36:CL36" si="140">+SUMPRODUCT($EF$4:$EF$23,CF$4:CF$23)</f>
        <v>0</v>
      </c>
      <c r="CG36" s="160">
        <f t="shared" si="140"/>
        <v>0</v>
      </c>
      <c r="CH36" s="160">
        <f t="shared" si="140"/>
        <v>0</v>
      </c>
      <c r="CI36" s="160">
        <f t="shared" si="140"/>
        <v>0</v>
      </c>
      <c r="CJ36" s="160">
        <f t="shared" si="140"/>
        <v>0</v>
      </c>
      <c r="CK36" s="160">
        <f t="shared" si="140"/>
        <v>0</v>
      </c>
      <c r="CL36" s="160">
        <f t="shared" si="140"/>
        <v>0</v>
      </c>
      <c r="CM36" s="161">
        <f>+SUMPRODUCT($EF$4:$EF$23,CL$4:CL$23)</f>
        <v>0</v>
      </c>
      <c r="CN36" s="3"/>
      <c r="CO36" s="109"/>
      <c r="CQ36" s="159">
        <f t="shared" ref="CQ36:CW36" si="141">+SUMPRODUCT($EF$4:$EF$23,CQ$4:CQ$23)</f>
        <v>0</v>
      </c>
      <c r="CR36" s="160">
        <f t="shared" si="141"/>
        <v>0</v>
      </c>
      <c r="CS36" s="160">
        <f t="shared" si="141"/>
        <v>0</v>
      </c>
      <c r="CT36" s="160">
        <f t="shared" si="141"/>
        <v>0</v>
      </c>
      <c r="CU36" s="160">
        <f t="shared" si="141"/>
        <v>0</v>
      </c>
      <c r="CV36" s="160">
        <f t="shared" si="141"/>
        <v>0</v>
      </c>
      <c r="CW36" s="160">
        <f t="shared" si="141"/>
        <v>4.2743586448068527E-15</v>
      </c>
      <c r="CX36" s="161">
        <f>+SUMPRODUCT($EF$4:$EF$23,CW$4:CW$23)</f>
        <v>4.2743586448068527E-15</v>
      </c>
      <c r="CY36" s="3"/>
      <c r="CZ36" s="109"/>
      <c r="DB36" s="159">
        <f t="shared" ref="DB36:DH36" si="142">+SUMPRODUCT($EF$4:$EF$23,DB$4:DB$23)</f>
        <v>0</v>
      </c>
      <c r="DC36" s="160">
        <f t="shared" si="142"/>
        <v>0</v>
      </c>
      <c r="DD36" s="160">
        <f t="shared" si="142"/>
        <v>0</v>
      </c>
      <c r="DE36" s="160">
        <f t="shared" si="142"/>
        <v>0</v>
      </c>
      <c r="DF36" s="160">
        <f t="shared" si="142"/>
        <v>0</v>
      </c>
      <c r="DG36" s="160">
        <f t="shared" si="142"/>
        <v>0</v>
      </c>
      <c r="DH36" s="160">
        <f t="shared" si="142"/>
        <v>0</v>
      </c>
      <c r="DI36" s="161">
        <f>+SUMPRODUCT($EF$4:$EF$23,DH$4:DH$23)</f>
        <v>0</v>
      </c>
      <c r="DJ36" s="3"/>
      <c r="DK36" s="109"/>
      <c r="DM36" s="159">
        <f t="shared" ref="DM36:DS36" si="143">+SUMPRODUCT($EF$4:$EF$23,DM$4:DM$23)</f>
        <v>0</v>
      </c>
      <c r="DN36" s="160">
        <f t="shared" si="143"/>
        <v>0</v>
      </c>
      <c r="DO36" s="160">
        <f t="shared" si="143"/>
        <v>0</v>
      </c>
      <c r="DP36" s="160">
        <f t="shared" si="143"/>
        <v>0</v>
      </c>
      <c r="DQ36" s="160">
        <f t="shared" si="143"/>
        <v>0</v>
      </c>
      <c r="DR36" s="160">
        <f t="shared" si="143"/>
        <v>0</v>
      </c>
      <c r="DS36" s="160">
        <f t="shared" si="143"/>
        <v>0</v>
      </c>
      <c r="DT36" s="161">
        <f>+SUMPRODUCT($EF$4:$EF$23,DS$4:DS$23)</f>
        <v>0</v>
      </c>
      <c r="DU36" s="3"/>
      <c r="DV36" s="109"/>
    </row>
    <row r="37" spans="2:152" ht="13.5" customHeight="1">
      <c r="C37" s="41" t="s">
        <v>137</v>
      </c>
      <c r="N37" s="41" t="s">
        <v>137</v>
      </c>
      <c r="O37" s="106"/>
      <c r="P37" s="109"/>
      <c r="R37" s="159">
        <f t="shared" ref="R37:X37" si="144">+SUMPRODUCT($EG$4:$EG$23,R$4:R$23)</f>
        <v>0</v>
      </c>
      <c r="S37" s="160">
        <f t="shared" si="144"/>
        <v>0</v>
      </c>
      <c r="T37" s="160">
        <f t="shared" si="144"/>
        <v>0</v>
      </c>
      <c r="U37" s="160">
        <f t="shared" si="144"/>
        <v>0</v>
      </c>
      <c r="V37" s="160">
        <f t="shared" si="144"/>
        <v>0</v>
      </c>
      <c r="W37" s="160">
        <f t="shared" si="144"/>
        <v>0</v>
      </c>
      <c r="X37" s="160">
        <f t="shared" si="144"/>
        <v>0</v>
      </c>
      <c r="Y37" s="161">
        <f>+SUMPRODUCT($EG$4:$EG$23,X$4:X$23)</f>
        <v>0</v>
      </c>
      <c r="Z37" s="3"/>
      <c r="AA37" s="109"/>
      <c r="AC37" s="159">
        <f t="shared" ref="AC37:AI37" si="145">+SUMPRODUCT($EG$4:$EG$23,AC$4:AC$23)</f>
        <v>0</v>
      </c>
      <c r="AD37" s="160">
        <f t="shared" si="145"/>
        <v>0</v>
      </c>
      <c r="AE37" s="160">
        <f t="shared" si="145"/>
        <v>0</v>
      </c>
      <c r="AF37" s="160">
        <f t="shared" si="145"/>
        <v>0</v>
      </c>
      <c r="AG37" s="160">
        <f t="shared" si="145"/>
        <v>0</v>
      </c>
      <c r="AH37" s="160">
        <f t="shared" si="145"/>
        <v>-5.5511151231257827E-17</v>
      </c>
      <c r="AI37" s="160">
        <f t="shared" si="145"/>
        <v>-1.6653345369377348E-16</v>
      </c>
      <c r="AJ37" s="161">
        <f>+SUMPRODUCT($EG$4:$EG$23,AI$4:AI$23)</f>
        <v>-1.6653345369377348E-16</v>
      </c>
      <c r="AK37" s="3"/>
      <c r="AL37" s="109"/>
      <c r="AN37" s="159">
        <f t="shared" ref="AN37:AT37" si="146">+SUMPRODUCT($EG$4:$EG$23,AN$4:AN$23)</f>
        <v>0</v>
      </c>
      <c r="AO37" s="160">
        <f t="shared" si="146"/>
        <v>0</v>
      </c>
      <c r="AP37" s="160">
        <f t="shared" si="146"/>
        <v>0</v>
      </c>
      <c r="AQ37" s="160">
        <f t="shared" si="146"/>
        <v>0</v>
      </c>
      <c r="AR37" s="160">
        <f t="shared" si="146"/>
        <v>0</v>
      </c>
      <c r="AS37" s="160">
        <f t="shared" si="146"/>
        <v>-1.6653345369377348E-16</v>
      </c>
      <c r="AT37" s="160">
        <f t="shared" si="146"/>
        <v>-1.6653345369377348E-16</v>
      </c>
      <c r="AU37" s="161">
        <f>+SUMPRODUCT($EG$4:$EG$23,AT$4:AT$23)</f>
        <v>-1.6653345369377348E-16</v>
      </c>
      <c r="AV37" s="3"/>
      <c r="AW37" s="109"/>
      <c r="AY37" s="159">
        <f t="shared" ref="AY37:BE37" si="147">+SUMPRODUCT($EG$4:$EG$23,AY$4:AY$23)</f>
        <v>0</v>
      </c>
      <c r="AZ37" s="160">
        <f t="shared" si="147"/>
        <v>0</v>
      </c>
      <c r="BA37" s="160">
        <f t="shared" si="147"/>
        <v>0</v>
      </c>
      <c r="BB37" s="160">
        <f t="shared" si="147"/>
        <v>0</v>
      </c>
      <c r="BC37" s="160">
        <f t="shared" si="147"/>
        <v>0</v>
      </c>
      <c r="BD37" s="160">
        <f t="shared" si="147"/>
        <v>-1.6653345369377348E-16</v>
      </c>
      <c r="BE37" s="160">
        <f t="shared" si="147"/>
        <v>7.2164496600635175E-16</v>
      </c>
      <c r="BF37" s="161">
        <f>+SUMPRODUCT($EG$4:$EG$23,BE$4:BE$23)</f>
        <v>7.2164496600635175E-16</v>
      </c>
      <c r="BG37" s="3"/>
      <c r="BH37" s="109"/>
      <c r="BJ37" s="159">
        <f t="shared" ref="BJ37:BP37" si="148">+SUMPRODUCT($EG$4:$EG$23,BJ$4:BJ$23)</f>
        <v>0</v>
      </c>
      <c r="BK37" s="160">
        <f t="shared" si="148"/>
        <v>0</v>
      </c>
      <c r="BL37" s="160">
        <f t="shared" si="148"/>
        <v>0</v>
      </c>
      <c r="BM37" s="160">
        <f t="shared" si="148"/>
        <v>0</v>
      </c>
      <c r="BN37" s="160">
        <f t="shared" si="148"/>
        <v>0</v>
      </c>
      <c r="BO37" s="160">
        <f t="shared" si="148"/>
        <v>0</v>
      </c>
      <c r="BP37" s="160">
        <f t="shared" si="148"/>
        <v>0</v>
      </c>
      <c r="BQ37" s="161">
        <f>+SUMPRODUCT($EG$4:$EG$23,BP$4:BP$23)</f>
        <v>0</v>
      </c>
      <c r="BR37" s="3"/>
      <c r="BS37" s="109"/>
      <c r="BU37" s="159">
        <f t="shared" ref="BU37:CA37" si="149">+SUMPRODUCT($EG$4:$EG$23,BU$4:BU$23)</f>
        <v>0</v>
      </c>
      <c r="BV37" s="160">
        <f t="shared" si="149"/>
        <v>0</v>
      </c>
      <c r="BW37" s="160">
        <f t="shared" si="149"/>
        <v>0</v>
      </c>
      <c r="BX37" s="160">
        <f t="shared" si="149"/>
        <v>0</v>
      </c>
      <c r="BY37" s="160">
        <f t="shared" si="149"/>
        <v>0</v>
      </c>
      <c r="BZ37" s="160">
        <f t="shared" si="149"/>
        <v>0</v>
      </c>
      <c r="CA37" s="160">
        <f t="shared" si="149"/>
        <v>0</v>
      </c>
      <c r="CB37" s="161">
        <f>+SUMPRODUCT($EG$4:$EG$23,CA$4:CA$23)</f>
        <v>0</v>
      </c>
      <c r="CC37" s="3"/>
      <c r="CD37" s="109"/>
      <c r="CF37" s="159">
        <f t="shared" ref="CF37:CL37" si="150">+SUMPRODUCT($EG$4:$EG$23,CF$4:CF$23)</f>
        <v>0</v>
      </c>
      <c r="CG37" s="160">
        <f t="shared" si="150"/>
        <v>0</v>
      </c>
      <c r="CH37" s="160">
        <f t="shared" si="150"/>
        <v>0</v>
      </c>
      <c r="CI37" s="160">
        <f t="shared" si="150"/>
        <v>0</v>
      </c>
      <c r="CJ37" s="160">
        <f t="shared" si="150"/>
        <v>0</v>
      </c>
      <c r="CK37" s="160">
        <f t="shared" si="150"/>
        <v>0</v>
      </c>
      <c r="CL37" s="160">
        <f t="shared" si="150"/>
        <v>0</v>
      </c>
      <c r="CM37" s="161">
        <f>+SUMPRODUCT($EG$4:$EG$23,CL$4:CL$23)</f>
        <v>0</v>
      </c>
      <c r="CN37" s="3"/>
      <c r="CO37" s="109"/>
      <c r="CQ37" s="159">
        <f t="shared" ref="CQ37:CW37" si="151">+SUMPRODUCT($EG$4:$EG$23,CQ$4:CQ$23)</f>
        <v>0</v>
      </c>
      <c r="CR37" s="160">
        <f t="shared" si="151"/>
        <v>0</v>
      </c>
      <c r="CS37" s="160">
        <f t="shared" si="151"/>
        <v>0</v>
      </c>
      <c r="CT37" s="160">
        <f t="shared" si="151"/>
        <v>0</v>
      </c>
      <c r="CU37" s="160">
        <f t="shared" si="151"/>
        <v>0</v>
      </c>
      <c r="CV37" s="160">
        <f t="shared" si="151"/>
        <v>0</v>
      </c>
      <c r="CW37" s="160">
        <f t="shared" si="151"/>
        <v>0</v>
      </c>
      <c r="CX37" s="161">
        <f>+SUMPRODUCT($EG$4:$EG$23,CW$4:CW$23)</f>
        <v>0</v>
      </c>
      <c r="CY37" s="3"/>
      <c r="CZ37" s="109"/>
      <c r="DB37" s="159">
        <f t="shared" ref="DB37:DH37" si="152">+SUMPRODUCT($EG$4:$EG$23,DB$4:DB$23)</f>
        <v>0</v>
      </c>
      <c r="DC37" s="160">
        <f t="shared" si="152"/>
        <v>0</v>
      </c>
      <c r="DD37" s="160">
        <f t="shared" si="152"/>
        <v>0</v>
      </c>
      <c r="DE37" s="160">
        <f t="shared" si="152"/>
        <v>0</v>
      </c>
      <c r="DF37" s="160">
        <f t="shared" si="152"/>
        <v>0</v>
      </c>
      <c r="DG37" s="160">
        <f t="shared" si="152"/>
        <v>0</v>
      </c>
      <c r="DH37" s="160">
        <f t="shared" si="152"/>
        <v>0</v>
      </c>
      <c r="DI37" s="161">
        <f>+SUMPRODUCT($EG$4:$EG$23,DH$4:DH$23)</f>
        <v>0</v>
      </c>
      <c r="DJ37" s="3"/>
      <c r="DK37" s="109"/>
      <c r="DM37" s="159">
        <f t="shared" ref="DM37:DS37" si="153">+SUMPRODUCT($EG$4:$EG$23,DM$4:DM$23)</f>
        <v>0</v>
      </c>
      <c r="DN37" s="160">
        <f t="shared" si="153"/>
        <v>0</v>
      </c>
      <c r="DO37" s="160">
        <f t="shared" si="153"/>
        <v>0</v>
      </c>
      <c r="DP37" s="160">
        <f t="shared" si="153"/>
        <v>0</v>
      </c>
      <c r="DQ37" s="160">
        <f t="shared" si="153"/>
        <v>0</v>
      </c>
      <c r="DR37" s="160">
        <f t="shared" si="153"/>
        <v>0</v>
      </c>
      <c r="DS37" s="160">
        <f t="shared" si="153"/>
        <v>0</v>
      </c>
      <c r="DT37" s="161">
        <f>+SUMPRODUCT($EG$4:$EG$23,DS$4:DS$23)</f>
        <v>0</v>
      </c>
      <c r="DU37" s="3"/>
      <c r="DV37" s="109"/>
    </row>
    <row r="38" spans="2:152" ht="13.5" customHeight="1">
      <c r="C38" s="41" t="s">
        <v>139</v>
      </c>
      <c r="N38" s="41" t="s">
        <v>139</v>
      </c>
      <c r="O38" s="106"/>
      <c r="P38" s="109"/>
      <c r="R38" s="159">
        <f t="shared" ref="R38:X38" si="154">+SUMPRODUCT($EH$4:$EH$23,R$4:R$23)</f>
        <v>0</v>
      </c>
      <c r="S38" s="160">
        <f t="shared" si="154"/>
        <v>0</v>
      </c>
      <c r="T38" s="160">
        <f t="shared" si="154"/>
        <v>0</v>
      </c>
      <c r="U38" s="160">
        <f t="shared" si="154"/>
        <v>0</v>
      </c>
      <c r="V38" s="160">
        <f t="shared" si="154"/>
        <v>0</v>
      </c>
      <c r="W38" s="160">
        <f t="shared" si="154"/>
        <v>0</v>
      </c>
      <c r="X38" s="160">
        <f t="shared" si="154"/>
        <v>0</v>
      </c>
      <c r="Y38" s="161">
        <f>+SUMPRODUCT($EH$4:$EH$23,X$4:X$23)</f>
        <v>0</v>
      </c>
      <c r="Z38" s="3"/>
      <c r="AA38" s="109"/>
      <c r="AC38" s="159">
        <f t="shared" ref="AC38:AI38" si="155">+SUMPRODUCT($EH$4:$EH$23,AC$4:AC$23)</f>
        <v>0</v>
      </c>
      <c r="AD38" s="160">
        <f t="shared" si="155"/>
        <v>0</v>
      </c>
      <c r="AE38" s="160">
        <f t="shared" si="155"/>
        <v>0</v>
      </c>
      <c r="AF38" s="160">
        <f t="shared" si="155"/>
        <v>0</v>
      </c>
      <c r="AG38" s="160">
        <f t="shared" si="155"/>
        <v>0</v>
      </c>
      <c r="AH38" s="160">
        <f t="shared" si="155"/>
        <v>0</v>
      </c>
      <c r="AI38" s="160">
        <f t="shared" si="155"/>
        <v>0</v>
      </c>
      <c r="AJ38" s="161">
        <f>+SUMPRODUCT($EH$4:$EH$23,AI$4:AI$23)</f>
        <v>0</v>
      </c>
      <c r="AK38" s="3"/>
      <c r="AL38" s="109"/>
      <c r="AN38" s="159">
        <f t="shared" ref="AN38:AT38" si="156">+SUMPRODUCT($EH$4:$EH$23,AN$4:AN$23)</f>
        <v>0</v>
      </c>
      <c r="AO38" s="160">
        <f t="shared" si="156"/>
        <v>0</v>
      </c>
      <c r="AP38" s="160">
        <f t="shared" si="156"/>
        <v>0</v>
      </c>
      <c r="AQ38" s="160">
        <f t="shared" si="156"/>
        <v>0</v>
      </c>
      <c r="AR38" s="160">
        <f t="shared" si="156"/>
        <v>0</v>
      </c>
      <c r="AS38" s="160">
        <f t="shared" si="156"/>
        <v>0</v>
      </c>
      <c r="AT38" s="160">
        <f t="shared" si="156"/>
        <v>0</v>
      </c>
      <c r="AU38" s="161">
        <f>+SUMPRODUCT($EH$4:$EH$23,AT$4:AT$23)</f>
        <v>0</v>
      </c>
      <c r="AV38" s="3"/>
      <c r="AW38" s="109"/>
      <c r="AY38" s="159">
        <f t="shared" ref="AY38:BE38" si="157">+SUMPRODUCT($EH$4:$EH$23,AY$4:AY$23)</f>
        <v>0</v>
      </c>
      <c r="AZ38" s="160">
        <f t="shared" si="157"/>
        <v>0</v>
      </c>
      <c r="BA38" s="160">
        <f t="shared" si="157"/>
        <v>0</v>
      </c>
      <c r="BB38" s="160">
        <f t="shared" si="157"/>
        <v>0</v>
      </c>
      <c r="BC38" s="160">
        <f t="shared" si="157"/>
        <v>0</v>
      </c>
      <c r="BD38" s="160">
        <f t="shared" si="157"/>
        <v>0</v>
      </c>
      <c r="BE38" s="160">
        <f t="shared" si="157"/>
        <v>0</v>
      </c>
      <c r="BF38" s="161">
        <f>+SUMPRODUCT($EH$4:$EH$23,BE$4:BE$23)</f>
        <v>0</v>
      </c>
      <c r="BG38" s="3"/>
      <c r="BH38" s="109"/>
      <c r="BJ38" s="159">
        <f t="shared" ref="BJ38:BP38" si="158">+SUMPRODUCT($EH$4:$EH$23,BJ$4:BJ$23)</f>
        <v>0</v>
      </c>
      <c r="BK38" s="160">
        <f t="shared" si="158"/>
        <v>0</v>
      </c>
      <c r="BL38" s="160">
        <f t="shared" si="158"/>
        <v>0</v>
      </c>
      <c r="BM38" s="160">
        <f t="shared" si="158"/>
        <v>0</v>
      </c>
      <c r="BN38" s="160">
        <f t="shared" si="158"/>
        <v>0</v>
      </c>
      <c r="BO38" s="160">
        <f t="shared" si="158"/>
        <v>0</v>
      </c>
      <c r="BP38" s="160">
        <f t="shared" si="158"/>
        <v>0</v>
      </c>
      <c r="BQ38" s="161">
        <f>+SUMPRODUCT($EH$4:$EH$23,BP$4:BP$23)</f>
        <v>0</v>
      </c>
      <c r="BR38" s="3"/>
      <c r="BS38" s="109"/>
      <c r="BU38" s="159">
        <f t="shared" ref="BU38:CA38" si="159">+SUMPRODUCT($EH$4:$EH$23,BU$4:BU$23)</f>
        <v>0</v>
      </c>
      <c r="BV38" s="160">
        <f t="shared" si="159"/>
        <v>0</v>
      </c>
      <c r="BW38" s="160">
        <f t="shared" si="159"/>
        <v>0</v>
      </c>
      <c r="BX38" s="160">
        <f t="shared" si="159"/>
        <v>0</v>
      </c>
      <c r="BY38" s="160">
        <f t="shared" si="159"/>
        <v>0</v>
      </c>
      <c r="BZ38" s="160">
        <f t="shared" si="159"/>
        <v>0</v>
      </c>
      <c r="CA38" s="160">
        <f t="shared" si="159"/>
        <v>0</v>
      </c>
      <c r="CB38" s="161">
        <f>+SUMPRODUCT($EH$4:$EH$23,CA$4:CA$23)</f>
        <v>0</v>
      </c>
      <c r="CC38" s="3"/>
      <c r="CD38" s="109"/>
      <c r="CF38" s="159">
        <f t="shared" ref="CF38:CL38" si="160">+SUMPRODUCT($EH$4:$EH$23,CF$4:CF$23)</f>
        <v>0</v>
      </c>
      <c r="CG38" s="160">
        <f t="shared" si="160"/>
        <v>0</v>
      </c>
      <c r="CH38" s="160">
        <f t="shared" si="160"/>
        <v>0</v>
      </c>
      <c r="CI38" s="160">
        <f t="shared" si="160"/>
        <v>0</v>
      </c>
      <c r="CJ38" s="160">
        <f t="shared" si="160"/>
        <v>0</v>
      </c>
      <c r="CK38" s="160">
        <f t="shared" si="160"/>
        <v>0</v>
      </c>
      <c r="CL38" s="160">
        <f t="shared" si="160"/>
        <v>0</v>
      </c>
      <c r="CM38" s="161">
        <f>+SUMPRODUCT($EH$4:$EH$23,CL$4:CL$23)</f>
        <v>0</v>
      </c>
      <c r="CN38" s="3"/>
      <c r="CO38" s="109"/>
      <c r="CQ38" s="159">
        <f t="shared" ref="CQ38:CW38" si="161">+SUMPRODUCT($EH$4:$EH$23,CQ$4:CQ$23)</f>
        <v>0</v>
      </c>
      <c r="CR38" s="160">
        <f t="shared" si="161"/>
        <v>0</v>
      </c>
      <c r="CS38" s="160">
        <f t="shared" si="161"/>
        <v>0</v>
      </c>
      <c r="CT38" s="160">
        <f t="shared" si="161"/>
        <v>0</v>
      </c>
      <c r="CU38" s="160">
        <f t="shared" si="161"/>
        <v>0</v>
      </c>
      <c r="CV38" s="160">
        <f t="shared" si="161"/>
        <v>0</v>
      </c>
      <c r="CW38" s="160">
        <f t="shared" si="161"/>
        <v>0</v>
      </c>
      <c r="CX38" s="161">
        <f>+SUMPRODUCT($EH$4:$EH$23,CW$4:CW$23)</f>
        <v>0</v>
      </c>
      <c r="CY38" s="3"/>
      <c r="CZ38" s="109"/>
      <c r="DB38" s="159">
        <f t="shared" ref="DB38:DH38" si="162">+SUMPRODUCT($EH$4:$EH$23,DB$4:DB$23)</f>
        <v>0</v>
      </c>
      <c r="DC38" s="160">
        <f t="shared" si="162"/>
        <v>0</v>
      </c>
      <c r="DD38" s="160">
        <f t="shared" si="162"/>
        <v>0</v>
      </c>
      <c r="DE38" s="160">
        <f t="shared" si="162"/>
        <v>0</v>
      </c>
      <c r="DF38" s="160">
        <f t="shared" si="162"/>
        <v>0</v>
      </c>
      <c r="DG38" s="160">
        <f t="shared" si="162"/>
        <v>0</v>
      </c>
      <c r="DH38" s="160">
        <f t="shared" si="162"/>
        <v>0</v>
      </c>
      <c r="DI38" s="161">
        <f>+SUMPRODUCT($EH$4:$EH$23,DH$4:DH$23)</f>
        <v>0</v>
      </c>
      <c r="DJ38" s="3"/>
      <c r="DK38" s="109"/>
      <c r="DM38" s="159">
        <f t="shared" ref="DM38:DS38" si="163">+SUMPRODUCT($EH$4:$EH$23,DM$4:DM$23)</f>
        <v>0</v>
      </c>
      <c r="DN38" s="160">
        <f t="shared" si="163"/>
        <v>0</v>
      </c>
      <c r="DO38" s="160">
        <f t="shared" si="163"/>
        <v>0</v>
      </c>
      <c r="DP38" s="160">
        <f t="shared" si="163"/>
        <v>0</v>
      </c>
      <c r="DQ38" s="160">
        <f t="shared" si="163"/>
        <v>0</v>
      </c>
      <c r="DR38" s="160">
        <f t="shared" si="163"/>
        <v>0</v>
      </c>
      <c r="DS38" s="160">
        <f t="shared" si="163"/>
        <v>0</v>
      </c>
      <c r="DT38" s="161">
        <f>+SUMPRODUCT($EH$4:$EH$23,DS$4:DS$23)</f>
        <v>0</v>
      </c>
      <c r="DU38" s="3"/>
      <c r="DV38" s="109"/>
    </row>
    <row r="39" spans="2:152" ht="13.5" customHeight="1">
      <c r="C39" s="41" t="s">
        <v>326</v>
      </c>
      <c r="N39" s="41" t="s">
        <v>326</v>
      </c>
      <c r="O39" s="106"/>
      <c r="P39" s="109"/>
      <c r="R39" s="159">
        <f t="shared" ref="R39:X39" si="164">+SUMPRODUCT($EI$4:$EI$23,R$4:R$23)</f>
        <v>0</v>
      </c>
      <c r="S39" s="160">
        <f t="shared" si="164"/>
        <v>0</v>
      </c>
      <c r="T39" s="160">
        <f t="shared" si="164"/>
        <v>0</v>
      </c>
      <c r="U39" s="160">
        <f t="shared" si="164"/>
        <v>0</v>
      </c>
      <c r="V39" s="160">
        <f t="shared" si="164"/>
        <v>0</v>
      </c>
      <c r="W39" s="160">
        <f t="shared" si="164"/>
        <v>0</v>
      </c>
      <c r="X39" s="160">
        <f t="shared" si="164"/>
        <v>0</v>
      </c>
      <c r="Y39" s="161">
        <f>+SUMPRODUCT($EI$4:$EI$23,X$4:X$23)</f>
        <v>0</v>
      </c>
      <c r="Z39" s="3"/>
      <c r="AA39" s="109"/>
      <c r="AC39" s="159">
        <f t="shared" ref="AC39:AI39" si="165">+SUMPRODUCT($EI$4:$EI$23,AC$4:AC$23)</f>
        <v>0</v>
      </c>
      <c r="AD39" s="160">
        <f t="shared" si="165"/>
        <v>0</v>
      </c>
      <c r="AE39" s="160">
        <f t="shared" si="165"/>
        <v>0</v>
      </c>
      <c r="AF39" s="160">
        <f t="shared" si="165"/>
        <v>0</v>
      </c>
      <c r="AG39" s="160">
        <f t="shared" si="165"/>
        <v>0</v>
      </c>
      <c r="AH39" s="160">
        <f t="shared" si="165"/>
        <v>0</v>
      </c>
      <c r="AI39" s="160">
        <f t="shared" si="165"/>
        <v>0</v>
      </c>
      <c r="AJ39" s="161">
        <f>+SUMPRODUCT($EI$4:$EI$23,AI$4:AI$23)</f>
        <v>0</v>
      </c>
      <c r="AK39" s="3"/>
      <c r="AL39" s="109"/>
      <c r="AN39" s="159">
        <f t="shared" ref="AN39:AT39" si="166">+SUMPRODUCT($EI$4:$EI$23,AN$4:AN$23)</f>
        <v>0</v>
      </c>
      <c r="AO39" s="160">
        <f t="shared" si="166"/>
        <v>0</v>
      </c>
      <c r="AP39" s="160">
        <f t="shared" si="166"/>
        <v>0</v>
      </c>
      <c r="AQ39" s="160">
        <f t="shared" si="166"/>
        <v>0</v>
      </c>
      <c r="AR39" s="160">
        <f t="shared" si="166"/>
        <v>0</v>
      </c>
      <c r="AS39" s="160">
        <f t="shared" si="166"/>
        <v>0</v>
      </c>
      <c r="AT39" s="160">
        <f t="shared" si="166"/>
        <v>0</v>
      </c>
      <c r="AU39" s="161">
        <f>+SUMPRODUCT($EI$4:$EI$23,AT$4:AT$23)</f>
        <v>0</v>
      </c>
      <c r="AV39" s="3"/>
      <c r="AW39" s="109"/>
      <c r="AY39" s="159">
        <f t="shared" ref="AY39:BE39" si="167">+SUMPRODUCT($EI$4:$EI$23,AY$4:AY$23)</f>
        <v>0</v>
      </c>
      <c r="AZ39" s="160">
        <f t="shared" si="167"/>
        <v>0</v>
      </c>
      <c r="BA39" s="160">
        <f t="shared" si="167"/>
        <v>0</v>
      </c>
      <c r="BB39" s="160">
        <f t="shared" si="167"/>
        <v>0</v>
      </c>
      <c r="BC39" s="160">
        <f t="shared" si="167"/>
        <v>0</v>
      </c>
      <c r="BD39" s="160">
        <f t="shared" si="167"/>
        <v>0</v>
      </c>
      <c r="BE39" s="160">
        <f t="shared" si="167"/>
        <v>0</v>
      </c>
      <c r="BF39" s="161">
        <f>+SUMPRODUCT($EI$4:$EI$23,BE$4:BE$23)</f>
        <v>0</v>
      </c>
      <c r="BG39" s="3"/>
      <c r="BH39" s="109"/>
      <c r="BJ39" s="159">
        <f t="shared" ref="BJ39:BP39" si="168">+SUMPRODUCT($EI$4:$EI$23,BJ$4:BJ$23)</f>
        <v>0</v>
      </c>
      <c r="BK39" s="160">
        <f t="shared" si="168"/>
        <v>0</v>
      </c>
      <c r="BL39" s="160">
        <f t="shared" si="168"/>
        <v>0</v>
      </c>
      <c r="BM39" s="160">
        <f t="shared" si="168"/>
        <v>0</v>
      </c>
      <c r="BN39" s="160">
        <f t="shared" si="168"/>
        <v>0</v>
      </c>
      <c r="BO39" s="160">
        <f t="shared" si="168"/>
        <v>0</v>
      </c>
      <c r="BP39" s="160">
        <f t="shared" si="168"/>
        <v>0</v>
      </c>
      <c r="BQ39" s="161">
        <f>+SUMPRODUCT($EI$4:$EI$23,BP$4:BP$23)</f>
        <v>0</v>
      </c>
      <c r="BR39" s="3"/>
      <c r="BS39" s="109"/>
      <c r="BU39" s="159">
        <f t="shared" ref="BU39:CA39" si="169">+SUMPRODUCT($EI$4:$EI$23,BU$4:BU$23)</f>
        <v>0</v>
      </c>
      <c r="BV39" s="160">
        <f t="shared" si="169"/>
        <v>0</v>
      </c>
      <c r="BW39" s="160">
        <f t="shared" si="169"/>
        <v>0</v>
      </c>
      <c r="BX39" s="160">
        <f t="shared" si="169"/>
        <v>0</v>
      </c>
      <c r="BY39" s="160">
        <f t="shared" si="169"/>
        <v>0</v>
      </c>
      <c r="BZ39" s="160">
        <f t="shared" si="169"/>
        <v>0</v>
      </c>
      <c r="CA39" s="160">
        <f t="shared" si="169"/>
        <v>0</v>
      </c>
      <c r="CB39" s="161">
        <f>+SUMPRODUCT($EI$4:$EI$23,CA$4:CA$23)</f>
        <v>0</v>
      </c>
      <c r="CC39" s="3"/>
      <c r="CD39" s="109"/>
      <c r="CF39" s="159">
        <f t="shared" ref="CF39:CL39" si="170">+SUMPRODUCT($EI$4:$EI$23,CF$4:CF$23)</f>
        <v>0</v>
      </c>
      <c r="CG39" s="160">
        <f t="shared" si="170"/>
        <v>0</v>
      </c>
      <c r="CH39" s="160">
        <f t="shared" si="170"/>
        <v>0</v>
      </c>
      <c r="CI39" s="160">
        <f t="shared" si="170"/>
        <v>0</v>
      </c>
      <c r="CJ39" s="160">
        <f t="shared" si="170"/>
        <v>0</v>
      </c>
      <c r="CK39" s="160">
        <f t="shared" si="170"/>
        <v>0</v>
      </c>
      <c r="CL39" s="160">
        <f t="shared" si="170"/>
        <v>0</v>
      </c>
      <c r="CM39" s="161">
        <f>+SUMPRODUCT($EI$4:$EI$23,CL$4:CL$23)</f>
        <v>0</v>
      </c>
      <c r="CN39" s="3"/>
      <c r="CO39" s="109"/>
      <c r="CQ39" s="159">
        <f t="shared" ref="CQ39:CW39" si="171">+SUMPRODUCT($EI$4:$EI$23,CQ$4:CQ$23)</f>
        <v>0</v>
      </c>
      <c r="CR39" s="160">
        <f t="shared" si="171"/>
        <v>0</v>
      </c>
      <c r="CS39" s="160">
        <f t="shared" si="171"/>
        <v>0</v>
      </c>
      <c r="CT39" s="160">
        <f t="shared" si="171"/>
        <v>0</v>
      </c>
      <c r="CU39" s="160">
        <f t="shared" si="171"/>
        <v>0</v>
      </c>
      <c r="CV39" s="160">
        <f t="shared" si="171"/>
        <v>0</v>
      </c>
      <c r="CW39" s="160">
        <f t="shared" si="171"/>
        <v>0</v>
      </c>
      <c r="CX39" s="161">
        <f>+SUMPRODUCT($EI$4:$EI$23,CW$4:CW$23)</f>
        <v>0</v>
      </c>
      <c r="CY39" s="3"/>
      <c r="CZ39" s="109"/>
      <c r="DB39" s="159">
        <f t="shared" ref="DB39:DH39" si="172">+SUMPRODUCT($EI$4:$EI$23,DB$4:DB$23)</f>
        <v>0</v>
      </c>
      <c r="DC39" s="160">
        <f t="shared" si="172"/>
        <v>0</v>
      </c>
      <c r="DD39" s="160">
        <f t="shared" si="172"/>
        <v>0</v>
      </c>
      <c r="DE39" s="160">
        <f t="shared" si="172"/>
        <v>0</v>
      </c>
      <c r="DF39" s="160">
        <f t="shared" si="172"/>
        <v>0</v>
      </c>
      <c r="DG39" s="160">
        <f t="shared" si="172"/>
        <v>0</v>
      </c>
      <c r="DH39" s="160">
        <f t="shared" si="172"/>
        <v>0</v>
      </c>
      <c r="DI39" s="161">
        <f>+SUMPRODUCT($EI$4:$EI$23,DH$4:DH$23)</f>
        <v>0</v>
      </c>
      <c r="DJ39" s="3"/>
      <c r="DK39" s="109"/>
      <c r="DM39" s="159">
        <f t="shared" ref="DM39:DS39" si="173">+SUMPRODUCT($EI$4:$EI$23,DM$4:DM$23)</f>
        <v>0</v>
      </c>
      <c r="DN39" s="160">
        <f t="shared" si="173"/>
        <v>0</v>
      </c>
      <c r="DO39" s="160">
        <f t="shared" si="173"/>
        <v>0</v>
      </c>
      <c r="DP39" s="160">
        <f t="shared" si="173"/>
        <v>0</v>
      </c>
      <c r="DQ39" s="160">
        <f t="shared" si="173"/>
        <v>0</v>
      </c>
      <c r="DR39" s="160">
        <f t="shared" si="173"/>
        <v>0</v>
      </c>
      <c r="DS39" s="160">
        <f t="shared" si="173"/>
        <v>0</v>
      </c>
      <c r="DT39" s="161">
        <f>+SUMPRODUCT($EI$4:$EI$23,DS$4:DS$23)</f>
        <v>0</v>
      </c>
      <c r="DU39" s="3"/>
      <c r="DV39" s="109"/>
      <c r="ED39" s="84"/>
      <c r="EE39" s="84"/>
      <c r="EF39" s="84"/>
      <c r="EG39" s="84"/>
      <c r="EH39" s="84"/>
      <c r="EI39" s="84"/>
      <c r="EJ39" s="84"/>
      <c r="EK39" s="84"/>
      <c r="EL39" s="84"/>
      <c r="EM39" s="84"/>
      <c r="EN39" s="84"/>
      <c r="EO39" s="84"/>
      <c r="EP39" s="84"/>
      <c r="EQ39" s="84"/>
      <c r="ER39" s="84"/>
      <c r="ES39" s="84"/>
      <c r="ET39" s="151"/>
      <c r="EU39" s="151"/>
      <c r="EV39" s="152"/>
    </row>
    <row r="40" spans="2:152" ht="13.5" customHeight="1">
      <c r="C40" s="41" t="s">
        <v>327</v>
      </c>
      <c r="N40" s="41" t="s">
        <v>327</v>
      </c>
      <c r="O40" s="106"/>
      <c r="P40" s="109"/>
      <c r="R40" s="159">
        <f t="shared" ref="R40:X40" si="174">+SUMPRODUCT($EJ$4:$EJ$23,R$4:R$23)</f>
        <v>0</v>
      </c>
      <c r="S40" s="160">
        <f t="shared" si="174"/>
        <v>0</v>
      </c>
      <c r="T40" s="160">
        <f t="shared" si="174"/>
        <v>0</v>
      </c>
      <c r="U40" s="160">
        <f t="shared" si="174"/>
        <v>0</v>
      </c>
      <c r="V40" s="160">
        <f t="shared" si="174"/>
        <v>0</v>
      </c>
      <c r="W40" s="160">
        <f t="shared" si="174"/>
        <v>0</v>
      </c>
      <c r="X40" s="160">
        <f t="shared" si="174"/>
        <v>0</v>
      </c>
      <c r="Y40" s="161">
        <f>+SUMPRODUCT($EJ$4:$EJ$23,X$4:X$23)</f>
        <v>0</v>
      </c>
      <c r="Z40" s="3"/>
      <c r="AA40" s="109"/>
      <c r="AC40" s="159">
        <f t="shared" ref="AC40:AI40" si="175">+SUMPRODUCT($EJ$4:$EJ$23,AC$4:AC$23)</f>
        <v>0</v>
      </c>
      <c r="AD40" s="160">
        <f t="shared" si="175"/>
        <v>0</v>
      </c>
      <c r="AE40" s="160">
        <f t="shared" si="175"/>
        <v>0</v>
      </c>
      <c r="AF40" s="160">
        <f t="shared" si="175"/>
        <v>0</v>
      </c>
      <c r="AG40" s="160">
        <f t="shared" si="175"/>
        <v>0</v>
      </c>
      <c r="AH40" s="160">
        <f t="shared" si="175"/>
        <v>0</v>
      </c>
      <c r="AI40" s="160">
        <f t="shared" si="175"/>
        <v>0</v>
      </c>
      <c r="AJ40" s="161">
        <f>+SUMPRODUCT($EJ$4:$EJ$23,AI$4:AI$23)</f>
        <v>0</v>
      </c>
      <c r="AK40" s="3"/>
      <c r="AL40" s="109"/>
      <c r="AN40" s="159">
        <f t="shared" ref="AN40:AT40" si="176">+SUMPRODUCT($EJ$4:$EJ$23,AN$4:AN$23)</f>
        <v>0</v>
      </c>
      <c r="AO40" s="160">
        <f t="shared" si="176"/>
        <v>0</v>
      </c>
      <c r="AP40" s="160">
        <f t="shared" si="176"/>
        <v>0</v>
      </c>
      <c r="AQ40" s="160">
        <f t="shared" si="176"/>
        <v>0</v>
      </c>
      <c r="AR40" s="160">
        <f t="shared" si="176"/>
        <v>0</v>
      </c>
      <c r="AS40" s="160">
        <f t="shared" si="176"/>
        <v>0</v>
      </c>
      <c r="AT40" s="160">
        <f t="shared" si="176"/>
        <v>0</v>
      </c>
      <c r="AU40" s="161">
        <f>+SUMPRODUCT($EJ$4:$EJ$23,AT$4:AT$23)</f>
        <v>0</v>
      </c>
      <c r="AV40" s="3"/>
      <c r="AW40" s="109"/>
      <c r="AY40" s="159">
        <f t="shared" ref="AY40:BE40" si="177">+SUMPRODUCT($EJ$4:$EJ$23,AY$4:AY$23)</f>
        <v>0</v>
      </c>
      <c r="AZ40" s="160">
        <f t="shared" si="177"/>
        <v>0</v>
      </c>
      <c r="BA40" s="160">
        <f t="shared" si="177"/>
        <v>0</v>
      </c>
      <c r="BB40" s="160">
        <f t="shared" si="177"/>
        <v>0</v>
      </c>
      <c r="BC40" s="160">
        <f t="shared" si="177"/>
        <v>0</v>
      </c>
      <c r="BD40" s="160">
        <f t="shared" si="177"/>
        <v>0</v>
      </c>
      <c r="BE40" s="160">
        <f t="shared" si="177"/>
        <v>0</v>
      </c>
      <c r="BF40" s="161">
        <f>+SUMPRODUCT($EJ$4:$EJ$23,BE$4:BE$23)</f>
        <v>0</v>
      </c>
      <c r="BG40" s="3"/>
      <c r="BH40" s="109"/>
      <c r="BJ40" s="159">
        <f t="shared" ref="BJ40:BP40" si="178">+SUMPRODUCT($EJ$4:$EJ$23,BJ$4:BJ$23)</f>
        <v>0</v>
      </c>
      <c r="BK40" s="160">
        <f t="shared" si="178"/>
        <v>0</v>
      </c>
      <c r="BL40" s="160">
        <f t="shared" si="178"/>
        <v>0</v>
      </c>
      <c r="BM40" s="160">
        <f t="shared" si="178"/>
        <v>0</v>
      </c>
      <c r="BN40" s="160">
        <f t="shared" si="178"/>
        <v>0</v>
      </c>
      <c r="BO40" s="160">
        <f t="shared" si="178"/>
        <v>0</v>
      </c>
      <c r="BP40" s="160">
        <f t="shared" si="178"/>
        <v>0</v>
      </c>
      <c r="BQ40" s="161">
        <f>+SUMPRODUCT($EJ$4:$EJ$23,BP$4:BP$23)</f>
        <v>0</v>
      </c>
      <c r="BR40" s="3"/>
      <c r="BS40" s="109"/>
      <c r="BU40" s="159">
        <f t="shared" ref="BU40:CA40" si="179">+SUMPRODUCT($EJ$4:$EJ$23,BU$4:BU$23)</f>
        <v>0</v>
      </c>
      <c r="BV40" s="160">
        <f t="shared" si="179"/>
        <v>0</v>
      </c>
      <c r="BW40" s="160">
        <f t="shared" si="179"/>
        <v>0</v>
      </c>
      <c r="BX40" s="160">
        <f t="shared" si="179"/>
        <v>0</v>
      </c>
      <c r="BY40" s="160">
        <f t="shared" si="179"/>
        <v>0</v>
      </c>
      <c r="BZ40" s="160">
        <f t="shared" si="179"/>
        <v>0</v>
      </c>
      <c r="CA40" s="160">
        <f t="shared" si="179"/>
        <v>0</v>
      </c>
      <c r="CB40" s="161">
        <f>+SUMPRODUCT($EJ$4:$EJ$23,CA$4:CA$23)</f>
        <v>0</v>
      </c>
      <c r="CC40" s="3"/>
      <c r="CD40" s="109"/>
      <c r="CF40" s="159">
        <f t="shared" ref="CF40:CL40" si="180">+SUMPRODUCT($EJ$4:$EJ$23,CF$4:CF$23)</f>
        <v>0</v>
      </c>
      <c r="CG40" s="160">
        <f t="shared" si="180"/>
        <v>0</v>
      </c>
      <c r="CH40" s="160">
        <f t="shared" si="180"/>
        <v>0</v>
      </c>
      <c r="CI40" s="160">
        <f t="shared" si="180"/>
        <v>0</v>
      </c>
      <c r="CJ40" s="160">
        <f t="shared" si="180"/>
        <v>0</v>
      </c>
      <c r="CK40" s="160">
        <f t="shared" si="180"/>
        <v>0</v>
      </c>
      <c r="CL40" s="160">
        <f t="shared" si="180"/>
        <v>0</v>
      </c>
      <c r="CM40" s="161">
        <f>+SUMPRODUCT($EJ$4:$EJ$23,CL$4:CL$23)</f>
        <v>0</v>
      </c>
      <c r="CN40" s="3"/>
      <c r="CO40" s="109"/>
      <c r="CQ40" s="159">
        <f t="shared" ref="CQ40:CW40" si="181">+SUMPRODUCT($EJ$4:$EJ$23,CQ$4:CQ$23)</f>
        <v>0</v>
      </c>
      <c r="CR40" s="160">
        <f t="shared" si="181"/>
        <v>0</v>
      </c>
      <c r="CS40" s="160">
        <f t="shared" si="181"/>
        <v>0</v>
      </c>
      <c r="CT40" s="160">
        <f t="shared" si="181"/>
        <v>0</v>
      </c>
      <c r="CU40" s="160">
        <f t="shared" si="181"/>
        <v>0</v>
      </c>
      <c r="CV40" s="160">
        <f t="shared" si="181"/>
        <v>0</v>
      </c>
      <c r="CW40" s="160">
        <f t="shared" si="181"/>
        <v>0</v>
      </c>
      <c r="CX40" s="161">
        <f>+SUMPRODUCT($EJ$4:$EJ$23,CW$4:CW$23)</f>
        <v>0</v>
      </c>
      <c r="CY40" s="3"/>
      <c r="CZ40" s="109"/>
      <c r="DB40" s="159">
        <f t="shared" ref="DB40:DH40" si="182">+SUMPRODUCT($EJ$4:$EJ$23,DB$4:DB$23)</f>
        <v>0</v>
      </c>
      <c r="DC40" s="160">
        <f t="shared" si="182"/>
        <v>0</v>
      </c>
      <c r="DD40" s="160">
        <f t="shared" si="182"/>
        <v>0</v>
      </c>
      <c r="DE40" s="160">
        <f t="shared" si="182"/>
        <v>0</v>
      </c>
      <c r="DF40" s="160">
        <f t="shared" si="182"/>
        <v>0</v>
      </c>
      <c r="DG40" s="160">
        <f t="shared" si="182"/>
        <v>0</v>
      </c>
      <c r="DH40" s="160">
        <f t="shared" si="182"/>
        <v>0</v>
      </c>
      <c r="DI40" s="161">
        <f>+SUMPRODUCT($EJ$4:$EJ$23,DH$4:DH$23)</f>
        <v>0</v>
      </c>
      <c r="DJ40" s="3"/>
      <c r="DK40" s="109"/>
      <c r="DM40" s="159">
        <f t="shared" ref="DM40:DS40" si="183">+SUMPRODUCT($EJ$4:$EJ$23,DM$4:DM$23)</f>
        <v>0</v>
      </c>
      <c r="DN40" s="160">
        <f t="shared" si="183"/>
        <v>0</v>
      </c>
      <c r="DO40" s="160">
        <f t="shared" si="183"/>
        <v>0</v>
      </c>
      <c r="DP40" s="160">
        <f t="shared" si="183"/>
        <v>0</v>
      </c>
      <c r="DQ40" s="160">
        <f t="shared" si="183"/>
        <v>0</v>
      </c>
      <c r="DR40" s="160">
        <f t="shared" si="183"/>
        <v>0</v>
      </c>
      <c r="DS40" s="160">
        <f t="shared" si="183"/>
        <v>0</v>
      </c>
      <c r="DT40" s="161">
        <f>+SUMPRODUCT($EJ$4:$EJ$23,DS$4:DS$23)</f>
        <v>0</v>
      </c>
      <c r="DU40" s="3"/>
      <c r="DV40" s="109"/>
      <c r="ED40" s="84"/>
      <c r="EE40" s="84"/>
      <c r="EF40" s="84"/>
      <c r="EG40" s="84"/>
      <c r="EH40" s="84"/>
      <c r="EI40" s="84"/>
      <c r="EJ40" s="84"/>
      <c r="EK40" s="84"/>
      <c r="EL40" s="84"/>
      <c r="EM40" s="84"/>
      <c r="EN40" s="84"/>
      <c r="EO40" s="84"/>
      <c r="EP40" s="84"/>
      <c r="EQ40" s="84"/>
      <c r="ER40" s="84"/>
      <c r="ES40" s="84"/>
      <c r="ET40" s="151"/>
      <c r="EU40" s="151"/>
      <c r="EV40" s="152"/>
    </row>
    <row r="41" spans="2:152" ht="13.5" customHeight="1">
      <c r="C41" s="41" t="s">
        <v>341</v>
      </c>
      <c r="N41" s="41" t="s">
        <v>341</v>
      </c>
      <c r="O41" s="106"/>
      <c r="P41" s="109"/>
      <c r="R41" s="159">
        <f t="shared" ref="R41:Y41" si="184">+SUMPRODUCT($EK$4:$EK$23,R$4:R$23)</f>
        <v>0</v>
      </c>
      <c r="S41" s="160">
        <f t="shared" si="184"/>
        <v>0</v>
      </c>
      <c r="T41" s="160">
        <f t="shared" si="184"/>
        <v>0</v>
      </c>
      <c r="U41" s="160">
        <f t="shared" si="184"/>
        <v>0</v>
      </c>
      <c r="V41" s="160">
        <f t="shared" si="184"/>
        <v>0</v>
      </c>
      <c r="W41" s="160">
        <f t="shared" si="184"/>
        <v>0</v>
      </c>
      <c r="X41" s="160">
        <f t="shared" si="184"/>
        <v>0</v>
      </c>
      <c r="Y41" s="161">
        <f t="shared" si="184"/>
        <v>0</v>
      </c>
      <c r="Z41" s="3"/>
      <c r="AA41" s="109"/>
      <c r="AC41" s="159">
        <f t="shared" ref="AC41:AJ41" si="185">+SUMPRODUCT($EK$4:$EK$23,AC$4:AC$23)</f>
        <v>0</v>
      </c>
      <c r="AD41" s="160">
        <f t="shared" si="185"/>
        <v>0</v>
      </c>
      <c r="AE41" s="160">
        <f t="shared" si="185"/>
        <v>0</v>
      </c>
      <c r="AF41" s="160">
        <f t="shared" si="185"/>
        <v>0</v>
      </c>
      <c r="AG41" s="160">
        <f t="shared" si="185"/>
        <v>0</v>
      </c>
      <c r="AH41" s="160">
        <f t="shared" si="185"/>
        <v>0</v>
      </c>
      <c r="AI41" s="160">
        <f t="shared" si="185"/>
        <v>0</v>
      </c>
      <c r="AJ41" s="161">
        <f t="shared" si="185"/>
        <v>0</v>
      </c>
      <c r="AK41" s="3"/>
      <c r="AL41" s="109"/>
      <c r="AN41" s="159">
        <f t="shared" ref="AN41:AU41" si="186">+SUMPRODUCT($EK$4:$EK$23,AN$4:AN$23)</f>
        <v>0</v>
      </c>
      <c r="AO41" s="160">
        <f t="shared" si="186"/>
        <v>0</v>
      </c>
      <c r="AP41" s="160">
        <f t="shared" si="186"/>
        <v>0</v>
      </c>
      <c r="AQ41" s="160">
        <f t="shared" si="186"/>
        <v>0</v>
      </c>
      <c r="AR41" s="160">
        <f t="shared" si="186"/>
        <v>0</v>
      </c>
      <c r="AS41" s="160">
        <f t="shared" si="186"/>
        <v>0</v>
      </c>
      <c r="AT41" s="160">
        <f t="shared" si="186"/>
        <v>0</v>
      </c>
      <c r="AU41" s="161">
        <f t="shared" si="186"/>
        <v>0</v>
      </c>
      <c r="AV41" s="3"/>
      <c r="AW41" s="109"/>
      <c r="AY41" s="159">
        <f t="shared" ref="AY41:BF41" si="187">+SUMPRODUCT($EK$4:$EK$23,AY$4:AY$23)</f>
        <v>0</v>
      </c>
      <c r="AZ41" s="160">
        <f t="shared" si="187"/>
        <v>0</v>
      </c>
      <c r="BA41" s="160">
        <f t="shared" si="187"/>
        <v>0</v>
      </c>
      <c r="BB41" s="160">
        <f t="shared" si="187"/>
        <v>0</v>
      </c>
      <c r="BC41" s="160">
        <f t="shared" si="187"/>
        <v>0</v>
      </c>
      <c r="BD41" s="160">
        <f t="shared" si="187"/>
        <v>0</v>
      </c>
      <c r="BE41" s="160">
        <f t="shared" si="187"/>
        <v>0</v>
      </c>
      <c r="BF41" s="161">
        <f t="shared" si="187"/>
        <v>0</v>
      </c>
      <c r="BG41" s="3"/>
      <c r="BH41" s="109"/>
      <c r="BJ41" s="159">
        <f t="shared" ref="BJ41:BQ41" si="188">+SUMPRODUCT($EK$4:$EK$23,BJ$4:BJ$23)</f>
        <v>0</v>
      </c>
      <c r="BK41" s="160">
        <f t="shared" si="188"/>
        <v>0</v>
      </c>
      <c r="BL41" s="160">
        <f t="shared" si="188"/>
        <v>0</v>
      </c>
      <c r="BM41" s="160">
        <f t="shared" si="188"/>
        <v>0</v>
      </c>
      <c r="BN41" s="160">
        <f t="shared" si="188"/>
        <v>0</v>
      </c>
      <c r="BO41" s="160">
        <f t="shared" si="188"/>
        <v>0</v>
      </c>
      <c r="BP41" s="160">
        <f t="shared" si="188"/>
        <v>0</v>
      </c>
      <c r="BQ41" s="161">
        <f t="shared" si="188"/>
        <v>0</v>
      </c>
      <c r="BR41" s="3"/>
      <c r="BS41" s="109"/>
      <c r="BU41" s="159">
        <f t="shared" ref="BU41:CB41" si="189">+SUMPRODUCT($EK$4:$EK$23,BU$4:BU$23)</f>
        <v>0</v>
      </c>
      <c r="BV41" s="160">
        <f t="shared" si="189"/>
        <v>0</v>
      </c>
      <c r="BW41" s="160">
        <f t="shared" si="189"/>
        <v>0</v>
      </c>
      <c r="BX41" s="160">
        <f t="shared" si="189"/>
        <v>0</v>
      </c>
      <c r="BY41" s="160">
        <f t="shared" si="189"/>
        <v>0</v>
      </c>
      <c r="BZ41" s="160">
        <f t="shared" si="189"/>
        <v>0</v>
      </c>
      <c r="CA41" s="160">
        <f t="shared" si="189"/>
        <v>0</v>
      </c>
      <c r="CB41" s="161">
        <f t="shared" si="189"/>
        <v>0</v>
      </c>
      <c r="CC41" s="3"/>
      <c r="CD41" s="109"/>
      <c r="CF41" s="159">
        <f t="shared" ref="CF41:CM41" si="190">+SUMPRODUCT($EK$4:$EK$23,CF$4:CF$23)</f>
        <v>0</v>
      </c>
      <c r="CG41" s="160">
        <f t="shared" si="190"/>
        <v>0</v>
      </c>
      <c r="CH41" s="160">
        <f t="shared" si="190"/>
        <v>0</v>
      </c>
      <c r="CI41" s="160">
        <f t="shared" si="190"/>
        <v>0</v>
      </c>
      <c r="CJ41" s="160">
        <f t="shared" si="190"/>
        <v>0</v>
      </c>
      <c r="CK41" s="160">
        <f t="shared" si="190"/>
        <v>0</v>
      </c>
      <c r="CL41" s="160">
        <f t="shared" si="190"/>
        <v>0</v>
      </c>
      <c r="CM41" s="161">
        <f t="shared" si="190"/>
        <v>0</v>
      </c>
      <c r="CN41" s="3"/>
      <c r="CO41" s="109"/>
      <c r="CQ41" s="159">
        <f t="shared" ref="CQ41:CX41" si="191">+SUMPRODUCT($EK$4:$EK$23,CQ$4:CQ$23)</f>
        <v>0</v>
      </c>
      <c r="CR41" s="160">
        <f t="shared" si="191"/>
        <v>0</v>
      </c>
      <c r="CS41" s="160">
        <f t="shared" si="191"/>
        <v>0</v>
      </c>
      <c r="CT41" s="160">
        <f t="shared" si="191"/>
        <v>0</v>
      </c>
      <c r="CU41" s="160">
        <f t="shared" si="191"/>
        <v>0</v>
      </c>
      <c r="CV41" s="160">
        <f t="shared" si="191"/>
        <v>0</v>
      </c>
      <c r="CW41" s="160">
        <f t="shared" si="191"/>
        <v>0</v>
      </c>
      <c r="CX41" s="161">
        <f t="shared" si="191"/>
        <v>0</v>
      </c>
      <c r="CY41" s="3"/>
      <c r="CZ41" s="109"/>
      <c r="DB41" s="159">
        <f t="shared" ref="DB41:DI41" si="192">+SUMPRODUCT($EK$4:$EK$23,DB$4:DB$23)</f>
        <v>0</v>
      </c>
      <c r="DC41" s="160">
        <f t="shared" si="192"/>
        <v>0</v>
      </c>
      <c r="DD41" s="160">
        <f t="shared" si="192"/>
        <v>0</v>
      </c>
      <c r="DE41" s="160">
        <f t="shared" si="192"/>
        <v>0</v>
      </c>
      <c r="DF41" s="160">
        <f t="shared" si="192"/>
        <v>0</v>
      </c>
      <c r="DG41" s="160">
        <f t="shared" si="192"/>
        <v>0</v>
      </c>
      <c r="DH41" s="160">
        <f t="shared" si="192"/>
        <v>0</v>
      </c>
      <c r="DI41" s="161">
        <f t="shared" si="192"/>
        <v>0</v>
      </c>
      <c r="DJ41" s="3"/>
      <c r="DK41" s="109"/>
      <c r="DM41" s="159">
        <f t="shared" ref="DM41:DT41" si="193">+SUMPRODUCT($EK$4:$EK$23,DM$4:DM$23)</f>
        <v>0</v>
      </c>
      <c r="DN41" s="160">
        <f t="shared" si="193"/>
        <v>0</v>
      </c>
      <c r="DO41" s="160">
        <f t="shared" si="193"/>
        <v>0</v>
      </c>
      <c r="DP41" s="160">
        <f t="shared" si="193"/>
        <v>0</v>
      </c>
      <c r="DQ41" s="160">
        <f t="shared" si="193"/>
        <v>0</v>
      </c>
      <c r="DR41" s="160">
        <f t="shared" si="193"/>
        <v>0</v>
      </c>
      <c r="DS41" s="160">
        <f t="shared" si="193"/>
        <v>0</v>
      </c>
      <c r="DT41" s="161">
        <f t="shared" si="193"/>
        <v>0</v>
      </c>
      <c r="DU41" s="3"/>
      <c r="DV41" s="109"/>
      <c r="ED41" s="84"/>
      <c r="EE41" s="84"/>
      <c r="EF41" s="84"/>
      <c r="EG41" s="84"/>
      <c r="EH41" s="84"/>
      <c r="EI41" s="84"/>
      <c r="EJ41" s="84"/>
      <c r="EK41" s="84"/>
      <c r="EL41" s="84"/>
      <c r="EM41" s="84"/>
      <c r="EN41" s="84"/>
      <c r="EO41" s="84"/>
      <c r="EP41" s="84"/>
      <c r="EQ41" s="84"/>
      <c r="ER41" s="84"/>
      <c r="ES41" s="84"/>
      <c r="ET41" s="151"/>
      <c r="EU41" s="151"/>
      <c r="EV41" s="152"/>
    </row>
    <row r="42" spans="2:152" ht="13.5" customHeight="1">
      <c r="C42" s="41" t="s">
        <v>140</v>
      </c>
      <c r="N42" s="41" t="s">
        <v>140</v>
      </c>
      <c r="O42" s="106"/>
      <c r="P42" s="109"/>
      <c r="R42" s="159">
        <f t="shared" ref="R42:X42" si="194">+SUMPRODUCT($EL$4:$EL$23,R$4:R$23)</f>
        <v>0</v>
      </c>
      <c r="S42" s="160">
        <f t="shared" si="194"/>
        <v>0</v>
      </c>
      <c r="T42" s="160">
        <f t="shared" si="194"/>
        <v>0</v>
      </c>
      <c r="U42" s="160">
        <f t="shared" si="194"/>
        <v>0</v>
      </c>
      <c r="V42" s="160">
        <f t="shared" si="194"/>
        <v>0</v>
      </c>
      <c r="W42" s="160">
        <f t="shared" si="194"/>
        <v>0</v>
      </c>
      <c r="X42" s="160">
        <f t="shared" si="194"/>
        <v>0</v>
      </c>
      <c r="Y42" s="161">
        <f>+SUMPRODUCT($EL$4:$EL$23,X$4:X$23)</f>
        <v>0</v>
      </c>
      <c r="Z42" s="3"/>
      <c r="AA42" s="109"/>
      <c r="AC42" s="159">
        <f t="shared" ref="AC42:AI42" si="195">+SUMPRODUCT($EL$4:$EL$23,AC$4:AC$23)</f>
        <v>0</v>
      </c>
      <c r="AD42" s="160">
        <f t="shared" si="195"/>
        <v>0</v>
      </c>
      <c r="AE42" s="160">
        <f t="shared" si="195"/>
        <v>0</v>
      </c>
      <c r="AF42" s="160">
        <f t="shared" si="195"/>
        <v>0</v>
      </c>
      <c r="AG42" s="160">
        <f t="shared" si="195"/>
        <v>0</v>
      </c>
      <c r="AH42" s="160">
        <f t="shared" si="195"/>
        <v>0</v>
      </c>
      <c r="AI42" s="160">
        <f t="shared" si="195"/>
        <v>0</v>
      </c>
      <c r="AJ42" s="161">
        <f>+SUMPRODUCT($EL$4:$EL$23,AI$4:AI$23)</f>
        <v>0</v>
      </c>
      <c r="AK42" s="3"/>
      <c r="AL42" s="109"/>
      <c r="AN42" s="159">
        <f t="shared" ref="AN42:AT42" si="196">+SUMPRODUCT($EL$4:$EL$23,AN$4:AN$23)</f>
        <v>0</v>
      </c>
      <c r="AO42" s="160">
        <f t="shared" si="196"/>
        <v>0</v>
      </c>
      <c r="AP42" s="160">
        <f t="shared" si="196"/>
        <v>0</v>
      </c>
      <c r="AQ42" s="160">
        <f t="shared" si="196"/>
        <v>0</v>
      </c>
      <c r="AR42" s="160">
        <f t="shared" si="196"/>
        <v>0</v>
      </c>
      <c r="AS42" s="160">
        <f t="shared" si="196"/>
        <v>0</v>
      </c>
      <c r="AT42" s="160">
        <f t="shared" si="196"/>
        <v>0</v>
      </c>
      <c r="AU42" s="161">
        <f>+SUMPRODUCT($EL$4:$EL$23,AT$4:AT$23)</f>
        <v>0</v>
      </c>
      <c r="AV42" s="3"/>
      <c r="AW42" s="109"/>
      <c r="AY42" s="159">
        <f t="shared" ref="AY42:BE42" si="197">+SUMPRODUCT($EL$4:$EL$23,AY$4:AY$23)</f>
        <v>0</v>
      </c>
      <c r="AZ42" s="160">
        <f t="shared" si="197"/>
        <v>0</v>
      </c>
      <c r="BA42" s="160">
        <f t="shared" si="197"/>
        <v>0</v>
      </c>
      <c r="BB42" s="160">
        <f t="shared" si="197"/>
        <v>0</v>
      </c>
      <c r="BC42" s="160">
        <f t="shared" si="197"/>
        <v>0</v>
      </c>
      <c r="BD42" s="160">
        <f t="shared" si="197"/>
        <v>0</v>
      </c>
      <c r="BE42" s="160">
        <f t="shared" si="197"/>
        <v>0</v>
      </c>
      <c r="BF42" s="161">
        <f>+SUMPRODUCT($EL$4:$EL$23,BE$4:BE$23)</f>
        <v>0</v>
      </c>
      <c r="BG42" s="3"/>
      <c r="BH42" s="109"/>
      <c r="BJ42" s="159">
        <f t="shared" ref="BJ42:BP42" si="198">+SUMPRODUCT($EL$4:$EL$23,BJ$4:BJ$23)</f>
        <v>0</v>
      </c>
      <c r="BK42" s="160">
        <f t="shared" si="198"/>
        <v>0</v>
      </c>
      <c r="BL42" s="160">
        <f t="shared" si="198"/>
        <v>0</v>
      </c>
      <c r="BM42" s="160">
        <f t="shared" si="198"/>
        <v>0</v>
      </c>
      <c r="BN42" s="160">
        <f t="shared" si="198"/>
        <v>0</v>
      </c>
      <c r="BO42" s="160">
        <f t="shared" si="198"/>
        <v>0</v>
      </c>
      <c r="BP42" s="160">
        <f t="shared" si="198"/>
        <v>0</v>
      </c>
      <c r="BQ42" s="161">
        <f>+SUMPRODUCT($EL$4:$EL$23,BP$4:BP$23)</f>
        <v>0</v>
      </c>
      <c r="BR42" s="3"/>
      <c r="BS42" s="109"/>
      <c r="BU42" s="159">
        <f t="shared" ref="BU42:CA42" si="199">+SUMPRODUCT($EL$4:$EL$23,BU$4:BU$23)</f>
        <v>0</v>
      </c>
      <c r="BV42" s="160">
        <f t="shared" si="199"/>
        <v>0</v>
      </c>
      <c r="BW42" s="160">
        <f t="shared" si="199"/>
        <v>0</v>
      </c>
      <c r="BX42" s="160">
        <f t="shared" si="199"/>
        <v>0</v>
      </c>
      <c r="BY42" s="160">
        <f t="shared" si="199"/>
        <v>0</v>
      </c>
      <c r="BZ42" s="160">
        <f t="shared" si="199"/>
        <v>0</v>
      </c>
      <c r="CA42" s="160">
        <f t="shared" si="199"/>
        <v>0</v>
      </c>
      <c r="CB42" s="161">
        <f>+SUMPRODUCT($EL$4:$EL$23,CA$4:CA$23)</f>
        <v>0</v>
      </c>
      <c r="CC42" s="3"/>
      <c r="CD42" s="109"/>
      <c r="CF42" s="159">
        <f t="shared" ref="CF42:CL42" si="200">+SUMPRODUCT($EL$4:$EL$23,CF$4:CF$23)</f>
        <v>0</v>
      </c>
      <c r="CG42" s="160">
        <f t="shared" si="200"/>
        <v>0</v>
      </c>
      <c r="CH42" s="160">
        <f t="shared" si="200"/>
        <v>0</v>
      </c>
      <c r="CI42" s="160">
        <f t="shared" si="200"/>
        <v>0</v>
      </c>
      <c r="CJ42" s="160">
        <f t="shared" si="200"/>
        <v>0</v>
      </c>
      <c r="CK42" s="160">
        <f t="shared" si="200"/>
        <v>0</v>
      </c>
      <c r="CL42" s="160">
        <f t="shared" si="200"/>
        <v>0</v>
      </c>
      <c r="CM42" s="161">
        <f>+SUMPRODUCT($EL$4:$EL$23,CL$4:CL$23)</f>
        <v>0</v>
      </c>
      <c r="CN42" s="3"/>
      <c r="CO42" s="109"/>
      <c r="CQ42" s="159">
        <f t="shared" ref="CQ42:CW42" si="201">+SUMPRODUCT($EL$4:$EL$23,CQ$4:CQ$23)</f>
        <v>0</v>
      </c>
      <c r="CR42" s="160">
        <f t="shared" si="201"/>
        <v>0</v>
      </c>
      <c r="CS42" s="160">
        <f t="shared" si="201"/>
        <v>0</v>
      </c>
      <c r="CT42" s="160">
        <f t="shared" si="201"/>
        <v>0</v>
      </c>
      <c r="CU42" s="160">
        <f t="shared" si="201"/>
        <v>0</v>
      </c>
      <c r="CV42" s="160">
        <f t="shared" si="201"/>
        <v>0</v>
      </c>
      <c r="CW42" s="160">
        <f t="shared" si="201"/>
        <v>0</v>
      </c>
      <c r="CX42" s="161">
        <f>+SUMPRODUCT($EL$4:$EL$23,CW$4:CW$23)</f>
        <v>0</v>
      </c>
      <c r="CY42" s="3"/>
      <c r="CZ42" s="109"/>
      <c r="DB42" s="159">
        <f t="shared" ref="DB42:DH42" si="202">+SUMPRODUCT($EL$4:$EL$23,DB$4:DB$23)</f>
        <v>0</v>
      </c>
      <c r="DC42" s="160">
        <f t="shared" si="202"/>
        <v>0</v>
      </c>
      <c r="DD42" s="160">
        <f t="shared" si="202"/>
        <v>0</v>
      </c>
      <c r="DE42" s="160">
        <f t="shared" si="202"/>
        <v>0</v>
      </c>
      <c r="DF42" s="160">
        <f t="shared" si="202"/>
        <v>0</v>
      </c>
      <c r="DG42" s="160">
        <f t="shared" si="202"/>
        <v>0</v>
      </c>
      <c r="DH42" s="160">
        <f t="shared" si="202"/>
        <v>0</v>
      </c>
      <c r="DI42" s="161">
        <f>+SUMPRODUCT($EL$4:$EL$23,DH$4:DH$23)</f>
        <v>0</v>
      </c>
      <c r="DJ42" s="3"/>
      <c r="DK42" s="109"/>
      <c r="DM42" s="159">
        <f t="shared" ref="DM42:DS42" si="203">+SUMPRODUCT($EL$4:$EL$23,DM$4:DM$23)</f>
        <v>0</v>
      </c>
      <c r="DN42" s="160">
        <f t="shared" si="203"/>
        <v>0</v>
      </c>
      <c r="DO42" s="160">
        <f t="shared" si="203"/>
        <v>0</v>
      </c>
      <c r="DP42" s="160">
        <f t="shared" si="203"/>
        <v>0</v>
      </c>
      <c r="DQ42" s="160">
        <f t="shared" si="203"/>
        <v>0</v>
      </c>
      <c r="DR42" s="160">
        <f t="shared" si="203"/>
        <v>0</v>
      </c>
      <c r="DS42" s="160">
        <f t="shared" si="203"/>
        <v>0</v>
      </c>
      <c r="DT42" s="161">
        <f>+SUMPRODUCT($EL$4:$EL$23,DS$4:DS$23)</f>
        <v>0</v>
      </c>
      <c r="DU42" s="3"/>
      <c r="DV42" s="109"/>
    </row>
    <row r="43" spans="2:152" ht="13.5" customHeight="1">
      <c r="C43" s="41" t="s">
        <v>222</v>
      </c>
      <c r="N43" s="41" t="s">
        <v>222</v>
      </c>
      <c r="O43" s="106"/>
      <c r="P43" s="109"/>
      <c r="R43" s="159">
        <f t="shared" ref="R43:X43" si="204">+SUMPRODUCT($EM$4:$EM$23,R$4:R$23)+SUMPRODUCT($EN$4:$EN$23,R$4:R$23)</f>
        <v>0</v>
      </c>
      <c r="S43" s="160">
        <f t="shared" si="204"/>
        <v>0</v>
      </c>
      <c r="T43" s="160">
        <f t="shared" si="204"/>
        <v>0</v>
      </c>
      <c r="U43" s="160">
        <f t="shared" si="204"/>
        <v>0</v>
      </c>
      <c r="V43" s="160">
        <f t="shared" si="204"/>
        <v>0</v>
      </c>
      <c r="W43" s="160">
        <f t="shared" si="204"/>
        <v>0</v>
      </c>
      <c r="X43" s="160">
        <f t="shared" si="204"/>
        <v>0</v>
      </c>
      <c r="Y43" s="161">
        <f>+SUMPRODUCT($EM$4:$EM$23,X$4:X$23)+SUMPRODUCT($EN$4:$EN$23,X$4:X$23)</f>
        <v>0</v>
      </c>
      <c r="Z43" s="3"/>
      <c r="AA43" s="109"/>
      <c r="AC43" s="159">
        <f t="shared" ref="AC43:AI43" si="205">+SUMPRODUCT($EM$4:$EM$23,AC$4:AC$23)+SUMPRODUCT($EN$4:$EN$23,AC$4:AC$23)</f>
        <v>0</v>
      </c>
      <c r="AD43" s="160">
        <f t="shared" si="205"/>
        <v>0</v>
      </c>
      <c r="AE43" s="160">
        <f t="shared" si="205"/>
        <v>0</v>
      </c>
      <c r="AF43" s="160">
        <f t="shared" si="205"/>
        <v>0</v>
      </c>
      <c r="AG43" s="160">
        <f t="shared" si="205"/>
        <v>0</v>
      </c>
      <c r="AH43" s="160">
        <f t="shared" si="205"/>
        <v>0</v>
      </c>
      <c r="AI43" s="160">
        <f t="shared" si="205"/>
        <v>0</v>
      </c>
      <c r="AJ43" s="161">
        <f>+SUMPRODUCT($EM$4:$EM$23,AI$4:AI$23)+SUMPRODUCT($EN$4:$EN$23,AI$4:AI$23)</f>
        <v>0</v>
      </c>
      <c r="AK43" s="3"/>
      <c r="AL43" s="109"/>
      <c r="AN43" s="159">
        <f t="shared" ref="AN43:AT43" si="206">+SUMPRODUCT($EM$4:$EM$23,AN$4:AN$23)+SUMPRODUCT($EN$4:$EN$23,AN$4:AN$23)</f>
        <v>0</v>
      </c>
      <c r="AO43" s="160">
        <f t="shared" si="206"/>
        <v>0</v>
      </c>
      <c r="AP43" s="160">
        <f t="shared" si="206"/>
        <v>0</v>
      </c>
      <c r="AQ43" s="160">
        <f t="shared" si="206"/>
        <v>0</v>
      </c>
      <c r="AR43" s="160">
        <f t="shared" si="206"/>
        <v>0</v>
      </c>
      <c r="AS43" s="160">
        <f t="shared" si="206"/>
        <v>0</v>
      </c>
      <c r="AT43" s="160">
        <f t="shared" si="206"/>
        <v>0</v>
      </c>
      <c r="AU43" s="161">
        <f>+SUMPRODUCT($EM$4:$EM$23,AT$4:AT$23)+SUMPRODUCT($EN$4:$EN$23,AT$4:AT$23)</f>
        <v>0</v>
      </c>
      <c r="AV43" s="3"/>
      <c r="AW43" s="109"/>
      <c r="AY43" s="159">
        <f t="shared" ref="AY43:BE43" si="207">+SUMPRODUCT($EM$4:$EM$23,AY$4:AY$23)+SUMPRODUCT($EN$4:$EN$23,AY$4:AY$23)</f>
        <v>0</v>
      </c>
      <c r="AZ43" s="160">
        <f t="shared" si="207"/>
        <v>0</v>
      </c>
      <c r="BA43" s="160">
        <f t="shared" si="207"/>
        <v>0</v>
      </c>
      <c r="BB43" s="160">
        <f t="shared" si="207"/>
        <v>0</v>
      </c>
      <c r="BC43" s="160">
        <f t="shared" si="207"/>
        <v>0</v>
      </c>
      <c r="BD43" s="160">
        <f t="shared" si="207"/>
        <v>0</v>
      </c>
      <c r="BE43" s="160">
        <f t="shared" si="207"/>
        <v>0</v>
      </c>
      <c r="BF43" s="161">
        <f>+SUMPRODUCT($EM$4:$EM$23,BE$4:BE$23)+SUMPRODUCT($EN$4:$EN$23,BE$4:BE$23)</f>
        <v>0</v>
      </c>
      <c r="BG43" s="3"/>
      <c r="BH43" s="109"/>
      <c r="BJ43" s="159">
        <f t="shared" ref="BJ43:BP43" si="208">+SUMPRODUCT($EM$4:$EM$23,BJ$4:BJ$23)+SUMPRODUCT($EN$4:$EN$23,BJ$4:BJ$23)</f>
        <v>0</v>
      </c>
      <c r="BK43" s="160">
        <f t="shared" si="208"/>
        <v>0</v>
      </c>
      <c r="BL43" s="160">
        <f t="shared" si="208"/>
        <v>0</v>
      </c>
      <c r="BM43" s="160">
        <f t="shared" si="208"/>
        <v>0</v>
      </c>
      <c r="BN43" s="160">
        <f t="shared" si="208"/>
        <v>0</v>
      </c>
      <c r="BO43" s="160">
        <f t="shared" si="208"/>
        <v>0</v>
      </c>
      <c r="BP43" s="160">
        <f t="shared" si="208"/>
        <v>0</v>
      </c>
      <c r="BQ43" s="161">
        <f>+SUMPRODUCT($EM$4:$EM$23,BP$4:BP$23)+SUMPRODUCT($EN$4:$EN$23,BP$4:BP$23)</f>
        <v>0</v>
      </c>
      <c r="BR43" s="3"/>
      <c r="BS43" s="109"/>
      <c r="BU43" s="159">
        <f t="shared" ref="BU43:CA43" si="209">+SUMPRODUCT($EM$4:$EM$23,BU$4:BU$23)+SUMPRODUCT($EN$4:$EN$23,BU$4:BU$23)</f>
        <v>0</v>
      </c>
      <c r="BV43" s="160">
        <f t="shared" si="209"/>
        <v>0</v>
      </c>
      <c r="BW43" s="160">
        <f t="shared" si="209"/>
        <v>0</v>
      </c>
      <c r="BX43" s="160">
        <f t="shared" si="209"/>
        <v>0</v>
      </c>
      <c r="BY43" s="160">
        <f t="shared" si="209"/>
        <v>0</v>
      </c>
      <c r="BZ43" s="160">
        <f t="shared" si="209"/>
        <v>0</v>
      </c>
      <c r="CA43" s="160">
        <f t="shared" si="209"/>
        <v>0</v>
      </c>
      <c r="CB43" s="161">
        <f>+SUMPRODUCT($EM$4:$EM$23,CA$4:CA$23)+SUMPRODUCT($EN$4:$EN$23,CA$4:CA$23)</f>
        <v>0</v>
      </c>
      <c r="CC43" s="3"/>
      <c r="CD43" s="109"/>
      <c r="CF43" s="159">
        <f t="shared" ref="CF43:CL43" si="210">+SUMPRODUCT($EM$4:$EM$23,CF$4:CF$23)+SUMPRODUCT($EN$4:$EN$23,CF$4:CF$23)</f>
        <v>0</v>
      </c>
      <c r="CG43" s="160">
        <f t="shared" si="210"/>
        <v>0</v>
      </c>
      <c r="CH43" s="160">
        <f t="shared" si="210"/>
        <v>0</v>
      </c>
      <c r="CI43" s="160">
        <f t="shared" si="210"/>
        <v>0</v>
      </c>
      <c r="CJ43" s="160">
        <f t="shared" si="210"/>
        <v>0</v>
      </c>
      <c r="CK43" s="160">
        <f t="shared" si="210"/>
        <v>0</v>
      </c>
      <c r="CL43" s="160">
        <f t="shared" si="210"/>
        <v>0</v>
      </c>
      <c r="CM43" s="161">
        <f>+SUMPRODUCT($EM$4:$EM$23,CL$4:CL$23)+SUMPRODUCT($EN$4:$EN$23,CL$4:CL$23)</f>
        <v>0</v>
      </c>
      <c r="CN43" s="3"/>
      <c r="CO43" s="109"/>
      <c r="CQ43" s="159">
        <f t="shared" ref="CQ43:CW43" si="211">+SUMPRODUCT($EM$4:$EM$23,CQ$4:CQ$23)+SUMPRODUCT($EN$4:$EN$23,CQ$4:CQ$23)</f>
        <v>0</v>
      </c>
      <c r="CR43" s="160">
        <f t="shared" si="211"/>
        <v>0</v>
      </c>
      <c r="CS43" s="160">
        <f t="shared" si="211"/>
        <v>0</v>
      </c>
      <c r="CT43" s="160">
        <f t="shared" si="211"/>
        <v>0</v>
      </c>
      <c r="CU43" s="160">
        <f t="shared" si="211"/>
        <v>0</v>
      </c>
      <c r="CV43" s="160">
        <f t="shared" si="211"/>
        <v>0</v>
      </c>
      <c r="CW43" s="160">
        <f t="shared" si="211"/>
        <v>0</v>
      </c>
      <c r="CX43" s="161">
        <f>+SUMPRODUCT($EM$4:$EM$23,CW$4:CW$23)+SUMPRODUCT($EN$4:$EN$23,CW$4:CW$23)</f>
        <v>0</v>
      </c>
      <c r="CY43" s="3"/>
      <c r="CZ43" s="109"/>
      <c r="DB43" s="159">
        <f t="shared" ref="DB43:DH43" si="212">+SUMPRODUCT($EM$4:$EM$23,DB$4:DB$23)+SUMPRODUCT($EN$4:$EN$23,DB$4:DB$23)</f>
        <v>0</v>
      </c>
      <c r="DC43" s="160">
        <f t="shared" si="212"/>
        <v>0</v>
      </c>
      <c r="DD43" s="160">
        <f t="shared" si="212"/>
        <v>0</v>
      </c>
      <c r="DE43" s="160">
        <f t="shared" si="212"/>
        <v>0</v>
      </c>
      <c r="DF43" s="160">
        <f t="shared" si="212"/>
        <v>0</v>
      </c>
      <c r="DG43" s="160">
        <f t="shared" si="212"/>
        <v>0</v>
      </c>
      <c r="DH43" s="160">
        <f t="shared" si="212"/>
        <v>0</v>
      </c>
      <c r="DI43" s="161">
        <f>+SUMPRODUCT($EM$4:$EM$23,DH$4:DH$23)+SUMPRODUCT($EN$4:$EN$23,DH$4:DH$23)</f>
        <v>0</v>
      </c>
      <c r="DJ43" s="3"/>
      <c r="DK43" s="109"/>
      <c r="DM43" s="159">
        <f t="shared" ref="DM43:DS43" si="213">+SUMPRODUCT($EM$4:$EM$23,DM$4:DM$23)+SUMPRODUCT($EN$4:$EN$23,DM$4:DM$23)</f>
        <v>0</v>
      </c>
      <c r="DN43" s="160">
        <f t="shared" si="213"/>
        <v>0</v>
      </c>
      <c r="DO43" s="160">
        <f t="shared" si="213"/>
        <v>0</v>
      </c>
      <c r="DP43" s="160">
        <f t="shared" si="213"/>
        <v>0</v>
      </c>
      <c r="DQ43" s="160">
        <f t="shared" si="213"/>
        <v>0</v>
      </c>
      <c r="DR43" s="160">
        <f t="shared" si="213"/>
        <v>0</v>
      </c>
      <c r="DS43" s="160">
        <f t="shared" si="213"/>
        <v>0</v>
      </c>
      <c r="DT43" s="161">
        <f>+SUMPRODUCT($EM$4:$EM$23,DS$4:DS$23)+SUMPRODUCT($EN$4:$EN$23,DS$4:DS$23)</f>
        <v>0</v>
      </c>
      <c r="DU43" s="3"/>
      <c r="DV43" s="109"/>
    </row>
    <row r="44" spans="2:152" ht="13.5" customHeight="1">
      <c r="C44" s="41" t="s">
        <v>141</v>
      </c>
      <c r="N44" s="41" t="s">
        <v>141</v>
      </c>
      <c r="O44" s="106"/>
      <c r="P44" s="109"/>
      <c r="R44" s="159">
        <f t="shared" ref="R44:X44" si="214">+SUMPRODUCT($EO$4:$EO$23,R$4:R$23)</f>
        <v>0</v>
      </c>
      <c r="S44" s="160">
        <f t="shared" si="214"/>
        <v>0</v>
      </c>
      <c r="T44" s="160">
        <f t="shared" si="214"/>
        <v>0</v>
      </c>
      <c r="U44" s="160">
        <f t="shared" si="214"/>
        <v>0</v>
      </c>
      <c r="V44" s="160">
        <f t="shared" si="214"/>
        <v>0</v>
      </c>
      <c r="W44" s="160">
        <f t="shared" si="214"/>
        <v>0</v>
      </c>
      <c r="X44" s="160">
        <f t="shared" si="214"/>
        <v>0</v>
      </c>
      <c r="Y44" s="161">
        <f>+SUMPRODUCT($EO$4:$EO$23,X$4:X$23)</f>
        <v>0</v>
      </c>
      <c r="Z44" s="3"/>
      <c r="AA44" s="109"/>
      <c r="AC44" s="159">
        <f t="shared" ref="AC44:AI44" si="215">+SUMPRODUCT($EO$4:$EO$23,AC$4:AC$23)</f>
        <v>0</v>
      </c>
      <c r="AD44" s="160">
        <f t="shared" si="215"/>
        <v>0</v>
      </c>
      <c r="AE44" s="160">
        <f t="shared" si="215"/>
        <v>0</v>
      </c>
      <c r="AF44" s="160">
        <f t="shared" si="215"/>
        <v>0</v>
      </c>
      <c r="AG44" s="160">
        <f t="shared" si="215"/>
        <v>0</v>
      </c>
      <c r="AH44" s="160">
        <f t="shared" si="215"/>
        <v>0</v>
      </c>
      <c r="AI44" s="160">
        <f t="shared" si="215"/>
        <v>0</v>
      </c>
      <c r="AJ44" s="161">
        <f>+SUMPRODUCT($EO$4:$EO$23,AI$4:AI$23)</f>
        <v>0</v>
      </c>
      <c r="AK44" s="3"/>
      <c r="AL44" s="109"/>
      <c r="AN44" s="159">
        <f t="shared" ref="AN44:AT44" si="216">+SUMPRODUCT($EO$4:$EO$23,AN$4:AN$23)</f>
        <v>0</v>
      </c>
      <c r="AO44" s="160">
        <f t="shared" si="216"/>
        <v>0</v>
      </c>
      <c r="AP44" s="160">
        <f t="shared" si="216"/>
        <v>0</v>
      </c>
      <c r="AQ44" s="160">
        <f t="shared" si="216"/>
        <v>0</v>
      </c>
      <c r="AR44" s="160">
        <f t="shared" si="216"/>
        <v>0</v>
      </c>
      <c r="AS44" s="160">
        <f t="shared" si="216"/>
        <v>0</v>
      </c>
      <c r="AT44" s="160">
        <f t="shared" si="216"/>
        <v>0</v>
      </c>
      <c r="AU44" s="161">
        <f>+SUMPRODUCT($EO$4:$EO$23,AT$4:AT$23)</f>
        <v>0</v>
      </c>
      <c r="AV44" s="3"/>
      <c r="AW44" s="109"/>
      <c r="AY44" s="159">
        <f t="shared" ref="AY44:BE44" si="217">+SUMPRODUCT($EO$4:$EO$23,AY$4:AY$23)</f>
        <v>0</v>
      </c>
      <c r="AZ44" s="160">
        <f t="shared" si="217"/>
        <v>0</v>
      </c>
      <c r="BA44" s="160">
        <f t="shared" si="217"/>
        <v>0</v>
      </c>
      <c r="BB44" s="160">
        <f t="shared" si="217"/>
        <v>0</v>
      </c>
      <c r="BC44" s="160">
        <f t="shared" si="217"/>
        <v>0</v>
      </c>
      <c r="BD44" s="160">
        <f t="shared" si="217"/>
        <v>0</v>
      </c>
      <c r="BE44" s="160">
        <f t="shared" si="217"/>
        <v>0</v>
      </c>
      <c r="BF44" s="161">
        <f>+SUMPRODUCT($EO$4:$EO$23,BE$4:BE$23)</f>
        <v>0</v>
      </c>
      <c r="BG44" s="3"/>
      <c r="BH44" s="109"/>
      <c r="BJ44" s="159">
        <f t="shared" ref="BJ44:BP44" si="218">+SUMPRODUCT($EO$4:$EO$23,BJ$4:BJ$23)</f>
        <v>0</v>
      </c>
      <c r="BK44" s="160">
        <f t="shared" si="218"/>
        <v>0</v>
      </c>
      <c r="BL44" s="160">
        <f t="shared" si="218"/>
        <v>0</v>
      </c>
      <c r="BM44" s="160">
        <f t="shared" si="218"/>
        <v>0</v>
      </c>
      <c r="BN44" s="160">
        <f t="shared" si="218"/>
        <v>0</v>
      </c>
      <c r="BO44" s="160">
        <f t="shared" si="218"/>
        <v>0</v>
      </c>
      <c r="BP44" s="160">
        <f t="shared" si="218"/>
        <v>0</v>
      </c>
      <c r="BQ44" s="161">
        <f>+SUMPRODUCT($EO$4:$EO$23,BP$4:BP$23)</f>
        <v>0</v>
      </c>
      <c r="BR44" s="3"/>
      <c r="BS44" s="109"/>
      <c r="BU44" s="159">
        <f t="shared" ref="BU44:CA44" si="219">+SUMPRODUCT($EO$4:$EO$23,BU$4:BU$23)</f>
        <v>0</v>
      </c>
      <c r="BV44" s="160">
        <f t="shared" si="219"/>
        <v>0</v>
      </c>
      <c r="BW44" s="160">
        <f t="shared" si="219"/>
        <v>0</v>
      </c>
      <c r="BX44" s="160">
        <f t="shared" si="219"/>
        <v>0</v>
      </c>
      <c r="BY44" s="160">
        <f t="shared" si="219"/>
        <v>0</v>
      </c>
      <c r="BZ44" s="160">
        <f t="shared" si="219"/>
        <v>0</v>
      </c>
      <c r="CA44" s="160">
        <f t="shared" si="219"/>
        <v>0</v>
      </c>
      <c r="CB44" s="161">
        <f>+SUMPRODUCT($EO$4:$EO$23,CA$4:CA$23)</f>
        <v>0</v>
      </c>
      <c r="CC44" s="3"/>
      <c r="CD44" s="109"/>
      <c r="CF44" s="159">
        <f t="shared" ref="CF44:CL44" si="220">+SUMPRODUCT($EO$4:$EO$23,CF$4:CF$23)</f>
        <v>0</v>
      </c>
      <c r="CG44" s="160">
        <f t="shared" si="220"/>
        <v>0</v>
      </c>
      <c r="CH44" s="160">
        <f t="shared" si="220"/>
        <v>0</v>
      </c>
      <c r="CI44" s="160">
        <f t="shared" si="220"/>
        <v>0</v>
      </c>
      <c r="CJ44" s="160">
        <f t="shared" si="220"/>
        <v>0</v>
      </c>
      <c r="CK44" s="160">
        <f t="shared" si="220"/>
        <v>0</v>
      </c>
      <c r="CL44" s="160">
        <f t="shared" si="220"/>
        <v>0</v>
      </c>
      <c r="CM44" s="161">
        <f>+SUMPRODUCT($EO$4:$EO$23,CL$4:CL$23)</f>
        <v>0</v>
      </c>
      <c r="CN44" s="3"/>
      <c r="CO44" s="109"/>
      <c r="CQ44" s="159">
        <f t="shared" ref="CQ44:CW44" si="221">+SUMPRODUCT($EO$4:$EO$23,CQ$4:CQ$23)</f>
        <v>0</v>
      </c>
      <c r="CR44" s="160">
        <f t="shared" si="221"/>
        <v>0</v>
      </c>
      <c r="CS44" s="160">
        <f t="shared" si="221"/>
        <v>0</v>
      </c>
      <c r="CT44" s="160">
        <f t="shared" si="221"/>
        <v>0</v>
      </c>
      <c r="CU44" s="160">
        <f t="shared" si="221"/>
        <v>0</v>
      </c>
      <c r="CV44" s="160">
        <f t="shared" si="221"/>
        <v>0</v>
      </c>
      <c r="CW44" s="160">
        <f t="shared" si="221"/>
        <v>0</v>
      </c>
      <c r="CX44" s="161">
        <f>+SUMPRODUCT($EO$4:$EO$23,CW$4:CW$23)</f>
        <v>0</v>
      </c>
      <c r="CY44" s="3"/>
      <c r="CZ44" s="109"/>
      <c r="DB44" s="159">
        <f t="shared" ref="DB44:DH44" si="222">+SUMPRODUCT($EO$4:$EO$23,DB$4:DB$23)</f>
        <v>0</v>
      </c>
      <c r="DC44" s="160">
        <f t="shared" si="222"/>
        <v>0</v>
      </c>
      <c r="DD44" s="160">
        <f t="shared" si="222"/>
        <v>0</v>
      </c>
      <c r="DE44" s="160">
        <f t="shared" si="222"/>
        <v>0</v>
      </c>
      <c r="DF44" s="160">
        <f t="shared" si="222"/>
        <v>0</v>
      </c>
      <c r="DG44" s="160">
        <f t="shared" si="222"/>
        <v>0</v>
      </c>
      <c r="DH44" s="160">
        <f t="shared" si="222"/>
        <v>0</v>
      </c>
      <c r="DI44" s="161">
        <f>+SUMPRODUCT($EO$4:$EO$23,DH$4:DH$23)</f>
        <v>0</v>
      </c>
      <c r="DJ44" s="3"/>
      <c r="DK44" s="109"/>
      <c r="DM44" s="159">
        <f t="shared" ref="DM44:DS44" si="223">+SUMPRODUCT($EO$4:$EO$23,DM$4:DM$23)</f>
        <v>0</v>
      </c>
      <c r="DN44" s="160">
        <f t="shared" si="223"/>
        <v>0</v>
      </c>
      <c r="DO44" s="160">
        <f t="shared" si="223"/>
        <v>0</v>
      </c>
      <c r="DP44" s="160">
        <f t="shared" si="223"/>
        <v>0</v>
      </c>
      <c r="DQ44" s="160">
        <f t="shared" si="223"/>
        <v>0</v>
      </c>
      <c r="DR44" s="160">
        <f t="shared" si="223"/>
        <v>0</v>
      </c>
      <c r="DS44" s="160">
        <f t="shared" si="223"/>
        <v>0</v>
      </c>
      <c r="DT44" s="161">
        <f>+SUMPRODUCT($EO$4:$EO$23,DS$4:DS$23)</f>
        <v>0</v>
      </c>
      <c r="DU44" s="3"/>
      <c r="DV44" s="109"/>
    </row>
    <row r="45" spans="2:152" ht="13.5" customHeight="1">
      <c r="C45" s="41" t="s">
        <v>199</v>
      </c>
      <c r="N45" s="41" t="s">
        <v>199</v>
      </c>
      <c r="O45" s="106"/>
      <c r="P45" s="109"/>
      <c r="R45" s="159">
        <f t="shared" ref="R45:X45" si="224">+SUMPRODUCT($EP$4:$EP$23,R$4:R$23)</f>
        <v>0</v>
      </c>
      <c r="S45" s="160">
        <f t="shared" si="224"/>
        <v>0</v>
      </c>
      <c r="T45" s="160">
        <f t="shared" si="224"/>
        <v>0</v>
      </c>
      <c r="U45" s="160">
        <f t="shared" si="224"/>
        <v>0</v>
      </c>
      <c r="V45" s="160">
        <f t="shared" si="224"/>
        <v>0</v>
      </c>
      <c r="W45" s="160">
        <f t="shared" si="224"/>
        <v>0</v>
      </c>
      <c r="X45" s="160">
        <f t="shared" si="224"/>
        <v>0</v>
      </c>
      <c r="Y45" s="161">
        <f>+SUMPRODUCT($EP$4:$EP$23,X$4:X$23)</f>
        <v>0</v>
      </c>
      <c r="Z45" s="3"/>
      <c r="AA45" s="109"/>
      <c r="AC45" s="159">
        <f t="shared" ref="AC45:AI45" si="225">+SUMPRODUCT($EP$4:$EP$23,AC$4:AC$23)</f>
        <v>0</v>
      </c>
      <c r="AD45" s="160">
        <f t="shared" si="225"/>
        <v>0</v>
      </c>
      <c r="AE45" s="160">
        <f t="shared" si="225"/>
        <v>0</v>
      </c>
      <c r="AF45" s="160">
        <f t="shared" si="225"/>
        <v>0</v>
      </c>
      <c r="AG45" s="160">
        <f t="shared" si="225"/>
        <v>0</v>
      </c>
      <c r="AH45" s="160">
        <f t="shared" si="225"/>
        <v>0</v>
      </c>
      <c r="AI45" s="160">
        <f t="shared" si="225"/>
        <v>0</v>
      </c>
      <c r="AJ45" s="161">
        <f>+SUMPRODUCT($EP$4:$EP$23,AI$4:AI$23)</f>
        <v>0</v>
      </c>
      <c r="AK45" s="3"/>
      <c r="AL45" s="109"/>
      <c r="AN45" s="159">
        <f t="shared" ref="AN45:AT45" si="226">+SUMPRODUCT($EP$4:$EP$23,AN$4:AN$23)</f>
        <v>0</v>
      </c>
      <c r="AO45" s="160">
        <f t="shared" si="226"/>
        <v>0</v>
      </c>
      <c r="AP45" s="160">
        <f t="shared" si="226"/>
        <v>0</v>
      </c>
      <c r="AQ45" s="160">
        <f t="shared" si="226"/>
        <v>0</v>
      </c>
      <c r="AR45" s="160">
        <f t="shared" si="226"/>
        <v>0</v>
      </c>
      <c r="AS45" s="160">
        <f t="shared" si="226"/>
        <v>0</v>
      </c>
      <c r="AT45" s="160">
        <f t="shared" si="226"/>
        <v>0</v>
      </c>
      <c r="AU45" s="161">
        <f>+SUMPRODUCT($EP$4:$EP$23,AT$4:AT$23)</f>
        <v>0</v>
      </c>
      <c r="AV45" s="3"/>
      <c r="AW45" s="109"/>
      <c r="AY45" s="159">
        <f t="shared" ref="AY45:BE45" si="227">+SUMPRODUCT($EP$4:$EP$23,AY$4:AY$23)</f>
        <v>0</v>
      </c>
      <c r="AZ45" s="160">
        <f t="shared" si="227"/>
        <v>0</v>
      </c>
      <c r="BA45" s="160">
        <f t="shared" si="227"/>
        <v>0</v>
      </c>
      <c r="BB45" s="160">
        <f t="shared" si="227"/>
        <v>0</v>
      </c>
      <c r="BC45" s="160">
        <f t="shared" si="227"/>
        <v>0</v>
      </c>
      <c r="BD45" s="160">
        <f t="shared" si="227"/>
        <v>0</v>
      </c>
      <c r="BE45" s="160">
        <f t="shared" si="227"/>
        <v>0</v>
      </c>
      <c r="BF45" s="161">
        <f>+SUMPRODUCT($EP$4:$EP$23,BE$4:BE$23)</f>
        <v>0</v>
      </c>
      <c r="BG45" s="3"/>
      <c r="BH45" s="109"/>
      <c r="BJ45" s="159">
        <f t="shared" ref="BJ45:BP45" si="228">+SUMPRODUCT($EP$4:$EP$23,BJ$4:BJ$23)</f>
        <v>0</v>
      </c>
      <c r="BK45" s="160">
        <f t="shared" si="228"/>
        <v>0</v>
      </c>
      <c r="BL45" s="160">
        <f t="shared" si="228"/>
        <v>0</v>
      </c>
      <c r="BM45" s="160">
        <f t="shared" si="228"/>
        <v>0</v>
      </c>
      <c r="BN45" s="160">
        <f t="shared" si="228"/>
        <v>0</v>
      </c>
      <c r="BO45" s="160">
        <f t="shared" si="228"/>
        <v>0</v>
      </c>
      <c r="BP45" s="160">
        <f t="shared" si="228"/>
        <v>0</v>
      </c>
      <c r="BQ45" s="161">
        <f>+SUMPRODUCT($EP$4:$EP$23,BP$4:BP$23)</f>
        <v>0</v>
      </c>
      <c r="BR45" s="3"/>
      <c r="BS45" s="109"/>
      <c r="BU45" s="159">
        <f t="shared" ref="BU45:CA45" si="229">+SUMPRODUCT($EP$4:$EP$23,BU$4:BU$23)</f>
        <v>0</v>
      </c>
      <c r="BV45" s="160">
        <f t="shared" si="229"/>
        <v>0</v>
      </c>
      <c r="BW45" s="160">
        <f t="shared" si="229"/>
        <v>0</v>
      </c>
      <c r="BX45" s="160">
        <f t="shared" si="229"/>
        <v>0</v>
      </c>
      <c r="BY45" s="160">
        <f t="shared" si="229"/>
        <v>0</v>
      </c>
      <c r="BZ45" s="160">
        <f t="shared" si="229"/>
        <v>0</v>
      </c>
      <c r="CA45" s="160">
        <f t="shared" si="229"/>
        <v>0</v>
      </c>
      <c r="CB45" s="161">
        <f>+SUMPRODUCT($EP$4:$EP$23,CA$4:CA$23)</f>
        <v>0</v>
      </c>
      <c r="CC45" s="3"/>
      <c r="CD45" s="109"/>
      <c r="CF45" s="159">
        <f t="shared" ref="CF45:CL45" si="230">+SUMPRODUCT($EP$4:$EP$23,CF$4:CF$23)</f>
        <v>0</v>
      </c>
      <c r="CG45" s="160">
        <f t="shared" si="230"/>
        <v>0</v>
      </c>
      <c r="CH45" s="160">
        <f t="shared" si="230"/>
        <v>0</v>
      </c>
      <c r="CI45" s="160">
        <f t="shared" si="230"/>
        <v>0</v>
      </c>
      <c r="CJ45" s="160">
        <f t="shared" si="230"/>
        <v>0</v>
      </c>
      <c r="CK45" s="160">
        <f t="shared" si="230"/>
        <v>0</v>
      </c>
      <c r="CL45" s="160">
        <f t="shared" si="230"/>
        <v>0</v>
      </c>
      <c r="CM45" s="161">
        <f>+SUMPRODUCT($EP$4:$EP$23,CL$4:CL$23)</f>
        <v>0</v>
      </c>
      <c r="CN45" s="3"/>
      <c r="CO45" s="109"/>
      <c r="CQ45" s="159">
        <f t="shared" ref="CQ45:CW45" si="231">+SUMPRODUCT($EP$4:$EP$23,CQ$4:CQ$23)</f>
        <v>0</v>
      </c>
      <c r="CR45" s="160">
        <f t="shared" si="231"/>
        <v>0</v>
      </c>
      <c r="CS45" s="160">
        <f t="shared" si="231"/>
        <v>0</v>
      </c>
      <c r="CT45" s="160">
        <f t="shared" si="231"/>
        <v>0</v>
      </c>
      <c r="CU45" s="160">
        <f t="shared" si="231"/>
        <v>0</v>
      </c>
      <c r="CV45" s="160">
        <f t="shared" si="231"/>
        <v>0</v>
      </c>
      <c r="CW45" s="160">
        <f t="shared" si="231"/>
        <v>0</v>
      </c>
      <c r="CX45" s="161">
        <f>+SUMPRODUCT($EP$4:$EP$23,CW$4:CW$23)</f>
        <v>0</v>
      </c>
      <c r="CY45" s="3"/>
      <c r="CZ45" s="109"/>
      <c r="DB45" s="159">
        <f t="shared" ref="DB45:DH45" si="232">+SUMPRODUCT($EP$4:$EP$23,DB$4:DB$23)</f>
        <v>0</v>
      </c>
      <c r="DC45" s="160">
        <f t="shared" si="232"/>
        <v>0</v>
      </c>
      <c r="DD45" s="160">
        <f t="shared" si="232"/>
        <v>0</v>
      </c>
      <c r="DE45" s="160">
        <f t="shared" si="232"/>
        <v>0</v>
      </c>
      <c r="DF45" s="160">
        <f t="shared" si="232"/>
        <v>0</v>
      </c>
      <c r="DG45" s="160">
        <f t="shared" si="232"/>
        <v>0</v>
      </c>
      <c r="DH45" s="160">
        <f t="shared" si="232"/>
        <v>0</v>
      </c>
      <c r="DI45" s="161">
        <f>+SUMPRODUCT($EP$4:$EP$23,DH$4:DH$23)</f>
        <v>0</v>
      </c>
      <c r="DJ45" s="3"/>
      <c r="DK45" s="109"/>
      <c r="DM45" s="159">
        <f t="shared" ref="DM45:DS45" si="233">+SUMPRODUCT($EP$4:$EP$23,DM$4:DM$23)</f>
        <v>0</v>
      </c>
      <c r="DN45" s="160">
        <f t="shared" si="233"/>
        <v>0</v>
      </c>
      <c r="DO45" s="160">
        <f t="shared" si="233"/>
        <v>0</v>
      </c>
      <c r="DP45" s="160">
        <f t="shared" si="233"/>
        <v>0</v>
      </c>
      <c r="DQ45" s="160">
        <f t="shared" si="233"/>
        <v>0</v>
      </c>
      <c r="DR45" s="160">
        <f t="shared" si="233"/>
        <v>0</v>
      </c>
      <c r="DS45" s="160">
        <f t="shared" si="233"/>
        <v>0</v>
      </c>
      <c r="DT45" s="161">
        <f>+SUMPRODUCT($EP$4:$EP$23,DS$4:DS$23)</f>
        <v>0</v>
      </c>
      <c r="DU45" s="3"/>
      <c r="DV45" s="109"/>
    </row>
    <row r="46" spans="2:152" ht="13.5" customHeight="1" thickBot="1">
      <c r="C46" s="42" t="s">
        <v>142</v>
      </c>
      <c r="N46" s="42" t="s">
        <v>142</v>
      </c>
      <c r="O46" s="106"/>
      <c r="P46" s="109"/>
      <c r="R46" s="162">
        <f t="shared" ref="R46:X46" si="234">+SUMPRODUCT($E$4:$E$23,R$4:R$23)</f>
        <v>0</v>
      </c>
      <c r="S46" s="163">
        <f t="shared" si="234"/>
        <v>0</v>
      </c>
      <c r="T46" s="163">
        <f t="shared" si="234"/>
        <v>0</v>
      </c>
      <c r="U46" s="163">
        <f t="shared" si="234"/>
        <v>0</v>
      </c>
      <c r="V46" s="163">
        <f t="shared" si="234"/>
        <v>0</v>
      </c>
      <c r="W46" s="163">
        <f t="shared" si="234"/>
        <v>1.6653345369377348E-16</v>
      </c>
      <c r="X46" s="163">
        <f t="shared" si="234"/>
        <v>1.6653345369377348E-16</v>
      </c>
      <c r="Y46" s="164">
        <f>+SUMPRODUCT($E$4:$E$23,X$4:X$23)</f>
        <v>1.6653345369377348E-16</v>
      </c>
      <c r="Z46" s="3"/>
      <c r="AA46" s="109"/>
      <c r="AC46" s="162">
        <f t="shared" ref="AC46:AI46" si="235">+SUMPRODUCT($E$4:$E$23,AC$4:AC$23)</f>
        <v>0</v>
      </c>
      <c r="AD46" s="163">
        <f t="shared" si="235"/>
        <v>0</v>
      </c>
      <c r="AE46" s="163">
        <f t="shared" si="235"/>
        <v>0</v>
      </c>
      <c r="AF46" s="163">
        <f t="shared" si="235"/>
        <v>0</v>
      </c>
      <c r="AG46" s="163">
        <f t="shared" si="235"/>
        <v>0</v>
      </c>
      <c r="AH46" s="163">
        <f t="shared" si="235"/>
        <v>4.4408920985006262E-16</v>
      </c>
      <c r="AI46" s="163">
        <f t="shared" si="235"/>
        <v>0</v>
      </c>
      <c r="AJ46" s="164">
        <f>+SUMPRODUCT($E$4:$E$23,AI$4:AI$23)</f>
        <v>0</v>
      </c>
      <c r="AK46" s="3"/>
      <c r="AL46" s="109"/>
      <c r="AN46" s="162">
        <f t="shared" ref="AN46:AT46" si="236">+SUMPRODUCT($E$4:$E$23,AN$4:AN$23)</f>
        <v>0</v>
      </c>
      <c r="AO46" s="163">
        <f t="shared" si="236"/>
        <v>0</v>
      </c>
      <c r="AP46" s="163">
        <f t="shared" si="236"/>
        <v>0</v>
      </c>
      <c r="AQ46" s="163">
        <f t="shared" si="236"/>
        <v>8.8817841970012523E-16</v>
      </c>
      <c r="AR46" s="163">
        <f t="shared" si="236"/>
        <v>0</v>
      </c>
      <c r="AS46" s="163">
        <f t="shared" si="236"/>
        <v>8.8817841970012523E-16</v>
      </c>
      <c r="AT46" s="163">
        <f t="shared" si="236"/>
        <v>8.8817841970012523E-16</v>
      </c>
      <c r="AU46" s="164">
        <f>+SUMPRODUCT($E$4:$E$23,AT$4:AT$23)</f>
        <v>8.8817841970012523E-16</v>
      </c>
      <c r="AV46" s="3"/>
      <c r="AW46" s="109"/>
      <c r="AY46" s="162">
        <f t="shared" ref="AY46:BE46" si="237">+SUMPRODUCT($E$4:$E$23,AY$4:AY$23)</f>
        <v>0</v>
      </c>
      <c r="AZ46" s="163">
        <f t="shared" si="237"/>
        <v>0</v>
      </c>
      <c r="BA46" s="163">
        <f t="shared" si="237"/>
        <v>-1.3322676295501878E-15</v>
      </c>
      <c r="BB46" s="163">
        <f t="shared" si="237"/>
        <v>8.8817841970012523E-16</v>
      </c>
      <c r="BC46" s="163">
        <f t="shared" si="237"/>
        <v>0</v>
      </c>
      <c r="BD46" s="163">
        <f t="shared" si="237"/>
        <v>8.8817841970012523E-16</v>
      </c>
      <c r="BE46" s="163">
        <f t="shared" si="237"/>
        <v>-7.1054273576010019E-15</v>
      </c>
      <c r="BF46" s="164">
        <f>+SUMPRODUCT($E$4:$E$23,BE$4:BE$23)</f>
        <v>-7.1054273576010019E-15</v>
      </c>
      <c r="BG46" s="3"/>
      <c r="BH46" s="109"/>
      <c r="BJ46" s="162">
        <f t="shared" ref="BJ46:BP46" si="238">+SUMPRODUCT($E$4:$E$23,BJ$4:BJ$23)</f>
        <v>0</v>
      </c>
      <c r="BK46" s="163">
        <f t="shared" si="238"/>
        <v>0</v>
      </c>
      <c r="BL46" s="163">
        <f t="shared" si="238"/>
        <v>0</v>
      </c>
      <c r="BM46" s="163">
        <f t="shared" si="238"/>
        <v>8.8817841970012523E-16</v>
      </c>
      <c r="BN46" s="163">
        <f t="shared" si="238"/>
        <v>0</v>
      </c>
      <c r="BO46" s="163">
        <f t="shared" si="238"/>
        <v>4.4408920985006262E-16</v>
      </c>
      <c r="BP46" s="163">
        <f t="shared" si="238"/>
        <v>0</v>
      </c>
      <c r="BQ46" s="164">
        <f>+SUMPRODUCT($E$4:$E$23,BP$4:BP$23)</f>
        <v>0</v>
      </c>
      <c r="BR46" s="3"/>
      <c r="BS46" s="109"/>
      <c r="BU46" s="162">
        <f t="shared" ref="BU46:CA46" si="239">+SUMPRODUCT($E$4:$E$23,BU$4:BU$23)</f>
        <v>0</v>
      </c>
      <c r="BV46" s="163">
        <f t="shared" si="239"/>
        <v>0</v>
      </c>
      <c r="BW46" s="163">
        <f t="shared" si="239"/>
        <v>0</v>
      </c>
      <c r="BX46" s="163">
        <f t="shared" si="239"/>
        <v>8.8817841970012523E-16</v>
      </c>
      <c r="BY46" s="163">
        <f t="shared" si="239"/>
        <v>0</v>
      </c>
      <c r="BZ46" s="163">
        <f t="shared" si="239"/>
        <v>4.4408920985006262E-16</v>
      </c>
      <c r="CA46" s="163">
        <f t="shared" si="239"/>
        <v>0</v>
      </c>
      <c r="CB46" s="164">
        <f>+SUMPRODUCT($E$4:$E$23,CA$4:CA$23)</f>
        <v>0</v>
      </c>
      <c r="CC46" s="3"/>
      <c r="CD46" s="109"/>
      <c r="CF46" s="162">
        <f t="shared" ref="CF46:CL46" si="240">+SUMPRODUCT($E$4:$E$23,CF$4:CF$23)</f>
        <v>0</v>
      </c>
      <c r="CG46" s="163">
        <f t="shared" si="240"/>
        <v>0</v>
      </c>
      <c r="CH46" s="163">
        <f t="shared" si="240"/>
        <v>0</v>
      </c>
      <c r="CI46" s="163">
        <f t="shared" si="240"/>
        <v>8.8817841970012523E-16</v>
      </c>
      <c r="CJ46" s="163">
        <f t="shared" si="240"/>
        <v>0</v>
      </c>
      <c r="CK46" s="163">
        <f t="shared" si="240"/>
        <v>4.4408920985006262E-16</v>
      </c>
      <c r="CL46" s="163">
        <f t="shared" si="240"/>
        <v>0</v>
      </c>
      <c r="CM46" s="164">
        <f>+SUMPRODUCT($E$4:$E$23,CL$4:CL$23)</f>
        <v>0</v>
      </c>
      <c r="CN46" s="3"/>
      <c r="CO46" s="109"/>
      <c r="CQ46" s="162">
        <f t="shared" ref="CQ46:CW46" si="241">+SUMPRODUCT($E$4:$E$23,CQ$4:CQ$23)</f>
        <v>0</v>
      </c>
      <c r="CR46" s="163">
        <f t="shared" si="241"/>
        <v>0</v>
      </c>
      <c r="CS46" s="163">
        <f t="shared" si="241"/>
        <v>0</v>
      </c>
      <c r="CT46" s="163">
        <f t="shared" si="241"/>
        <v>0</v>
      </c>
      <c r="CU46" s="163">
        <f t="shared" si="241"/>
        <v>0</v>
      </c>
      <c r="CV46" s="163">
        <f t="shared" si="241"/>
        <v>5.5511151231257827E-17</v>
      </c>
      <c r="CW46" s="163">
        <f t="shared" si="241"/>
        <v>0</v>
      </c>
      <c r="CX46" s="164">
        <f>+SUMPRODUCT($E$4:$E$23,CW$4:CW$23)</f>
        <v>0</v>
      </c>
      <c r="CY46" s="3"/>
      <c r="CZ46" s="109"/>
      <c r="DB46" s="162">
        <f t="shared" ref="DB46:DH46" si="242">+SUMPRODUCT($E$4:$E$23,DB$4:DB$23)</f>
        <v>0</v>
      </c>
      <c r="DC46" s="163">
        <f t="shared" si="242"/>
        <v>0</v>
      </c>
      <c r="DD46" s="163">
        <f t="shared" si="242"/>
        <v>0</v>
      </c>
      <c r="DE46" s="163">
        <f t="shared" si="242"/>
        <v>8.8817841970012523E-16</v>
      </c>
      <c r="DF46" s="163">
        <f t="shared" si="242"/>
        <v>0</v>
      </c>
      <c r="DG46" s="163">
        <f t="shared" si="242"/>
        <v>7.2164496600635175E-16</v>
      </c>
      <c r="DH46" s="163">
        <f t="shared" si="242"/>
        <v>7.2164496600635175E-16</v>
      </c>
      <c r="DI46" s="164">
        <f>+SUMPRODUCT($E$4:$E$23,DH$4:DH$23)</f>
        <v>7.2164496600635175E-16</v>
      </c>
      <c r="DJ46" s="3"/>
      <c r="DK46" s="109"/>
      <c r="DM46" s="162">
        <f t="shared" ref="DM46:DS46" si="243">+SUMPRODUCT($E$4:$E$23,DM$4:DM$23)</f>
        <v>0</v>
      </c>
      <c r="DN46" s="163">
        <f t="shared" si="243"/>
        <v>0</v>
      </c>
      <c r="DO46" s="163">
        <f t="shared" si="243"/>
        <v>0</v>
      </c>
      <c r="DP46" s="163">
        <f t="shared" si="243"/>
        <v>0</v>
      </c>
      <c r="DQ46" s="163">
        <f t="shared" si="243"/>
        <v>0</v>
      </c>
      <c r="DR46" s="163">
        <f t="shared" si="243"/>
        <v>1.6653345369377348E-16</v>
      </c>
      <c r="DS46" s="163">
        <f t="shared" si="243"/>
        <v>1.6653345369377348E-16</v>
      </c>
      <c r="DT46" s="164">
        <f>+SUMPRODUCT($E$4:$E$23,DS$4:DS$23)</f>
        <v>1.6653345369377348E-16</v>
      </c>
      <c r="DU46" s="3"/>
      <c r="DV46" s="109"/>
    </row>
    <row r="47" spans="2:152" ht="13.5" customHeight="1" thickTop="1"/>
    <row r="48" spans="2:152" ht="24.75" customHeight="1"/>
  </sheetData>
  <sheetProtection formatCells="0" formatColumns="0" formatRows="0" insertColumns="0" insertRows="0" deleteColumns="0" deleteRows="0" sort="0"/>
  <mergeCells count="10">
    <mergeCell ref="DM2:DT2"/>
    <mergeCell ref="CF2:CM2"/>
    <mergeCell ref="DB2:DI2"/>
    <mergeCell ref="R2:Y2"/>
    <mergeCell ref="AC2:AJ2"/>
    <mergeCell ref="AN2:AU2"/>
    <mergeCell ref="CQ2:CX2"/>
    <mergeCell ref="BJ2:BQ2"/>
    <mergeCell ref="AY2:BF2"/>
    <mergeCell ref="BU2:CB2"/>
  </mergeCells>
  <phoneticPr fontId="2" type="noConversion"/>
  <conditionalFormatting sqref="EV22:FA22 AY22:BF22 J22:N22 R22:Y22 AC22:AJ22 AN22:AU22 CQ22:CX22 DM22:DT22 DB22:DI22 BJ22:BQ22 CF22:CM22 BU22:CB22">
    <cfRule type="cellIs" dxfId="15" priority="58" stopIfTrue="1" operator="equal">
      <formula>0</formula>
    </cfRule>
  </conditionalFormatting>
  <conditionalFormatting sqref="DV4:DV23 CN21:CN23 DJ7 CH23 CK23:CM23 CN11:CN19 AS4:AV6 CN9 J23:L23 DJ4:DJ5 T23 W23:Y23 AE23 AH23:AJ23 CY11:CY19 AK21:AK23 AP23 AS23:AU23 AV11:AV19 CS23 CV23:CX23 DU21:DU23 DO23 DR23:DT23 AL7:AL23 I11:I19 I7 CY7 CY9 AV7 AV9 AK12:AK19 AK7 DU11:DU19 DU7 AV21:AV23 AH4:AL6 AK9:AK10 DU9 DR4:DU6 DJ9 CK4:CN6 CV4:CY6 CY21:CY23 DJ11:DJ19 DJ21:DJ23 DD23 DG23:DI23 BR11:BR19 BL23 BO23:BQ23 BR9 BO4:BR6 J4:M21 W4:Y21 AE4:AE21 BA4:BA21 BW4:BW21 CH4:CH21 CS4:CS21 DD4:DD21 BD4:BG6 BA23 BD23:BF23 BG11:BG19 BG7 BG9 BG21:BG23 AP4:AP21 BR21:BR23 CC21:CC23 BW23 BZ23:CB23 CC11:CC19 CC9 BZ4:CC6 BL4:BL21 P4:Q23 T4:T21 AH7:AJ21 Z4:AB23 AS7:AU21 AM4:AM23 BD7:BF21 AW4:AX23 BO7:BQ21 BH4:BI23 BZ7:CB21 BS4:BT23 CK7:CM21 CD4:CE23 CV7:CX21 CO4:CP23 DG4:DI21 CZ4:DA23 DR7:DT21 DK4:DL23 DO4:DO21">
    <cfRule type="cellIs" dxfId="14" priority="55" stopIfTrue="1" operator="equal">
      <formula>0</formula>
    </cfRule>
  </conditionalFormatting>
  <conditionalFormatting sqref="EV23:FB23 FB4:FB22 EV4:FA21">
    <cfRule type="cellIs" dxfId="13" priority="56" stopIfTrue="1" operator="equal">
      <formula>"NA"</formula>
    </cfRule>
    <cfRule type="cellIs" dxfId="12" priority="57" stopIfTrue="1" operator="equal">
      <formula>0</formula>
    </cfRule>
  </conditionalFormatting>
  <conditionalFormatting sqref="CF28:CN29 R28:Z29 AC28:AK29 DB28:DJ29 DM28:DU29 CQ28:CY29 AN28:AV29 CF33:CN33 CN30:CN32 Z30:Z33 AC33:AK33 AK30:AK32 AN33:AV33 AV30:AV32 CQ33:CY33 CY30:CY32 DB33:DJ33 DJ30:DJ32 DM33:DU33 DU30:DU32 BJ33:BR33 BR30:BR32 BG30:BG32 R33:Y33 AY28:BG29 AY33:BG33 BJ28:BR29 BU28:CC29 BU33:CC33 CC30:CC32">
    <cfRule type="cellIs" dxfId="11" priority="50" stopIfTrue="1" operator="lessThanOrEqual">
      <formula>-0.00001</formula>
    </cfRule>
    <cfRule type="cellIs" dxfId="10" priority="51" stopIfTrue="1" operator="greaterThan">
      <formula>0.00001</formula>
    </cfRule>
    <cfRule type="cellIs" dxfId="9" priority="52" stopIfTrue="1" operator="between">
      <formula>-0.00001</formula>
      <formula>0.00001</formula>
    </cfRule>
  </conditionalFormatting>
  <conditionalFormatting sqref="CF34:CN46 R34:Z46 AC34:AK46 DB34:DJ46 DM34:DU46 CQ34:CY46 AN34:AV46 AY34:BG46 BJ34:BR46 BU34:CC46">
    <cfRule type="cellIs" dxfId="8" priority="53" stopIfTrue="1" operator="notBetween">
      <formula>-0.000001</formula>
      <formula>0.000001</formula>
    </cfRule>
    <cfRule type="cellIs" dxfId="7" priority="54" stopIfTrue="1" operator="between">
      <formula>-0.000001</formula>
      <formula>0.000001</formula>
    </cfRule>
  </conditionalFormatting>
  <conditionalFormatting sqref="CI23:CJ23 R23:S23 U23:V23 AC23:AD23 AF23:AG23 AN23:AO23 AQ23:AR23 CQ23:CR23 CT23:CU23 DM23:DN23 DP23:DQ23 DB23:DC23 DE23:DF23 BJ23:BK23 BM23:BN23 U4:V21 AC4:AD21 AY4:AZ21 CF4:CG21 CQ4:CR21 DB4:DC21 AY23:AZ23 BB23:BC23 AN4:AO21 CF23:CG23 BU4:BV21 BX23:BY23 BJ4:BK21 BU23:BV23 R4:S21 AF4:AG21 AQ4:AR21 BB4:BC21 BM4:BN21 BX4:BY21 CI4:CJ21 CT4:CU21 DE4:DF21 DP4:DQ21 DM4:DN21">
    <cfRule type="cellIs" dxfId="6" priority="68" stopIfTrue="1" operator="equal">
      <formula>0</formula>
    </cfRule>
  </conditionalFormatting>
  <conditionalFormatting sqref="Y26 AJ26 AU26 CM26 CX26 DI26 DT26 BQ26 BF26 CB26">
    <cfRule type="cellIs" dxfId="5" priority="79" stopIfTrue="1" operator="equal">
      <formula>"OK"</formula>
    </cfRule>
    <cfRule type="cellIs" dxfId="4" priority="80" stopIfTrue="1" operator="notEqual">
      <formula>"OK"</formula>
    </cfRule>
  </conditionalFormatting>
  <conditionalFormatting sqref="AY30:BF32 DB30:DI32 R30:Y32 AN30:AU32 BJ30:BQ32 BU30:CB32 CF30:CM32 CQ30:CX32 AC30:AJ32 DM30:DT32">
    <cfRule type="cellIs" dxfId="3" priority="93" stopIfTrue="1" operator="greaterThan">
      <formula>-0.00001</formula>
    </cfRule>
    <cfRule type="cellIs" dxfId="2" priority="94" stopIfTrue="1" operator="lessThanOrEqual">
      <formula>0.00001</formula>
    </cfRule>
    <cfRule type="cellIs" dxfId="1" priority="95" stopIfTrue="1" operator="between">
      <formula>-0.00001</formula>
      <formula>0.00001</formula>
    </cfRule>
  </conditionalFormatting>
  <printOptions verticalCentered="1"/>
  <pageMargins left="0.46" right="0.25" top="0.98425196850393704" bottom="0.98425196850393704" header="0" footer="0"/>
  <pageSetup paperSize="9" scale="24" orientation="landscape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85" zoomScaleNormal="85" workbookViewId="0">
      <pane xSplit="1" ySplit="1" topLeftCell="B2" activePane="bottomRight" state="frozen"/>
      <selection activeCell="D5" sqref="D5"/>
      <selection pane="topRight" activeCell="D5" sqref="D5"/>
      <selection pane="bottomLeft" activeCell="D5" sqref="D5"/>
      <selection pane="bottomRight" activeCell="A2" sqref="A2:A28"/>
    </sheetView>
  </sheetViews>
  <sheetFormatPr baseColWidth="10" defaultRowHeight="12.75"/>
  <cols>
    <col min="1" max="1" width="9.5703125" style="189" bestFit="1" customWidth="1"/>
    <col min="2" max="2" width="8.7109375" style="191" customWidth="1"/>
    <col min="3" max="13" width="6.7109375" style="191" customWidth="1"/>
    <col min="14" max="14" width="7.85546875" style="191" bestFit="1" customWidth="1"/>
    <col min="15" max="16384" width="11.42578125" style="191"/>
  </cols>
  <sheetData>
    <row r="1" spans="1:14" s="189" customFormat="1" ht="13.5" thickBot="1">
      <c r="A1" s="188"/>
      <c r="B1" s="189" t="s">
        <v>509</v>
      </c>
      <c r="C1" s="189" t="s">
        <v>510</v>
      </c>
      <c r="D1" s="189" t="s">
        <v>511</v>
      </c>
      <c r="E1" s="189" t="s">
        <v>512</v>
      </c>
      <c r="F1" s="189" t="s">
        <v>514</v>
      </c>
      <c r="G1" s="189" t="s">
        <v>513</v>
      </c>
      <c r="H1" s="189" t="s">
        <v>515</v>
      </c>
      <c r="I1" s="189" t="s">
        <v>516</v>
      </c>
      <c r="J1" s="189" t="s">
        <v>517</v>
      </c>
      <c r="K1" s="189" t="s">
        <v>518</v>
      </c>
      <c r="L1" s="189" t="s">
        <v>353</v>
      </c>
      <c r="M1" s="189" t="s">
        <v>354</v>
      </c>
      <c r="N1" s="189" t="s">
        <v>519</v>
      </c>
    </row>
    <row r="2" spans="1:14">
      <c r="A2" s="190" t="str">
        <f>+States!$A1</f>
        <v>Sic</v>
      </c>
      <c r="B2" s="227">
        <f>+'Microbial Model'!Y4</f>
        <v>0</v>
      </c>
      <c r="C2" s="228"/>
      <c r="D2" s="228"/>
      <c r="E2" s="228">
        <f>+'Microbial Model'!AJ4</f>
        <v>0</v>
      </c>
      <c r="F2" s="228">
        <f>+'Microbial Model'!AU4</f>
        <v>0</v>
      </c>
      <c r="G2" s="228"/>
      <c r="H2" s="228"/>
      <c r="I2" s="228">
        <f>+'Microbial Model'!CM4</f>
        <v>0</v>
      </c>
      <c r="J2" s="228"/>
      <c r="K2" s="228"/>
      <c r="L2" s="228">
        <f>+'Microbial Model'!CX4</f>
        <v>0</v>
      </c>
      <c r="M2" s="228">
        <f>+'Microbial Model'!DI4</f>
        <v>0</v>
      </c>
      <c r="N2" s="229">
        <f>+'Microbial Model'!DT4</f>
        <v>0</v>
      </c>
    </row>
    <row r="3" spans="1:14">
      <c r="A3" s="190" t="str">
        <f>+States!$A2</f>
        <v>Sglu</v>
      </c>
      <c r="B3" s="230">
        <f>+'Microbial Model'!Y5</f>
        <v>0</v>
      </c>
      <c r="C3" s="200"/>
      <c r="D3" s="200"/>
      <c r="E3" s="200">
        <f>+'Microbial Model'!AJ5</f>
        <v>0</v>
      </c>
      <c r="F3" s="200">
        <f>+'Microbial Model'!AU5</f>
        <v>0</v>
      </c>
      <c r="G3" s="200"/>
      <c r="H3" s="200"/>
      <c r="I3" s="200">
        <f>+'Microbial Model'!CM5</f>
        <v>0</v>
      </c>
      <c r="J3" s="200"/>
      <c r="K3" s="200"/>
      <c r="L3" s="200">
        <f>+'Microbial Model'!CX5</f>
        <v>0</v>
      </c>
      <c r="M3" s="200">
        <f>+'Microbial Model'!DI5</f>
        <v>0</v>
      </c>
      <c r="N3" s="231">
        <f>+'Microbial Model'!DT5</f>
        <v>0</v>
      </c>
    </row>
    <row r="4" spans="1:14">
      <c r="A4" s="190" t="str">
        <f>+States!$A3</f>
        <v>So2</v>
      </c>
      <c r="B4" s="230">
        <f>+'Microbial Model'!Y6</f>
        <v>0</v>
      </c>
      <c r="C4" s="200"/>
      <c r="D4" s="200"/>
      <c r="E4" s="200">
        <f>+'Microbial Model'!AJ6</f>
        <v>0</v>
      </c>
      <c r="F4" s="200">
        <f>+'Microbial Model'!AU6</f>
        <v>0</v>
      </c>
      <c r="G4" s="200"/>
      <c r="H4" s="200"/>
      <c r="I4" s="200">
        <f>+'Microbial Model'!CM6</f>
        <v>-0.25</v>
      </c>
      <c r="J4" s="200"/>
      <c r="K4" s="200"/>
      <c r="L4" s="200">
        <f>+'Microbial Model'!CX6</f>
        <v>-1</v>
      </c>
      <c r="M4" s="200">
        <f>+'Microbial Model'!DI6</f>
        <v>0</v>
      </c>
      <c r="N4" s="231">
        <f>+'Microbial Model'!DT6</f>
        <v>0</v>
      </c>
    </row>
    <row r="5" spans="1:14">
      <c r="A5" s="190" t="str">
        <f>+States!$A4</f>
        <v>Sac</v>
      </c>
      <c r="B5" s="230">
        <f>+'Microbial Model'!Y7</f>
        <v>0</v>
      </c>
      <c r="C5" s="200"/>
      <c r="D5" s="200"/>
      <c r="E5" s="200">
        <f>+'Microbial Model'!AJ7</f>
        <v>0</v>
      </c>
      <c r="F5" s="200">
        <f>+'Microbial Model'!AU7</f>
        <v>0</v>
      </c>
      <c r="G5" s="200"/>
      <c r="H5" s="200"/>
      <c r="I5" s="200">
        <f>+'Microbial Model'!CM7</f>
        <v>0</v>
      </c>
      <c r="J5" s="200"/>
      <c r="K5" s="200"/>
      <c r="L5" s="200">
        <f>+'Microbial Model'!CX7</f>
        <v>0.96850000000000014</v>
      </c>
      <c r="M5" s="200">
        <f>+'Microbial Model'!DI7</f>
        <v>0.199375</v>
      </c>
      <c r="N5" s="231">
        <f>+'Microbial Model'!DT7</f>
        <v>-1</v>
      </c>
    </row>
    <row r="6" spans="1:14">
      <c r="A6" s="190" t="str">
        <f>+States!$A5</f>
        <v>Sin</v>
      </c>
      <c r="B6" s="230">
        <f>+'Microbial Model'!Y8</f>
        <v>-1</v>
      </c>
      <c r="C6" s="200"/>
      <c r="D6" s="200"/>
      <c r="E6" s="200">
        <f>+'Microbial Model'!AJ8</f>
        <v>-0.2</v>
      </c>
      <c r="F6" s="200">
        <f>+'Microbial Model'!AU8</f>
        <v>-0.15</v>
      </c>
      <c r="G6" s="200"/>
      <c r="H6" s="200"/>
      <c r="I6" s="200">
        <f>+'Microbial Model'!CM8</f>
        <v>0.42</v>
      </c>
      <c r="J6" s="200"/>
      <c r="K6" s="200"/>
      <c r="L6" s="200">
        <f>+'Microbial Model'!CX8</f>
        <v>0.97150000000000014</v>
      </c>
      <c r="M6" s="200">
        <f>+'Microbial Model'!DI8</f>
        <v>-0.27437500000000004</v>
      </c>
      <c r="N6" s="231">
        <f>+'Microbial Model'!DT8</f>
        <v>0.93</v>
      </c>
    </row>
    <row r="7" spans="1:14">
      <c r="A7" s="190" t="str">
        <f>+States!$A6</f>
        <v>Sno2</v>
      </c>
      <c r="B7" s="232">
        <f>+'Microbial Model'!Y9</f>
        <v>0</v>
      </c>
      <c r="C7" s="200"/>
      <c r="D7" s="200"/>
      <c r="E7" s="200">
        <f>+'Microbial Model'!AJ9</f>
        <v>0</v>
      </c>
      <c r="F7" s="200">
        <f>+'Microbial Model'!AU9</f>
        <v>0</v>
      </c>
      <c r="G7" s="200"/>
      <c r="H7" s="200"/>
      <c r="I7" s="200">
        <f>+'Microbial Model'!CM9</f>
        <v>0</v>
      </c>
      <c r="J7" s="200"/>
      <c r="K7" s="200"/>
      <c r="L7" s="200">
        <f>+'Microbial Model'!CX9</f>
        <v>0</v>
      </c>
      <c r="M7" s="200">
        <f>+'Microbial Model'!DI9</f>
        <v>-1</v>
      </c>
      <c r="N7" s="231">
        <f>+'Microbial Model'!DT9</f>
        <v>0</v>
      </c>
    </row>
    <row r="8" spans="1:14">
      <c r="A8" s="190" t="str">
        <f>+States!$A7</f>
        <v>Sno3</v>
      </c>
      <c r="B8" s="230">
        <f>+'Microbial Model'!Y10</f>
        <v>-0.2</v>
      </c>
      <c r="C8" s="200"/>
      <c r="D8" s="200"/>
      <c r="E8" s="200">
        <f>+'Microbial Model'!AJ10</f>
        <v>-1</v>
      </c>
      <c r="F8" s="200">
        <f>+'Microbial Model'!AU10</f>
        <v>0</v>
      </c>
      <c r="G8" s="200"/>
      <c r="H8" s="200"/>
      <c r="I8" s="200">
        <f>+'Microbial Model'!CM10</f>
        <v>0</v>
      </c>
      <c r="J8" s="200"/>
      <c r="K8" s="200"/>
      <c r="L8" s="200">
        <f>+'Microbial Model'!CX10</f>
        <v>-1.2E-2</v>
      </c>
      <c r="M8" s="200">
        <f>+'Microbial Model'!DI10</f>
        <v>0</v>
      </c>
      <c r="N8" s="231">
        <f>+'Microbial Model'!DT10</f>
        <v>-1.4000000000000002E-2</v>
      </c>
    </row>
    <row r="9" spans="1:14">
      <c r="A9" s="190" t="str">
        <f>+States!$A8</f>
        <v>Sn2</v>
      </c>
      <c r="B9" s="230">
        <f>+'Microbial Model'!Y11</f>
        <v>0</v>
      </c>
      <c r="C9" s="200"/>
      <c r="D9" s="200"/>
      <c r="E9" s="200">
        <f>+'Microbial Model'!AJ11</f>
        <v>0.96</v>
      </c>
      <c r="F9" s="200">
        <f>+'Microbial Model'!AU11</f>
        <v>-1</v>
      </c>
      <c r="G9" s="200"/>
      <c r="H9" s="200"/>
      <c r="I9" s="200">
        <f>+'Microbial Model'!CM11</f>
        <v>-1.6E-2</v>
      </c>
      <c r="J9" s="200"/>
      <c r="K9" s="200"/>
      <c r="L9" s="200">
        <f>+'Microbial Model'!CX11</f>
        <v>0</v>
      </c>
      <c r="M9" s="200">
        <f>+'Microbial Model'!DI11</f>
        <v>-1.5000000000000003E-2</v>
      </c>
      <c r="N9" s="231">
        <f>+'Microbial Model'!DT11</f>
        <v>0</v>
      </c>
    </row>
    <row r="10" spans="1:14">
      <c r="A10" s="190" t="str">
        <f>+States!$A9</f>
        <v>Sso4</v>
      </c>
      <c r="B10" s="230">
        <f>+'Microbial Model'!Y12</f>
        <v>0</v>
      </c>
      <c r="C10" s="200"/>
      <c r="D10" s="200"/>
      <c r="E10" s="200">
        <f>+'Microbial Model'!AJ12</f>
        <v>0</v>
      </c>
      <c r="F10" s="200">
        <f>+'Microbial Model'!AU12</f>
        <v>0.97</v>
      </c>
      <c r="G10" s="200"/>
      <c r="H10" s="200"/>
      <c r="I10" s="200">
        <f>+'Microbial Model'!CM12</f>
        <v>0</v>
      </c>
      <c r="J10" s="200"/>
      <c r="K10" s="200"/>
      <c r="L10" s="200">
        <f>+'Microbial Model'!CX12</f>
        <v>0</v>
      </c>
      <c r="M10" s="200">
        <f>+'Microbial Model'!DI12</f>
        <v>0</v>
      </c>
      <c r="N10" s="231">
        <f>+'Microbial Model'!DT12</f>
        <v>0</v>
      </c>
    </row>
    <row r="11" spans="1:14">
      <c r="A11" s="190" t="str">
        <f>+States!$A10</f>
        <v>Ssh2</v>
      </c>
      <c r="B11" s="230">
        <f>+'Microbial Model'!Y14</f>
        <v>0</v>
      </c>
      <c r="C11" s="200"/>
      <c r="D11" s="200"/>
      <c r="E11" s="200">
        <f>+'Microbial Model'!AJ14</f>
        <v>0</v>
      </c>
      <c r="F11" s="200">
        <f>+'Microbial Model'!AU14</f>
        <v>0</v>
      </c>
      <c r="G11" s="200"/>
      <c r="H11" s="200"/>
      <c r="I11" s="200">
        <f>+'Microbial Model'!CM14</f>
        <v>-5.4000000000000006E-2</v>
      </c>
      <c r="J11" s="200"/>
      <c r="K11" s="200"/>
      <c r="L11" s="200">
        <f>+'Microbial Model'!CX14</f>
        <v>0</v>
      </c>
      <c r="M11" s="200">
        <f>+'Microbial Model'!DI14</f>
        <v>0</v>
      </c>
      <c r="N11" s="231">
        <f>+'Microbial Model'!DT14</f>
        <v>0</v>
      </c>
    </row>
    <row r="12" spans="1:14">
      <c r="A12" s="190" t="str">
        <f>+States!$A11</f>
        <v>Sfe2</v>
      </c>
      <c r="B12" s="230">
        <f>+'Microbial Model'!Y15</f>
        <v>0</v>
      </c>
      <c r="C12" s="200"/>
      <c r="D12" s="200"/>
      <c r="E12" s="200">
        <f>+'Microbial Model'!AJ15</f>
        <v>0</v>
      </c>
      <c r="F12" s="200">
        <f>+'Microbial Model'!AU15</f>
        <v>0</v>
      </c>
      <c r="G12" s="200"/>
      <c r="H12" s="200"/>
      <c r="I12" s="200">
        <f>+'Microbial Model'!CM15</f>
        <v>5.4000000000000006E-2</v>
      </c>
      <c r="J12" s="200"/>
      <c r="K12" s="200"/>
      <c r="L12" s="200">
        <f>+'Microbial Model'!CX15</f>
        <v>0</v>
      </c>
      <c r="M12" s="200">
        <f>+'Microbial Model'!DI15</f>
        <v>0</v>
      </c>
      <c r="N12" s="231">
        <f>+'Microbial Model'!DT15</f>
        <v>0</v>
      </c>
    </row>
    <row r="13" spans="1:14">
      <c r="A13" s="190" t="str">
        <f>+States!$A12</f>
        <v>Sfe3</v>
      </c>
      <c r="B13" s="230">
        <f>+'Microbial Model'!Y17</f>
        <v>0</v>
      </c>
      <c r="C13" s="200"/>
      <c r="D13" s="200"/>
      <c r="E13" s="200">
        <f>+'Microbial Model'!AJ17</f>
        <v>0</v>
      </c>
      <c r="F13" s="200">
        <f>+'Microbial Model'!AU17</f>
        <v>0</v>
      </c>
      <c r="G13" s="200"/>
      <c r="H13" s="200"/>
      <c r="I13" s="200">
        <f>+'Microbial Model'!CM17</f>
        <v>-1</v>
      </c>
      <c r="J13" s="200"/>
      <c r="K13" s="200"/>
      <c r="L13" s="200">
        <f>+'Microbial Model'!CX17</f>
        <v>0</v>
      </c>
      <c r="M13" s="200">
        <f>+'Microbial Model'!DI17</f>
        <v>0</v>
      </c>
      <c r="N13" s="231">
        <f>+'Microbial Model'!DT17</f>
        <v>0</v>
      </c>
    </row>
    <row r="14" spans="1:14">
      <c r="A14" s="190" t="str">
        <f>+States!$A13</f>
        <v>Sch4</v>
      </c>
      <c r="B14" s="230">
        <f>+'Microbial Model'!Y18</f>
        <v>0</v>
      </c>
      <c r="C14" s="200"/>
      <c r="D14" s="200"/>
      <c r="E14" s="200">
        <f>+'Microbial Model'!AJ18</f>
        <v>0</v>
      </c>
      <c r="F14" s="200">
        <f>+'Microbial Model'!AU18</f>
        <v>0</v>
      </c>
      <c r="G14" s="200"/>
      <c r="H14" s="200"/>
      <c r="I14" s="200">
        <f>+'Microbial Model'!CM18</f>
        <v>0</v>
      </c>
      <c r="J14" s="200"/>
      <c r="K14" s="200"/>
      <c r="L14" s="200">
        <f>+'Microbial Model'!CX18</f>
        <v>0</v>
      </c>
      <c r="M14" s="200">
        <f>+'Microbial Model'!DI18</f>
        <v>0</v>
      </c>
      <c r="N14" s="231">
        <f>+'Microbial Model'!DT18</f>
        <v>0</v>
      </c>
    </row>
    <row r="15" spans="1:14">
      <c r="A15" s="192" t="str">
        <f>+States!$A14</f>
        <v>Sh2</v>
      </c>
      <c r="B15" s="233">
        <f>+'Microbial Model'!Y19</f>
        <v>1.05</v>
      </c>
      <c r="C15" s="226"/>
      <c r="D15" s="226"/>
      <c r="E15" s="226">
        <f>+'Microbial Model'!AJ19</f>
        <v>-1.23</v>
      </c>
      <c r="F15" s="226">
        <f>+'Microbial Model'!AU19</f>
        <v>-0.28249999999999997</v>
      </c>
      <c r="G15" s="226"/>
      <c r="H15" s="226"/>
      <c r="I15" s="226">
        <f>+'Microbial Model'!CM19</f>
        <v>0</v>
      </c>
      <c r="J15" s="226"/>
      <c r="K15" s="226"/>
      <c r="L15" s="226">
        <f>+'Microbial Model'!CX19</f>
        <v>0</v>
      </c>
      <c r="M15" s="226">
        <f>+'Microbial Model'!DI19</f>
        <v>0</v>
      </c>
      <c r="N15" s="234">
        <f>+'Microbial Model'!DT19</f>
        <v>-1.9264999999999999</v>
      </c>
    </row>
    <row r="16" spans="1:14">
      <c r="A16" s="190" t="str">
        <f>+States!$A15</f>
        <v>Xcyb</v>
      </c>
      <c r="B16" s="23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31"/>
    </row>
    <row r="17" spans="1:14">
      <c r="A17" s="190" t="str">
        <f>+States!$A16</f>
        <v>Xfer</v>
      </c>
      <c r="B17" s="23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31"/>
    </row>
    <row r="18" spans="1:14">
      <c r="A18" s="190" t="str">
        <f>+States!$A17</f>
        <v>Xhet</v>
      </c>
      <c r="B18" s="23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31"/>
    </row>
    <row r="19" spans="1:14">
      <c r="A19" s="190" t="str">
        <f>+States!$A18</f>
        <v>Xaob</v>
      </c>
      <c r="B19" s="23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31"/>
    </row>
    <row r="20" spans="1:14">
      <c r="A20" s="190" t="str">
        <f>+States!$A19</f>
        <v>Xnob</v>
      </c>
      <c r="B20" s="23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31"/>
    </row>
    <row r="21" spans="1:14">
      <c r="A21" s="190" t="str">
        <f>+States!$A20</f>
        <v>Xsrd</v>
      </c>
      <c r="B21" s="23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31"/>
    </row>
    <row r="22" spans="1:14">
      <c r="A22" s="190" t="str">
        <f>+States!$A21</f>
        <v>Xsox</v>
      </c>
      <c r="B22" s="23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31"/>
    </row>
    <row r="23" spans="1:14">
      <c r="A23" s="190" t="str">
        <f>+States!$A22</f>
        <v>Xson</v>
      </c>
      <c r="B23" s="23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31"/>
    </row>
    <row r="24" spans="1:14">
      <c r="A24" s="190" t="str">
        <f>+States!$A23</f>
        <v>Xfeox</v>
      </c>
      <c r="B24" s="23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31"/>
    </row>
    <row r="25" spans="1:14">
      <c r="A25" s="190" t="str">
        <f>+States!$A24</f>
        <v>Xfeon</v>
      </c>
      <c r="B25" s="23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31"/>
    </row>
    <row r="26" spans="1:14">
      <c r="A26" s="190" t="str">
        <f>+States!$A25</f>
        <v>Xferd</v>
      </c>
      <c r="B26" s="23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31"/>
    </row>
    <row r="27" spans="1:14">
      <c r="A27" s="190" t="str">
        <f>+States!$A26</f>
        <v>Xacm</v>
      </c>
      <c r="B27" s="23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31"/>
    </row>
    <row r="28" spans="1:14" ht="13.5" thickBot="1">
      <c r="A28" s="190" t="str">
        <f>+States!$A27</f>
        <v>Xh2m</v>
      </c>
      <c r="B28" s="235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7"/>
    </row>
    <row r="36" spans="8:8">
      <c r="H36" s="191" t="s">
        <v>211</v>
      </c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/>
  </sheetViews>
  <sheetFormatPr baseColWidth="10" defaultRowHeight="12.75"/>
  <cols>
    <col min="1" max="1" width="8.140625" style="193" customWidth="1"/>
    <col min="2" max="2" width="6" style="202" bestFit="1" customWidth="1"/>
    <col min="3" max="3" width="6" style="195" bestFit="1" customWidth="1"/>
    <col min="4" max="21" width="6" style="191" bestFit="1" customWidth="1"/>
    <col min="22" max="22" width="6.85546875" style="191" bestFit="1" customWidth="1"/>
    <col min="23" max="23" width="2.28515625" style="191" bestFit="1" customWidth="1"/>
    <col min="24" max="16384" width="11.42578125" style="191"/>
  </cols>
  <sheetData>
    <row r="1" spans="1:23" ht="12.75" customHeight="1">
      <c r="A1" s="246" t="s">
        <v>361</v>
      </c>
      <c r="B1" s="247">
        <v>0.01</v>
      </c>
      <c r="C1" s="247">
        <v>0.01</v>
      </c>
      <c r="D1" s="247">
        <v>0.01</v>
      </c>
      <c r="E1" s="247">
        <v>0.01</v>
      </c>
      <c r="F1" s="247">
        <v>0.01</v>
      </c>
      <c r="G1" s="247">
        <v>0.01</v>
      </c>
      <c r="H1" s="247">
        <v>0.01</v>
      </c>
      <c r="I1" s="247">
        <v>0.01</v>
      </c>
      <c r="J1" s="247">
        <v>0.01</v>
      </c>
      <c r="K1" s="247">
        <v>0.01</v>
      </c>
      <c r="L1" s="247">
        <v>0.01</v>
      </c>
      <c r="M1" s="247">
        <v>0.01</v>
      </c>
      <c r="N1" s="247">
        <v>0.01</v>
      </c>
      <c r="O1" s="247">
        <v>0.01</v>
      </c>
      <c r="P1" s="247">
        <v>0.01</v>
      </c>
      <c r="Q1" s="247">
        <v>0.01</v>
      </c>
      <c r="R1" s="247">
        <v>0.01</v>
      </c>
      <c r="S1" s="247">
        <v>0.01</v>
      </c>
      <c r="T1" s="247">
        <v>0.01</v>
      </c>
      <c r="U1" s="247">
        <v>0.01</v>
      </c>
      <c r="V1" s="248" t="s">
        <v>355</v>
      </c>
      <c r="W1" s="249" t="s">
        <v>356</v>
      </c>
    </row>
    <row r="2" spans="1:23" ht="12.75" customHeight="1">
      <c r="A2" s="246" t="s">
        <v>495</v>
      </c>
      <c r="B2" s="247">
        <v>0.01</v>
      </c>
      <c r="C2" s="247">
        <v>0.01</v>
      </c>
      <c r="D2" s="247">
        <v>0.01</v>
      </c>
      <c r="E2" s="247">
        <v>0.01</v>
      </c>
      <c r="F2" s="247">
        <v>0.01</v>
      </c>
      <c r="G2" s="247">
        <v>0.01</v>
      </c>
      <c r="H2" s="247">
        <v>0.01</v>
      </c>
      <c r="I2" s="247">
        <v>0.01</v>
      </c>
      <c r="J2" s="247">
        <v>0.01</v>
      </c>
      <c r="K2" s="247">
        <v>0.01</v>
      </c>
      <c r="L2" s="247">
        <v>0.01</v>
      </c>
      <c r="M2" s="247">
        <v>0.01</v>
      </c>
      <c r="N2" s="247">
        <v>0.01</v>
      </c>
      <c r="O2" s="247">
        <v>0.01</v>
      </c>
      <c r="P2" s="247">
        <v>0.01</v>
      </c>
      <c r="Q2" s="247">
        <v>0.01</v>
      </c>
      <c r="R2" s="247">
        <v>0.01</v>
      </c>
      <c r="S2" s="247">
        <v>0.01</v>
      </c>
      <c r="T2" s="247">
        <v>0.01</v>
      </c>
      <c r="U2" s="247">
        <v>0.01</v>
      </c>
      <c r="V2" s="248" t="s">
        <v>355</v>
      </c>
      <c r="W2" s="249" t="s">
        <v>356</v>
      </c>
    </row>
    <row r="3" spans="1:23" ht="12.75" customHeight="1">
      <c r="A3" s="246" t="s">
        <v>501</v>
      </c>
      <c r="B3" s="247">
        <v>0.01</v>
      </c>
      <c r="C3" s="247">
        <v>0.01</v>
      </c>
      <c r="D3" s="247">
        <v>0.01</v>
      </c>
      <c r="E3" s="247">
        <v>0.01</v>
      </c>
      <c r="F3" s="247">
        <v>0.01</v>
      </c>
      <c r="G3" s="247">
        <v>0.01</v>
      </c>
      <c r="H3" s="247">
        <v>0.01</v>
      </c>
      <c r="I3" s="247">
        <v>0.01</v>
      </c>
      <c r="J3" s="247">
        <v>0.01</v>
      </c>
      <c r="K3" s="247">
        <v>0.01</v>
      </c>
      <c r="L3" s="247">
        <v>0.01</v>
      </c>
      <c r="M3" s="247">
        <v>0.01</v>
      </c>
      <c r="N3" s="247">
        <v>0.01</v>
      </c>
      <c r="O3" s="247">
        <v>0.01</v>
      </c>
      <c r="P3" s="247">
        <v>0.01</v>
      </c>
      <c r="Q3" s="247">
        <v>0.01</v>
      </c>
      <c r="R3" s="247">
        <v>0.01</v>
      </c>
      <c r="S3" s="247">
        <v>0.01</v>
      </c>
      <c r="T3" s="247">
        <v>0.01</v>
      </c>
      <c r="U3" s="247">
        <v>0.01</v>
      </c>
      <c r="V3" s="248" t="s">
        <v>355</v>
      </c>
      <c r="W3" s="249" t="s">
        <v>356</v>
      </c>
    </row>
    <row r="4" spans="1:23" ht="12.75" customHeight="1">
      <c r="A4" s="246" t="s">
        <v>357</v>
      </c>
      <c r="B4" s="247">
        <v>0.01</v>
      </c>
      <c r="C4" s="247">
        <v>0.01</v>
      </c>
      <c r="D4" s="247">
        <v>0.01</v>
      </c>
      <c r="E4" s="247">
        <v>0.01</v>
      </c>
      <c r="F4" s="247">
        <v>0.01</v>
      </c>
      <c r="G4" s="247">
        <v>0.01</v>
      </c>
      <c r="H4" s="247">
        <v>0.01</v>
      </c>
      <c r="I4" s="247">
        <v>0.01</v>
      </c>
      <c r="J4" s="247">
        <v>0.01</v>
      </c>
      <c r="K4" s="247">
        <v>0.01</v>
      </c>
      <c r="L4" s="247">
        <v>0.01</v>
      </c>
      <c r="M4" s="247">
        <v>0.01</v>
      </c>
      <c r="N4" s="247">
        <v>0.01</v>
      </c>
      <c r="O4" s="247">
        <v>0.01</v>
      </c>
      <c r="P4" s="247">
        <v>0.01</v>
      </c>
      <c r="Q4" s="247">
        <v>0.01</v>
      </c>
      <c r="R4" s="247">
        <v>0.01</v>
      </c>
      <c r="S4" s="247">
        <v>0.01</v>
      </c>
      <c r="T4" s="247">
        <v>0.01</v>
      </c>
      <c r="U4" s="247">
        <v>0.01</v>
      </c>
      <c r="V4" s="248" t="s">
        <v>355</v>
      </c>
      <c r="W4" s="249" t="s">
        <v>356</v>
      </c>
    </row>
    <row r="5" spans="1:23" ht="12.75" customHeight="1">
      <c r="A5" s="246" t="s">
        <v>362</v>
      </c>
      <c r="B5" s="247">
        <v>0.01</v>
      </c>
      <c r="C5" s="247">
        <v>0.01</v>
      </c>
      <c r="D5" s="247">
        <v>0.01</v>
      </c>
      <c r="E5" s="247">
        <v>0.01</v>
      </c>
      <c r="F5" s="247">
        <v>0.01</v>
      </c>
      <c r="G5" s="247">
        <v>0.01</v>
      </c>
      <c r="H5" s="247">
        <v>0.01</v>
      </c>
      <c r="I5" s="247">
        <v>0.01</v>
      </c>
      <c r="J5" s="247">
        <v>0.01</v>
      </c>
      <c r="K5" s="247">
        <v>0.01</v>
      </c>
      <c r="L5" s="247">
        <v>0.01</v>
      </c>
      <c r="M5" s="247">
        <v>0.01</v>
      </c>
      <c r="N5" s="247">
        <v>0.01</v>
      </c>
      <c r="O5" s="247">
        <v>0.01</v>
      </c>
      <c r="P5" s="247">
        <v>0.01</v>
      </c>
      <c r="Q5" s="247">
        <v>0.01</v>
      </c>
      <c r="R5" s="247">
        <v>0.01</v>
      </c>
      <c r="S5" s="247">
        <v>0.01</v>
      </c>
      <c r="T5" s="247">
        <v>0.01</v>
      </c>
      <c r="U5" s="247">
        <v>0.01</v>
      </c>
      <c r="V5" s="248" t="s">
        <v>355</v>
      </c>
      <c r="W5" s="249" t="s">
        <v>356</v>
      </c>
    </row>
    <row r="6" spans="1:23" ht="12.75" customHeight="1">
      <c r="A6" s="246" t="s">
        <v>496</v>
      </c>
      <c r="B6" s="247">
        <v>0.01</v>
      </c>
      <c r="C6" s="247">
        <v>0.01</v>
      </c>
      <c r="D6" s="247">
        <v>0.01</v>
      </c>
      <c r="E6" s="247">
        <v>0.01</v>
      </c>
      <c r="F6" s="247">
        <v>0.01</v>
      </c>
      <c r="G6" s="247">
        <v>0.01</v>
      </c>
      <c r="H6" s="247">
        <v>0.01</v>
      </c>
      <c r="I6" s="247">
        <v>0.01</v>
      </c>
      <c r="J6" s="247">
        <v>0.01</v>
      </c>
      <c r="K6" s="247">
        <v>0.01</v>
      </c>
      <c r="L6" s="247">
        <v>0.01</v>
      </c>
      <c r="M6" s="247">
        <v>0.01</v>
      </c>
      <c r="N6" s="247">
        <v>0.01</v>
      </c>
      <c r="O6" s="247">
        <v>0.01</v>
      </c>
      <c r="P6" s="247">
        <v>0.01</v>
      </c>
      <c r="Q6" s="247">
        <v>0.01</v>
      </c>
      <c r="R6" s="247">
        <v>0.01</v>
      </c>
      <c r="S6" s="247">
        <v>0.01</v>
      </c>
      <c r="T6" s="247">
        <v>0.01</v>
      </c>
      <c r="U6" s="247">
        <v>0.01</v>
      </c>
      <c r="V6" s="248" t="s">
        <v>355</v>
      </c>
      <c r="W6" s="249" t="s">
        <v>356</v>
      </c>
    </row>
    <row r="7" spans="1:23" ht="12.75" customHeight="1">
      <c r="A7" s="246" t="s">
        <v>497</v>
      </c>
      <c r="B7" s="247">
        <v>0.01</v>
      </c>
      <c r="C7" s="247">
        <v>0.01</v>
      </c>
      <c r="D7" s="247">
        <v>0.01</v>
      </c>
      <c r="E7" s="247">
        <v>0.01</v>
      </c>
      <c r="F7" s="247">
        <v>0.01</v>
      </c>
      <c r="G7" s="247">
        <v>0.01</v>
      </c>
      <c r="H7" s="247">
        <v>0.01</v>
      </c>
      <c r="I7" s="247">
        <v>0.01</v>
      </c>
      <c r="J7" s="247">
        <v>0.01</v>
      </c>
      <c r="K7" s="247">
        <v>0.01</v>
      </c>
      <c r="L7" s="247">
        <v>0.01</v>
      </c>
      <c r="M7" s="247">
        <v>0.01</v>
      </c>
      <c r="N7" s="247">
        <v>0.01</v>
      </c>
      <c r="O7" s="247">
        <v>0.01</v>
      </c>
      <c r="P7" s="247">
        <v>0.01</v>
      </c>
      <c r="Q7" s="247">
        <v>0.01</v>
      </c>
      <c r="R7" s="247">
        <v>0.01</v>
      </c>
      <c r="S7" s="247">
        <v>0.01</v>
      </c>
      <c r="T7" s="247">
        <v>0.01</v>
      </c>
      <c r="U7" s="247">
        <v>0.01</v>
      </c>
      <c r="V7" s="248" t="s">
        <v>355</v>
      </c>
      <c r="W7" s="249" t="s">
        <v>356</v>
      </c>
    </row>
    <row r="8" spans="1:23" ht="12.75" customHeight="1">
      <c r="A8" s="246" t="s">
        <v>541</v>
      </c>
      <c r="B8" s="247">
        <v>0.01</v>
      </c>
      <c r="C8" s="247">
        <v>0.01</v>
      </c>
      <c r="D8" s="247">
        <v>0.01</v>
      </c>
      <c r="E8" s="247">
        <v>0.01</v>
      </c>
      <c r="F8" s="247">
        <v>0.01</v>
      </c>
      <c r="G8" s="247">
        <v>0.01</v>
      </c>
      <c r="H8" s="247">
        <v>0.01</v>
      </c>
      <c r="I8" s="247">
        <v>0.01</v>
      </c>
      <c r="J8" s="247">
        <v>0.01</v>
      </c>
      <c r="K8" s="247">
        <v>0.01</v>
      </c>
      <c r="L8" s="247">
        <v>0.01</v>
      </c>
      <c r="M8" s="247">
        <v>0.01</v>
      </c>
      <c r="N8" s="247">
        <v>0.01</v>
      </c>
      <c r="O8" s="247">
        <v>0.01</v>
      </c>
      <c r="P8" s="247">
        <v>0.01</v>
      </c>
      <c r="Q8" s="247">
        <v>0.01</v>
      </c>
      <c r="R8" s="247">
        <v>0.01</v>
      </c>
      <c r="S8" s="247">
        <v>0.01</v>
      </c>
      <c r="T8" s="247">
        <v>0.01</v>
      </c>
      <c r="U8" s="247">
        <v>0.01</v>
      </c>
      <c r="V8" s="248" t="s">
        <v>355</v>
      </c>
      <c r="W8" s="249" t="s">
        <v>356</v>
      </c>
    </row>
    <row r="9" spans="1:23" ht="12.75" customHeight="1">
      <c r="A9" s="246" t="s">
        <v>498</v>
      </c>
      <c r="B9" s="247">
        <v>0.01</v>
      </c>
      <c r="C9" s="247">
        <v>0.01</v>
      </c>
      <c r="D9" s="247">
        <v>0.01</v>
      </c>
      <c r="E9" s="247">
        <v>0.01</v>
      </c>
      <c r="F9" s="247">
        <v>0.01</v>
      </c>
      <c r="G9" s="247">
        <v>0.01</v>
      </c>
      <c r="H9" s="247">
        <v>0.01</v>
      </c>
      <c r="I9" s="247">
        <v>0.01</v>
      </c>
      <c r="J9" s="247">
        <v>0.01</v>
      </c>
      <c r="K9" s="247">
        <v>0.01</v>
      </c>
      <c r="L9" s="247">
        <v>0.01</v>
      </c>
      <c r="M9" s="247">
        <v>0.01</v>
      </c>
      <c r="N9" s="247">
        <v>0.01</v>
      </c>
      <c r="O9" s="247">
        <v>0.01</v>
      </c>
      <c r="P9" s="247">
        <v>0.01</v>
      </c>
      <c r="Q9" s="247">
        <v>0.01</v>
      </c>
      <c r="R9" s="247">
        <v>0.01</v>
      </c>
      <c r="S9" s="247">
        <v>0.01</v>
      </c>
      <c r="T9" s="247">
        <v>0.01</v>
      </c>
      <c r="U9" s="247">
        <v>0.01</v>
      </c>
      <c r="V9" s="248" t="s">
        <v>355</v>
      </c>
      <c r="W9" s="249" t="s">
        <v>356</v>
      </c>
    </row>
    <row r="10" spans="1:23" ht="12.75" customHeight="1">
      <c r="A10" s="246" t="s">
        <v>542</v>
      </c>
      <c r="B10" s="247">
        <v>0.01</v>
      </c>
      <c r="C10" s="247">
        <v>0.01</v>
      </c>
      <c r="D10" s="247">
        <v>0.01</v>
      </c>
      <c r="E10" s="247">
        <v>0.01</v>
      </c>
      <c r="F10" s="247">
        <v>0.01</v>
      </c>
      <c r="G10" s="247">
        <v>0.01</v>
      </c>
      <c r="H10" s="247">
        <v>0.01</v>
      </c>
      <c r="I10" s="247">
        <v>0.01</v>
      </c>
      <c r="J10" s="247">
        <v>0.01</v>
      </c>
      <c r="K10" s="247">
        <v>0.01</v>
      </c>
      <c r="L10" s="247">
        <v>0.01</v>
      </c>
      <c r="M10" s="247">
        <v>0.01</v>
      </c>
      <c r="N10" s="247">
        <v>0.01</v>
      </c>
      <c r="O10" s="247">
        <v>0.01</v>
      </c>
      <c r="P10" s="247">
        <v>0.01</v>
      </c>
      <c r="Q10" s="247">
        <v>0.01</v>
      </c>
      <c r="R10" s="247">
        <v>0.01</v>
      </c>
      <c r="S10" s="247">
        <v>0.01</v>
      </c>
      <c r="T10" s="247">
        <v>0.01</v>
      </c>
      <c r="U10" s="247">
        <v>0.01</v>
      </c>
      <c r="V10" s="248" t="s">
        <v>355</v>
      </c>
      <c r="W10" s="249" t="s">
        <v>356</v>
      </c>
    </row>
    <row r="11" spans="1:23" ht="12.75" customHeight="1">
      <c r="A11" s="246" t="s">
        <v>499</v>
      </c>
      <c r="B11" s="247">
        <v>0.01</v>
      </c>
      <c r="C11" s="247">
        <v>0.01</v>
      </c>
      <c r="D11" s="247">
        <v>0.01</v>
      </c>
      <c r="E11" s="247">
        <v>0.01</v>
      </c>
      <c r="F11" s="247">
        <v>0.01</v>
      </c>
      <c r="G11" s="247">
        <v>0.01</v>
      </c>
      <c r="H11" s="247">
        <v>0.01</v>
      </c>
      <c r="I11" s="247">
        <v>0.01</v>
      </c>
      <c r="J11" s="247">
        <v>0.01</v>
      </c>
      <c r="K11" s="247">
        <v>0.01</v>
      </c>
      <c r="L11" s="247">
        <v>0.01</v>
      </c>
      <c r="M11" s="247">
        <v>0.01</v>
      </c>
      <c r="N11" s="247">
        <v>0.01</v>
      </c>
      <c r="O11" s="247">
        <v>0.01</v>
      </c>
      <c r="P11" s="247">
        <v>0.01</v>
      </c>
      <c r="Q11" s="247">
        <v>0.01</v>
      </c>
      <c r="R11" s="247">
        <v>0.01</v>
      </c>
      <c r="S11" s="247">
        <v>0.01</v>
      </c>
      <c r="T11" s="247">
        <v>0.01</v>
      </c>
      <c r="U11" s="247">
        <v>0.01</v>
      </c>
      <c r="V11" s="248" t="s">
        <v>355</v>
      </c>
      <c r="W11" s="249" t="s">
        <v>356</v>
      </c>
    </row>
    <row r="12" spans="1:23" ht="12.75" customHeight="1">
      <c r="A12" s="246" t="s">
        <v>500</v>
      </c>
      <c r="B12" s="247">
        <v>0.01</v>
      </c>
      <c r="C12" s="247">
        <v>0.01</v>
      </c>
      <c r="D12" s="247">
        <v>0.01</v>
      </c>
      <c r="E12" s="247">
        <v>0.01</v>
      </c>
      <c r="F12" s="247">
        <v>0.01</v>
      </c>
      <c r="G12" s="247">
        <v>0.01</v>
      </c>
      <c r="H12" s="247">
        <v>0.01</v>
      </c>
      <c r="I12" s="247">
        <v>0.01</v>
      </c>
      <c r="J12" s="247">
        <v>0.01</v>
      </c>
      <c r="K12" s="247">
        <v>0.01</v>
      </c>
      <c r="L12" s="247">
        <v>0.01</v>
      </c>
      <c r="M12" s="247">
        <v>0.01</v>
      </c>
      <c r="N12" s="247">
        <v>0.01</v>
      </c>
      <c r="O12" s="247">
        <v>0.01</v>
      </c>
      <c r="P12" s="247">
        <v>0.01</v>
      </c>
      <c r="Q12" s="247">
        <v>0.01</v>
      </c>
      <c r="R12" s="247">
        <v>0.01</v>
      </c>
      <c r="S12" s="247">
        <v>0.01</v>
      </c>
      <c r="T12" s="247">
        <v>0.01</v>
      </c>
      <c r="U12" s="247">
        <v>0.01</v>
      </c>
      <c r="V12" s="248" t="s">
        <v>355</v>
      </c>
      <c r="W12" s="249" t="s">
        <v>356</v>
      </c>
    </row>
    <row r="13" spans="1:23" ht="12.75" customHeight="1">
      <c r="A13" s="246" t="s">
        <v>359</v>
      </c>
      <c r="B13" s="247">
        <v>0.01</v>
      </c>
      <c r="C13" s="247">
        <v>0.01</v>
      </c>
      <c r="D13" s="247">
        <v>0.01</v>
      </c>
      <c r="E13" s="247">
        <v>0.01</v>
      </c>
      <c r="F13" s="247">
        <v>0.01</v>
      </c>
      <c r="G13" s="247">
        <v>0.01</v>
      </c>
      <c r="H13" s="247">
        <v>0.01</v>
      </c>
      <c r="I13" s="247">
        <v>0.01</v>
      </c>
      <c r="J13" s="247">
        <v>0.01</v>
      </c>
      <c r="K13" s="247">
        <v>0.01</v>
      </c>
      <c r="L13" s="247">
        <v>0.01</v>
      </c>
      <c r="M13" s="247">
        <v>0.01</v>
      </c>
      <c r="N13" s="247">
        <v>0.01</v>
      </c>
      <c r="O13" s="247">
        <v>0.01</v>
      </c>
      <c r="P13" s="247">
        <v>0.01</v>
      </c>
      <c r="Q13" s="247">
        <v>0.01</v>
      </c>
      <c r="R13" s="247">
        <v>0.01</v>
      </c>
      <c r="S13" s="247">
        <v>0.01</v>
      </c>
      <c r="T13" s="247">
        <v>0.01</v>
      </c>
      <c r="U13" s="247">
        <v>0.01</v>
      </c>
      <c r="V13" s="248" t="s">
        <v>355</v>
      </c>
      <c r="W13" s="249" t="s">
        <v>356</v>
      </c>
    </row>
    <row r="14" spans="1:23" ht="12.75" customHeight="1">
      <c r="A14" s="246" t="s">
        <v>358</v>
      </c>
      <c r="B14" s="247">
        <v>0.01</v>
      </c>
      <c r="C14" s="247">
        <v>0.01</v>
      </c>
      <c r="D14" s="247">
        <v>0.01</v>
      </c>
      <c r="E14" s="247">
        <v>0.01</v>
      </c>
      <c r="F14" s="247">
        <v>0.01</v>
      </c>
      <c r="G14" s="247">
        <v>0.01</v>
      </c>
      <c r="H14" s="247">
        <v>0.01</v>
      </c>
      <c r="I14" s="247">
        <v>0.01</v>
      </c>
      <c r="J14" s="247">
        <v>0.01</v>
      </c>
      <c r="K14" s="247">
        <v>0.01</v>
      </c>
      <c r="L14" s="247">
        <v>0.01</v>
      </c>
      <c r="M14" s="247">
        <v>0.01</v>
      </c>
      <c r="N14" s="247">
        <v>0.01</v>
      </c>
      <c r="O14" s="247">
        <v>0.01</v>
      </c>
      <c r="P14" s="247">
        <v>0.01</v>
      </c>
      <c r="Q14" s="247">
        <v>0.01</v>
      </c>
      <c r="R14" s="247">
        <v>0.01</v>
      </c>
      <c r="S14" s="247">
        <v>0.01</v>
      </c>
      <c r="T14" s="247">
        <v>0.01</v>
      </c>
      <c r="U14" s="247">
        <v>0.01</v>
      </c>
      <c r="V14" s="248" t="s">
        <v>355</v>
      </c>
      <c r="W14" s="249" t="s">
        <v>356</v>
      </c>
    </row>
    <row r="15" spans="1:23" ht="12.75" customHeight="1">
      <c r="A15" s="246" t="s">
        <v>494</v>
      </c>
      <c r="B15" s="247">
        <v>5.0000000000000001E-3</v>
      </c>
      <c r="C15" s="247">
        <v>5.0000000000000001E-3</v>
      </c>
      <c r="D15" s="247">
        <v>5.0000000000000001E-3</v>
      </c>
      <c r="E15" s="247">
        <v>5.0000000000000001E-3</v>
      </c>
      <c r="F15" s="247">
        <v>5.0000000000000001E-3</v>
      </c>
      <c r="G15" s="247">
        <v>5.0000000000000001E-3</v>
      </c>
      <c r="H15" s="247">
        <v>5.0000000000000001E-3</v>
      </c>
      <c r="I15" s="247">
        <v>5.0000000000000001E-3</v>
      </c>
      <c r="J15" s="247">
        <v>5.0000000000000001E-3</v>
      </c>
      <c r="K15" s="247">
        <v>5.0000000000000001E-3</v>
      </c>
      <c r="L15" s="247">
        <v>5.0000000000000001E-3</v>
      </c>
      <c r="M15" s="247">
        <v>5.0000000000000001E-3</v>
      </c>
      <c r="N15" s="247">
        <v>5.0000000000000001E-3</v>
      </c>
      <c r="O15" s="247">
        <v>5.0000000000000001E-3</v>
      </c>
      <c r="P15" s="247">
        <v>5.0000000000000001E-3</v>
      </c>
      <c r="Q15" s="247">
        <v>5.0000000000000001E-3</v>
      </c>
      <c r="R15" s="247">
        <v>5.0000000000000001E-3</v>
      </c>
      <c r="S15" s="247">
        <v>5.0000000000000001E-3</v>
      </c>
      <c r="T15" s="247">
        <v>5.0000000000000001E-3</v>
      </c>
      <c r="U15" s="247">
        <v>5.0000000000000001E-3</v>
      </c>
      <c r="V15" s="250" t="s">
        <v>543</v>
      </c>
      <c r="W15" s="249" t="s">
        <v>544</v>
      </c>
    </row>
    <row r="16" spans="1:23" ht="12.75" customHeight="1">
      <c r="A16" s="246" t="s">
        <v>360</v>
      </c>
      <c r="B16" s="247">
        <v>5.0000000000000001E-3</v>
      </c>
      <c r="C16" s="247">
        <v>5.0000000000000001E-3</v>
      </c>
      <c r="D16" s="247">
        <v>5.0000000000000001E-3</v>
      </c>
      <c r="E16" s="247">
        <v>5.0000000000000001E-3</v>
      </c>
      <c r="F16" s="247">
        <v>5.0000000000000001E-3</v>
      </c>
      <c r="G16" s="247">
        <v>5.0000000000000001E-3</v>
      </c>
      <c r="H16" s="247">
        <v>5.0000000000000001E-3</v>
      </c>
      <c r="I16" s="247">
        <v>5.0000000000000001E-3</v>
      </c>
      <c r="J16" s="247">
        <v>5.0000000000000001E-3</v>
      </c>
      <c r="K16" s="247">
        <v>5.0000000000000001E-3</v>
      </c>
      <c r="L16" s="247">
        <v>5.0000000000000001E-3</v>
      </c>
      <c r="M16" s="247">
        <v>5.0000000000000001E-3</v>
      </c>
      <c r="N16" s="247">
        <v>5.0000000000000001E-3</v>
      </c>
      <c r="O16" s="247">
        <v>5.0000000000000001E-3</v>
      </c>
      <c r="P16" s="247">
        <v>5.0000000000000001E-3</v>
      </c>
      <c r="Q16" s="247">
        <v>5.0000000000000001E-3</v>
      </c>
      <c r="R16" s="247">
        <v>5.0000000000000001E-3</v>
      </c>
      <c r="S16" s="247">
        <v>5.0000000000000001E-3</v>
      </c>
      <c r="T16" s="247">
        <v>5.0000000000000001E-3</v>
      </c>
      <c r="U16" s="247">
        <v>5.0000000000000001E-3</v>
      </c>
      <c r="V16" s="250" t="s">
        <v>543</v>
      </c>
      <c r="W16" s="249" t="s">
        <v>544</v>
      </c>
    </row>
    <row r="17" spans="1:23" ht="12.75" customHeight="1">
      <c r="A17" s="246" t="s">
        <v>502</v>
      </c>
      <c r="B17" s="247">
        <v>5.0000000000000001E-3</v>
      </c>
      <c r="C17" s="247">
        <v>5.0000000000000001E-3</v>
      </c>
      <c r="D17" s="247">
        <v>5.0000000000000001E-3</v>
      </c>
      <c r="E17" s="247">
        <v>5.0000000000000001E-3</v>
      </c>
      <c r="F17" s="247">
        <v>5.0000000000000001E-3</v>
      </c>
      <c r="G17" s="247">
        <v>5.0000000000000001E-3</v>
      </c>
      <c r="H17" s="247">
        <v>5.0000000000000001E-3</v>
      </c>
      <c r="I17" s="247">
        <v>5.0000000000000001E-3</v>
      </c>
      <c r="J17" s="247">
        <v>5.0000000000000001E-3</v>
      </c>
      <c r="K17" s="247">
        <v>5.0000000000000001E-3</v>
      </c>
      <c r="L17" s="247">
        <v>5.0000000000000001E-3</v>
      </c>
      <c r="M17" s="247">
        <v>5.0000000000000001E-3</v>
      </c>
      <c r="N17" s="247">
        <v>5.0000000000000001E-3</v>
      </c>
      <c r="O17" s="247">
        <v>5.0000000000000001E-3</v>
      </c>
      <c r="P17" s="247">
        <v>5.0000000000000001E-3</v>
      </c>
      <c r="Q17" s="247">
        <v>5.0000000000000001E-3</v>
      </c>
      <c r="R17" s="247">
        <v>5.0000000000000001E-3</v>
      </c>
      <c r="S17" s="247">
        <v>5.0000000000000001E-3</v>
      </c>
      <c r="T17" s="247">
        <v>5.0000000000000001E-3</v>
      </c>
      <c r="U17" s="247">
        <v>5.0000000000000001E-3</v>
      </c>
      <c r="V17" s="250" t="s">
        <v>543</v>
      </c>
      <c r="W17" s="249" t="s">
        <v>544</v>
      </c>
    </row>
    <row r="18" spans="1:23" ht="12.75" customHeight="1">
      <c r="A18" s="246" t="s">
        <v>503</v>
      </c>
      <c r="B18" s="247">
        <v>5.0000000000000001E-3</v>
      </c>
      <c r="C18" s="247">
        <v>5.0000000000000001E-3</v>
      </c>
      <c r="D18" s="247">
        <v>5.0000000000000001E-3</v>
      </c>
      <c r="E18" s="247">
        <v>5.0000000000000001E-3</v>
      </c>
      <c r="F18" s="247">
        <v>5.0000000000000001E-3</v>
      </c>
      <c r="G18" s="247">
        <v>5.0000000000000001E-3</v>
      </c>
      <c r="H18" s="247">
        <v>5.0000000000000001E-3</v>
      </c>
      <c r="I18" s="247">
        <v>5.0000000000000001E-3</v>
      </c>
      <c r="J18" s="247">
        <v>5.0000000000000001E-3</v>
      </c>
      <c r="K18" s="247">
        <v>5.0000000000000001E-3</v>
      </c>
      <c r="L18" s="247">
        <v>5.0000000000000001E-3</v>
      </c>
      <c r="M18" s="247">
        <v>5.0000000000000001E-3</v>
      </c>
      <c r="N18" s="247">
        <v>5.0000000000000001E-3</v>
      </c>
      <c r="O18" s="247">
        <v>5.0000000000000001E-3</v>
      </c>
      <c r="P18" s="247">
        <v>5.0000000000000001E-3</v>
      </c>
      <c r="Q18" s="247">
        <v>5.0000000000000001E-3</v>
      </c>
      <c r="R18" s="247">
        <v>5.0000000000000001E-3</v>
      </c>
      <c r="S18" s="247">
        <v>5.0000000000000001E-3</v>
      </c>
      <c r="T18" s="247">
        <v>5.0000000000000001E-3</v>
      </c>
      <c r="U18" s="247">
        <v>5.0000000000000001E-3</v>
      </c>
      <c r="V18" s="250" t="s">
        <v>543</v>
      </c>
      <c r="W18" s="249" t="s">
        <v>544</v>
      </c>
    </row>
    <row r="19" spans="1:23" ht="12.75" customHeight="1">
      <c r="A19" s="246" t="s">
        <v>504</v>
      </c>
      <c r="B19" s="247">
        <v>5.0000000000000001E-3</v>
      </c>
      <c r="C19" s="247">
        <v>5.0000000000000001E-3</v>
      </c>
      <c r="D19" s="247">
        <v>5.0000000000000001E-3</v>
      </c>
      <c r="E19" s="247">
        <v>5.0000000000000001E-3</v>
      </c>
      <c r="F19" s="247">
        <v>5.0000000000000001E-3</v>
      </c>
      <c r="G19" s="247">
        <v>5.0000000000000001E-3</v>
      </c>
      <c r="H19" s="247">
        <v>5.0000000000000001E-3</v>
      </c>
      <c r="I19" s="247">
        <v>5.0000000000000001E-3</v>
      </c>
      <c r="J19" s="247">
        <v>5.0000000000000001E-3</v>
      </c>
      <c r="K19" s="247">
        <v>5.0000000000000001E-3</v>
      </c>
      <c r="L19" s="247">
        <v>5.0000000000000001E-3</v>
      </c>
      <c r="M19" s="247">
        <v>5.0000000000000001E-3</v>
      </c>
      <c r="N19" s="247">
        <v>5.0000000000000001E-3</v>
      </c>
      <c r="O19" s="247">
        <v>5.0000000000000001E-3</v>
      </c>
      <c r="P19" s="247">
        <v>5.0000000000000001E-3</v>
      </c>
      <c r="Q19" s="247">
        <v>5.0000000000000001E-3</v>
      </c>
      <c r="R19" s="247">
        <v>5.0000000000000001E-3</v>
      </c>
      <c r="S19" s="247">
        <v>5.0000000000000001E-3</v>
      </c>
      <c r="T19" s="247">
        <v>5.0000000000000001E-3</v>
      </c>
      <c r="U19" s="247">
        <v>5.0000000000000001E-3</v>
      </c>
      <c r="V19" s="250" t="s">
        <v>543</v>
      </c>
      <c r="W19" s="251" t="s">
        <v>544</v>
      </c>
    </row>
    <row r="20" spans="1:23" ht="12.75" customHeight="1">
      <c r="A20" s="246" t="s">
        <v>506</v>
      </c>
      <c r="B20" s="247">
        <v>5.0000000000000001E-3</v>
      </c>
      <c r="C20" s="247">
        <v>5.0000000000000001E-3</v>
      </c>
      <c r="D20" s="247">
        <v>5.0000000000000001E-3</v>
      </c>
      <c r="E20" s="247">
        <v>5.0000000000000001E-3</v>
      </c>
      <c r="F20" s="247">
        <v>5.0000000000000001E-3</v>
      </c>
      <c r="G20" s="247">
        <v>5.0000000000000001E-3</v>
      </c>
      <c r="H20" s="247">
        <v>5.0000000000000001E-3</v>
      </c>
      <c r="I20" s="247">
        <v>5.0000000000000001E-3</v>
      </c>
      <c r="J20" s="247">
        <v>5.0000000000000001E-3</v>
      </c>
      <c r="K20" s="247">
        <v>5.0000000000000001E-3</v>
      </c>
      <c r="L20" s="247">
        <v>5.0000000000000001E-3</v>
      </c>
      <c r="M20" s="247">
        <v>5.0000000000000001E-3</v>
      </c>
      <c r="N20" s="247">
        <v>5.0000000000000001E-3</v>
      </c>
      <c r="O20" s="247">
        <v>5.0000000000000001E-3</v>
      </c>
      <c r="P20" s="247">
        <v>5.0000000000000001E-3</v>
      </c>
      <c r="Q20" s="247">
        <v>5.0000000000000001E-3</v>
      </c>
      <c r="R20" s="247">
        <v>5.0000000000000001E-3</v>
      </c>
      <c r="S20" s="247">
        <v>5.0000000000000001E-3</v>
      </c>
      <c r="T20" s="247">
        <v>5.0000000000000001E-3</v>
      </c>
      <c r="U20" s="247">
        <v>5.0000000000000001E-3</v>
      </c>
      <c r="V20" s="250" t="s">
        <v>543</v>
      </c>
      <c r="W20" s="251" t="s">
        <v>544</v>
      </c>
    </row>
    <row r="21" spans="1:23" ht="12.75" customHeight="1">
      <c r="A21" s="246" t="s">
        <v>505</v>
      </c>
      <c r="B21" s="247">
        <v>5.0000000000000001E-3</v>
      </c>
      <c r="C21" s="247">
        <v>5.0000000000000001E-3</v>
      </c>
      <c r="D21" s="247">
        <v>5.0000000000000001E-3</v>
      </c>
      <c r="E21" s="247">
        <v>5.0000000000000001E-3</v>
      </c>
      <c r="F21" s="247">
        <v>5.0000000000000001E-3</v>
      </c>
      <c r="G21" s="247">
        <v>5.0000000000000001E-3</v>
      </c>
      <c r="H21" s="247">
        <v>5.0000000000000001E-3</v>
      </c>
      <c r="I21" s="247">
        <v>5.0000000000000001E-3</v>
      </c>
      <c r="J21" s="247">
        <v>5.0000000000000001E-3</v>
      </c>
      <c r="K21" s="247">
        <v>5.0000000000000001E-3</v>
      </c>
      <c r="L21" s="247">
        <v>5.0000000000000001E-3</v>
      </c>
      <c r="M21" s="247">
        <v>5.0000000000000001E-3</v>
      </c>
      <c r="N21" s="247">
        <v>5.0000000000000001E-3</v>
      </c>
      <c r="O21" s="247">
        <v>5.0000000000000001E-3</v>
      </c>
      <c r="P21" s="247">
        <v>5.0000000000000001E-3</v>
      </c>
      <c r="Q21" s="247">
        <v>5.0000000000000001E-3</v>
      </c>
      <c r="R21" s="247">
        <v>5.0000000000000001E-3</v>
      </c>
      <c r="S21" s="247">
        <v>5.0000000000000001E-3</v>
      </c>
      <c r="T21" s="247">
        <v>5.0000000000000001E-3</v>
      </c>
      <c r="U21" s="247">
        <v>5.0000000000000001E-3</v>
      </c>
      <c r="V21" s="250" t="s">
        <v>543</v>
      </c>
      <c r="W21" s="251" t="s">
        <v>544</v>
      </c>
    </row>
    <row r="22" spans="1:23" ht="12.75" customHeight="1">
      <c r="A22" s="246" t="s">
        <v>545</v>
      </c>
      <c r="B22" s="247">
        <v>5.0000000000000001E-3</v>
      </c>
      <c r="C22" s="247">
        <v>5.0000000000000001E-3</v>
      </c>
      <c r="D22" s="247">
        <v>5.0000000000000001E-3</v>
      </c>
      <c r="E22" s="247">
        <v>5.0000000000000001E-3</v>
      </c>
      <c r="F22" s="247">
        <v>5.0000000000000001E-3</v>
      </c>
      <c r="G22" s="247">
        <v>5.0000000000000001E-3</v>
      </c>
      <c r="H22" s="247">
        <v>5.0000000000000001E-3</v>
      </c>
      <c r="I22" s="247">
        <v>5.0000000000000001E-3</v>
      </c>
      <c r="J22" s="247">
        <v>5.0000000000000001E-3</v>
      </c>
      <c r="K22" s="247">
        <v>5.0000000000000001E-3</v>
      </c>
      <c r="L22" s="247">
        <v>5.0000000000000001E-3</v>
      </c>
      <c r="M22" s="247">
        <v>5.0000000000000001E-3</v>
      </c>
      <c r="N22" s="247">
        <v>5.0000000000000001E-3</v>
      </c>
      <c r="O22" s="247">
        <v>5.0000000000000001E-3</v>
      </c>
      <c r="P22" s="247">
        <v>5.0000000000000001E-3</v>
      </c>
      <c r="Q22" s="247">
        <v>5.0000000000000001E-3</v>
      </c>
      <c r="R22" s="247">
        <v>5.0000000000000001E-3</v>
      </c>
      <c r="S22" s="247">
        <v>5.0000000000000001E-3</v>
      </c>
      <c r="T22" s="247">
        <v>5.0000000000000001E-3</v>
      </c>
      <c r="U22" s="247">
        <v>5.0000000000000001E-3</v>
      </c>
      <c r="V22" s="250" t="s">
        <v>543</v>
      </c>
      <c r="W22" s="251" t="s">
        <v>544</v>
      </c>
    </row>
    <row r="23" spans="1:23" ht="12.75" customHeight="1">
      <c r="A23" s="252" t="s">
        <v>546</v>
      </c>
      <c r="B23" s="247">
        <v>5.0000000000000001E-3</v>
      </c>
      <c r="C23" s="247">
        <v>5.0000000000000001E-3</v>
      </c>
      <c r="D23" s="247">
        <v>5.0000000000000001E-3</v>
      </c>
      <c r="E23" s="247">
        <v>5.0000000000000001E-3</v>
      </c>
      <c r="F23" s="247">
        <v>5.0000000000000001E-3</v>
      </c>
      <c r="G23" s="247">
        <v>5.0000000000000001E-3</v>
      </c>
      <c r="H23" s="247">
        <v>5.0000000000000001E-3</v>
      </c>
      <c r="I23" s="247">
        <v>5.0000000000000001E-3</v>
      </c>
      <c r="J23" s="247">
        <v>5.0000000000000001E-3</v>
      </c>
      <c r="K23" s="247">
        <v>5.0000000000000001E-3</v>
      </c>
      <c r="L23" s="247">
        <v>5.0000000000000001E-3</v>
      </c>
      <c r="M23" s="247">
        <v>5.0000000000000001E-3</v>
      </c>
      <c r="N23" s="247">
        <v>5.0000000000000001E-3</v>
      </c>
      <c r="O23" s="247">
        <v>5.0000000000000001E-3</v>
      </c>
      <c r="P23" s="247">
        <v>5.0000000000000001E-3</v>
      </c>
      <c r="Q23" s="247">
        <v>5.0000000000000001E-3</v>
      </c>
      <c r="R23" s="247">
        <v>5.0000000000000001E-3</v>
      </c>
      <c r="S23" s="247">
        <v>5.0000000000000001E-3</v>
      </c>
      <c r="T23" s="247">
        <v>5.0000000000000001E-3</v>
      </c>
      <c r="U23" s="247">
        <v>5.0000000000000001E-3</v>
      </c>
      <c r="V23" s="250" t="s">
        <v>543</v>
      </c>
      <c r="W23" s="253" t="s">
        <v>544</v>
      </c>
    </row>
    <row r="24" spans="1:23" ht="12.75" customHeight="1">
      <c r="A24" s="252" t="s">
        <v>547</v>
      </c>
      <c r="B24" s="247">
        <v>5.0000000000000001E-3</v>
      </c>
      <c r="C24" s="247">
        <v>5.0000000000000001E-3</v>
      </c>
      <c r="D24" s="247">
        <v>5.0000000000000001E-3</v>
      </c>
      <c r="E24" s="247">
        <v>5.0000000000000001E-3</v>
      </c>
      <c r="F24" s="247">
        <v>5.0000000000000001E-3</v>
      </c>
      <c r="G24" s="247">
        <v>5.0000000000000001E-3</v>
      </c>
      <c r="H24" s="247">
        <v>5.0000000000000001E-3</v>
      </c>
      <c r="I24" s="247">
        <v>5.0000000000000001E-3</v>
      </c>
      <c r="J24" s="247">
        <v>5.0000000000000001E-3</v>
      </c>
      <c r="K24" s="247">
        <v>5.0000000000000001E-3</v>
      </c>
      <c r="L24" s="247">
        <v>5.0000000000000001E-3</v>
      </c>
      <c r="M24" s="247">
        <v>5.0000000000000001E-3</v>
      </c>
      <c r="N24" s="247">
        <v>5.0000000000000001E-3</v>
      </c>
      <c r="O24" s="247">
        <v>5.0000000000000001E-3</v>
      </c>
      <c r="P24" s="247">
        <v>5.0000000000000001E-3</v>
      </c>
      <c r="Q24" s="247">
        <v>5.0000000000000001E-3</v>
      </c>
      <c r="R24" s="247">
        <v>5.0000000000000001E-3</v>
      </c>
      <c r="S24" s="247">
        <v>5.0000000000000001E-3</v>
      </c>
      <c r="T24" s="247">
        <v>5.0000000000000001E-3</v>
      </c>
      <c r="U24" s="247">
        <v>5.0000000000000001E-3</v>
      </c>
      <c r="V24" s="250" t="s">
        <v>543</v>
      </c>
      <c r="W24" s="253" t="s">
        <v>544</v>
      </c>
    </row>
    <row r="25" spans="1:23" ht="12.75" customHeight="1">
      <c r="A25" s="252" t="s">
        <v>548</v>
      </c>
      <c r="B25" s="247">
        <v>5.0000000000000001E-3</v>
      </c>
      <c r="C25" s="247">
        <v>5.0000000000000001E-3</v>
      </c>
      <c r="D25" s="247">
        <v>5.0000000000000001E-3</v>
      </c>
      <c r="E25" s="247">
        <v>5.0000000000000001E-3</v>
      </c>
      <c r="F25" s="247">
        <v>5.0000000000000001E-3</v>
      </c>
      <c r="G25" s="247">
        <v>5.0000000000000001E-3</v>
      </c>
      <c r="H25" s="247">
        <v>5.0000000000000001E-3</v>
      </c>
      <c r="I25" s="247">
        <v>5.0000000000000001E-3</v>
      </c>
      <c r="J25" s="247">
        <v>5.0000000000000001E-3</v>
      </c>
      <c r="K25" s="247">
        <v>5.0000000000000001E-3</v>
      </c>
      <c r="L25" s="247">
        <v>5.0000000000000001E-3</v>
      </c>
      <c r="M25" s="247">
        <v>5.0000000000000001E-3</v>
      </c>
      <c r="N25" s="247">
        <v>5.0000000000000001E-3</v>
      </c>
      <c r="O25" s="247">
        <v>5.0000000000000001E-3</v>
      </c>
      <c r="P25" s="247">
        <v>5.0000000000000001E-3</v>
      </c>
      <c r="Q25" s="247">
        <v>5.0000000000000001E-3</v>
      </c>
      <c r="R25" s="247">
        <v>5.0000000000000001E-3</v>
      </c>
      <c r="S25" s="247">
        <v>5.0000000000000001E-3</v>
      </c>
      <c r="T25" s="247">
        <v>5.0000000000000001E-3</v>
      </c>
      <c r="U25" s="247">
        <v>5.0000000000000001E-3</v>
      </c>
      <c r="V25" s="250" t="s">
        <v>543</v>
      </c>
      <c r="W25" s="253" t="s">
        <v>544</v>
      </c>
    </row>
    <row r="26" spans="1:23" ht="12.75" customHeight="1">
      <c r="A26" s="252" t="s">
        <v>507</v>
      </c>
      <c r="B26" s="247">
        <v>5.0000000000000001E-3</v>
      </c>
      <c r="C26" s="247">
        <v>5.0000000000000001E-3</v>
      </c>
      <c r="D26" s="247">
        <v>5.0000000000000001E-3</v>
      </c>
      <c r="E26" s="247">
        <v>5.0000000000000001E-3</v>
      </c>
      <c r="F26" s="247">
        <v>5.0000000000000001E-3</v>
      </c>
      <c r="G26" s="247">
        <v>5.0000000000000001E-3</v>
      </c>
      <c r="H26" s="247">
        <v>5.0000000000000001E-3</v>
      </c>
      <c r="I26" s="247">
        <v>5.0000000000000001E-3</v>
      </c>
      <c r="J26" s="247">
        <v>5.0000000000000001E-3</v>
      </c>
      <c r="K26" s="247">
        <v>5.0000000000000001E-3</v>
      </c>
      <c r="L26" s="247">
        <v>5.0000000000000001E-3</v>
      </c>
      <c r="M26" s="247">
        <v>5.0000000000000001E-3</v>
      </c>
      <c r="N26" s="247">
        <v>5.0000000000000001E-3</v>
      </c>
      <c r="O26" s="247">
        <v>5.0000000000000001E-3</v>
      </c>
      <c r="P26" s="247">
        <v>5.0000000000000001E-3</v>
      </c>
      <c r="Q26" s="247">
        <v>5.0000000000000001E-3</v>
      </c>
      <c r="R26" s="247">
        <v>5.0000000000000001E-3</v>
      </c>
      <c r="S26" s="247">
        <v>5.0000000000000001E-3</v>
      </c>
      <c r="T26" s="247">
        <v>5.0000000000000001E-3</v>
      </c>
      <c r="U26" s="247">
        <v>5.0000000000000001E-3</v>
      </c>
      <c r="V26" s="250" t="s">
        <v>543</v>
      </c>
      <c r="W26" s="254" t="s">
        <v>544</v>
      </c>
    </row>
    <row r="27" spans="1:23" ht="12.75" customHeight="1">
      <c r="A27" s="246" t="s">
        <v>508</v>
      </c>
      <c r="B27" s="247">
        <v>5.0000000000000001E-3</v>
      </c>
      <c r="C27" s="247">
        <v>5.0000000000000001E-3</v>
      </c>
      <c r="D27" s="247">
        <v>5.0000000000000001E-3</v>
      </c>
      <c r="E27" s="247">
        <v>5.0000000000000001E-3</v>
      </c>
      <c r="F27" s="247">
        <v>5.0000000000000001E-3</v>
      </c>
      <c r="G27" s="247">
        <v>5.0000000000000001E-3</v>
      </c>
      <c r="H27" s="247">
        <v>5.0000000000000001E-3</v>
      </c>
      <c r="I27" s="247">
        <v>5.0000000000000001E-3</v>
      </c>
      <c r="J27" s="247">
        <v>5.0000000000000001E-3</v>
      </c>
      <c r="K27" s="247">
        <v>5.0000000000000001E-3</v>
      </c>
      <c r="L27" s="247">
        <v>5.0000000000000001E-3</v>
      </c>
      <c r="M27" s="247">
        <v>5.0000000000000001E-3</v>
      </c>
      <c r="N27" s="247">
        <v>5.0000000000000001E-3</v>
      </c>
      <c r="O27" s="247">
        <v>5.0000000000000001E-3</v>
      </c>
      <c r="P27" s="247">
        <v>5.0000000000000001E-3</v>
      </c>
      <c r="Q27" s="247">
        <v>5.0000000000000001E-3</v>
      </c>
      <c r="R27" s="247">
        <v>5.0000000000000001E-3</v>
      </c>
      <c r="S27" s="247">
        <v>5.0000000000000001E-3</v>
      </c>
      <c r="T27" s="247">
        <v>5.0000000000000001E-3</v>
      </c>
      <c r="U27" s="247">
        <v>5.0000000000000001E-3</v>
      </c>
      <c r="V27" s="248" t="s">
        <v>543</v>
      </c>
      <c r="W27" s="249" t="s">
        <v>544</v>
      </c>
    </row>
    <row r="28" spans="1:23" ht="12.75" customHeight="1">
      <c r="A28" s="246" t="s">
        <v>549</v>
      </c>
      <c r="B28" s="247">
        <v>5.0000000000000001E-3</v>
      </c>
      <c r="C28" s="247">
        <v>5.0000000000000001E-3</v>
      </c>
      <c r="D28" s="247">
        <v>5.0000000000000001E-3</v>
      </c>
      <c r="E28" s="247">
        <v>5.0000000000000001E-3</v>
      </c>
      <c r="F28" s="247">
        <v>5.0000000000000001E-3</v>
      </c>
      <c r="G28" s="247">
        <v>5.0000000000000001E-3</v>
      </c>
      <c r="H28" s="247">
        <v>5.0000000000000001E-3</v>
      </c>
      <c r="I28" s="247">
        <v>5.0000000000000001E-3</v>
      </c>
      <c r="J28" s="247">
        <v>5.0000000000000001E-3</v>
      </c>
      <c r="K28" s="247">
        <v>5.0000000000000001E-3</v>
      </c>
      <c r="L28" s="247">
        <v>5.0000000000000001E-3</v>
      </c>
      <c r="M28" s="247">
        <v>5.0000000000000001E-3</v>
      </c>
      <c r="N28" s="247">
        <v>5.0000000000000001E-3</v>
      </c>
      <c r="O28" s="247">
        <v>5.0000000000000001E-3</v>
      </c>
      <c r="P28" s="247">
        <v>5.0000000000000001E-3</v>
      </c>
      <c r="Q28" s="247">
        <v>5.0000000000000001E-3</v>
      </c>
      <c r="R28" s="247">
        <v>5.0000000000000001E-3</v>
      </c>
      <c r="S28" s="247">
        <v>5.0000000000000001E-3</v>
      </c>
      <c r="T28" s="247">
        <v>5.0000000000000001E-3</v>
      </c>
      <c r="U28" s="247">
        <v>5.0000000000000001E-3</v>
      </c>
      <c r="V28" s="248" t="s">
        <v>543</v>
      </c>
      <c r="W28" s="251" t="s">
        <v>544</v>
      </c>
    </row>
    <row r="29" spans="1:23" ht="12.75" customHeight="1">
      <c r="A29" s="246" t="s">
        <v>550</v>
      </c>
      <c r="B29" s="247">
        <v>5.0000000000000001E-3</v>
      </c>
      <c r="C29" s="247">
        <v>5.0000000000000001E-3</v>
      </c>
      <c r="D29" s="247">
        <v>5.0000000000000001E-3</v>
      </c>
      <c r="E29" s="247">
        <v>5.0000000000000001E-3</v>
      </c>
      <c r="F29" s="247">
        <v>5.0000000000000001E-3</v>
      </c>
      <c r="G29" s="247">
        <v>5.0000000000000001E-3</v>
      </c>
      <c r="H29" s="247">
        <v>5.0000000000000001E-3</v>
      </c>
      <c r="I29" s="247">
        <v>5.0000000000000001E-3</v>
      </c>
      <c r="J29" s="247">
        <v>5.0000000000000001E-3</v>
      </c>
      <c r="K29" s="247">
        <v>5.0000000000000001E-3</v>
      </c>
      <c r="L29" s="247">
        <v>5.0000000000000001E-3</v>
      </c>
      <c r="M29" s="247">
        <v>5.0000000000000001E-3</v>
      </c>
      <c r="N29" s="247">
        <v>5.0000000000000001E-3</v>
      </c>
      <c r="O29" s="247">
        <v>5.0000000000000001E-3</v>
      </c>
      <c r="P29" s="247">
        <v>5.0000000000000001E-3</v>
      </c>
      <c r="Q29" s="247">
        <v>5.0000000000000001E-3</v>
      </c>
      <c r="R29" s="247">
        <v>5.0000000000000001E-3</v>
      </c>
      <c r="S29" s="247">
        <v>5.0000000000000001E-3</v>
      </c>
      <c r="T29" s="247">
        <v>5.0000000000000001E-3</v>
      </c>
      <c r="U29" s="247">
        <v>5.0000000000000001E-3</v>
      </c>
      <c r="V29" s="248" t="s">
        <v>543</v>
      </c>
      <c r="W29" s="255" t="s">
        <v>544</v>
      </c>
    </row>
    <row r="30" spans="1:23" ht="12.75" customHeight="1">
      <c r="A30" s="246" t="s">
        <v>551</v>
      </c>
      <c r="B30" s="247">
        <v>5.0000000000000001E-3</v>
      </c>
      <c r="C30" s="247">
        <v>5.0000000000000001E-3</v>
      </c>
      <c r="D30" s="247">
        <v>5.0000000000000001E-3</v>
      </c>
      <c r="E30" s="247">
        <v>5.0000000000000001E-3</v>
      </c>
      <c r="F30" s="247">
        <v>5.0000000000000001E-3</v>
      </c>
      <c r="G30" s="247">
        <v>5.0000000000000001E-3</v>
      </c>
      <c r="H30" s="247">
        <v>5.0000000000000001E-3</v>
      </c>
      <c r="I30" s="247">
        <v>5.0000000000000001E-3</v>
      </c>
      <c r="J30" s="247">
        <v>5.0000000000000001E-3</v>
      </c>
      <c r="K30" s="247">
        <v>5.0000000000000001E-3</v>
      </c>
      <c r="L30" s="247">
        <v>5.0000000000000001E-3</v>
      </c>
      <c r="M30" s="247">
        <v>5.0000000000000001E-3</v>
      </c>
      <c r="N30" s="247">
        <v>5.0000000000000001E-3</v>
      </c>
      <c r="O30" s="247">
        <v>5.0000000000000001E-3</v>
      </c>
      <c r="P30" s="247">
        <v>5.0000000000000001E-3</v>
      </c>
      <c r="Q30" s="247">
        <v>5.0000000000000001E-3</v>
      </c>
      <c r="R30" s="247">
        <v>5.0000000000000001E-3</v>
      </c>
      <c r="S30" s="247">
        <v>5.0000000000000001E-3</v>
      </c>
      <c r="T30" s="247">
        <v>5.0000000000000001E-3</v>
      </c>
      <c r="U30" s="247">
        <v>5.0000000000000001E-3</v>
      </c>
      <c r="V30" s="248" t="s">
        <v>543</v>
      </c>
      <c r="W30" s="255" t="s">
        <v>544</v>
      </c>
    </row>
    <row r="31" spans="1:23" ht="12.75" customHeight="1">
      <c r="B31" s="194"/>
      <c r="C31" s="197"/>
      <c r="D31" s="198"/>
    </row>
    <row r="32" spans="1:23" ht="12.75" customHeight="1">
      <c r="B32" s="194"/>
      <c r="C32" s="197"/>
      <c r="D32" s="198"/>
    </row>
    <row r="33" spans="1:2" ht="12.75" customHeight="1">
      <c r="B33" s="194"/>
    </row>
    <row r="34" spans="1:2" ht="12.75" customHeight="1">
      <c r="B34" s="194"/>
    </row>
    <row r="35" spans="1:2" ht="12.75" customHeight="1">
      <c r="B35" s="194"/>
    </row>
    <row r="36" spans="1:2" ht="12.75" customHeight="1">
      <c r="B36" s="194"/>
    </row>
    <row r="37" spans="1:2" ht="12.75" customHeight="1">
      <c r="B37" s="194"/>
    </row>
    <row r="38" spans="1:2" ht="12.75" customHeight="1">
      <c r="B38" s="194"/>
    </row>
    <row r="39" spans="1:2" ht="12.75" customHeight="1">
      <c r="B39" s="194"/>
    </row>
    <row r="40" spans="1:2" ht="12.75" customHeight="1">
      <c r="B40" s="194"/>
    </row>
    <row r="41" spans="1:2" ht="12.75" customHeight="1">
      <c r="B41" s="198"/>
    </row>
    <row r="42" spans="1:2">
      <c r="B42" s="194"/>
    </row>
    <row r="43" spans="1:2">
      <c r="A43" s="197"/>
    </row>
  </sheetData>
  <phoneticPr fontId="2" type="noConversion"/>
  <conditionalFormatting sqref="B42:B65536">
    <cfRule type="cellIs" dxfId="0" priority="1" stopIfTrue="1" operator="between">
      <formula>-0.000001</formula>
      <formula>0.000001</formula>
    </cfRule>
  </conditionalFormatting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baseColWidth="10" defaultRowHeight="12.75"/>
  <cols>
    <col min="1" max="16384" width="11.42578125" style="204"/>
  </cols>
  <sheetData>
    <row r="1" spans="1:3">
      <c r="A1" s="189" t="s">
        <v>364</v>
      </c>
      <c r="B1" s="203" t="e">
        <f>EXP(-(ThParam!$B1/(Rth*T))+ThParam!$B2/Rth)</f>
        <v>#NAME?</v>
      </c>
      <c r="C1" s="198" t="s">
        <v>365</v>
      </c>
    </row>
    <row r="2" spans="1:3">
      <c r="A2" s="189" t="s">
        <v>366</v>
      </c>
      <c r="B2" s="203" t="e">
        <f>EXP(-(ThParam!$B3/(Rth*T)))</f>
        <v>#NAME?</v>
      </c>
      <c r="C2" s="198" t="s">
        <v>365</v>
      </c>
    </row>
    <row r="3" spans="1:3">
      <c r="A3" s="189" t="s">
        <v>367</v>
      </c>
      <c r="B3" s="191">
        <v>1.38E-5</v>
      </c>
      <c r="C3" s="198" t="s">
        <v>365</v>
      </c>
    </row>
    <row r="4" spans="1:3">
      <c r="A4" s="189" t="s">
        <v>368</v>
      </c>
      <c r="B4" s="203" t="e">
        <f>EXP(-(ThParam!$B4/(Rth*T)))</f>
        <v>#NAME?</v>
      </c>
      <c r="C4" s="198" t="s">
        <v>365</v>
      </c>
    </row>
    <row r="5" spans="1:3">
      <c r="A5" s="189" t="s">
        <v>369</v>
      </c>
      <c r="B5" s="203" t="e">
        <f>EXP(-(ThParam!$B5/(Rth*T)))</f>
        <v>#NAME?</v>
      </c>
      <c r="C5" s="191" t="s">
        <v>365</v>
      </c>
    </row>
    <row r="6" spans="1:3">
      <c r="A6" s="189" t="s">
        <v>370</v>
      </c>
      <c r="B6" s="203" t="e">
        <f>EXP(-(ThParam!$B6/(Rth*T))+ThParam!$B7/Rth)</f>
        <v>#NAME?</v>
      </c>
      <c r="C6" s="191" t="s">
        <v>365</v>
      </c>
    </row>
    <row r="7" spans="1:3">
      <c r="A7" s="189" t="s">
        <v>371</v>
      </c>
      <c r="B7" s="203" t="e">
        <f>EXP(-(ThParam!$B8/(Rth*T))+ThParam!$B9/Rth)</f>
        <v>#NAME?</v>
      </c>
      <c r="C7" s="191" t="s">
        <v>365</v>
      </c>
    </row>
    <row r="8" spans="1:3">
      <c r="A8" s="189" t="s">
        <v>372</v>
      </c>
      <c r="B8" s="203" t="e">
        <f>EXP(-(ThParam!$B10/(Rth*T))+ThParam!$B11/Rth)</f>
        <v>#NAME?</v>
      </c>
      <c r="C8" s="191" t="s">
        <v>365</v>
      </c>
    </row>
    <row r="9" spans="1:3">
      <c r="A9" s="205" t="s">
        <v>373</v>
      </c>
      <c r="B9" s="206" t="e">
        <f>EXP(-(ThParam!$B12/(Rth*T))+ThParam!$B13/Rth)</f>
        <v>#NAME?</v>
      </c>
      <c r="C9" s="207" t="s">
        <v>365</v>
      </c>
    </row>
    <row r="10" spans="1:3">
      <c r="A10" s="189" t="s">
        <v>374</v>
      </c>
      <c r="B10" s="203" t="e">
        <f>EXP(-(ThParam!$B14/(Rth*T))+ThParam!$B15/Rth)</f>
        <v>#NAME?</v>
      </c>
      <c r="C10" s="191" t="s">
        <v>375</v>
      </c>
    </row>
    <row r="11" spans="1:3">
      <c r="A11" s="189" t="s">
        <v>376</v>
      </c>
      <c r="B11" s="203" t="e">
        <f>EXP(-(ThParam!$B16/(Rth*T))+ThParam!$B17/Rth)</f>
        <v>#NAME?</v>
      </c>
      <c r="C11" s="191" t="s">
        <v>375</v>
      </c>
    </row>
    <row r="12" spans="1:3">
      <c r="A12" s="189" t="s">
        <v>377</v>
      </c>
      <c r="B12" s="203" t="e">
        <f>EXP(-(ThParam!$B18/(Rth*T))+ThParam!$B19/Rth)</f>
        <v>#NAME?</v>
      </c>
      <c r="C12" s="191" t="s">
        <v>375</v>
      </c>
    </row>
    <row r="13" spans="1:3">
      <c r="A13" s="205" t="s">
        <v>378</v>
      </c>
      <c r="B13" s="206" t="e">
        <f>EXP(-(ThParam!$B20/(Rth*T))+ThParam!$B21/Rth)</f>
        <v>#NAME?</v>
      </c>
      <c r="C13" s="207" t="s">
        <v>375</v>
      </c>
    </row>
    <row r="14" spans="1:3">
      <c r="A14" s="199" t="s">
        <v>379</v>
      </c>
      <c r="B14" s="203">
        <v>0</v>
      </c>
      <c r="C14" s="208" t="s">
        <v>363</v>
      </c>
    </row>
    <row r="15" spans="1:3">
      <c r="A15" s="199" t="s">
        <v>380</v>
      </c>
      <c r="B15" s="203" t="e">
        <f>0.0313*EXP(5290*(1/298.15-1/T))</f>
        <v>#NAME?</v>
      </c>
      <c r="C15" s="208" t="s">
        <v>363</v>
      </c>
    </row>
    <row r="16" spans="1:3">
      <c r="A16" s="205" t="s">
        <v>381</v>
      </c>
      <c r="B16" s="209">
        <v>0.1</v>
      </c>
      <c r="C16" s="207" t="s">
        <v>382</v>
      </c>
    </row>
  </sheetData>
  <phoneticPr fontId="0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2.75"/>
  <cols>
    <col min="1" max="16384" width="11.42578125" style="198"/>
  </cols>
  <sheetData>
    <row r="1" spans="1:3">
      <c r="A1" s="210" t="s">
        <v>383</v>
      </c>
      <c r="B1" s="198">
        <v>8.3140000000000002E-3</v>
      </c>
      <c r="C1" s="198" t="s">
        <v>384</v>
      </c>
    </row>
    <row r="2" spans="1:3">
      <c r="A2" s="210" t="s">
        <v>385</v>
      </c>
      <c r="B2" s="198">
        <v>8.3140000000000006E-2</v>
      </c>
      <c r="C2" s="198" t="s">
        <v>386</v>
      </c>
    </row>
    <row r="3" spans="1:3">
      <c r="A3" s="189" t="s">
        <v>387</v>
      </c>
      <c r="B3" s="194">
        <v>1000</v>
      </c>
      <c r="C3" s="191" t="s">
        <v>356</v>
      </c>
    </row>
    <row r="4" spans="1:3">
      <c r="A4" s="189" t="s">
        <v>388</v>
      </c>
      <c r="B4" s="194">
        <v>200</v>
      </c>
      <c r="C4" s="191" t="s">
        <v>356</v>
      </c>
    </row>
    <row r="5" spans="1:3">
      <c r="A5" s="189" t="s">
        <v>389</v>
      </c>
      <c r="B5" s="194">
        <v>1</v>
      </c>
      <c r="C5" s="198" t="s">
        <v>363</v>
      </c>
    </row>
    <row r="6" spans="1:3">
      <c r="A6" s="189" t="s">
        <v>390</v>
      </c>
      <c r="B6" s="194">
        <v>1000</v>
      </c>
      <c r="C6" s="191" t="s">
        <v>391</v>
      </c>
    </row>
    <row r="7" spans="1:3">
      <c r="A7" s="189" t="s">
        <v>208</v>
      </c>
      <c r="B7" s="194">
        <f>273.15+35</f>
        <v>308.14999999999998</v>
      </c>
      <c r="C7" s="198" t="s">
        <v>209</v>
      </c>
    </row>
    <row r="8" spans="1:3">
      <c r="A8" s="19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baseColWidth="10" defaultRowHeight="12.75"/>
  <cols>
    <col min="1" max="1" width="11.42578125" style="189"/>
    <col min="2" max="2" width="12.42578125" style="191" bestFit="1" customWidth="1"/>
    <col min="3" max="3" width="6.42578125" style="191" bestFit="1" customWidth="1"/>
    <col min="4" max="16384" width="11.42578125" style="191"/>
  </cols>
  <sheetData>
    <row r="1" spans="1:15">
      <c r="A1" s="189" t="s">
        <v>392</v>
      </c>
      <c r="B1" s="191">
        <v>55.800000000000011</v>
      </c>
      <c r="C1" s="198" t="s">
        <v>207</v>
      </c>
    </row>
    <row r="2" spans="1:15">
      <c r="A2" s="189" t="s">
        <v>393</v>
      </c>
      <c r="B2" s="191">
        <f>-80.6/1000</f>
        <v>-8.0599999999999991E-2</v>
      </c>
      <c r="C2" s="198" t="s">
        <v>207</v>
      </c>
    </row>
    <row r="3" spans="1:15">
      <c r="A3" s="189" t="s">
        <v>394</v>
      </c>
      <c r="B3" s="191">
        <v>22.020000000000095</v>
      </c>
      <c r="C3" s="198" t="s">
        <v>207</v>
      </c>
    </row>
    <row r="4" spans="1:15">
      <c r="A4" s="189" t="s">
        <v>395</v>
      </c>
      <c r="B4" s="191">
        <v>27.470000000000027</v>
      </c>
      <c r="C4" s="198" t="s">
        <v>207</v>
      </c>
    </row>
    <row r="5" spans="1:15">
      <c r="A5" s="189" t="s">
        <v>396</v>
      </c>
      <c r="B5" s="191">
        <v>27.920000000000016</v>
      </c>
      <c r="C5" s="198" t="s">
        <v>207</v>
      </c>
    </row>
    <row r="6" spans="1:15">
      <c r="A6" s="189" t="s">
        <v>397</v>
      </c>
      <c r="B6" s="191">
        <v>-0.2</v>
      </c>
      <c r="C6" s="198" t="s">
        <v>207</v>
      </c>
    </row>
    <row r="7" spans="1:15">
      <c r="A7" s="189" t="s">
        <v>398</v>
      </c>
      <c r="B7" s="191">
        <f>-92.1/1000</f>
        <v>-9.2099999999999987E-2</v>
      </c>
      <c r="C7" s="198" t="s">
        <v>207</v>
      </c>
    </row>
    <row r="8" spans="1:15">
      <c r="A8" s="189" t="s">
        <v>399</v>
      </c>
      <c r="B8" s="191">
        <v>7.6000000000000227</v>
      </c>
      <c r="C8" s="198" t="s">
        <v>207</v>
      </c>
    </row>
    <row r="9" spans="1:15">
      <c r="A9" s="189" t="s">
        <v>400</v>
      </c>
      <c r="B9" s="191">
        <v>-9.6299999999999997E-2</v>
      </c>
      <c r="C9" s="198" t="s">
        <v>207</v>
      </c>
    </row>
    <row r="10" spans="1:15">
      <c r="A10" s="189" t="s">
        <v>401</v>
      </c>
      <c r="B10" s="191">
        <v>53.000000000000014</v>
      </c>
      <c r="C10" s="198" t="s">
        <v>207</v>
      </c>
    </row>
    <row r="11" spans="1:15">
      <c r="A11" s="189" t="s">
        <v>402</v>
      </c>
      <c r="B11" s="191">
        <f>0.1/1000</f>
        <v>1E-4</v>
      </c>
      <c r="C11" s="198" t="s">
        <v>207</v>
      </c>
    </row>
    <row r="12" spans="1:15">
      <c r="A12" s="189" t="s">
        <v>403</v>
      </c>
      <c r="B12" s="191">
        <v>22.1</v>
      </c>
      <c r="C12" s="198" t="s">
        <v>207</v>
      </c>
    </row>
    <row r="13" spans="1:15">
      <c r="A13" s="205" t="s">
        <v>404</v>
      </c>
      <c r="B13" s="207">
        <f>-58.2/1000</f>
        <v>-5.8200000000000002E-2</v>
      </c>
      <c r="C13" s="211" t="s">
        <v>207</v>
      </c>
    </row>
    <row r="14" spans="1:15">
      <c r="A14" s="189" t="s">
        <v>405</v>
      </c>
      <c r="B14" s="191">
        <f>-4.16</f>
        <v>-4.16</v>
      </c>
      <c r="C14" s="198" t="s">
        <v>207</v>
      </c>
    </row>
    <row r="15" spans="1:15">
      <c r="A15" s="189" t="s">
        <v>406</v>
      </c>
      <c r="B15" s="191">
        <f>-72.8/1000</f>
        <v>-7.2800000000000004E-2</v>
      </c>
      <c r="C15" s="198" t="s">
        <v>207</v>
      </c>
    </row>
    <row r="16" spans="1:15">
      <c r="A16" s="189" t="s">
        <v>407</v>
      </c>
      <c r="B16" s="191">
        <v>-14.200000000000003</v>
      </c>
      <c r="C16" s="198" t="s">
        <v>207</v>
      </c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</row>
    <row r="17" spans="1:3">
      <c r="A17" s="189" t="s">
        <v>408</v>
      </c>
      <c r="B17" s="191">
        <f>-102.5/1000</f>
        <v>-0.10249999999999999</v>
      </c>
      <c r="C17" s="198" t="s">
        <v>207</v>
      </c>
    </row>
    <row r="18" spans="1:3">
      <c r="A18" s="189" t="s">
        <v>409</v>
      </c>
      <c r="B18" s="191">
        <v>-20.300000000000011</v>
      </c>
      <c r="C18" s="198" t="s">
        <v>207</v>
      </c>
    </row>
    <row r="19" spans="1:3">
      <c r="A19" s="189" t="s">
        <v>410</v>
      </c>
      <c r="B19" s="191">
        <f>-96.1/1000</f>
        <v>-9.6099999999999991E-2</v>
      </c>
      <c r="C19" s="198" t="s">
        <v>207</v>
      </c>
    </row>
    <row r="20" spans="1:3">
      <c r="A20" s="189" t="s">
        <v>411</v>
      </c>
      <c r="B20" s="191">
        <v>-19.100000000000001</v>
      </c>
      <c r="C20" s="198" t="s">
        <v>207</v>
      </c>
    </row>
    <row r="21" spans="1:3">
      <c r="A21" s="205" t="s">
        <v>412</v>
      </c>
      <c r="B21" s="207">
        <f>-84.8/1000</f>
        <v>-8.48E-2</v>
      </c>
      <c r="C21" s="211" t="s">
        <v>207</v>
      </c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baseColWidth="10" defaultRowHeight="12.75"/>
  <cols>
    <col min="1" max="1" width="11.42578125" style="189"/>
    <col min="2" max="2" width="12.28515625" style="191" bestFit="1" customWidth="1"/>
    <col min="3" max="3" width="24" style="191" bestFit="1" customWidth="1"/>
    <col min="4" max="4" width="12.28515625" style="191" bestFit="1" customWidth="1"/>
    <col min="5" max="16384" width="11.42578125" style="191"/>
  </cols>
  <sheetData>
    <row r="1" spans="1:3">
      <c r="A1" s="189" t="s">
        <v>413</v>
      </c>
      <c r="B1" s="212">
        <f>(200/24)</f>
        <v>8.3333333333333339</v>
      </c>
      <c r="C1" s="191" t="s">
        <v>414</v>
      </c>
    </row>
    <row r="2" spans="1:3">
      <c r="A2" s="189" t="s">
        <v>415</v>
      </c>
      <c r="B2" s="194">
        <v>0</v>
      </c>
      <c r="C2" s="191" t="s">
        <v>414</v>
      </c>
    </row>
    <row r="3" spans="1:3">
      <c r="A3" s="189" t="s">
        <v>416</v>
      </c>
      <c r="B3" s="213">
        <v>0.01</v>
      </c>
      <c r="C3" s="191" t="s">
        <v>414</v>
      </c>
    </row>
    <row r="4" spans="1:3">
      <c r="A4" s="189" t="s">
        <v>417</v>
      </c>
      <c r="B4" s="213">
        <v>2E-3</v>
      </c>
      <c r="C4" s="191" t="s">
        <v>414</v>
      </c>
    </row>
    <row r="5" spans="1:3">
      <c r="A5" s="189" t="s">
        <v>418</v>
      </c>
      <c r="B5" s="213">
        <v>2E-3</v>
      </c>
      <c r="C5" s="191" t="s">
        <v>414</v>
      </c>
    </row>
    <row r="6" spans="1:3">
      <c r="A6" s="189" t="s">
        <v>419</v>
      </c>
      <c r="B6" s="194">
        <v>0</v>
      </c>
      <c r="C6" s="191" t="s">
        <v>414</v>
      </c>
    </row>
    <row r="7" spans="1:3">
      <c r="A7" s="189" t="s">
        <v>420</v>
      </c>
      <c r="B7" s="213">
        <f>+$B$5</f>
        <v>2E-3</v>
      </c>
      <c r="C7" s="191" t="s">
        <v>414</v>
      </c>
    </row>
    <row r="8" spans="1:3">
      <c r="A8" s="189" t="s">
        <v>421</v>
      </c>
      <c r="B8" s="213">
        <f>+$B$5</f>
        <v>2E-3</v>
      </c>
      <c r="C8" s="191" t="s">
        <v>414</v>
      </c>
    </row>
    <row r="9" spans="1:3">
      <c r="A9" s="189" t="s">
        <v>422</v>
      </c>
      <c r="B9" s="213">
        <f>+$B$5</f>
        <v>2E-3</v>
      </c>
      <c r="C9" s="191" t="s">
        <v>414</v>
      </c>
    </row>
    <row r="10" spans="1:3">
      <c r="A10" s="189" t="s">
        <v>423</v>
      </c>
      <c r="B10" s="214" t="e">
        <f>+$B$26</f>
        <v>#NAME?</v>
      </c>
      <c r="C10" s="198" t="s">
        <v>424</v>
      </c>
    </row>
    <row r="11" spans="1:3">
      <c r="A11" s="189" t="s">
        <v>425</v>
      </c>
      <c r="B11" s="214" t="e">
        <f>+$B$27</f>
        <v>#NAME?</v>
      </c>
      <c r="C11" s="191" t="s">
        <v>426</v>
      </c>
    </row>
    <row r="12" spans="1:3">
      <c r="A12" s="189" t="s">
        <v>427</v>
      </c>
      <c r="B12" s="214" t="e">
        <f>+$B$26</f>
        <v>#NAME?</v>
      </c>
      <c r="C12" s="198" t="s">
        <v>428</v>
      </c>
    </row>
    <row r="13" spans="1:3">
      <c r="A13" s="189" t="s">
        <v>429</v>
      </c>
      <c r="B13" s="214" t="e">
        <f>+$B$27</f>
        <v>#NAME?</v>
      </c>
      <c r="C13" s="191" t="s">
        <v>430</v>
      </c>
    </row>
    <row r="14" spans="1:3">
      <c r="A14" s="189" t="s">
        <v>431</v>
      </c>
      <c r="B14" s="214" t="e">
        <f>+$B$26</f>
        <v>#NAME?</v>
      </c>
      <c r="C14" s="198" t="s">
        <v>432</v>
      </c>
    </row>
    <row r="15" spans="1:3">
      <c r="A15" s="189" t="s">
        <v>433</v>
      </c>
      <c r="B15" s="214" t="e">
        <f>+$B$27</f>
        <v>#NAME?</v>
      </c>
      <c r="C15" s="198" t="s">
        <v>434</v>
      </c>
    </row>
    <row r="16" spans="1:3">
      <c r="A16" s="189" t="s">
        <v>435</v>
      </c>
      <c r="B16" s="191" t="e">
        <f>30/(COD_Ssu*24)</f>
        <v>#NAME?</v>
      </c>
      <c r="C16" s="191" t="s">
        <v>436</v>
      </c>
    </row>
    <row r="17" spans="1:3">
      <c r="A17" s="189" t="s">
        <v>437</v>
      </c>
      <c r="B17" s="191" t="e">
        <f>0.5/COD_Ssu</f>
        <v>#NAME?</v>
      </c>
      <c r="C17" s="191" t="s">
        <v>438</v>
      </c>
    </row>
    <row r="18" spans="1:3">
      <c r="A18" s="189" t="s">
        <v>439</v>
      </c>
      <c r="B18" s="191" t="e">
        <f>50*COD_Xaa/(COD_Saa*24)</f>
        <v>#NAME?</v>
      </c>
      <c r="C18" s="191" t="s">
        <v>440</v>
      </c>
    </row>
    <row r="19" spans="1:3">
      <c r="A19" s="189" t="s">
        <v>441</v>
      </c>
      <c r="B19" s="191" t="e">
        <f>0.3/COD_Saa</f>
        <v>#NAME?</v>
      </c>
      <c r="C19" s="191" t="s">
        <v>442</v>
      </c>
    </row>
    <row r="20" spans="1:3">
      <c r="A20" s="189" t="s">
        <v>443</v>
      </c>
      <c r="B20" s="191" t="e">
        <f>6*COD_Xfa/(COD_Sfa*24)</f>
        <v>#NAME?</v>
      </c>
      <c r="C20" s="191" t="s">
        <v>444</v>
      </c>
    </row>
    <row r="21" spans="1:3">
      <c r="A21" s="189" t="s">
        <v>445</v>
      </c>
      <c r="B21" s="191" t="e">
        <f>0.4/COD_Sfa</f>
        <v>#NAME?</v>
      </c>
      <c r="C21" s="191" t="s">
        <v>446</v>
      </c>
    </row>
    <row r="22" spans="1:3">
      <c r="A22" s="189" t="s">
        <v>447</v>
      </c>
      <c r="B22" s="191" t="e">
        <f>20*COD_Xc4/(COD_Sva*24)</f>
        <v>#NAME?</v>
      </c>
      <c r="C22" s="191" t="s">
        <v>448</v>
      </c>
    </row>
    <row r="23" spans="1:3">
      <c r="A23" s="189" t="s">
        <v>449</v>
      </c>
      <c r="B23" s="191" t="e">
        <f>0.2/COD_Sva</f>
        <v>#NAME?</v>
      </c>
      <c r="C23" s="191" t="s">
        <v>450</v>
      </c>
    </row>
    <row r="24" spans="1:3">
      <c r="A24" s="189" t="s">
        <v>451</v>
      </c>
      <c r="B24" s="191" t="e">
        <f>20*COD_Xc4/(COD_Sbu*24)</f>
        <v>#NAME?</v>
      </c>
      <c r="C24" s="191" t="s">
        <v>452</v>
      </c>
    </row>
    <row r="25" spans="1:3">
      <c r="A25" s="189" t="s">
        <v>453</v>
      </c>
      <c r="B25" s="191" t="e">
        <f>0.2/COD_Sbu</f>
        <v>#NAME?</v>
      </c>
      <c r="C25" s="191" t="s">
        <v>454</v>
      </c>
    </row>
    <row r="26" spans="1:3">
      <c r="A26" s="189" t="s">
        <v>455</v>
      </c>
      <c r="B26" s="191" t="e">
        <f>13*COD_Xpro/(COD_Spro*24)</f>
        <v>#NAME?</v>
      </c>
      <c r="C26" s="191" t="s">
        <v>456</v>
      </c>
    </row>
    <row r="27" spans="1:3">
      <c r="A27" s="189" t="s">
        <v>457</v>
      </c>
      <c r="B27" s="191" t="e">
        <f>0.1/COD_Spro</f>
        <v>#NAME?</v>
      </c>
      <c r="C27" s="191" t="s">
        <v>458</v>
      </c>
    </row>
    <row r="28" spans="1:3">
      <c r="A28" s="189" t="s">
        <v>459</v>
      </c>
      <c r="B28" s="191" t="e">
        <f>8*COD_Xac/(COD_Sac*24)</f>
        <v>#NAME?</v>
      </c>
      <c r="C28" s="191" t="s">
        <v>460</v>
      </c>
    </row>
    <row r="29" spans="1:3">
      <c r="A29" s="189" t="s">
        <v>461</v>
      </c>
      <c r="B29" s="191" t="e">
        <f>0.15/COD_Sac</f>
        <v>#NAME?</v>
      </c>
      <c r="C29" s="191" t="s">
        <v>462</v>
      </c>
    </row>
    <row r="30" spans="1:3">
      <c r="A30" s="189" t="s">
        <v>463</v>
      </c>
      <c r="B30" s="191" t="e">
        <f>35*COD_Xh2/(COD_Sh2*24)</f>
        <v>#NAME?</v>
      </c>
      <c r="C30" s="191" t="s">
        <v>464</v>
      </c>
    </row>
    <row r="31" spans="1:3">
      <c r="A31" s="189" t="s">
        <v>465</v>
      </c>
      <c r="B31" s="191" t="e">
        <f>0.000007/COD_Sh2</f>
        <v>#NAME?</v>
      </c>
      <c r="C31" s="191" t="s">
        <v>466</v>
      </c>
    </row>
    <row r="32" spans="1:3">
      <c r="A32" s="189" t="s">
        <v>467</v>
      </c>
      <c r="B32" s="196">
        <v>1E-4</v>
      </c>
      <c r="C32" s="191" t="s">
        <v>468</v>
      </c>
    </row>
    <row r="33" spans="1:4">
      <c r="A33" s="189" t="s">
        <v>469</v>
      </c>
      <c r="B33" s="191" t="e">
        <f>0.000005/COD_Sh2</f>
        <v>#NAME?</v>
      </c>
      <c r="C33" s="191" t="s">
        <v>466</v>
      </c>
    </row>
    <row r="34" spans="1:4">
      <c r="A34" s="189" t="s">
        <v>470</v>
      </c>
      <c r="B34" s="191" t="e">
        <f>0.00001/COD_Sh2</f>
        <v>#NAME?</v>
      </c>
      <c r="C34" s="191" t="s">
        <v>466</v>
      </c>
    </row>
    <row r="35" spans="1:4">
      <c r="A35" s="189" t="s">
        <v>471</v>
      </c>
      <c r="B35" s="191" t="e">
        <f>0.0000035/COD_Sh2</f>
        <v>#NAME?</v>
      </c>
      <c r="C35" s="191" t="s">
        <v>466</v>
      </c>
    </row>
    <row r="36" spans="1:4">
      <c r="A36" s="189" t="s">
        <v>472</v>
      </c>
      <c r="B36" s="215">
        <f>0.0018</f>
        <v>1.8E-3</v>
      </c>
      <c r="C36" s="191" t="s">
        <v>473</v>
      </c>
    </row>
    <row r="37" spans="1:4">
      <c r="A37" s="189" t="s">
        <v>474</v>
      </c>
      <c r="B37" s="201">
        <f>0.015/24</f>
        <v>6.2500000000000001E-4</v>
      </c>
      <c r="C37" s="191" t="s">
        <v>414</v>
      </c>
      <c r="D37" s="216"/>
    </row>
    <row r="38" spans="1:4">
      <c r="A38" s="189" t="s">
        <v>475</v>
      </c>
      <c r="B38" s="217">
        <f>0.5/24</f>
        <v>2.0833333333333332E-2</v>
      </c>
      <c r="C38" s="191" t="s">
        <v>414</v>
      </c>
    </row>
    <row r="39" spans="1:4">
      <c r="A39" s="189" t="s">
        <v>476</v>
      </c>
      <c r="B39" s="191">
        <v>4</v>
      </c>
      <c r="C39" s="191" t="s">
        <v>365</v>
      </c>
    </row>
    <row r="40" spans="1:4">
      <c r="A40" s="189" t="s">
        <v>477</v>
      </c>
      <c r="B40" s="191">
        <v>5.5</v>
      </c>
      <c r="C40" s="191" t="s">
        <v>365</v>
      </c>
    </row>
    <row r="41" spans="1:4">
      <c r="A41" s="189" t="s">
        <v>478</v>
      </c>
      <c r="B41" s="191">
        <v>6</v>
      </c>
      <c r="C41" s="191" t="s">
        <v>365</v>
      </c>
    </row>
    <row r="42" spans="1:4">
      <c r="A42" s="189" t="s">
        <v>479</v>
      </c>
      <c r="B42" s="191">
        <v>7</v>
      </c>
      <c r="C42" s="191" t="s">
        <v>365</v>
      </c>
    </row>
    <row r="43" spans="1:4">
      <c r="A43" s="189" t="s">
        <v>480</v>
      </c>
      <c r="B43" s="191">
        <v>5</v>
      </c>
      <c r="C43" s="191" t="s">
        <v>365</v>
      </c>
    </row>
    <row r="44" spans="1:4">
      <c r="A44" s="189" t="s">
        <v>481</v>
      </c>
      <c r="B44" s="191">
        <v>6</v>
      </c>
      <c r="C44" s="191" t="s">
        <v>365</v>
      </c>
    </row>
    <row r="45" spans="1:4">
      <c r="A45" s="218" t="s">
        <v>482</v>
      </c>
      <c r="B45" s="219">
        <v>1</v>
      </c>
      <c r="C45" s="220" t="s">
        <v>483</v>
      </c>
    </row>
    <row r="46" spans="1:4">
      <c r="A46" s="218" t="s">
        <v>484</v>
      </c>
      <c r="B46" s="219">
        <v>1.2</v>
      </c>
      <c r="C46" s="220" t="s">
        <v>485</v>
      </c>
    </row>
    <row r="50" spans="1:3">
      <c r="B50" s="198"/>
      <c r="C50" s="198"/>
    </row>
    <row r="51" spans="1:3">
      <c r="B51" s="198"/>
      <c r="C51" s="198"/>
    </row>
    <row r="52" spans="1:3">
      <c r="B52" s="198"/>
      <c r="C52" s="198"/>
    </row>
    <row r="53" spans="1:3">
      <c r="B53" s="198"/>
      <c r="C53" s="198"/>
    </row>
    <row r="54" spans="1:3">
      <c r="B54" s="198"/>
      <c r="C54" s="198"/>
    </row>
    <row r="55" spans="1:3">
      <c r="A55" s="191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RowHeight="12.75"/>
  <cols>
    <col min="1" max="1" width="11.42578125" style="223"/>
    <col min="2" max="2" width="12" style="223" bestFit="1" customWidth="1"/>
    <col min="3" max="16384" width="11.42578125" style="223"/>
  </cols>
  <sheetData>
    <row r="1" spans="1:7" s="222" customFormat="1">
      <c r="A1" s="210" t="s">
        <v>486</v>
      </c>
      <c r="B1" s="221" t="s">
        <v>487</v>
      </c>
      <c r="C1" s="210" t="s">
        <v>488</v>
      </c>
      <c r="D1" s="210" t="s">
        <v>489</v>
      </c>
      <c r="E1" s="210" t="s">
        <v>490</v>
      </c>
      <c r="F1" s="210" t="s">
        <v>491</v>
      </c>
      <c r="G1" s="210" t="s">
        <v>492</v>
      </c>
    </row>
    <row r="2" spans="1:7" s="222" customFormat="1">
      <c r="A2" s="223">
        <v>0</v>
      </c>
      <c r="B2" s="223">
        <v>0</v>
      </c>
      <c r="C2" s="224">
        <v>6.2576999999999998</v>
      </c>
      <c r="D2" s="224">
        <v>0.77259999999999995</v>
      </c>
      <c r="E2" s="224">
        <f>0/24</f>
        <v>0</v>
      </c>
      <c r="F2" s="224">
        <v>3.3574000000000002</v>
      </c>
      <c r="G2" s="225">
        <v>0</v>
      </c>
    </row>
    <row r="3" spans="1:7" s="222" customFormat="1">
      <c r="A3" s="223">
        <v>100</v>
      </c>
      <c r="B3" s="223">
        <v>0</v>
      </c>
      <c r="C3" s="224">
        <v>6.2576999999999998</v>
      </c>
      <c r="D3" s="224">
        <v>0.77259999999999995</v>
      </c>
      <c r="E3" s="224">
        <f>0/24</f>
        <v>0</v>
      </c>
      <c r="F3" s="224">
        <v>3.3574000000000002</v>
      </c>
      <c r="G3" s="225">
        <v>0</v>
      </c>
    </row>
    <row r="4" spans="1:7">
      <c r="A4" s="223">
        <v>1000000</v>
      </c>
      <c r="B4" s="223">
        <v>0</v>
      </c>
      <c r="C4" s="224">
        <v>6.2576999999999998</v>
      </c>
      <c r="D4" s="224">
        <v>0.77259999999999995</v>
      </c>
      <c r="E4" s="224">
        <f>0/24</f>
        <v>0</v>
      </c>
      <c r="F4" s="224">
        <v>3.3574000000000002</v>
      </c>
      <c r="G4" s="225">
        <v>0</v>
      </c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1"/>
  <sheetViews>
    <sheetView zoomScaleNormal="85" workbookViewId="0">
      <pane ySplit="2" topLeftCell="A57" activePane="bottomLeft" state="frozen"/>
      <selection pane="bottomLeft" activeCell="A103" sqref="A103"/>
    </sheetView>
  </sheetViews>
  <sheetFormatPr baseColWidth="10" defaultRowHeight="12.75"/>
  <cols>
    <col min="1" max="1" width="23.5703125" style="15" bestFit="1" customWidth="1"/>
    <col min="2" max="2" width="15.5703125" style="15" bestFit="1" customWidth="1"/>
    <col min="3" max="3" width="13.42578125" style="15" bestFit="1" customWidth="1"/>
    <col min="4" max="4" width="13.28515625" style="16" bestFit="1" customWidth="1"/>
    <col min="5" max="5" width="9.5703125" style="15" bestFit="1" customWidth="1"/>
    <col min="6" max="6" width="11.85546875" style="15" bestFit="1" customWidth="1"/>
    <col min="7" max="14" width="4.7109375" style="15" customWidth="1"/>
    <col min="15" max="15" width="5.7109375" style="15" customWidth="1"/>
    <col min="16" max="16" width="6.42578125" style="15" customWidth="1"/>
    <col min="17" max="17" width="6.85546875" style="15" bestFit="1" customWidth="1"/>
    <col min="18" max="18" width="7.28515625" style="15" bestFit="1" customWidth="1"/>
    <col min="19" max="19" width="5" style="15" bestFit="1" customWidth="1"/>
    <col min="20" max="20" width="8.42578125" style="15" bestFit="1" customWidth="1"/>
    <col min="21" max="21" width="8.140625" style="15" bestFit="1" customWidth="1"/>
    <col min="22" max="22" width="10.140625" style="15" bestFit="1" customWidth="1"/>
    <col min="23" max="23" width="13" style="73" bestFit="1" customWidth="1"/>
    <col min="24" max="16384" width="11.42578125" style="14"/>
  </cols>
  <sheetData>
    <row r="1" spans="1:23" ht="13.5" thickBot="1">
      <c r="A1" s="45"/>
      <c r="B1" s="45"/>
      <c r="C1" s="45"/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7" t="s">
        <v>211</v>
      </c>
    </row>
    <row r="2" spans="1:23" ht="39.75" thickTop="1" thickBot="1">
      <c r="A2" s="48" t="s">
        <v>0</v>
      </c>
      <c r="B2" s="23" t="s">
        <v>270</v>
      </c>
      <c r="C2" s="23" t="s">
        <v>1</v>
      </c>
      <c r="D2" s="49" t="s">
        <v>221</v>
      </c>
      <c r="E2" s="49" t="s">
        <v>143</v>
      </c>
      <c r="F2" s="49" t="s">
        <v>144</v>
      </c>
      <c r="G2" s="23" t="s">
        <v>2</v>
      </c>
      <c r="H2" s="23" t="s">
        <v>3</v>
      </c>
      <c r="I2" s="23" t="s">
        <v>4</v>
      </c>
      <c r="J2" s="23" t="s">
        <v>5</v>
      </c>
      <c r="K2" s="23" t="s">
        <v>6</v>
      </c>
      <c r="L2" s="23" t="s">
        <v>294</v>
      </c>
      <c r="M2" s="23" t="s">
        <v>303</v>
      </c>
      <c r="N2" s="23" t="s">
        <v>335</v>
      </c>
      <c r="O2" s="23" t="s">
        <v>7</v>
      </c>
      <c r="P2" s="23" t="s">
        <v>220</v>
      </c>
      <c r="Q2" s="23" t="s">
        <v>219</v>
      </c>
      <c r="R2" s="23" t="s">
        <v>8</v>
      </c>
      <c r="S2" s="23" t="s">
        <v>196</v>
      </c>
      <c r="T2" s="23" t="s">
        <v>10</v>
      </c>
      <c r="U2" s="50" t="s">
        <v>11</v>
      </c>
      <c r="V2" s="50" t="s">
        <v>12</v>
      </c>
      <c r="W2" s="51" t="s">
        <v>192</v>
      </c>
    </row>
    <row r="3" spans="1:23" ht="16.5" thickTop="1">
      <c r="A3" s="166" t="s">
        <v>245</v>
      </c>
      <c r="B3" s="8" t="s">
        <v>254</v>
      </c>
      <c r="C3" s="8" t="s">
        <v>176</v>
      </c>
      <c r="D3" s="57">
        <v>-284.89999999999998</v>
      </c>
      <c r="E3" s="9" t="s">
        <v>191</v>
      </c>
      <c r="F3" s="9" t="s">
        <v>191</v>
      </c>
      <c r="G3" s="8">
        <v>4</v>
      </c>
      <c r="H3" s="8">
        <v>7</v>
      </c>
      <c r="I3" s="8">
        <v>2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0</v>
      </c>
      <c r="T3" s="8">
        <v>0</v>
      </c>
      <c r="U3" s="54">
        <f t="shared" ref="U3:U34" si="0">SUMPRODUCT(G3:T3,$G$107:$T$107)</f>
        <v>87</v>
      </c>
      <c r="V3" s="54">
        <f t="shared" ref="V3:V34" si="1">SUMPRODUCT($G3:$T3,$G$108:$T$108)</f>
        <v>19</v>
      </c>
      <c r="W3" s="55">
        <f t="shared" ref="W3:W34" si="2">(IF(G3&lt;&gt;0,SUMPRODUCT($G3:$T3,$G$108:$T$108)/$G3,SUMPRODUCT($G3:$T3,$G$108:$T$108)))</f>
        <v>4.75</v>
      </c>
    </row>
    <row r="4" spans="1:23" ht="15.75">
      <c r="A4" s="52" t="s">
        <v>51</v>
      </c>
      <c r="B4" s="8" t="s">
        <v>52</v>
      </c>
      <c r="C4" s="12" t="s">
        <v>166</v>
      </c>
      <c r="D4" s="121">
        <v>-139.9</v>
      </c>
      <c r="E4" s="9" t="s">
        <v>191</v>
      </c>
      <c r="F4" s="9" t="s">
        <v>191</v>
      </c>
      <c r="G4" s="8">
        <v>2</v>
      </c>
      <c r="H4" s="8">
        <v>4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54">
        <f t="shared" si="0"/>
        <v>44</v>
      </c>
      <c r="V4" s="54">
        <f t="shared" si="1"/>
        <v>10</v>
      </c>
      <c r="W4" s="55">
        <f t="shared" si="2"/>
        <v>5</v>
      </c>
    </row>
    <row r="5" spans="1:23" ht="15.75">
      <c r="A5" s="52" t="s">
        <v>55</v>
      </c>
      <c r="B5" s="8" t="s">
        <v>56</v>
      </c>
      <c r="C5" s="8" t="s">
        <v>168</v>
      </c>
      <c r="D5" s="63">
        <v>-369.41</v>
      </c>
      <c r="E5" s="63">
        <v>-486</v>
      </c>
      <c r="F5" s="63">
        <v>86.6</v>
      </c>
      <c r="G5" s="8">
        <v>2</v>
      </c>
      <c r="H5" s="8">
        <v>3</v>
      </c>
      <c r="I5" s="8">
        <v>2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-1</v>
      </c>
      <c r="U5" s="54">
        <f t="shared" si="0"/>
        <v>59</v>
      </c>
      <c r="V5" s="54">
        <f t="shared" si="1"/>
        <v>8</v>
      </c>
      <c r="W5" s="55">
        <f t="shared" si="2"/>
        <v>4</v>
      </c>
    </row>
    <row r="6" spans="1:23" ht="15.75">
      <c r="A6" s="52" t="s">
        <v>53</v>
      </c>
      <c r="B6" s="8" t="s">
        <v>54</v>
      </c>
      <c r="C6" s="8" t="s">
        <v>167</v>
      </c>
      <c r="D6" s="63">
        <v>-396.6</v>
      </c>
      <c r="E6" s="63">
        <v>-485.8</v>
      </c>
      <c r="F6" s="63">
        <v>178.7</v>
      </c>
      <c r="G6" s="8">
        <v>2</v>
      </c>
      <c r="H6" s="8">
        <v>4</v>
      </c>
      <c r="I6" s="8">
        <v>2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54">
        <f t="shared" si="0"/>
        <v>60</v>
      </c>
      <c r="V6" s="54">
        <f t="shared" si="1"/>
        <v>8</v>
      </c>
      <c r="W6" s="55">
        <f t="shared" si="2"/>
        <v>4</v>
      </c>
    </row>
    <row r="7" spans="1:23" ht="15.75">
      <c r="A7" s="52" t="s">
        <v>22</v>
      </c>
      <c r="B7" s="52" t="s">
        <v>23</v>
      </c>
      <c r="C7" s="8" t="s">
        <v>151</v>
      </c>
      <c r="D7" s="57">
        <v>-379.4</v>
      </c>
      <c r="E7" s="9" t="s">
        <v>191</v>
      </c>
      <c r="F7" s="9" t="s">
        <v>191</v>
      </c>
      <c r="G7" s="8">
        <v>4</v>
      </c>
      <c r="H7" s="8">
        <v>5</v>
      </c>
      <c r="I7" s="8">
        <v>3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-1</v>
      </c>
      <c r="U7" s="54">
        <f t="shared" si="0"/>
        <v>101</v>
      </c>
      <c r="V7" s="54">
        <f t="shared" si="1"/>
        <v>16</v>
      </c>
      <c r="W7" s="55">
        <f t="shared" si="2"/>
        <v>4</v>
      </c>
    </row>
    <row r="8" spans="1:23" ht="15.75">
      <c r="A8" s="52" t="s">
        <v>267</v>
      </c>
      <c r="B8" s="52" t="s">
        <v>268</v>
      </c>
      <c r="C8" s="8" t="s">
        <v>269</v>
      </c>
      <c r="D8" s="57">
        <v>-399.343515934263</v>
      </c>
      <c r="E8" s="9" t="s">
        <v>191</v>
      </c>
      <c r="F8" s="9" t="s">
        <v>191</v>
      </c>
      <c r="G8" s="8">
        <v>4</v>
      </c>
      <c r="H8" s="8">
        <v>6</v>
      </c>
      <c r="I8" s="8">
        <v>3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54">
        <f t="shared" si="0"/>
        <v>102</v>
      </c>
      <c r="V8" s="54">
        <f t="shared" si="1"/>
        <v>16</v>
      </c>
      <c r="W8" s="55">
        <f t="shared" si="2"/>
        <v>4</v>
      </c>
    </row>
    <row r="9" spans="1:23" ht="15.75">
      <c r="A9" s="52" t="s">
        <v>72</v>
      </c>
      <c r="B9" s="8" t="s">
        <v>252</v>
      </c>
      <c r="C9" s="8" t="s">
        <v>178</v>
      </c>
      <c r="D9" s="57">
        <v>-245.2</v>
      </c>
      <c r="E9" s="9" t="s">
        <v>191</v>
      </c>
      <c r="F9" s="9" t="s">
        <v>191</v>
      </c>
      <c r="G9" s="8">
        <v>4</v>
      </c>
      <c r="H9" s="8">
        <v>5</v>
      </c>
      <c r="I9" s="8">
        <v>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8">
        <v>0</v>
      </c>
      <c r="T9" s="8">
        <v>0</v>
      </c>
      <c r="U9" s="54">
        <f t="shared" si="0"/>
        <v>85</v>
      </c>
      <c r="V9" s="54">
        <f t="shared" si="1"/>
        <v>17</v>
      </c>
      <c r="W9" s="55">
        <f t="shared" si="2"/>
        <v>4.25</v>
      </c>
    </row>
    <row r="10" spans="1:23" ht="15.75">
      <c r="A10" s="52" t="s">
        <v>38</v>
      </c>
      <c r="B10" s="8" t="s">
        <v>38</v>
      </c>
      <c r="C10" s="8" t="s">
        <v>159</v>
      </c>
      <c r="D10" s="59">
        <v>-159.81</v>
      </c>
      <c r="E10" s="59">
        <v>-221.86</v>
      </c>
      <c r="F10" s="9" t="s">
        <v>191</v>
      </c>
      <c r="G10" s="8">
        <v>3</v>
      </c>
      <c r="H10" s="8">
        <v>6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54">
        <f t="shared" si="0"/>
        <v>58</v>
      </c>
      <c r="V10" s="54">
        <f t="shared" si="1"/>
        <v>16</v>
      </c>
      <c r="W10" s="62">
        <f t="shared" si="2"/>
        <v>5.333333333333333</v>
      </c>
    </row>
    <row r="11" spans="1:23" ht="15.75">
      <c r="A11" s="52" t="s">
        <v>79</v>
      </c>
      <c r="B11" s="8" t="s">
        <v>259</v>
      </c>
      <c r="C11" s="8" t="s">
        <v>183</v>
      </c>
      <c r="D11" s="58">
        <v>-136.15</v>
      </c>
      <c r="E11" s="9" t="s">
        <v>191</v>
      </c>
      <c r="F11" s="9" t="s">
        <v>191</v>
      </c>
      <c r="G11" s="8">
        <v>2</v>
      </c>
      <c r="H11" s="8">
        <v>3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8">
        <v>0</v>
      </c>
      <c r="T11" s="8">
        <v>0</v>
      </c>
      <c r="U11" s="54">
        <f t="shared" si="0"/>
        <v>43</v>
      </c>
      <c r="V11" s="54">
        <f t="shared" si="1"/>
        <v>9</v>
      </c>
      <c r="W11" s="55">
        <f t="shared" si="2"/>
        <v>4.5</v>
      </c>
    </row>
    <row r="12" spans="1:23" ht="14.25">
      <c r="A12" s="52" t="s">
        <v>233</v>
      </c>
      <c r="B12" s="8" t="s">
        <v>234</v>
      </c>
      <c r="C12" s="8" t="s">
        <v>235</v>
      </c>
      <c r="D12" s="58">
        <v>-1230.2752196670579</v>
      </c>
      <c r="E12" s="9" t="s">
        <v>191</v>
      </c>
      <c r="F12" s="9" t="s">
        <v>191</v>
      </c>
      <c r="G12" s="8">
        <v>2</v>
      </c>
      <c r="H12" s="8">
        <v>3</v>
      </c>
      <c r="I12" s="8">
        <v>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-2</v>
      </c>
      <c r="U12" s="54">
        <f t="shared" si="0"/>
        <v>138</v>
      </c>
      <c r="V12" s="54">
        <f t="shared" si="1"/>
        <v>8</v>
      </c>
      <c r="W12" s="55">
        <f t="shared" si="2"/>
        <v>4</v>
      </c>
    </row>
    <row r="13" spans="1:23" ht="15.75">
      <c r="A13" s="52" t="s">
        <v>78</v>
      </c>
      <c r="B13" s="8" t="s">
        <v>258</v>
      </c>
      <c r="C13" s="8" t="s">
        <v>182</v>
      </c>
      <c r="D13" s="57">
        <v>-48.5</v>
      </c>
      <c r="E13" s="9" t="s">
        <v>191</v>
      </c>
      <c r="F13" s="9" t="s">
        <v>191</v>
      </c>
      <c r="G13" s="8">
        <v>3</v>
      </c>
      <c r="H13" s="8">
        <v>3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8">
        <v>0</v>
      </c>
      <c r="U13" s="54">
        <f t="shared" si="0"/>
        <v>55</v>
      </c>
      <c r="V13" s="54">
        <f t="shared" si="1"/>
        <v>13</v>
      </c>
      <c r="W13" s="62">
        <f t="shared" si="2"/>
        <v>4.333333333333333</v>
      </c>
    </row>
    <row r="14" spans="1:23" ht="14.25">
      <c r="A14" s="52" t="s">
        <v>114</v>
      </c>
      <c r="B14" s="8" t="s">
        <v>114</v>
      </c>
      <c r="C14" s="8" t="s">
        <v>115</v>
      </c>
      <c r="D14" s="125">
        <v>71.011789325447893</v>
      </c>
      <c r="E14" s="9">
        <v>11.43</v>
      </c>
      <c r="F14" s="9" t="s">
        <v>191</v>
      </c>
      <c r="G14" s="8">
        <v>0</v>
      </c>
      <c r="H14" s="8">
        <v>0</v>
      </c>
      <c r="I14" s="8">
        <v>7</v>
      </c>
      <c r="J14" s="8">
        <v>0</v>
      </c>
      <c r="K14" s="8">
        <v>2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-3</v>
      </c>
      <c r="U14" s="54">
        <f t="shared" si="0"/>
        <v>174</v>
      </c>
      <c r="V14" s="54">
        <f t="shared" si="1"/>
        <v>-1</v>
      </c>
      <c r="W14" s="55">
        <f t="shared" si="2"/>
        <v>-1</v>
      </c>
    </row>
    <row r="15" spans="1:23" ht="15.75">
      <c r="A15" s="52" t="s">
        <v>90</v>
      </c>
      <c r="B15" s="8" t="s">
        <v>91</v>
      </c>
      <c r="C15" s="8" t="s">
        <v>185</v>
      </c>
      <c r="D15" s="65">
        <v>-26.6</v>
      </c>
      <c r="E15" s="65">
        <v>-80.3</v>
      </c>
      <c r="F15" s="65">
        <v>111.3</v>
      </c>
      <c r="G15" s="8">
        <v>0</v>
      </c>
      <c r="H15" s="8">
        <v>3</v>
      </c>
      <c r="I15" s="8">
        <v>0</v>
      </c>
      <c r="J15" s="8">
        <v>1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54">
        <f t="shared" si="0"/>
        <v>17</v>
      </c>
      <c r="V15" s="54">
        <f t="shared" si="1"/>
        <v>0</v>
      </c>
      <c r="W15" s="55">
        <f t="shared" si="2"/>
        <v>0</v>
      </c>
    </row>
    <row r="16" spans="1:23" ht="15.75">
      <c r="A16" s="52" t="s">
        <v>89</v>
      </c>
      <c r="B16" s="8" t="s">
        <v>185</v>
      </c>
      <c r="C16" s="8" t="s">
        <v>185</v>
      </c>
      <c r="D16" s="65">
        <v>-16.5</v>
      </c>
      <c r="E16" s="65">
        <v>-46.1</v>
      </c>
      <c r="F16" s="65">
        <v>192.7</v>
      </c>
      <c r="G16" s="8">
        <v>0</v>
      </c>
      <c r="H16" s="8">
        <v>3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54">
        <f t="shared" si="0"/>
        <v>17</v>
      </c>
      <c r="V16" s="54">
        <f t="shared" si="1"/>
        <v>0</v>
      </c>
      <c r="W16" s="55">
        <f t="shared" si="2"/>
        <v>0</v>
      </c>
    </row>
    <row r="17" spans="1:23" ht="15.75">
      <c r="A17" s="52" t="s">
        <v>92</v>
      </c>
      <c r="B17" s="8" t="s">
        <v>186</v>
      </c>
      <c r="C17" s="8" t="s">
        <v>186</v>
      </c>
      <c r="D17" s="65">
        <v>-79.37</v>
      </c>
      <c r="E17" s="65">
        <v>-133.30000000000001</v>
      </c>
      <c r="F17" s="65">
        <v>111.2</v>
      </c>
      <c r="G17" s="8">
        <v>0</v>
      </c>
      <c r="H17" s="8">
        <v>4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</v>
      </c>
      <c r="U17" s="54">
        <f t="shared" si="0"/>
        <v>18</v>
      </c>
      <c r="V17" s="54">
        <f t="shared" si="1"/>
        <v>0</v>
      </c>
      <c r="W17" s="55">
        <f t="shared" si="2"/>
        <v>0</v>
      </c>
    </row>
    <row r="18" spans="1:23" ht="14.25">
      <c r="A18" s="52" t="s">
        <v>112</v>
      </c>
      <c r="B18" s="8" t="s">
        <v>112</v>
      </c>
      <c r="C18" s="8" t="s">
        <v>113</v>
      </c>
      <c r="D18" s="125">
        <v>933.45357865089568</v>
      </c>
      <c r="E18" s="9" t="s">
        <v>191</v>
      </c>
      <c r="F18" s="9" t="s">
        <v>191</v>
      </c>
      <c r="G18" s="8">
        <v>0</v>
      </c>
      <c r="H18" s="8">
        <v>0</v>
      </c>
      <c r="I18" s="8">
        <v>4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-2</v>
      </c>
      <c r="U18" s="54">
        <f t="shared" si="0"/>
        <v>95</v>
      </c>
      <c r="V18" s="54">
        <f t="shared" si="1"/>
        <v>-1</v>
      </c>
      <c r="W18" s="55">
        <f t="shared" si="2"/>
        <v>-1</v>
      </c>
    </row>
    <row r="19" spans="1:23" ht="14.25">
      <c r="A19" s="52" t="s">
        <v>116</v>
      </c>
      <c r="B19" s="8" t="s">
        <v>116</v>
      </c>
      <c r="C19" s="8" t="s">
        <v>117</v>
      </c>
      <c r="D19" s="123">
        <v>-791.43</v>
      </c>
      <c r="E19" s="9">
        <v>-979.42</v>
      </c>
      <c r="F19" s="9" t="s">
        <v>191</v>
      </c>
      <c r="G19" s="8">
        <v>0</v>
      </c>
      <c r="H19" s="8">
        <v>0</v>
      </c>
      <c r="I19" s="8">
        <v>10</v>
      </c>
      <c r="J19" s="8">
        <v>0</v>
      </c>
      <c r="K19" s="8">
        <v>3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0</v>
      </c>
      <c r="T19" s="8">
        <v>-4</v>
      </c>
      <c r="U19" s="54">
        <f t="shared" si="0"/>
        <v>253</v>
      </c>
      <c r="V19" s="54">
        <f t="shared" si="1"/>
        <v>-1</v>
      </c>
      <c r="W19" s="55">
        <f t="shared" si="2"/>
        <v>-1</v>
      </c>
    </row>
    <row r="20" spans="1:23" ht="15.75">
      <c r="A20" s="52" t="s">
        <v>61</v>
      </c>
      <c r="B20" s="8" t="s">
        <v>62</v>
      </c>
      <c r="C20" s="8" t="s">
        <v>170</v>
      </c>
      <c r="D20" s="53">
        <v>-67</v>
      </c>
      <c r="E20" s="53">
        <v>-91</v>
      </c>
      <c r="F20" s="9" t="s">
        <v>191</v>
      </c>
      <c r="G20" s="8">
        <v>1</v>
      </c>
      <c r="H20" s="8">
        <v>1.8</v>
      </c>
      <c r="I20" s="8">
        <v>0.5</v>
      </c>
      <c r="J20" s="8">
        <v>0.2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54">
        <f t="shared" si="0"/>
        <v>24.6</v>
      </c>
      <c r="V20" s="54">
        <f t="shared" si="1"/>
        <v>4.1999999999999993</v>
      </c>
      <c r="W20" s="55">
        <f t="shared" si="2"/>
        <v>4.1999999999999993</v>
      </c>
    </row>
    <row r="21" spans="1:23" ht="15.75">
      <c r="A21" s="114" t="s">
        <v>288</v>
      </c>
      <c r="B21" s="13" t="s">
        <v>291</v>
      </c>
      <c r="C21" s="13" t="s">
        <v>290</v>
      </c>
      <c r="D21" s="53"/>
      <c r="E21" s="53"/>
      <c r="F21" s="9"/>
      <c r="G21" s="8">
        <v>5</v>
      </c>
      <c r="H21" s="8">
        <v>10</v>
      </c>
      <c r="I21" s="8">
        <v>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54">
        <f t="shared" si="0"/>
        <v>102</v>
      </c>
      <c r="V21" s="54">
        <f t="shared" si="1"/>
        <v>26</v>
      </c>
      <c r="W21" s="55">
        <f t="shared" si="2"/>
        <v>5.2</v>
      </c>
    </row>
    <row r="22" spans="1:23" ht="15.75">
      <c r="A22" s="114" t="s">
        <v>289</v>
      </c>
      <c r="B22" s="13" t="s">
        <v>292</v>
      </c>
      <c r="C22" s="13" t="s">
        <v>293</v>
      </c>
      <c r="D22" s="65">
        <v>-344.3</v>
      </c>
      <c r="E22" s="53" t="s">
        <v>191</v>
      </c>
      <c r="F22" s="110" t="s">
        <v>191</v>
      </c>
      <c r="G22" s="8">
        <v>5</v>
      </c>
      <c r="H22" s="8">
        <v>9</v>
      </c>
      <c r="I22" s="8"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-1</v>
      </c>
      <c r="U22" s="54">
        <f t="shared" si="0"/>
        <v>101</v>
      </c>
      <c r="V22" s="54">
        <f t="shared" si="1"/>
        <v>26</v>
      </c>
      <c r="W22" s="55">
        <f t="shared" si="2"/>
        <v>5.2</v>
      </c>
    </row>
    <row r="23" spans="1:23" ht="15.75">
      <c r="A23" s="52" t="s">
        <v>212</v>
      </c>
      <c r="B23" s="8" t="s">
        <v>255</v>
      </c>
      <c r="C23" s="8" t="s">
        <v>175</v>
      </c>
      <c r="D23" s="57">
        <v>-124.3</v>
      </c>
      <c r="E23" s="9" t="s">
        <v>191</v>
      </c>
      <c r="F23" s="9" t="s">
        <v>191</v>
      </c>
      <c r="G23" s="8">
        <v>4</v>
      </c>
      <c r="H23" s="8">
        <v>7</v>
      </c>
      <c r="I23" s="8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1</v>
      </c>
      <c r="S23" s="8">
        <v>0</v>
      </c>
      <c r="T23" s="8">
        <v>0</v>
      </c>
      <c r="U23" s="54">
        <f t="shared" si="0"/>
        <v>71</v>
      </c>
      <c r="V23" s="54">
        <f t="shared" si="1"/>
        <v>21</v>
      </c>
      <c r="W23" s="55">
        <f t="shared" si="2"/>
        <v>5.25</v>
      </c>
    </row>
    <row r="24" spans="1:23" ht="15.75">
      <c r="A24" s="52" t="s">
        <v>247</v>
      </c>
      <c r="B24" s="8" t="s">
        <v>246</v>
      </c>
      <c r="C24" s="12" t="s">
        <v>248</v>
      </c>
      <c r="D24" s="53">
        <v>-119.67</v>
      </c>
      <c r="E24" s="9" t="s">
        <v>191</v>
      </c>
      <c r="F24" s="9" t="s">
        <v>191</v>
      </c>
      <c r="G24" s="8">
        <v>4</v>
      </c>
      <c r="H24" s="8">
        <v>8</v>
      </c>
      <c r="I24" s="8">
        <v>1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54">
        <f t="shared" si="0"/>
        <v>72</v>
      </c>
      <c r="V24" s="54">
        <f t="shared" si="1"/>
        <v>22</v>
      </c>
      <c r="W24" s="55">
        <f t="shared" si="2"/>
        <v>5.5</v>
      </c>
    </row>
    <row r="25" spans="1:23" ht="15.75">
      <c r="A25" s="52" t="s">
        <v>249</v>
      </c>
      <c r="B25" s="8" t="s">
        <v>250</v>
      </c>
      <c r="C25" s="8" t="s">
        <v>148</v>
      </c>
      <c r="D25" s="53">
        <v>-116.3</v>
      </c>
      <c r="E25" s="9" t="s">
        <v>191</v>
      </c>
      <c r="F25" s="9" t="s">
        <v>191</v>
      </c>
      <c r="G25" s="8">
        <v>4</v>
      </c>
      <c r="H25" s="8">
        <v>8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54">
        <f t="shared" si="0"/>
        <v>72</v>
      </c>
      <c r="V25" s="54">
        <f t="shared" si="1"/>
        <v>22</v>
      </c>
      <c r="W25" s="55">
        <f t="shared" si="2"/>
        <v>5.5</v>
      </c>
    </row>
    <row r="26" spans="1:23" ht="15.75">
      <c r="A26" s="52" t="s">
        <v>20</v>
      </c>
      <c r="B26" s="8" t="s">
        <v>21</v>
      </c>
      <c r="C26" s="12" t="s">
        <v>150</v>
      </c>
      <c r="D26" s="56">
        <v>-352.63</v>
      </c>
      <c r="E26" s="9">
        <v>-535</v>
      </c>
      <c r="F26" s="9" t="s">
        <v>191</v>
      </c>
      <c r="G26" s="8">
        <v>4</v>
      </c>
      <c r="H26" s="8">
        <v>7</v>
      </c>
      <c r="I26" s="8">
        <v>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-1</v>
      </c>
      <c r="U26" s="54">
        <f t="shared" si="0"/>
        <v>87</v>
      </c>
      <c r="V26" s="54">
        <f t="shared" si="1"/>
        <v>20</v>
      </c>
      <c r="W26" s="55">
        <f t="shared" si="2"/>
        <v>5</v>
      </c>
    </row>
    <row r="27" spans="1:23" ht="15.75">
      <c r="A27" s="52" t="s">
        <v>18</v>
      </c>
      <c r="B27" s="8" t="s">
        <v>19</v>
      </c>
      <c r="C27" s="12" t="s">
        <v>149</v>
      </c>
      <c r="D27" s="120">
        <v>-380.1</v>
      </c>
      <c r="E27" s="9" t="s">
        <v>191</v>
      </c>
      <c r="F27" s="9" t="s">
        <v>191</v>
      </c>
      <c r="G27" s="8">
        <v>4</v>
      </c>
      <c r="H27" s="8">
        <v>8</v>
      </c>
      <c r="I27" s="8">
        <v>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54">
        <f t="shared" si="0"/>
        <v>88</v>
      </c>
      <c r="V27" s="54">
        <f t="shared" si="1"/>
        <v>20</v>
      </c>
      <c r="W27" s="55">
        <f t="shared" si="2"/>
        <v>5</v>
      </c>
    </row>
    <row r="28" spans="1:23" ht="14.25">
      <c r="A28" s="52" t="s">
        <v>238</v>
      </c>
      <c r="B28" s="8" t="s">
        <v>236</v>
      </c>
      <c r="C28" s="8" t="s">
        <v>237</v>
      </c>
      <c r="D28" s="122">
        <v>-1213.49522</v>
      </c>
      <c r="E28" s="9" t="s">
        <v>191</v>
      </c>
      <c r="F28" s="9" t="s">
        <v>191</v>
      </c>
      <c r="G28" s="8">
        <v>4</v>
      </c>
      <c r="H28" s="8">
        <v>7</v>
      </c>
      <c r="I28" s="8">
        <v>5</v>
      </c>
      <c r="J28" s="8">
        <v>0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-2</v>
      </c>
      <c r="U28" s="54">
        <f t="shared" si="0"/>
        <v>166</v>
      </c>
      <c r="V28" s="54">
        <f t="shared" si="1"/>
        <v>20</v>
      </c>
      <c r="W28" s="55">
        <f t="shared" si="2"/>
        <v>5</v>
      </c>
    </row>
    <row r="29" spans="1:23" ht="15.75">
      <c r="A29" s="52" t="s">
        <v>69</v>
      </c>
      <c r="B29" s="8" t="s">
        <v>174</v>
      </c>
      <c r="C29" s="8" t="s">
        <v>174</v>
      </c>
      <c r="D29" s="65">
        <v>-386</v>
      </c>
      <c r="E29" s="9">
        <v>-413.8</v>
      </c>
      <c r="F29" s="9">
        <v>117.6</v>
      </c>
      <c r="G29" s="8">
        <v>1</v>
      </c>
      <c r="H29" s="8">
        <v>0</v>
      </c>
      <c r="I29" s="8">
        <v>2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54">
        <f t="shared" si="0"/>
        <v>44</v>
      </c>
      <c r="V29" s="54">
        <f t="shared" si="1"/>
        <v>0</v>
      </c>
      <c r="W29" s="55">
        <f t="shared" si="2"/>
        <v>0</v>
      </c>
    </row>
    <row r="30" spans="1:23" ht="15.75">
      <c r="A30" s="52" t="s">
        <v>67</v>
      </c>
      <c r="B30" s="8" t="s">
        <v>68</v>
      </c>
      <c r="C30" s="8" t="s">
        <v>174</v>
      </c>
      <c r="D30" s="65">
        <v>-394.4</v>
      </c>
      <c r="E30" s="65">
        <v>-393.5</v>
      </c>
      <c r="F30" s="65">
        <v>213.7</v>
      </c>
      <c r="G30" s="8">
        <v>1</v>
      </c>
      <c r="H30" s="8">
        <v>0</v>
      </c>
      <c r="I30" s="8">
        <v>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54">
        <f t="shared" si="0"/>
        <v>44</v>
      </c>
      <c r="V30" s="54">
        <f t="shared" si="1"/>
        <v>0</v>
      </c>
      <c r="W30" s="55">
        <f t="shared" si="2"/>
        <v>0</v>
      </c>
    </row>
    <row r="31" spans="1:23" ht="15.75">
      <c r="A31" s="52" t="s">
        <v>71</v>
      </c>
      <c r="B31" s="13" t="s">
        <v>287</v>
      </c>
      <c r="C31" s="13" t="s">
        <v>287</v>
      </c>
      <c r="D31" s="65">
        <v>-527.9</v>
      </c>
      <c r="E31" s="65">
        <v>-677.1</v>
      </c>
      <c r="F31" s="65">
        <v>-56.9</v>
      </c>
      <c r="G31" s="8">
        <v>1</v>
      </c>
      <c r="H31" s="8">
        <v>0</v>
      </c>
      <c r="I31" s="8">
        <v>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-2</v>
      </c>
      <c r="U31" s="54">
        <f t="shared" si="0"/>
        <v>60</v>
      </c>
      <c r="V31" s="54">
        <f t="shared" si="1"/>
        <v>0</v>
      </c>
      <c r="W31" s="55">
        <f t="shared" si="2"/>
        <v>0</v>
      </c>
    </row>
    <row r="32" spans="1:23" ht="15.75" customHeight="1">
      <c r="A32" s="52" t="s">
        <v>70</v>
      </c>
      <c r="B32" s="13" t="s">
        <v>286</v>
      </c>
      <c r="C32" s="13" t="s">
        <v>286</v>
      </c>
      <c r="D32" s="65">
        <v>-623.20000000000005</v>
      </c>
      <c r="E32" s="65">
        <v>-699.6</v>
      </c>
      <c r="F32" s="65">
        <v>187.4</v>
      </c>
      <c r="G32" s="8">
        <v>1</v>
      </c>
      <c r="H32" s="8">
        <v>2</v>
      </c>
      <c r="I32" s="8">
        <v>3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54">
        <f t="shared" si="0"/>
        <v>62</v>
      </c>
      <c r="V32" s="54">
        <f t="shared" si="1"/>
        <v>0</v>
      </c>
      <c r="W32" s="55">
        <f t="shared" si="2"/>
        <v>0</v>
      </c>
    </row>
    <row r="33" spans="1:23" ht="15.75">
      <c r="A33" s="52" t="s">
        <v>65</v>
      </c>
      <c r="B33" s="8" t="s">
        <v>66</v>
      </c>
      <c r="C33" s="12" t="s">
        <v>173</v>
      </c>
      <c r="D33" s="63">
        <v>-586.9</v>
      </c>
      <c r="E33" s="63">
        <v>-692</v>
      </c>
      <c r="F33" s="63">
        <v>91.2</v>
      </c>
      <c r="G33" s="8">
        <v>1</v>
      </c>
      <c r="H33" s="8">
        <v>1</v>
      </c>
      <c r="I33" s="8">
        <v>3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-1</v>
      </c>
      <c r="U33" s="54">
        <f t="shared" si="0"/>
        <v>61</v>
      </c>
      <c r="V33" s="54">
        <f t="shared" si="1"/>
        <v>0</v>
      </c>
      <c r="W33" s="55">
        <f t="shared" si="2"/>
        <v>0</v>
      </c>
    </row>
    <row r="34" spans="1:23" ht="15.75" customHeight="1">
      <c r="A34" s="52" t="s">
        <v>80</v>
      </c>
      <c r="B34" s="8" t="s">
        <v>81</v>
      </c>
      <c r="C34" s="8" t="s">
        <v>81</v>
      </c>
      <c r="D34" s="66">
        <v>0</v>
      </c>
      <c r="E34" s="9" t="s">
        <v>191</v>
      </c>
      <c r="F34" s="9" t="s">
        <v>191</v>
      </c>
      <c r="G34" s="8">
        <v>0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1</v>
      </c>
      <c r="S34" s="8">
        <v>0</v>
      </c>
      <c r="T34" s="8">
        <v>0</v>
      </c>
      <c r="U34" s="54">
        <f t="shared" si="0"/>
        <v>1</v>
      </c>
      <c r="V34" s="54">
        <f t="shared" si="1"/>
        <v>1</v>
      </c>
      <c r="W34" s="55">
        <f t="shared" si="2"/>
        <v>1</v>
      </c>
    </row>
    <row r="35" spans="1:23" ht="15.75" customHeight="1">
      <c r="A35" s="52" t="s">
        <v>213</v>
      </c>
      <c r="B35" s="8" t="s">
        <v>253</v>
      </c>
      <c r="C35" s="8" t="s">
        <v>177</v>
      </c>
      <c r="D35" s="118">
        <v>-46</v>
      </c>
      <c r="E35" s="9" t="s">
        <v>191</v>
      </c>
      <c r="F35" s="9" t="s">
        <v>191</v>
      </c>
      <c r="G35" s="8">
        <v>4</v>
      </c>
      <c r="H35" s="8">
        <v>5</v>
      </c>
      <c r="I35" s="8">
        <v>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1</v>
      </c>
      <c r="S35" s="8">
        <v>0</v>
      </c>
      <c r="T35" s="8">
        <v>0</v>
      </c>
      <c r="U35" s="54">
        <f t="shared" ref="U35:U67" si="3">SUMPRODUCT(G35:T35,$G$107:$T$107)</f>
        <v>69</v>
      </c>
      <c r="V35" s="54">
        <f t="shared" ref="V35:V67" si="4">SUMPRODUCT($G35:$T35,$G$108:$T$108)</f>
        <v>19</v>
      </c>
      <c r="W35" s="55">
        <f t="shared" ref="W35:W67" si="5">(IF(G35&lt;&gt;0,SUMPRODUCT($G35:$T35,$G$108:$T$108)/$G35,SUMPRODUCT($G35:$T35,$G$108:$T$108)))</f>
        <v>4.75</v>
      </c>
    </row>
    <row r="36" spans="1:23" ht="15.75" customHeight="1">
      <c r="A36" s="52" t="s">
        <v>125</v>
      </c>
      <c r="B36" s="8" t="s">
        <v>126</v>
      </c>
      <c r="C36" s="8" t="s">
        <v>127</v>
      </c>
      <c r="D36" s="61">
        <v>0</v>
      </c>
      <c r="E36" s="9">
        <v>0</v>
      </c>
      <c r="F36" s="9">
        <v>65.25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-1</v>
      </c>
      <c r="U36" s="54">
        <f t="shared" si="3"/>
        <v>0</v>
      </c>
      <c r="V36" s="54">
        <f t="shared" si="4"/>
        <v>1</v>
      </c>
      <c r="W36" s="55">
        <f t="shared" si="5"/>
        <v>1</v>
      </c>
    </row>
    <row r="37" spans="1:23" ht="15.75" customHeight="1">
      <c r="A37" s="52" t="s">
        <v>49</v>
      </c>
      <c r="B37" s="8" t="s">
        <v>50</v>
      </c>
      <c r="C37" s="8" t="s">
        <v>165</v>
      </c>
      <c r="D37" s="61">
        <v>-181.75</v>
      </c>
      <c r="E37" s="9">
        <v>-288</v>
      </c>
      <c r="F37" s="9">
        <v>148.5</v>
      </c>
      <c r="G37" s="8">
        <v>2</v>
      </c>
      <c r="H37" s="8">
        <v>6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54">
        <f t="shared" si="3"/>
        <v>46</v>
      </c>
      <c r="V37" s="54">
        <f t="shared" si="4"/>
        <v>12</v>
      </c>
      <c r="W37" s="55">
        <f t="shared" si="5"/>
        <v>6</v>
      </c>
    </row>
    <row r="38" spans="1:23" ht="15.75" customHeight="1">
      <c r="A38" s="52" t="s">
        <v>9</v>
      </c>
      <c r="B38" s="8" t="s">
        <v>9</v>
      </c>
      <c r="C38" s="8" t="s">
        <v>9</v>
      </c>
      <c r="D38" s="68">
        <v>0</v>
      </c>
      <c r="E38" s="9" t="s">
        <v>191</v>
      </c>
      <c r="F38" s="9" t="s">
        <v>191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0</v>
      </c>
      <c r="S38" s="8">
        <v>0</v>
      </c>
      <c r="T38" s="8">
        <v>0</v>
      </c>
      <c r="U38" s="54">
        <f t="shared" si="3"/>
        <v>0</v>
      </c>
      <c r="V38" s="54">
        <f t="shared" si="4"/>
        <v>0</v>
      </c>
      <c r="W38" s="55">
        <f t="shared" si="5"/>
        <v>0</v>
      </c>
    </row>
    <row r="39" spans="1:23" ht="15.75" customHeight="1">
      <c r="A39" s="52" t="s">
        <v>184</v>
      </c>
      <c r="B39" s="8" t="s">
        <v>88</v>
      </c>
      <c r="C39" s="8" t="s">
        <v>184</v>
      </c>
      <c r="D39" s="68">
        <v>37.4</v>
      </c>
      <c r="E39" s="9" t="s">
        <v>191</v>
      </c>
      <c r="F39" s="9" t="s">
        <v>191</v>
      </c>
      <c r="G39" s="8">
        <v>0</v>
      </c>
      <c r="H39" s="8">
        <v>2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8">
        <v>0</v>
      </c>
      <c r="S39" s="8">
        <v>0</v>
      </c>
      <c r="T39" s="8">
        <v>0</v>
      </c>
      <c r="U39" s="54">
        <f t="shared" si="3"/>
        <v>2</v>
      </c>
      <c r="V39" s="54">
        <f t="shared" si="4"/>
        <v>2</v>
      </c>
      <c r="W39" s="55">
        <f t="shared" si="5"/>
        <v>2</v>
      </c>
    </row>
    <row r="40" spans="1:23" ht="15.75" customHeight="1">
      <c r="A40" s="52" t="s">
        <v>217</v>
      </c>
      <c r="B40" s="8" t="s">
        <v>215</v>
      </c>
      <c r="C40" s="8" t="s">
        <v>215</v>
      </c>
      <c r="D40" s="68">
        <v>0</v>
      </c>
      <c r="E40" s="9" t="s">
        <v>191</v>
      </c>
      <c r="F40" s="9" t="s">
        <v>191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v>0</v>
      </c>
      <c r="S40" s="8">
        <v>0</v>
      </c>
      <c r="T40" s="8">
        <v>-1</v>
      </c>
      <c r="U40" s="54">
        <f t="shared" si="3"/>
        <v>0</v>
      </c>
      <c r="V40" s="54">
        <f t="shared" si="4"/>
        <v>1</v>
      </c>
      <c r="W40" s="55">
        <f t="shared" si="5"/>
        <v>1</v>
      </c>
    </row>
    <row r="41" spans="1:23" ht="15.75" customHeight="1">
      <c r="A41" s="52" t="s">
        <v>218</v>
      </c>
      <c r="B41" s="8" t="s">
        <v>216</v>
      </c>
      <c r="C41" s="8" t="s">
        <v>216</v>
      </c>
      <c r="D41" s="126">
        <v>79.117699999999999</v>
      </c>
      <c r="E41" s="9" t="s">
        <v>191</v>
      </c>
      <c r="F41" s="9" t="s">
        <v>191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0</v>
      </c>
      <c r="S41" s="8">
        <v>0</v>
      </c>
      <c r="T41" s="8">
        <v>-3</v>
      </c>
      <c r="U41" s="54">
        <f t="shared" si="3"/>
        <v>0</v>
      </c>
      <c r="V41" s="54">
        <f t="shared" si="4"/>
        <v>3</v>
      </c>
      <c r="W41" s="55">
        <f t="shared" si="5"/>
        <v>3</v>
      </c>
    </row>
    <row r="42" spans="1:23" ht="15.75" customHeight="1">
      <c r="A42" s="52" t="s">
        <v>64</v>
      </c>
      <c r="B42" s="8" t="s">
        <v>261</v>
      </c>
      <c r="C42" s="12" t="s">
        <v>172</v>
      </c>
      <c r="D42" s="56">
        <v>-351</v>
      </c>
      <c r="E42" s="9">
        <v>-425.6</v>
      </c>
      <c r="F42" s="9">
        <v>92</v>
      </c>
      <c r="G42" s="8">
        <v>1</v>
      </c>
      <c r="H42" s="8">
        <v>1</v>
      </c>
      <c r="I42" s="8">
        <v>2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-1</v>
      </c>
      <c r="U42" s="54">
        <f t="shared" si="3"/>
        <v>45</v>
      </c>
      <c r="V42" s="54">
        <f t="shared" si="4"/>
        <v>2</v>
      </c>
      <c r="W42" s="55">
        <f t="shared" si="5"/>
        <v>2</v>
      </c>
    </row>
    <row r="43" spans="1:23" ht="15.75" customHeight="1">
      <c r="A43" s="52" t="s">
        <v>63</v>
      </c>
      <c r="B43" s="8" t="s">
        <v>262</v>
      </c>
      <c r="C43" s="8" t="s">
        <v>171</v>
      </c>
      <c r="D43" s="53">
        <v>-372.4</v>
      </c>
      <c r="E43" s="53">
        <v>-425.4</v>
      </c>
      <c r="F43" s="9">
        <v>163.19999999999999</v>
      </c>
      <c r="G43" s="8">
        <v>1</v>
      </c>
      <c r="H43" s="8">
        <v>2</v>
      </c>
      <c r="I43" s="8">
        <v>2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54">
        <f t="shared" si="3"/>
        <v>46</v>
      </c>
      <c r="V43" s="54">
        <f t="shared" si="4"/>
        <v>2</v>
      </c>
      <c r="W43" s="55">
        <f t="shared" si="5"/>
        <v>2</v>
      </c>
    </row>
    <row r="44" spans="1:23" ht="15.75" customHeight="1">
      <c r="A44" s="52" t="s">
        <v>31</v>
      </c>
      <c r="B44" s="8" t="s">
        <v>32</v>
      </c>
      <c r="C44" s="8" t="s">
        <v>155</v>
      </c>
      <c r="D44" s="60">
        <v>-602.27</v>
      </c>
      <c r="E44" s="59">
        <v>-777.91</v>
      </c>
      <c r="F44" s="59" t="s">
        <v>191</v>
      </c>
      <c r="G44" s="8">
        <v>4</v>
      </c>
      <c r="H44" s="8">
        <v>2</v>
      </c>
      <c r="I44" s="8">
        <v>4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-2</v>
      </c>
      <c r="U44" s="54">
        <f t="shared" si="3"/>
        <v>114</v>
      </c>
      <c r="V44" s="54">
        <f t="shared" si="4"/>
        <v>12</v>
      </c>
      <c r="W44" s="55">
        <f t="shared" si="5"/>
        <v>3</v>
      </c>
    </row>
    <row r="45" spans="1:23" ht="15.75" customHeight="1">
      <c r="A45" s="52" t="s">
        <v>13</v>
      </c>
      <c r="B45" s="8" t="s">
        <v>14</v>
      </c>
      <c r="C45" s="8" t="s">
        <v>145</v>
      </c>
      <c r="D45" s="53">
        <v>-917.22</v>
      </c>
      <c r="E45" s="9">
        <v>-1264</v>
      </c>
      <c r="F45" s="9" t="s">
        <v>191</v>
      </c>
      <c r="G45" s="8">
        <v>6</v>
      </c>
      <c r="H45" s="8">
        <v>12</v>
      </c>
      <c r="I45" s="8">
        <v>6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54">
        <f t="shared" si="3"/>
        <v>180</v>
      </c>
      <c r="V45" s="54">
        <f t="shared" si="4"/>
        <v>24</v>
      </c>
      <c r="W45" s="55">
        <f t="shared" si="5"/>
        <v>4</v>
      </c>
    </row>
    <row r="46" spans="1:23" ht="15.75" customHeight="1">
      <c r="A46" s="52" t="s">
        <v>277</v>
      </c>
      <c r="B46" s="8" t="s">
        <v>278</v>
      </c>
      <c r="C46" s="8" t="s">
        <v>279</v>
      </c>
      <c r="D46" s="53"/>
      <c r="E46" s="9"/>
      <c r="F46" s="9"/>
      <c r="G46" s="8">
        <v>5</v>
      </c>
      <c r="H46" s="8">
        <v>10</v>
      </c>
      <c r="I46" s="8">
        <v>5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54">
        <f t="shared" si="3"/>
        <v>150</v>
      </c>
      <c r="V46" s="54">
        <f t="shared" si="4"/>
        <v>20</v>
      </c>
      <c r="W46" s="55">
        <f t="shared" si="5"/>
        <v>4</v>
      </c>
    </row>
    <row r="47" spans="1:23" ht="15.75" customHeight="1">
      <c r="A47" s="52" t="s">
        <v>35</v>
      </c>
      <c r="B47" s="8" t="s">
        <v>36</v>
      </c>
      <c r="C47" s="12" t="s">
        <v>157</v>
      </c>
      <c r="D47" s="9">
        <v>-488.5</v>
      </c>
      <c r="E47" s="9">
        <v>-676</v>
      </c>
      <c r="F47" s="9">
        <v>206.3</v>
      </c>
      <c r="G47" s="8">
        <v>3</v>
      </c>
      <c r="H47" s="8">
        <v>8</v>
      </c>
      <c r="I47" s="8">
        <v>3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54">
        <f t="shared" si="3"/>
        <v>92</v>
      </c>
      <c r="V47" s="54">
        <f t="shared" si="4"/>
        <v>14</v>
      </c>
      <c r="W47" s="55">
        <f t="shared" si="5"/>
        <v>4.666666666666667</v>
      </c>
    </row>
    <row r="48" spans="1:23" ht="15.75" customHeight="1">
      <c r="A48" s="52" t="s">
        <v>271</v>
      </c>
      <c r="B48" s="8" t="s">
        <v>272</v>
      </c>
      <c r="C48" s="12" t="s">
        <v>160</v>
      </c>
      <c r="D48" s="9" t="s">
        <v>191</v>
      </c>
      <c r="E48" s="9" t="s">
        <v>191</v>
      </c>
      <c r="F48" s="9" t="s">
        <v>191</v>
      </c>
      <c r="G48" s="8">
        <v>3</v>
      </c>
      <c r="H48" s="8">
        <v>6</v>
      </c>
      <c r="I48" s="8">
        <v>2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54">
        <f t="shared" si="3"/>
        <v>74</v>
      </c>
      <c r="V48" s="54">
        <f t="shared" si="4"/>
        <v>14</v>
      </c>
      <c r="W48" s="55">
        <f t="shared" si="5"/>
        <v>4.666666666666667</v>
      </c>
    </row>
    <row r="49" spans="1:23" ht="15.75" customHeight="1">
      <c r="A49" s="52" t="s">
        <v>273</v>
      </c>
      <c r="B49" s="8" t="s">
        <v>274</v>
      </c>
      <c r="C49" s="12" t="s">
        <v>275</v>
      </c>
      <c r="D49" s="9">
        <v>-327</v>
      </c>
      <c r="E49" s="9" t="s">
        <v>191</v>
      </c>
      <c r="F49" s="9" t="s">
        <v>191</v>
      </c>
      <c r="G49" s="8">
        <v>3</v>
      </c>
      <c r="H49" s="8">
        <v>8</v>
      </c>
      <c r="I49" s="8"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54">
        <f t="shared" si="3"/>
        <v>76</v>
      </c>
      <c r="V49" s="54">
        <f t="shared" si="4"/>
        <v>16</v>
      </c>
      <c r="W49" s="55">
        <f t="shared" si="5"/>
        <v>5.333333333333333</v>
      </c>
    </row>
    <row r="50" spans="1:23" ht="15.75" customHeight="1">
      <c r="A50" s="52" t="s">
        <v>108</v>
      </c>
      <c r="B50" s="8" t="s">
        <v>107</v>
      </c>
      <c r="C50" s="8" t="s">
        <v>187</v>
      </c>
      <c r="D50" s="127">
        <v>17.55</v>
      </c>
      <c r="E50" s="9">
        <v>-4.16</v>
      </c>
      <c r="F50" s="9">
        <v>57.7</v>
      </c>
      <c r="G50" s="8">
        <v>0</v>
      </c>
      <c r="H50" s="8">
        <v>2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54">
        <f t="shared" si="3"/>
        <v>2</v>
      </c>
      <c r="V50" s="54">
        <f t="shared" si="4"/>
        <v>2</v>
      </c>
      <c r="W50" s="55">
        <f t="shared" si="5"/>
        <v>2</v>
      </c>
    </row>
    <row r="51" spans="1:23" ht="15.75" customHeight="1">
      <c r="A51" s="52" t="s">
        <v>106</v>
      </c>
      <c r="B51" s="8" t="s">
        <v>265</v>
      </c>
      <c r="C51" s="8" t="s">
        <v>187</v>
      </c>
      <c r="D51" s="56">
        <v>0</v>
      </c>
      <c r="E51" s="9">
        <v>0</v>
      </c>
      <c r="F51" s="9">
        <v>130.5</v>
      </c>
      <c r="G51" s="8">
        <v>0</v>
      </c>
      <c r="H51" s="8">
        <v>2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54">
        <f t="shared" si="3"/>
        <v>2</v>
      </c>
      <c r="V51" s="54">
        <f t="shared" si="4"/>
        <v>2</v>
      </c>
      <c r="W51" s="55">
        <f t="shared" si="5"/>
        <v>2</v>
      </c>
    </row>
    <row r="52" spans="1:23" ht="15.75" customHeight="1">
      <c r="A52" s="52" t="s">
        <v>120</v>
      </c>
      <c r="B52" s="8" t="s">
        <v>121</v>
      </c>
      <c r="C52" s="8" t="s">
        <v>121</v>
      </c>
      <c r="D52" s="63">
        <v>-157.30000000000001</v>
      </c>
      <c r="E52" s="63">
        <v>-230</v>
      </c>
      <c r="F52" s="63">
        <v>-10.7</v>
      </c>
      <c r="G52" s="8">
        <v>0</v>
      </c>
      <c r="H52" s="8">
        <v>1</v>
      </c>
      <c r="I52" s="8">
        <v>1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-1</v>
      </c>
      <c r="U52" s="54">
        <f t="shared" si="3"/>
        <v>17</v>
      </c>
      <c r="V52" s="54">
        <f t="shared" si="4"/>
        <v>0</v>
      </c>
      <c r="W52" s="55">
        <f t="shared" si="5"/>
        <v>0</v>
      </c>
    </row>
    <row r="53" spans="1:23" ht="15.75" customHeight="1">
      <c r="A53" s="52" t="s">
        <v>37</v>
      </c>
      <c r="B53" s="8" t="s">
        <v>264</v>
      </c>
      <c r="C53" s="12" t="s">
        <v>158</v>
      </c>
      <c r="D53" s="124">
        <v>-185.9</v>
      </c>
      <c r="E53" s="59">
        <v>-331.05</v>
      </c>
      <c r="F53" s="9" t="s">
        <v>191</v>
      </c>
      <c r="G53" s="8">
        <v>3</v>
      </c>
      <c r="H53" s="8">
        <v>8</v>
      </c>
      <c r="I53" s="8">
        <v>1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54">
        <f t="shared" si="3"/>
        <v>60</v>
      </c>
      <c r="V53" s="54">
        <f t="shared" si="4"/>
        <v>18</v>
      </c>
      <c r="W53" s="55">
        <f t="shared" si="5"/>
        <v>6</v>
      </c>
    </row>
    <row r="54" spans="1:23" ht="15.75" customHeight="1">
      <c r="A54" s="52" t="s">
        <v>45</v>
      </c>
      <c r="B54" s="8" t="s">
        <v>46</v>
      </c>
      <c r="C54" s="12" t="s">
        <v>163</v>
      </c>
      <c r="D54" s="61">
        <v>-517.80999999999995</v>
      </c>
      <c r="E54" s="9">
        <v>-687</v>
      </c>
      <c r="F54" s="9" t="s">
        <v>191</v>
      </c>
      <c r="G54" s="8">
        <v>3</v>
      </c>
      <c r="H54" s="8">
        <v>5</v>
      </c>
      <c r="I54" s="8">
        <v>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-1</v>
      </c>
      <c r="U54" s="54">
        <f t="shared" si="3"/>
        <v>89</v>
      </c>
      <c r="V54" s="54">
        <f t="shared" si="4"/>
        <v>12</v>
      </c>
      <c r="W54" s="55">
        <f t="shared" si="5"/>
        <v>4</v>
      </c>
    </row>
    <row r="55" spans="1:23" ht="15.75" customHeight="1">
      <c r="A55" s="52" t="s">
        <v>43</v>
      </c>
      <c r="B55" s="8" t="s">
        <v>44</v>
      </c>
      <c r="C55" s="12" t="s">
        <v>162</v>
      </c>
      <c r="D55" s="61">
        <v>-539.83000000000004</v>
      </c>
      <c r="E55" s="9" t="s">
        <v>191</v>
      </c>
      <c r="F55" s="9" t="s">
        <v>191</v>
      </c>
      <c r="G55" s="8">
        <v>3</v>
      </c>
      <c r="H55" s="8">
        <v>6</v>
      </c>
      <c r="I55" s="8">
        <v>3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54">
        <f t="shared" si="3"/>
        <v>90</v>
      </c>
      <c r="V55" s="54">
        <f t="shared" si="4"/>
        <v>12</v>
      </c>
      <c r="W55" s="55">
        <f t="shared" si="5"/>
        <v>4</v>
      </c>
    </row>
    <row r="56" spans="1:23" ht="15.75" customHeight="1">
      <c r="A56" s="52" t="s">
        <v>77</v>
      </c>
      <c r="B56" s="8" t="s">
        <v>257</v>
      </c>
      <c r="C56" s="8" t="s">
        <v>181</v>
      </c>
      <c r="D56" s="118">
        <v>-287.8</v>
      </c>
      <c r="E56" s="9" t="s">
        <v>191</v>
      </c>
      <c r="F56" s="9" t="s">
        <v>191</v>
      </c>
      <c r="G56" s="8">
        <v>3</v>
      </c>
      <c r="H56" s="8">
        <v>5</v>
      </c>
      <c r="I56" s="8">
        <v>2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1</v>
      </c>
      <c r="S56" s="8">
        <v>0</v>
      </c>
      <c r="T56" s="8">
        <v>0</v>
      </c>
      <c r="U56" s="54">
        <f t="shared" si="3"/>
        <v>73</v>
      </c>
      <c r="V56" s="54">
        <f t="shared" si="4"/>
        <v>13</v>
      </c>
      <c r="W56" s="62">
        <f t="shared" si="5"/>
        <v>4.333333333333333</v>
      </c>
    </row>
    <row r="57" spans="1:23" ht="15.75" customHeight="1">
      <c r="A57" s="52" t="s">
        <v>28</v>
      </c>
      <c r="B57" s="8" t="s">
        <v>29</v>
      </c>
      <c r="C57" s="52" t="s">
        <v>154</v>
      </c>
      <c r="D57" s="119">
        <v>-843.22</v>
      </c>
      <c r="E57" s="59" t="s">
        <v>30</v>
      </c>
      <c r="F57" s="59" t="s">
        <v>191</v>
      </c>
      <c r="G57" s="8">
        <v>4</v>
      </c>
      <c r="H57" s="8">
        <v>4</v>
      </c>
      <c r="I57" s="8">
        <v>5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-2</v>
      </c>
      <c r="U57" s="54">
        <f t="shared" si="3"/>
        <v>132</v>
      </c>
      <c r="V57" s="54">
        <f t="shared" si="4"/>
        <v>12</v>
      </c>
      <c r="W57" s="55">
        <f t="shared" si="5"/>
        <v>3</v>
      </c>
    </row>
    <row r="58" spans="1:23" ht="15.75">
      <c r="A58" s="52" t="s">
        <v>59</v>
      </c>
      <c r="B58" s="8" t="s">
        <v>60</v>
      </c>
      <c r="C58" s="8" t="s">
        <v>169</v>
      </c>
      <c r="D58" s="61">
        <v>-34.4</v>
      </c>
      <c r="E58" s="9">
        <v>-89</v>
      </c>
      <c r="F58" s="9">
        <v>83.7</v>
      </c>
      <c r="G58" s="8">
        <v>1</v>
      </c>
      <c r="H58" s="8">
        <v>4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54">
        <f t="shared" si="3"/>
        <v>16</v>
      </c>
      <c r="V58" s="54">
        <f t="shared" si="4"/>
        <v>8</v>
      </c>
      <c r="W58" s="55">
        <f t="shared" si="5"/>
        <v>8</v>
      </c>
    </row>
    <row r="59" spans="1:23" ht="15.75">
      <c r="A59" s="52" t="s">
        <v>57</v>
      </c>
      <c r="B59" s="8" t="s">
        <v>58</v>
      </c>
      <c r="C59" s="8" t="s">
        <v>169</v>
      </c>
      <c r="D59" s="61">
        <v>-50.8</v>
      </c>
      <c r="E59" s="9">
        <v>-74.8</v>
      </c>
      <c r="F59" s="9">
        <v>186.2</v>
      </c>
      <c r="G59" s="8">
        <v>1</v>
      </c>
      <c r="H59" s="8">
        <v>4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54">
        <f t="shared" si="3"/>
        <v>16</v>
      </c>
      <c r="V59" s="54">
        <f t="shared" si="4"/>
        <v>8</v>
      </c>
      <c r="W59" s="55">
        <f t="shared" si="5"/>
        <v>8</v>
      </c>
    </row>
    <row r="60" spans="1:23" ht="15.75">
      <c r="A60" s="52" t="s">
        <v>75</v>
      </c>
      <c r="B60" s="8" t="s">
        <v>210</v>
      </c>
      <c r="C60" s="8" t="s">
        <v>179</v>
      </c>
      <c r="D60" s="118">
        <v>-459.4</v>
      </c>
      <c r="E60" s="9" t="s">
        <v>191</v>
      </c>
      <c r="F60" s="9" t="s">
        <v>191</v>
      </c>
      <c r="G60" s="8">
        <v>4</v>
      </c>
      <c r="H60" s="8">
        <v>5</v>
      </c>
      <c r="I60" s="8">
        <v>3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1</v>
      </c>
      <c r="S60" s="8">
        <v>0</v>
      </c>
      <c r="T60" s="8">
        <v>0</v>
      </c>
      <c r="U60" s="54">
        <f t="shared" si="3"/>
        <v>101</v>
      </c>
      <c r="V60" s="54">
        <f t="shared" si="4"/>
        <v>15</v>
      </c>
      <c r="W60" s="55">
        <f t="shared" si="5"/>
        <v>3.75</v>
      </c>
    </row>
    <row r="61" spans="1:23" ht="14.25">
      <c r="A61" s="52" t="s">
        <v>85</v>
      </c>
      <c r="B61" s="8" t="s">
        <v>85</v>
      </c>
      <c r="C61" s="8" t="s">
        <v>86</v>
      </c>
      <c r="D61" s="67">
        <v>0</v>
      </c>
      <c r="E61" s="9" t="s">
        <v>191</v>
      </c>
      <c r="F61" s="9" t="s">
        <v>191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v>0</v>
      </c>
      <c r="S61" s="8">
        <v>0</v>
      </c>
      <c r="T61" s="8">
        <v>1</v>
      </c>
      <c r="U61" s="54">
        <f t="shared" si="3"/>
        <v>0</v>
      </c>
      <c r="V61" s="54">
        <f t="shared" si="4"/>
        <v>-1</v>
      </c>
      <c r="W61" s="55">
        <f t="shared" si="5"/>
        <v>-1</v>
      </c>
    </row>
    <row r="62" spans="1:23">
      <c r="A62" s="52" t="s">
        <v>87</v>
      </c>
      <c r="B62" s="8" t="s">
        <v>87</v>
      </c>
      <c r="C62" s="8" t="s">
        <v>87</v>
      </c>
      <c r="D62" s="67">
        <v>21.83</v>
      </c>
      <c r="E62" s="9" t="s">
        <v>191</v>
      </c>
      <c r="F62" s="9" t="s">
        <v>191</v>
      </c>
      <c r="G62" s="8">
        <v>0</v>
      </c>
      <c r="H62" s="8">
        <v>1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v>0</v>
      </c>
      <c r="S62" s="8">
        <v>0</v>
      </c>
      <c r="T62" s="8">
        <v>0</v>
      </c>
      <c r="U62" s="54">
        <f t="shared" si="3"/>
        <v>1</v>
      </c>
      <c r="V62" s="54">
        <f t="shared" si="4"/>
        <v>1</v>
      </c>
      <c r="W62" s="55">
        <f t="shared" si="5"/>
        <v>1</v>
      </c>
    </row>
    <row r="63" spans="1:23" ht="14.25">
      <c r="A63" s="52" t="s">
        <v>82</v>
      </c>
      <c r="B63" s="52" t="s">
        <v>82</v>
      </c>
      <c r="C63" s="52" t="s">
        <v>83</v>
      </c>
      <c r="D63" s="67">
        <v>0</v>
      </c>
      <c r="E63" s="9" t="s">
        <v>191</v>
      </c>
      <c r="F63" s="9" t="s">
        <v>191</v>
      </c>
      <c r="G63" s="8">
        <v>0</v>
      </c>
      <c r="H63" s="8">
        <v>1</v>
      </c>
      <c r="I63" s="8">
        <v>3</v>
      </c>
      <c r="J63" s="8">
        <v>0</v>
      </c>
      <c r="K63" s="8">
        <v>1</v>
      </c>
      <c r="L63" s="8">
        <v>0</v>
      </c>
      <c r="M63" s="8">
        <v>0</v>
      </c>
      <c r="N63" s="8">
        <v>0</v>
      </c>
      <c r="O63" s="8">
        <v>0</v>
      </c>
      <c r="P63" s="8">
        <v>1</v>
      </c>
      <c r="Q63" s="8">
        <v>0</v>
      </c>
      <c r="R63" s="8">
        <v>0</v>
      </c>
      <c r="S63" s="8">
        <v>0</v>
      </c>
      <c r="T63" s="8">
        <v>1</v>
      </c>
      <c r="U63" s="54">
        <f t="shared" si="3"/>
        <v>80</v>
      </c>
      <c r="V63" s="54">
        <f t="shared" si="4"/>
        <v>-1</v>
      </c>
      <c r="W63" s="55">
        <f t="shared" si="5"/>
        <v>-1</v>
      </c>
    </row>
    <row r="64" spans="1:23">
      <c r="A64" s="52" t="s">
        <v>84</v>
      </c>
      <c r="B64" s="52" t="s">
        <v>84</v>
      </c>
      <c r="C64" s="52" t="s">
        <v>84</v>
      </c>
      <c r="D64" s="67">
        <v>21.83</v>
      </c>
      <c r="E64" s="9" t="s">
        <v>191</v>
      </c>
      <c r="F64" s="9" t="s">
        <v>191</v>
      </c>
      <c r="G64" s="8">
        <v>0</v>
      </c>
      <c r="H64" s="8">
        <v>2</v>
      </c>
      <c r="I64" s="8">
        <v>3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v>0</v>
      </c>
      <c r="S64" s="8">
        <v>0</v>
      </c>
      <c r="T64" s="8">
        <v>0</v>
      </c>
      <c r="U64" s="54">
        <f t="shared" si="3"/>
        <v>81</v>
      </c>
      <c r="V64" s="54">
        <f t="shared" si="4"/>
        <v>1</v>
      </c>
      <c r="W64" s="55">
        <f t="shared" si="5"/>
        <v>1</v>
      </c>
    </row>
    <row r="65" spans="1:23" ht="15.75">
      <c r="A65" s="52" t="s">
        <v>17</v>
      </c>
      <c r="B65" s="52" t="s">
        <v>263</v>
      </c>
      <c r="C65" s="52" t="s">
        <v>147</v>
      </c>
      <c r="D65" s="124">
        <v>-171.8</v>
      </c>
      <c r="E65" s="9" t="s">
        <v>191</v>
      </c>
      <c r="F65" s="9" t="s">
        <v>191</v>
      </c>
      <c r="G65" s="8">
        <v>4</v>
      </c>
      <c r="H65" s="8">
        <v>10</v>
      </c>
      <c r="I65" s="8">
        <v>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54">
        <f t="shared" si="3"/>
        <v>74</v>
      </c>
      <c r="V65" s="54">
        <f t="shared" si="4"/>
        <v>24</v>
      </c>
      <c r="W65" s="55">
        <f t="shared" si="5"/>
        <v>6</v>
      </c>
    </row>
    <row r="66" spans="1:23">
      <c r="A66" s="52" t="s">
        <v>530</v>
      </c>
      <c r="B66" s="52" t="s">
        <v>531</v>
      </c>
      <c r="C66" s="8" t="s">
        <v>532</v>
      </c>
      <c r="D66" s="67">
        <v>0</v>
      </c>
      <c r="E66" s="110">
        <v>0</v>
      </c>
      <c r="F66" s="9" t="s">
        <v>191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54">
        <f>SUMPRODUCT(G66:T66,$G$107:$T$107)</f>
        <v>28</v>
      </c>
      <c r="V66" s="54">
        <f t="shared" si="4"/>
        <v>-6</v>
      </c>
      <c r="W66" s="55">
        <f>(IF(G66&lt;&gt;0,SUMPRODUCT($G66:$T66,$G$108:$T$108)/$G66,SUMPRODUCT($G66:$T66,$G$108:$T$108)))</f>
        <v>-6</v>
      </c>
    </row>
    <row r="67" spans="1:23">
      <c r="A67" s="52" t="s">
        <v>101</v>
      </c>
      <c r="B67" s="52" t="s">
        <v>102</v>
      </c>
      <c r="C67" s="52" t="s">
        <v>102</v>
      </c>
      <c r="D67" s="61">
        <v>-111.3</v>
      </c>
      <c r="E67" s="9">
        <v>-207.4</v>
      </c>
      <c r="F67" s="9">
        <v>146.4</v>
      </c>
      <c r="G67" s="8">
        <v>0</v>
      </c>
      <c r="H67" s="8">
        <v>0</v>
      </c>
      <c r="I67" s="8">
        <v>3</v>
      </c>
      <c r="J67" s="8">
        <v>1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-1</v>
      </c>
      <c r="U67" s="54">
        <f t="shared" si="3"/>
        <v>62</v>
      </c>
      <c r="V67" s="54">
        <f t="shared" si="4"/>
        <v>-8</v>
      </c>
      <c r="W67" s="55">
        <f t="shared" si="5"/>
        <v>-8</v>
      </c>
    </row>
    <row r="68" spans="1:23">
      <c r="A68" s="52" t="s">
        <v>98</v>
      </c>
      <c r="B68" s="8" t="s">
        <v>99</v>
      </c>
      <c r="C68" s="8" t="s">
        <v>100</v>
      </c>
      <c r="D68" s="61">
        <v>-111.3</v>
      </c>
      <c r="E68" s="9">
        <v>-207.4</v>
      </c>
      <c r="F68" s="9">
        <v>146.4</v>
      </c>
      <c r="G68" s="8">
        <v>0</v>
      </c>
      <c r="H68" s="8">
        <v>1</v>
      </c>
      <c r="I68" s="8">
        <v>3</v>
      </c>
      <c r="J68" s="8">
        <v>1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54">
        <f t="shared" ref="U68:U99" si="6">SUMPRODUCT(G68:T68,$G$107:$T$107)</f>
        <v>63</v>
      </c>
      <c r="V68" s="54">
        <f t="shared" ref="V68:V99" si="7">SUMPRODUCT($G68:$T68,$G$108:$T$108)</f>
        <v>-8</v>
      </c>
      <c r="W68" s="55">
        <f t="shared" ref="W68:W99" si="8">(IF(G68&lt;&gt;0,SUMPRODUCT($G68:$T68,$G$108:$T$108)/$G68,SUMPRODUCT($G68:$T68,$G$108:$T$108)))</f>
        <v>-8</v>
      </c>
    </row>
    <row r="69" spans="1:23">
      <c r="A69" s="52" t="s">
        <v>96</v>
      </c>
      <c r="B69" s="8" t="s">
        <v>97</v>
      </c>
      <c r="C69" s="8" t="s">
        <v>97</v>
      </c>
      <c r="D69" s="61">
        <v>-32.200000000000003</v>
      </c>
      <c r="E69" s="9">
        <v>-104.6</v>
      </c>
      <c r="F69" s="9">
        <v>123</v>
      </c>
      <c r="G69" s="8">
        <v>0</v>
      </c>
      <c r="H69" s="8">
        <v>0</v>
      </c>
      <c r="I69" s="8">
        <v>2</v>
      </c>
      <c r="J69" s="8">
        <v>1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-1</v>
      </c>
      <c r="U69" s="54">
        <f t="shared" si="6"/>
        <v>46</v>
      </c>
      <c r="V69" s="54">
        <f t="shared" si="7"/>
        <v>-6</v>
      </c>
      <c r="W69" s="55">
        <f t="shared" si="8"/>
        <v>-6</v>
      </c>
    </row>
    <row r="70" spans="1:23">
      <c r="A70" s="52" t="s">
        <v>93</v>
      </c>
      <c r="B70" s="8" t="s">
        <v>94</v>
      </c>
      <c r="C70" s="8" t="s">
        <v>95</v>
      </c>
      <c r="D70" s="61">
        <v>-50.6</v>
      </c>
      <c r="E70" s="9">
        <v>-119.2</v>
      </c>
      <c r="F70" s="9">
        <v>135.6</v>
      </c>
      <c r="G70" s="8">
        <v>0</v>
      </c>
      <c r="H70" s="8">
        <v>1</v>
      </c>
      <c r="I70" s="8">
        <v>2</v>
      </c>
      <c r="J70" s="8">
        <v>1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54">
        <f t="shared" si="6"/>
        <v>47</v>
      </c>
      <c r="V70" s="54">
        <f t="shared" si="7"/>
        <v>-6</v>
      </c>
      <c r="W70" s="55">
        <f t="shared" si="8"/>
        <v>-6</v>
      </c>
    </row>
    <row r="71" spans="1:23" ht="15.75">
      <c r="A71" s="52" t="s">
        <v>33</v>
      </c>
      <c r="B71" s="8" t="s">
        <v>260</v>
      </c>
      <c r="C71" s="8" t="s">
        <v>156</v>
      </c>
      <c r="D71" s="119">
        <v>-793.82</v>
      </c>
      <c r="E71" s="59" t="s">
        <v>34</v>
      </c>
      <c r="F71" s="59" t="s">
        <v>191</v>
      </c>
      <c r="G71" s="8">
        <v>4</v>
      </c>
      <c r="H71" s="8">
        <v>2</v>
      </c>
      <c r="I71" s="8">
        <v>5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-2</v>
      </c>
      <c r="U71" s="54">
        <f t="shared" si="6"/>
        <v>130</v>
      </c>
      <c r="V71" s="54">
        <f t="shared" si="7"/>
        <v>10</v>
      </c>
      <c r="W71" s="55">
        <f t="shared" si="8"/>
        <v>2.5</v>
      </c>
    </row>
    <row r="72" spans="1:23">
      <c r="A72" s="52" t="s">
        <v>105</v>
      </c>
      <c r="B72" s="8" t="s">
        <v>104</v>
      </c>
      <c r="C72" s="8" t="s">
        <v>104</v>
      </c>
      <c r="D72" s="61">
        <v>16.399999999999999</v>
      </c>
      <c r="E72" s="9">
        <v>-11.7</v>
      </c>
      <c r="F72" s="9">
        <v>110.9</v>
      </c>
      <c r="G72" s="8">
        <v>0</v>
      </c>
      <c r="H72" s="8">
        <v>0</v>
      </c>
      <c r="I72" s="8">
        <v>2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54">
        <f t="shared" si="6"/>
        <v>32</v>
      </c>
      <c r="V72" s="54">
        <f t="shared" si="7"/>
        <v>-4</v>
      </c>
      <c r="W72" s="55">
        <f t="shared" si="8"/>
        <v>-4</v>
      </c>
    </row>
    <row r="73" spans="1:23">
      <c r="A73" s="52" t="s">
        <v>103</v>
      </c>
      <c r="B73" s="8" t="s">
        <v>493</v>
      </c>
      <c r="C73" s="8" t="s">
        <v>493</v>
      </c>
      <c r="D73" s="61">
        <v>0</v>
      </c>
      <c r="E73" s="9">
        <v>0</v>
      </c>
      <c r="F73" s="9">
        <v>205</v>
      </c>
      <c r="G73" s="8">
        <v>0</v>
      </c>
      <c r="H73" s="8">
        <v>0</v>
      </c>
      <c r="I73" s="8">
        <v>2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54">
        <f t="shared" si="6"/>
        <v>32</v>
      </c>
      <c r="V73" s="54">
        <f t="shared" si="7"/>
        <v>-4</v>
      </c>
      <c r="W73" s="55">
        <f t="shared" si="8"/>
        <v>-4</v>
      </c>
    </row>
    <row r="74" spans="1:23" ht="15.75">
      <c r="A74" s="52" t="s">
        <v>281</v>
      </c>
      <c r="B74" s="8" t="s">
        <v>282</v>
      </c>
      <c r="C74" s="8" t="s">
        <v>282</v>
      </c>
      <c r="D74" s="69">
        <v>-1142.5999999999999</v>
      </c>
      <c r="E74" s="69">
        <v>-1288.3</v>
      </c>
      <c r="F74" s="69">
        <v>158.19999999999999</v>
      </c>
      <c r="G74" s="8">
        <v>0</v>
      </c>
      <c r="H74" s="8">
        <v>3</v>
      </c>
      <c r="I74" s="8">
        <v>4</v>
      </c>
      <c r="J74" s="8">
        <v>0</v>
      </c>
      <c r="K74" s="8">
        <v>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54">
        <f t="shared" si="6"/>
        <v>98</v>
      </c>
      <c r="V74" s="54">
        <f t="shared" si="7"/>
        <v>0</v>
      </c>
      <c r="W74" s="55">
        <f t="shared" si="8"/>
        <v>0</v>
      </c>
    </row>
    <row r="75" spans="1:23" ht="15.75">
      <c r="A75" s="52" t="s">
        <v>283</v>
      </c>
      <c r="B75" s="8" t="s">
        <v>284</v>
      </c>
      <c r="C75" s="8" t="s">
        <v>284</v>
      </c>
      <c r="D75" s="69">
        <v>-1130.3</v>
      </c>
      <c r="E75" s="69">
        <v>-1296.3</v>
      </c>
      <c r="F75" s="69">
        <v>90.4</v>
      </c>
      <c r="G75" s="8">
        <v>0</v>
      </c>
      <c r="H75" s="8">
        <v>2</v>
      </c>
      <c r="I75" s="8">
        <v>4</v>
      </c>
      <c r="J75" s="8">
        <v>0</v>
      </c>
      <c r="K75" s="8">
        <v>1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-1</v>
      </c>
      <c r="U75" s="54">
        <f t="shared" si="6"/>
        <v>97</v>
      </c>
      <c r="V75" s="54">
        <f t="shared" si="7"/>
        <v>0</v>
      </c>
      <c r="W75" s="55">
        <f t="shared" si="8"/>
        <v>0</v>
      </c>
    </row>
    <row r="76" spans="1:23" ht="15.75">
      <c r="A76" s="52" t="s">
        <v>280</v>
      </c>
      <c r="B76" s="8" t="s">
        <v>110</v>
      </c>
      <c r="C76" s="8" t="s">
        <v>188</v>
      </c>
      <c r="D76" s="69">
        <v>-1089.0999999999999</v>
      </c>
      <c r="E76" s="69">
        <v>-1292.0999999999999</v>
      </c>
      <c r="F76" s="69">
        <v>-33.5</v>
      </c>
      <c r="G76" s="8">
        <v>0</v>
      </c>
      <c r="H76" s="8">
        <v>1</v>
      </c>
      <c r="I76" s="8">
        <v>4</v>
      </c>
      <c r="J76" s="8">
        <v>0</v>
      </c>
      <c r="K76" s="8">
        <v>1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-2</v>
      </c>
      <c r="U76" s="54">
        <f t="shared" si="6"/>
        <v>96</v>
      </c>
      <c r="V76" s="54">
        <f t="shared" si="7"/>
        <v>0</v>
      </c>
      <c r="W76" s="55">
        <f t="shared" si="8"/>
        <v>0</v>
      </c>
    </row>
    <row r="77" spans="1:23" ht="15.75">
      <c r="A77" s="52" t="s">
        <v>109</v>
      </c>
      <c r="B77" s="8" t="s">
        <v>285</v>
      </c>
      <c r="C77" s="8" t="s">
        <v>285</v>
      </c>
      <c r="D77" s="69">
        <v>-1018.8</v>
      </c>
      <c r="E77" s="69">
        <v>-1277.4000000000001</v>
      </c>
      <c r="F77" s="69">
        <v>-222</v>
      </c>
      <c r="G77" s="8">
        <v>0</v>
      </c>
      <c r="H77" s="8">
        <v>0</v>
      </c>
      <c r="I77" s="8">
        <v>4</v>
      </c>
      <c r="J77" s="8">
        <v>0</v>
      </c>
      <c r="K77" s="8">
        <v>1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-3</v>
      </c>
      <c r="U77" s="54">
        <f t="shared" si="6"/>
        <v>95</v>
      </c>
      <c r="V77" s="54">
        <f t="shared" si="7"/>
        <v>0</v>
      </c>
      <c r="W77" s="55">
        <f t="shared" si="8"/>
        <v>0</v>
      </c>
    </row>
    <row r="78" spans="1:23">
      <c r="A78" s="52" t="s">
        <v>198</v>
      </c>
      <c r="B78" s="8" t="s">
        <v>195</v>
      </c>
      <c r="C78" s="8" t="s">
        <v>195</v>
      </c>
      <c r="D78" s="8">
        <v>0</v>
      </c>
      <c r="E78" s="9" t="s">
        <v>191</v>
      </c>
      <c r="F78" s="9" t="s">
        <v>191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1</v>
      </c>
      <c r="U78" s="54">
        <f t="shared" si="6"/>
        <v>0</v>
      </c>
      <c r="V78" s="54">
        <f t="shared" si="7"/>
        <v>-1</v>
      </c>
      <c r="W78" s="55">
        <f t="shared" si="8"/>
        <v>-1</v>
      </c>
    </row>
    <row r="79" spans="1:23" ht="15.75">
      <c r="A79" s="52" t="s">
        <v>76</v>
      </c>
      <c r="B79" s="8" t="s">
        <v>256</v>
      </c>
      <c r="C79" s="8" t="s">
        <v>180</v>
      </c>
      <c r="D79" s="118">
        <v>-131.4</v>
      </c>
      <c r="E79" s="9" t="s">
        <v>191</v>
      </c>
      <c r="F79" s="9" t="s">
        <v>191</v>
      </c>
      <c r="G79" s="8">
        <v>3</v>
      </c>
      <c r="H79" s="8">
        <v>5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1</v>
      </c>
      <c r="S79" s="8">
        <v>0</v>
      </c>
      <c r="T79" s="8">
        <v>0</v>
      </c>
      <c r="U79" s="54">
        <f t="shared" si="6"/>
        <v>57</v>
      </c>
      <c r="V79" s="54">
        <f t="shared" si="7"/>
        <v>15</v>
      </c>
      <c r="W79" s="55">
        <f t="shared" si="8"/>
        <v>5</v>
      </c>
    </row>
    <row r="80" spans="1:23" ht="15.75">
      <c r="A80" s="52" t="s">
        <v>41</v>
      </c>
      <c r="B80" s="8" t="s">
        <v>42</v>
      </c>
      <c r="C80" s="12" t="s">
        <v>161</v>
      </c>
      <c r="D80" s="61">
        <v>-361.08</v>
      </c>
      <c r="E80" s="9" t="s">
        <v>191</v>
      </c>
      <c r="F80" s="9" t="s">
        <v>191</v>
      </c>
      <c r="G80" s="8">
        <v>3</v>
      </c>
      <c r="H80" s="8">
        <v>5</v>
      </c>
      <c r="I80" s="8">
        <v>2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-1</v>
      </c>
      <c r="U80" s="54">
        <f t="shared" si="6"/>
        <v>73</v>
      </c>
      <c r="V80" s="54">
        <f t="shared" si="7"/>
        <v>14</v>
      </c>
      <c r="W80" s="62">
        <f t="shared" si="8"/>
        <v>4.666666666666667</v>
      </c>
    </row>
    <row r="81" spans="1:23" ht="15.75">
      <c r="A81" s="52" t="s">
        <v>39</v>
      </c>
      <c r="B81" s="8" t="s">
        <v>40</v>
      </c>
      <c r="C81" s="12" t="s">
        <v>160</v>
      </c>
      <c r="D81" s="65">
        <v>-389</v>
      </c>
      <c r="E81" s="9" t="s">
        <v>191</v>
      </c>
      <c r="F81" s="9" t="s">
        <v>191</v>
      </c>
      <c r="G81" s="8">
        <v>3</v>
      </c>
      <c r="H81" s="8">
        <v>6</v>
      </c>
      <c r="I81" s="8">
        <v>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54">
        <f t="shared" si="6"/>
        <v>74</v>
      </c>
      <c r="V81" s="54">
        <f t="shared" si="7"/>
        <v>14</v>
      </c>
      <c r="W81" s="62">
        <f t="shared" si="8"/>
        <v>4.666666666666667</v>
      </c>
    </row>
    <row r="82" spans="1:23" ht="14.25">
      <c r="A82" s="52" t="s">
        <v>122</v>
      </c>
      <c r="B82" s="8" t="s">
        <v>123</v>
      </c>
      <c r="C82" s="8" t="s">
        <v>124</v>
      </c>
      <c r="D82" s="64">
        <v>0</v>
      </c>
      <c r="E82" s="9">
        <v>0</v>
      </c>
      <c r="F82" s="9">
        <v>0</v>
      </c>
      <c r="G82" s="8">
        <v>0</v>
      </c>
      <c r="H82" s="8">
        <v>1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1</v>
      </c>
      <c r="U82" s="54">
        <f t="shared" si="6"/>
        <v>1</v>
      </c>
      <c r="V82" s="54">
        <f t="shared" si="7"/>
        <v>0</v>
      </c>
      <c r="W82" s="55">
        <f t="shared" si="8"/>
        <v>0</v>
      </c>
    </row>
    <row r="83" spans="1:23" ht="15.75">
      <c r="A83" s="52" t="s">
        <v>111</v>
      </c>
      <c r="B83" s="8" t="s">
        <v>266</v>
      </c>
      <c r="C83" s="8" t="s">
        <v>251</v>
      </c>
      <c r="D83" s="61">
        <v>-1921.4880468473118</v>
      </c>
      <c r="E83" s="9" t="s">
        <v>191</v>
      </c>
      <c r="F83" s="9" t="s">
        <v>191</v>
      </c>
      <c r="G83" s="8">
        <v>0</v>
      </c>
      <c r="H83" s="8">
        <v>0</v>
      </c>
      <c r="I83" s="8">
        <v>7</v>
      </c>
      <c r="J83" s="8">
        <v>0</v>
      </c>
      <c r="K83" s="8">
        <v>2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-4</v>
      </c>
      <c r="U83" s="54">
        <f t="shared" si="6"/>
        <v>174</v>
      </c>
      <c r="V83" s="54">
        <f t="shared" si="7"/>
        <v>0</v>
      </c>
      <c r="W83" s="55">
        <f t="shared" si="8"/>
        <v>0</v>
      </c>
    </row>
    <row r="84" spans="1:23" ht="15.75">
      <c r="A84" s="52" t="s">
        <v>47</v>
      </c>
      <c r="B84" s="52" t="s">
        <v>48</v>
      </c>
      <c r="C84" s="8" t="s">
        <v>164</v>
      </c>
      <c r="D84" s="61">
        <v>-474.63</v>
      </c>
      <c r="E84" s="9">
        <v>-596</v>
      </c>
      <c r="F84" s="9" t="s">
        <v>191</v>
      </c>
      <c r="G84" s="8">
        <v>3</v>
      </c>
      <c r="H84" s="8">
        <v>3</v>
      </c>
      <c r="I84" s="8">
        <v>3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-1</v>
      </c>
      <c r="U84" s="54">
        <f t="shared" si="6"/>
        <v>87</v>
      </c>
      <c r="V84" s="54">
        <f t="shared" si="7"/>
        <v>10</v>
      </c>
      <c r="W84" s="62">
        <f t="shared" si="8"/>
        <v>3.3333333333333335</v>
      </c>
    </row>
    <row r="85" spans="1:23">
      <c r="A85" s="52" t="s">
        <v>197</v>
      </c>
      <c r="B85" s="8" t="s">
        <v>194</v>
      </c>
      <c r="C85" s="8" t="s">
        <v>194</v>
      </c>
      <c r="D85" s="8">
        <v>0</v>
      </c>
      <c r="E85" s="9" t="s">
        <v>191</v>
      </c>
      <c r="F85" s="9" t="s">
        <v>191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1</v>
      </c>
      <c r="U85" s="54">
        <f t="shared" si="6"/>
        <v>0</v>
      </c>
      <c r="V85" s="54">
        <f t="shared" si="7"/>
        <v>-1</v>
      </c>
      <c r="W85" s="55">
        <f t="shared" si="8"/>
        <v>-1</v>
      </c>
    </row>
    <row r="86" spans="1:23" ht="15.75">
      <c r="A86" s="52" t="s">
        <v>26</v>
      </c>
      <c r="B86" s="8" t="s">
        <v>27</v>
      </c>
      <c r="C86" s="8" t="s">
        <v>153</v>
      </c>
      <c r="D86" s="119">
        <v>-690.91</v>
      </c>
      <c r="E86" s="59">
        <v>-909.29</v>
      </c>
      <c r="F86" s="59" t="s">
        <v>191</v>
      </c>
      <c r="G86" s="8">
        <v>4</v>
      </c>
      <c r="H86" s="8">
        <v>4</v>
      </c>
      <c r="I86" s="8">
        <v>4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-2</v>
      </c>
      <c r="U86" s="54">
        <f t="shared" si="6"/>
        <v>116</v>
      </c>
      <c r="V86" s="54">
        <f t="shared" si="7"/>
        <v>14</v>
      </c>
      <c r="W86" s="55">
        <f t="shared" si="8"/>
        <v>3.5</v>
      </c>
    </row>
    <row r="87" spans="1:23" ht="15.75">
      <c r="A87" s="52" t="s">
        <v>24</v>
      </c>
      <c r="B87" s="52" t="s">
        <v>25</v>
      </c>
      <c r="C87" s="52" t="s">
        <v>152</v>
      </c>
      <c r="D87" s="66">
        <v>-746.38</v>
      </c>
      <c r="E87" s="9" t="s">
        <v>191</v>
      </c>
      <c r="F87" s="59" t="s">
        <v>191</v>
      </c>
      <c r="G87" s="8">
        <v>4</v>
      </c>
      <c r="H87" s="8">
        <v>6</v>
      </c>
      <c r="I87" s="8">
        <v>4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54">
        <f t="shared" si="6"/>
        <v>118</v>
      </c>
      <c r="V87" s="54">
        <f t="shared" si="7"/>
        <v>14</v>
      </c>
      <c r="W87" s="55">
        <f t="shared" si="8"/>
        <v>3.5</v>
      </c>
    </row>
    <row r="88" spans="1:23" ht="15.75">
      <c r="A88" s="52" t="s">
        <v>73</v>
      </c>
      <c r="B88" s="52" t="s">
        <v>74</v>
      </c>
      <c r="C88" s="52" t="s">
        <v>179</v>
      </c>
      <c r="D88" s="118">
        <v>-458.6</v>
      </c>
      <c r="E88" s="9" t="s">
        <v>191</v>
      </c>
      <c r="F88" s="9" t="s">
        <v>191</v>
      </c>
      <c r="G88" s="8">
        <v>4</v>
      </c>
      <c r="H88" s="8">
        <v>5</v>
      </c>
      <c r="I88" s="8">
        <v>3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1</v>
      </c>
      <c r="S88" s="8">
        <v>0</v>
      </c>
      <c r="T88" s="8">
        <v>0</v>
      </c>
      <c r="U88" s="54">
        <f t="shared" si="6"/>
        <v>101</v>
      </c>
      <c r="V88" s="54">
        <f t="shared" si="7"/>
        <v>15</v>
      </c>
      <c r="W88" s="55">
        <f t="shared" si="8"/>
        <v>3.75</v>
      </c>
    </row>
    <row r="89" spans="1:23" ht="15.75">
      <c r="A89" s="52" t="s">
        <v>15</v>
      </c>
      <c r="B89" s="8" t="s">
        <v>16</v>
      </c>
      <c r="C89" s="8" t="s">
        <v>146</v>
      </c>
      <c r="D89" s="8">
        <v>-1008.78</v>
      </c>
      <c r="E89" s="9" t="s">
        <v>191</v>
      </c>
      <c r="F89" s="9" t="s">
        <v>191</v>
      </c>
      <c r="G89" s="8">
        <v>12</v>
      </c>
      <c r="H89" s="8">
        <v>22</v>
      </c>
      <c r="I89" s="8">
        <v>11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54">
        <f t="shared" si="6"/>
        <v>342</v>
      </c>
      <c r="V89" s="54">
        <f t="shared" si="7"/>
        <v>48</v>
      </c>
      <c r="W89" s="55">
        <f t="shared" si="8"/>
        <v>4</v>
      </c>
    </row>
    <row r="90" spans="1:23" ht="14.25">
      <c r="A90" s="114" t="s">
        <v>295</v>
      </c>
      <c r="B90" s="13" t="s">
        <v>302</v>
      </c>
      <c r="C90" s="13" t="s">
        <v>302</v>
      </c>
      <c r="D90" s="69">
        <v>85.8</v>
      </c>
      <c r="E90" s="69">
        <v>33.1</v>
      </c>
      <c r="F90" s="69">
        <v>-14.6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1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-2</v>
      </c>
      <c r="U90" s="54">
        <f t="shared" si="6"/>
        <v>32</v>
      </c>
      <c r="V90" s="54">
        <f t="shared" si="7"/>
        <v>8</v>
      </c>
      <c r="W90" s="55">
        <f t="shared" si="8"/>
        <v>8</v>
      </c>
    </row>
    <row r="91" spans="1:23" ht="14.25">
      <c r="A91" s="114" t="s">
        <v>299</v>
      </c>
      <c r="B91" s="13" t="s">
        <v>300</v>
      </c>
      <c r="C91" s="13" t="s">
        <v>300</v>
      </c>
      <c r="D91" s="69">
        <v>12.1</v>
      </c>
      <c r="E91" s="69">
        <v>-17.600000000000001</v>
      </c>
      <c r="F91" s="69">
        <v>62.8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1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-1</v>
      </c>
      <c r="U91" s="54">
        <f t="shared" si="6"/>
        <v>33</v>
      </c>
      <c r="V91" s="54">
        <f t="shared" si="7"/>
        <v>8</v>
      </c>
      <c r="W91" s="55">
        <f t="shared" si="8"/>
        <v>8</v>
      </c>
    </row>
    <row r="92" spans="1:23" ht="15.75">
      <c r="A92" s="114" t="s">
        <v>297</v>
      </c>
      <c r="B92" s="13" t="s">
        <v>296</v>
      </c>
      <c r="C92" s="13" t="s">
        <v>296</v>
      </c>
      <c r="D92" s="69">
        <v>-27.9</v>
      </c>
      <c r="E92" s="69">
        <v>-39.700000000000003</v>
      </c>
      <c r="F92" s="69">
        <v>121</v>
      </c>
      <c r="G92" s="8">
        <v>0</v>
      </c>
      <c r="H92" s="8">
        <v>2</v>
      </c>
      <c r="I92" s="8">
        <v>0</v>
      </c>
      <c r="J92" s="8">
        <v>0</v>
      </c>
      <c r="K92" s="8">
        <v>0</v>
      </c>
      <c r="L92" s="8">
        <v>1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54">
        <f t="shared" si="6"/>
        <v>34</v>
      </c>
      <c r="V92" s="54">
        <f t="shared" si="7"/>
        <v>8</v>
      </c>
      <c r="W92" s="55">
        <f t="shared" si="8"/>
        <v>8</v>
      </c>
    </row>
    <row r="93" spans="1:23" ht="15.75">
      <c r="A93" s="114" t="s">
        <v>298</v>
      </c>
      <c r="B93" s="13" t="s">
        <v>301</v>
      </c>
      <c r="C93" s="13" t="s">
        <v>296</v>
      </c>
      <c r="D93" s="69">
        <v>-33.6</v>
      </c>
      <c r="E93" s="69">
        <v>-20.6</v>
      </c>
      <c r="F93" s="69">
        <v>205.8</v>
      </c>
      <c r="G93" s="8">
        <v>0</v>
      </c>
      <c r="H93" s="8">
        <v>2</v>
      </c>
      <c r="I93" s="8">
        <v>0</v>
      </c>
      <c r="J93" s="8">
        <v>0</v>
      </c>
      <c r="K93" s="8">
        <v>0</v>
      </c>
      <c r="L93" s="8">
        <v>1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54">
        <f t="shared" si="6"/>
        <v>34</v>
      </c>
      <c r="V93" s="54">
        <f t="shared" si="7"/>
        <v>8</v>
      </c>
      <c r="W93" s="55">
        <f t="shared" si="8"/>
        <v>8</v>
      </c>
    </row>
    <row r="94" spans="1:23" ht="15.75">
      <c r="A94" s="114" t="s">
        <v>329</v>
      </c>
      <c r="B94" s="8" t="s">
        <v>330</v>
      </c>
      <c r="C94" s="8" t="s">
        <v>330</v>
      </c>
      <c r="D94" s="13">
        <v>-744.6</v>
      </c>
      <c r="E94" s="13">
        <v>-909.6</v>
      </c>
      <c r="F94" s="13" t="s">
        <v>191</v>
      </c>
      <c r="G94" s="8">
        <v>0</v>
      </c>
      <c r="H94" s="8">
        <v>0</v>
      </c>
      <c r="I94" s="8">
        <v>4</v>
      </c>
      <c r="J94" s="8">
        <v>0</v>
      </c>
      <c r="K94" s="8">
        <v>0</v>
      </c>
      <c r="L94" s="8">
        <v>1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-2</v>
      </c>
      <c r="U94" s="54">
        <f t="shared" si="6"/>
        <v>96</v>
      </c>
      <c r="V94" s="54">
        <f t="shared" si="7"/>
        <v>0</v>
      </c>
      <c r="W94" s="55">
        <f t="shared" si="8"/>
        <v>0</v>
      </c>
    </row>
    <row r="95" spans="1:23">
      <c r="A95" s="132" t="s">
        <v>304</v>
      </c>
      <c r="B95" s="133" t="s">
        <v>305</v>
      </c>
      <c r="C95" s="133" t="s">
        <v>305</v>
      </c>
      <c r="D95" s="134">
        <f>-131.2</f>
        <v>-131.19999999999999</v>
      </c>
      <c r="E95" s="133">
        <v>-166.7</v>
      </c>
      <c r="F95" s="133">
        <v>55.1</v>
      </c>
      <c r="G95" s="133">
        <v>0</v>
      </c>
      <c r="H95" s="133">
        <v>1</v>
      </c>
      <c r="I95" s="133">
        <v>0</v>
      </c>
      <c r="J95" s="133">
        <v>0</v>
      </c>
      <c r="K95" s="133">
        <v>0</v>
      </c>
      <c r="L95" s="133">
        <v>0</v>
      </c>
      <c r="M95" s="133">
        <v>1</v>
      </c>
      <c r="N95" s="133">
        <v>0</v>
      </c>
      <c r="O95" s="133">
        <v>0</v>
      </c>
      <c r="P95" s="133">
        <v>0</v>
      </c>
      <c r="Q95" s="133">
        <v>0</v>
      </c>
      <c r="R95" s="133">
        <v>0</v>
      </c>
      <c r="S95" s="133">
        <v>0</v>
      </c>
      <c r="T95" s="133">
        <v>0</v>
      </c>
      <c r="U95" s="54">
        <f t="shared" si="6"/>
        <v>36.5</v>
      </c>
      <c r="V95" s="54">
        <f t="shared" si="7"/>
        <v>0</v>
      </c>
      <c r="W95" s="55">
        <f t="shared" si="8"/>
        <v>0</v>
      </c>
    </row>
    <row r="96" spans="1:23" ht="14.25">
      <c r="A96" s="132" t="s">
        <v>306</v>
      </c>
      <c r="B96" s="133" t="s">
        <v>307</v>
      </c>
      <c r="C96" s="133" t="s">
        <v>308</v>
      </c>
      <c r="D96" s="134">
        <f>-131.2</f>
        <v>-131.19999999999999</v>
      </c>
      <c r="E96" s="133">
        <v>-167.1</v>
      </c>
      <c r="F96" s="133">
        <v>56.7</v>
      </c>
      <c r="G96" s="133">
        <v>0</v>
      </c>
      <c r="H96" s="133">
        <v>0</v>
      </c>
      <c r="I96" s="133">
        <v>0</v>
      </c>
      <c r="J96" s="133">
        <v>0</v>
      </c>
      <c r="K96" s="133">
        <v>0</v>
      </c>
      <c r="L96" s="133">
        <v>0</v>
      </c>
      <c r="M96" s="133">
        <v>1</v>
      </c>
      <c r="N96" s="133">
        <v>0</v>
      </c>
      <c r="O96" s="133">
        <v>0</v>
      </c>
      <c r="P96" s="133">
        <v>0</v>
      </c>
      <c r="Q96" s="133">
        <v>0</v>
      </c>
      <c r="R96" s="133">
        <v>0</v>
      </c>
      <c r="S96" s="133">
        <v>0</v>
      </c>
      <c r="T96" s="133">
        <v>-1</v>
      </c>
      <c r="U96" s="54">
        <f t="shared" si="6"/>
        <v>35.5</v>
      </c>
      <c r="V96" s="54">
        <f t="shared" si="7"/>
        <v>0</v>
      </c>
      <c r="W96" s="55">
        <f t="shared" si="8"/>
        <v>0</v>
      </c>
    </row>
    <row r="97" spans="1:23" ht="14.25">
      <c r="A97" s="132" t="s">
        <v>318</v>
      </c>
      <c r="B97" s="133" t="s">
        <v>319</v>
      </c>
      <c r="C97" s="133" t="s">
        <v>320</v>
      </c>
      <c r="D97" s="134">
        <v>-36.799999999999997</v>
      </c>
      <c r="E97" s="137">
        <v>-167.2</v>
      </c>
      <c r="F97" s="137">
        <v>56.5</v>
      </c>
      <c r="G97" s="133">
        <v>0</v>
      </c>
      <c r="H97" s="133">
        <v>0</v>
      </c>
      <c r="I97" s="133">
        <v>1</v>
      </c>
      <c r="J97" s="133">
        <v>0</v>
      </c>
      <c r="K97" s="133">
        <v>0</v>
      </c>
      <c r="L97" s="133">
        <v>0</v>
      </c>
      <c r="M97" s="133">
        <v>1</v>
      </c>
      <c r="N97" s="133">
        <v>0</v>
      </c>
      <c r="O97" s="133">
        <v>0</v>
      </c>
      <c r="P97" s="133">
        <v>0</v>
      </c>
      <c r="Q97" s="133">
        <v>0</v>
      </c>
      <c r="R97" s="133">
        <v>0</v>
      </c>
      <c r="S97" s="133">
        <v>0</v>
      </c>
      <c r="T97" s="133">
        <v>-1</v>
      </c>
      <c r="U97" s="54">
        <f t="shared" si="6"/>
        <v>51.5</v>
      </c>
      <c r="V97" s="54">
        <f t="shared" si="7"/>
        <v>-2</v>
      </c>
      <c r="W97" s="55">
        <f t="shared" si="8"/>
        <v>-2</v>
      </c>
    </row>
    <row r="98" spans="1:23" ht="15.75">
      <c r="A98" s="132" t="s">
        <v>309</v>
      </c>
      <c r="B98" s="133" t="s">
        <v>310</v>
      </c>
      <c r="C98" s="133" t="s">
        <v>311</v>
      </c>
      <c r="D98" s="135">
        <v>17.2</v>
      </c>
      <c r="E98" s="137">
        <v>-66.5</v>
      </c>
      <c r="F98" s="137">
        <v>101.3</v>
      </c>
      <c r="G98" s="133">
        <v>0</v>
      </c>
      <c r="H98" s="133">
        <v>0</v>
      </c>
      <c r="I98" s="133">
        <v>2</v>
      </c>
      <c r="J98" s="133">
        <v>0</v>
      </c>
      <c r="K98" s="133">
        <v>0</v>
      </c>
      <c r="L98" s="133">
        <v>0</v>
      </c>
      <c r="M98" s="133">
        <v>1</v>
      </c>
      <c r="N98" s="133">
        <v>0</v>
      </c>
      <c r="O98" s="133">
        <v>0</v>
      </c>
      <c r="P98" s="133">
        <v>0</v>
      </c>
      <c r="Q98" s="133">
        <v>0</v>
      </c>
      <c r="R98" s="133">
        <v>0</v>
      </c>
      <c r="S98" s="133">
        <v>0</v>
      </c>
      <c r="T98" s="133">
        <v>-1</v>
      </c>
      <c r="U98" s="54">
        <f t="shared" si="6"/>
        <v>67.5</v>
      </c>
      <c r="V98" s="54">
        <f t="shared" si="7"/>
        <v>-4</v>
      </c>
      <c r="W98" s="55">
        <f t="shared" si="8"/>
        <v>-4</v>
      </c>
    </row>
    <row r="99" spans="1:23" ht="15.75">
      <c r="A99" s="132" t="s">
        <v>312</v>
      </c>
      <c r="B99" s="133" t="s">
        <v>313</v>
      </c>
      <c r="C99" s="133" t="s">
        <v>314</v>
      </c>
      <c r="D99" s="135">
        <v>3.35</v>
      </c>
      <c r="E99" s="137">
        <v>-104</v>
      </c>
      <c r="F99" s="137">
        <v>162.30000000000001</v>
      </c>
      <c r="G99" s="133">
        <v>0</v>
      </c>
      <c r="H99" s="133">
        <v>0</v>
      </c>
      <c r="I99" s="133">
        <v>3</v>
      </c>
      <c r="J99" s="133">
        <v>0</v>
      </c>
      <c r="K99" s="133">
        <v>0</v>
      </c>
      <c r="L99" s="133">
        <v>0</v>
      </c>
      <c r="M99" s="133">
        <v>1</v>
      </c>
      <c r="N99" s="133">
        <v>0</v>
      </c>
      <c r="O99" s="133">
        <v>0</v>
      </c>
      <c r="P99" s="133">
        <v>0</v>
      </c>
      <c r="Q99" s="133">
        <v>0</v>
      </c>
      <c r="R99" s="133">
        <v>0</v>
      </c>
      <c r="S99" s="133">
        <v>0</v>
      </c>
      <c r="T99" s="133">
        <v>-1</v>
      </c>
      <c r="U99" s="54">
        <f t="shared" si="6"/>
        <v>83.5</v>
      </c>
      <c r="V99" s="54">
        <f t="shared" si="7"/>
        <v>-6</v>
      </c>
      <c r="W99" s="55">
        <f t="shared" si="8"/>
        <v>-6</v>
      </c>
    </row>
    <row r="100" spans="1:23" ht="15.75">
      <c r="A100" s="132" t="s">
        <v>315</v>
      </c>
      <c r="B100" s="133" t="s">
        <v>316</v>
      </c>
      <c r="C100" s="133" t="s">
        <v>317</v>
      </c>
      <c r="D100" s="137">
        <v>-8.5</v>
      </c>
      <c r="E100" s="137">
        <v>-129.30000000000001</v>
      </c>
      <c r="F100" s="137" t="s">
        <v>191</v>
      </c>
      <c r="G100" s="133">
        <v>0</v>
      </c>
      <c r="H100" s="133">
        <v>0</v>
      </c>
      <c r="I100" s="133">
        <v>4</v>
      </c>
      <c r="J100" s="133">
        <v>0</v>
      </c>
      <c r="K100" s="133">
        <v>0</v>
      </c>
      <c r="L100" s="133">
        <v>0</v>
      </c>
      <c r="M100" s="133">
        <v>1</v>
      </c>
      <c r="N100" s="133">
        <v>0</v>
      </c>
      <c r="O100" s="133">
        <v>0</v>
      </c>
      <c r="P100" s="133">
        <v>0</v>
      </c>
      <c r="Q100" s="133">
        <v>0</v>
      </c>
      <c r="R100" s="133">
        <v>0</v>
      </c>
      <c r="S100" s="133">
        <v>0</v>
      </c>
      <c r="T100" s="133">
        <v>-1</v>
      </c>
      <c r="U100" s="54">
        <f t="shared" ref="U100:U107" si="9">SUMPRODUCT(G100:T100,$G$107:$T$107)</f>
        <v>99.5</v>
      </c>
      <c r="V100" s="54">
        <f t="shared" ref="V100:V107" si="10">SUMPRODUCT($G100:$T100,$G$108:$T$108)</f>
        <v>-8</v>
      </c>
      <c r="W100" s="55">
        <f t="shared" ref="W100:W107" si="11">(IF(G100&lt;&gt;0,SUMPRODUCT($G100:$T100,$G$108:$T$108)/$G100,SUMPRODUCT($G100:$T100,$G$108:$T$108)))</f>
        <v>-8</v>
      </c>
    </row>
    <row r="101" spans="1:23">
      <c r="A101" s="52" t="s">
        <v>223</v>
      </c>
      <c r="B101" s="8" t="s">
        <v>225</v>
      </c>
      <c r="C101" s="8" t="s">
        <v>225</v>
      </c>
      <c r="D101" s="68">
        <v>0</v>
      </c>
      <c r="E101" s="8" t="s">
        <v>191</v>
      </c>
      <c r="F101" s="8" t="s">
        <v>191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8">
        <v>0</v>
      </c>
      <c r="R101" s="8">
        <v>0</v>
      </c>
      <c r="S101" s="8">
        <v>0</v>
      </c>
      <c r="T101" s="8">
        <v>0</v>
      </c>
      <c r="U101" s="54">
        <f t="shared" si="9"/>
        <v>0</v>
      </c>
      <c r="V101" s="54">
        <f t="shared" si="10"/>
        <v>0</v>
      </c>
      <c r="W101" s="55">
        <f t="shared" si="11"/>
        <v>0</v>
      </c>
    </row>
    <row r="102" spans="1:23">
      <c r="A102" s="52" t="s">
        <v>224</v>
      </c>
      <c r="B102" s="8" t="s">
        <v>226</v>
      </c>
      <c r="C102" s="8" t="s">
        <v>226</v>
      </c>
      <c r="D102" s="68">
        <v>-60.57048495627221</v>
      </c>
      <c r="E102" s="8" t="s">
        <v>191</v>
      </c>
      <c r="F102" s="8" t="s">
        <v>191</v>
      </c>
      <c r="G102" s="8">
        <v>0</v>
      </c>
      <c r="H102" s="8">
        <v>2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1</v>
      </c>
      <c r="Q102" s="8">
        <v>0</v>
      </c>
      <c r="R102" s="8">
        <v>0</v>
      </c>
      <c r="S102" s="8">
        <v>0</v>
      </c>
      <c r="T102" s="8">
        <v>0</v>
      </c>
      <c r="U102" s="54">
        <f t="shared" si="9"/>
        <v>2</v>
      </c>
      <c r="V102" s="54">
        <f t="shared" si="10"/>
        <v>2</v>
      </c>
      <c r="W102" s="55">
        <f t="shared" si="11"/>
        <v>2</v>
      </c>
    </row>
    <row r="103" spans="1:23">
      <c r="A103" s="52" t="s">
        <v>538</v>
      </c>
      <c r="B103" s="8" t="s">
        <v>539</v>
      </c>
      <c r="C103" s="8" t="s">
        <v>539</v>
      </c>
      <c r="D103" s="67">
        <v>0</v>
      </c>
      <c r="E103" s="13">
        <v>0</v>
      </c>
      <c r="F103" s="8" t="s">
        <v>191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54">
        <f>SUMPRODUCT(G103:T103,$G$107:$T$107)</f>
        <v>56</v>
      </c>
      <c r="V103" s="54">
        <f t="shared" si="10"/>
        <v>3</v>
      </c>
      <c r="W103" s="55">
        <f>(IF(G103&lt;&gt;0,SUMPRODUCT($G103:$T103,$G$108:$T$108)/$G103,SUMPRODUCT($G103:$T103,$G$108:$T$108)))</f>
        <v>3</v>
      </c>
    </row>
    <row r="104" spans="1:23">
      <c r="A104" s="52" t="s">
        <v>331</v>
      </c>
      <c r="B104" s="8" t="s">
        <v>333</v>
      </c>
      <c r="C104" s="8" t="s">
        <v>333</v>
      </c>
      <c r="D104" s="8">
        <v>-78.900000000000006</v>
      </c>
      <c r="E104" s="8">
        <v>-89.1</v>
      </c>
      <c r="F104" s="8" t="s">
        <v>191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1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2</v>
      </c>
      <c r="U104" s="54">
        <f t="shared" si="9"/>
        <v>56</v>
      </c>
      <c r="V104" s="54">
        <f t="shared" si="10"/>
        <v>1</v>
      </c>
      <c r="W104" s="55">
        <f t="shared" si="11"/>
        <v>1</v>
      </c>
    </row>
    <row r="105" spans="1:23">
      <c r="A105" s="52" t="s">
        <v>332</v>
      </c>
      <c r="B105" s="8" t="s">
        <v>334</v>
      </c>
      <c r="C105" s="8" t="s">
        <v>334</v>
      </c>
      <c r="D105" s="8">
        <v>-4.5999999999999996</v>
      </c>
      <c r="E105" s="8">
        <v>-48.5</v>
      </c>
      <c r="F105" s="8" t="s">
        <v>191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1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3</v>
      </c>
      <c r="U105" s="54">
        <f t="shared" si="9"/>
        <v>56</v>
      </c>
      <c r="V105" s="54">
        <f t="shared" si="10"/>
        <v>0</v>
      </c>
      <c r="W105" s="55">
        <f t="shared" si="11"/>
        <v>0</v>
      </c>
    </row>
    <row r="106" spans="1:23" ht="16.5" thickBot="1">
      <c r="A106" s="70" t="s">
        <v>118</v>
      </c>
      <c r="B106" s="10" t="s">
        <v>119</v>
      </c>
      <c r="C106" s="10" t="s">
        <v>189</v>
      </c>
      <c r="D106" s="136">
        <v>-237.18</v>
      </c>
      <c r="E106" s="136">
        <v>-285.8</v>
      </c>
      <c r="F106" s="69">
        <v>69.900000000000006</v>
      </c>
      <c r="G106" s="10">
        <v>0</v>
      </c>
      <c r="H106" s="10">
        <v>2</v>
      </c>
      <c r="I106" s="10">
        <v>1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71">
        <f t="shared" si="9"/>
        <v>18</v>
      </c>
      <c r="V106" s="71">
        <f t="shared" si="10"/>
        <v>0</v>
      </c>
      <c r="W106" s="72">
        <f t="shared" si="11"/>
        <v>0</v>
      </c>
    </row>
    <row r="107" spans="1:23" ht="13.5" thickTop="1">
      <c r="C107" s="40"/>
      <c r="F107" s="30" t="s">
        <v>193</v>
      </c>
      <c r="G107" s="31">
        <v>12</v>
      </c>
      <c r="H107" s="32">
        <v>1</v>
      </c>
      <c r="I107" s="32">
        <v>16</v>
      </c>
      <c r="J107" s="32">
        <v>14</v>
      </c>
      <c r="K107" s="33">
        <v>31</v>
      </c>
      <c r="L107" s="33">
        <v>32</v>
      </c>
      <c r="M107" s="33">
        <v>35.5</v>
      </c>
      <c r="N107" s="33">
        <v>56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4">
        <v>0</v>
      </c>
      <c r="U107" s="15">
        <f t="shared" si="9"/>
        <v>6978.25</v>
      </c>
      <c r="V107" s="15">
        <f t="shared" si="10"/>
        <v>454.5</v>
      </c>
      <c r="W107" s="73">
        <f t="shared" si="11"/>
        <v>37.875</v>
      </c>
    </row>
    <row r="108" spans="1:23" ht="13.5" thickBot="1">
      <c r="C108" s="40"/>
      <c r="F108" s="35" t="s">
        <v>128</v>
      </c>
      <c r="G108" s="36">
        <v>4</v>
      </c>
      <c r="H108" s="37">
        <v>1</v>
      </c>
      <c r="I108" s="37">
        <v>-2</v>
      </c>
      <c r="J108" s="37">
        <v>-3</v>
      </c>
      <c r="K108" s="38">
        <v>5</v>
      </c>
      <c r="L108" s="38">
        <v>6</v>
      </c>
      <c r="M108" s="38">
        <v>-1</v>
      </c>
      <c r="N108" s="38">
        <v>3</v>
      </c>
      <c r="O108" s="38">
        <v>0</v>
      </c>
      <c r="P108" s="38">
        <v>0</v>
      </c>
      <c r="Q108" s="38">
        <v>-2</v>
      </c>
      <c r="R108" s="38">
        <v>0</v>
      </c>
      <c r="S108" s="38">
        <v>0</v>
      </c>
      <c r="T108" s="39">
        <v>-1</v>
      </c>
    </row>
    <row r="109" spans="1:23" ht="13.5" thickTop="1">
      <c r="C109" s="40"/>
      <c r="F109" s="74"/>
      <c r="G109" s="75"/>
      <c r="H109" s="75"/>
      <c r="I109" s="75"/>
      <c r="J109" s="75"/>
      <c r="K109" s="28"/>
      <c r="L109" s="28"/>
      <c r="M109" s="28"/>
      <c r="N109" s="28"/>
      <c r="O109" s="28"/>
      <c r="P109" s="28"/>
      <c r="Q109" s="28"/>
      <c r="R109" s="28"/>
      <c r="S109" s="28"/>
      <c r="T109" s="75"/>
    </row>
    <row r="110" spans="1:23">
      <c r="E110" s="76"/>
      <c r="V110" s="73"/>
      <c r="W110" s="14"/>
    </row>
    <row r="111" spans="1:23">
      <c r="A111" s="77" t="s">
        <v>129</v>
      </c>
      <c r="B111" s="3">
        <v>-123.45</v>
      </c>
      <c r="E111" s="76"/>
      <c r="V111" s="73"/>
      <c r="W111" s="14"/>
    </row>
    <row r="112" spans="1:23">
      <c r="A112" s="77" t="s">
        <v>130</v>
      </c>
      <c r="B112" s="78">
        <v>-123.45</v>
      </c>
      <c r="E112" s="40"/>
      <c r="V112" s="73"/>
      <c r="W112" s="14"/>
    </row>
    <row r="113" spans="1:23">
      <c r="A113" s="77" t="s">
        <v>132</v>
      </c>
      <c r="B113" s="79">
        <v>-123.45</v>
      </c>
      <c r="E113" s="40"/>
      <c r="V113" s="73"/>
      <c r="W113" s="14"/>
    </row>
    <row r="114" spans="1:23">
      <c r="A114" s="77" t="s">
        <v>134</v>
      </c>
      <c r="B114" s="80">
        <v>-123.45</v>
      </c>
      <c r="E114" s="40"/>
      <c r="V114" s="73"/>
      <c r="W114" s="14"/>
    </row>
    <row r="115" spans="1:23">
      <c r="A115" s="77" t="s">
        <v>136</v>
      </c>
      <c r="B115" s="81">
        <v>-123.45</v>
      </c>
      <c r="E115" s="40"/>
      <c r="V115" s="73"/>
      <c r="W115" s="14"/>
    </row>
    <row r="116" spans="1:23">
      <c r="A116" s="77" t="s">
        <v>138</v>
      </c>
      <c r="B116" s="82">
        <v>-123.45</v>
      </c>
      <c r="E116" s="40"/>
      <c r="V116" s="73"/>
      <c r="W116" s="14"/>
    </row>
    <row r="117" spans="1:23">
      <c r="A117" s="130" t="s">
        <v>276</v>
      </c>
      <c r="B117" s="131">
        <v>-123.45</v>
      </c>
      <c r="E117" s="40"/>
      <c r="V117" s="73"/>
      <c r="W117" s="14"/>
    </row>
    <row r="118" spans="1:23">
      <c r="A118" s="83"/>
      <c r="E118" s="40"/>
      <c r="V118" s="73"/>
      <c r="W118" s="14"/>
    </row>
    <row r="119" spans="1:23">
      <c r="E119" s="40"/>
      <c r="V119" s="73"/>
      <c r="W119" s="14"/>
    </row>
    <row r="120" spans="1:23">
      <c r="E120" s="40"/>
      <c r="V120" s="73"/>
      <c r="W120" s="14"/>
    </row>
    <row r="121" spans="1:23">
      <c r="E121" s="84"/>
      <c r="V121" s="73"/>
      <c r="W121" s="14"/>
    </row>
  </sheetData>
  <phoneticPr fontId="2" type="noConversion"/>
  <pageMargins left="0.75" right="0.75" top="1" bottom="1" header="0" footer="0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Microbial Model</vt:lpstr>
      <vt:lpstr>StoichMatrix</vt:lpstr>
      <vt:lpstr>States</vt:lpstr>
      <vt:lpstr>AlgParam</vt:lpstr>
      <vt:lpstr>OperatParam</vt:lpstr>
      <vt:lpstr>ThParam</vt:lpstr>
      <vt:lpstr>KinetParam</vt:lpstr>
      <vt:lpstr>FeedProgram</vt:lpstr>
      <vt:lpstr>SpeciesDatabase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Rodríguez</cp:lastModifiedBy>
  <dcterms:created xsi:type="dcterms:W3CDTF">2008-02-06T12:16:03Z</dcterms:created>
  <dcterms:modified xsi:type="dcterms:W3CDTF">2012-07-16T21:07:07Z</dcterms:modified>
</cp:coreProperties>
</file>