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Mauricio\Documents\MATLAB\LakeModelMIT_Consolidation\simID\"/>
    </mc:Choice>
  </mc:AlternateContent>
  <xr:revisionPtr revIDLastSave="0" documentId="13_ncr:1_{C6A5AF65-C3B7-4DEE-8C55-3C8E6489DB3F}" xr6:coauthVersionLast="44" xr6:coauthVersionMax="44" xr10:uidLastSave="{00000000-0000-0000-0000-000000000000}"/>
  <bookViews>
    <workbookView xWindow="22932" yWindow="-108" windowWidth="30936" windowHeight="16896" firstSheet="6" activeTab="10" xr2:uid="{00000000-000D-0000-FFFF-FFFF00000000}"/>
  </bookViews>
  <sheets>
    <sheet name="OperatParam" sheetId="11" r:id="rId1"/>
    <sheet name="States" sheetId="9" r:id="rId2"/>
    <sheet name="AlgStates" sheetId="20" r:id="rId3"/>
    <sheet name="TranspMatrix" sheetId="16" r:id="rId4"/>
    <sheet name="ReactMatrix" sheetId="8" r:id="rId5"/>
    <sheet name="ReactMatrix_OldVersion" sheetId="25" r:id="rId6"/>
    <sheet name="PhysParam" sheetId="18" r:id="rId7"/>
    <sheet name="ThermoParam" sheetId="17" r:id="rId8"/>
    <sheet name="KinetParam" sheetId="13" r:id="rId9"/>
    <sheet name="Inflow" sheetId="14" r:id="rId10"/>
    <sheet name="Microbial Model" sheetId="7" r:id="rId11"/>
    <sheet name="Phytoplankton Model" sheetId="22" r:id="rId12"/>
    <sheet name="MicroModelComponents" sheetId="23" r:id="rId13"/>
    <sheet name="SpeciesDatabase" sheetId="4" r:id="rId14"/>
    <sheet name="DiffCalcs" sheetId="21" r:id="rId15"/>
  </sheets>
  <externalReferences>
    <externalReference r:id="rId16"/>
  </externalReferences>
  <definedNames>
    <definedName name="_xlnm._FilterDatabase" localSheetId="10" hidden="1">'Microbial Model'!$A$3:$H$24</definedName>
    <definedName name="_xlnm._FilterDatabase" localSheetId="11" hidden="1">'Phytoplankton Model'!$A$3:$H$24</definedName>
    <definedName name="COD_Sac">[1]ModelStoichiometry!$O$22</definedName>
    <definedName name="solver_adj" localSheetId="1" hidden="1">#REF!</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in" localSheetId="1" hidden="1">2</definedName>
    <definedName name="solver_neg" localSheetId="1" hidden="1">2</definedName>
    <definedName name="solver_num" localSheetId="1" hidden="1">0</definedName>
    <definedName name="solver_nwt" localSheetId="1" hidden="1">1</definedName>
    <definedName name="solver_opt" localSheetId="1" hidden="1">States!$F$30</definedName>
    <definedName name="solver_pre" localSheetId="1" hidden="1">0.000001</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3</definedName>
    <definedName name="solver_val" localSheetId="1" hidden="1">0.813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13" l="1"/>
  <c r="B14" i="13"/>
  <c r="B6" i="13"/>
  <c r="B1" i="13"/>
  <c r="B3" i="13"/>
  <c r="B4" i="13"/>
  <c r="B5" i="13"/>
  <c r="B7" i="13"/>
  <c r="B8" i="13"/>
  <c r="B10" i="13"/>
  <c r="B12" i="13"/>
  <c r="B13" i="13"/>
  <c r="B16" i="13"/>
  <c r="B20" i="13"/>
  <c r="B21" i="13"/>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18" i="20"/>
  <c r="B10" i="11"/>
  <c r="C82" i="17"/>
  <c r="C79" i="17"/>
  <c r="C78" i="17"/>
  <c r="C40" i="17"/>
  <c r="C38" i="17"/>
  <c r="C37" i="17"/>
  <c r="C36" i="17"/>
  <c r="A118" i="17"/>
  <c r="A113" i="17"/>
  <c r="A101" i="17"/>
  <c r="A97" i="17"/>
  <c r="A87" i="17"/>
  <c r="A84" i="17"/>
  <c r="A79" i="17"/>
  <c r="A71" i="17"/>
  <c r="A42" i="17"/>
  <c r="A41" i="17"/>
  <c r="A33" i="17"/>
  <c r="A31" i="17"/>
  <c r="A9" i="17"/>
  <c r="C4" i="20"/>
  <c r="D4" i="20"/>
  <c r="E4" i="20"/>
  <c r="F4" i="20"/>
  <c r="G4" i="20"/>
  <c r="H4" i="20"/>
  <c r="I4" i="20"/>
  <c r="J4" i="20"/>
  <c r="K4" i="20"/>
  <c r="L4" i="20"/>
  <c r="M4" i="20"/>
  <c r="N4" i="20"/>
  <c r="O4" i="20"/>
  <c r="P4" i="20"/>
  <c r="Q4" i="20"/>
  <c r="R4" i="20"/>
  <c r="S4" i="20"/>
  <c r="T4" i="20"/>
  <c r="U4" i="20"/>
  <c r="V4" i="20"/>
  <c r="W4" i="20"/>
  <c r="B4" i="20"/>
  <c r="AN44" i="25"/>
  <c r="W44" i="25"/>
  <c r="AN43" i="25"/>
  <c r="W43" i="25"/>
  <c r="A42" i="25"/>
  <c r="A41" i="25"/>
  <c r="A40" i="25"/>
  <c r="A39" i="25"/>
  <c r="A38" i="25"/>
  <c r="A37" i="25"/>
  <c r="A36" i="25"/>
  <c r="A35" i="25"/>
  <c r="A34" i="25"/>
  <c r="A33" i="25"/>
  <c r="A32" i="25"/>
  <c r="A31" i="25"/>
  <c r="A30" i="25"/>
  <c r="A29" i="25"/>
  <c r="A28" i="25"/>
  <c r="A27" i="25"/>
  <c r="A26" i="25"/>
  <c r="A25" i="25"/>
  <c r="A24" i="25"/>
  <c r="A23" i="25"/>
  <c r="A22" i="25"/>
  <c r="A21" i="25"/>
  <c r="A20" i="25"/>
  <c r="A19" i="25"/>
  <c r="A18" i="25"/>
  <c r="A17" i="25"/>
  <c r="A16" i="25"/>
  <c r="W15" i="25"/>
  <c r="A15" i="25"/>
  <c r="W14" i="25"/>
  <c r="A14" i="25"/>
  <c r="W13" i="25"/>
  <c r="A13" i="25"/>
  <c r="W12" i="25"/>
  <c r="A12" i="25"/>
  <c r="W11" i="25"/>
  <c r="A11" i="25"/>
  <c r="W10" i="25"/>
  <c r="A10" i="25"/>
  <c r="W9" i="25"/>
  <c r="A9" i="25"/>
  <c r="W8" i="25"/>
  <c r="A8" i="25"/>
  <c r="W7" i="25"/>
  <c r="A7" i="25"/>
  <c r="W6" i="25"/>
  <c r="A6" i="25"/>
  <c r="W5" i="25"/>
  <c r="A5" i="25"/>
  <c r="W4" i="25"/>
  <c r="A4" i="25"/>
  <c r="W3" i="25"/>
  <c r="A3" i="25"/>
  <c r="W2" i="25"/>
  <c r="A2" i="25"/>
  <c r="D44" i="17"/>
  <c r="D2" i="17"/>
  <c r="C44" i="17"/>
  <c r="C2" i="17"/>
  <c r="C46" i="17"/>
  <c r="C4" i="17"/>
  <c r="B46" i="17"/>
  <c r="B4" i="17"/>
  <c r="D46" i="17"/>
  <c r="D4" i="17"/>
  <c r="E46" i="17"/>
  <c r="E4" i="17"/>
  <c r="D48" i="17"/>
  <c r="D6" i="17"/>
  <c r="C48" i="17"/>
  <c r="C6" i="17"/>
  <c r="D49" i="17"/>
  <c r="D7" i="17"/>
  <c r="C49" i="17"/>
  <c r="C7" i="17"/>
  <c r="D52" i="17"/>
  <c r="D10" i="17"/>
  <c r="C52" i="17"/>
  <c r="C10" i="17"/>
  <c r="D53" i="17"/>
  <c r="D11" i="17"/>
  <c r="C53" i="17"/>
  <c r="C11" i="17"/>
  <c r="CL44" i="16"/>
  <c r="CL43" i="16"/>
  <c r="CL42" i="16"/>
  <c r="CL41" i="16"/>
  <c r="CL40" i="16"/>
  <c r="CL39" i="16"/>
  <c r="CL38" i="16"/>
  <c r="CL37" i="16"/>
  <c r="CL36" i="16"/>
  <c r="CL35" i="16"/>
  <c r="CL34" i="16"/>
  <c r="CL33" i="16"/>
  <c r="CL32" i="16"/>
  <c r="CL31" i="16"/>
  <c r="CL30" i="16"/>
  <c r="CL29" i="16"/>
  <c r="CL28" i="16"/>
  <c r="CL27" i="16"/>
  <c r="CL26" i="16"/>
  <c r="CL25" i="16"/>
  <c r="CL24" i="16"/>
  <c r="CL23" i="16"/>
  <c r="CL22" i="16"/>
  <c r="CL21" i="16"/>
  <c r="CL20" i="16"/>
  <c r="CL19" i="16"/>
  <c r="CL18" i="16"/>
  <c r="CL17" i="16"/>
  <c r="CL16" i="16"/>
  <c r="CL15" i="16"/>
  <c r="CL14" i="16"/>
  <c r="CL13" i="16"/>
  <c r="CL12" i="16"/>
  <c r="CL11" i="16"/>
  <c r="CL10" i="16"/>
  <c r="CL9" i="16"/>
  <c r="CL8" i="16"/>
  <c r="CL7" i="16"/>
  <c r="CL6" i="16"/>
  <c r="CL5" i="16"/>
  <c r="CL4" i="16"/>
  <c r="CL3" i="16"/>
  <c r="CL2" i="16"/>
  <c r="A44" i="16"/>
  <c r="A43" i="16"/>
  <c r="A42" i="8"/>
  <c r="A83" i="17"/>
  <c r="A41" i="8"/>
  <c r="A40" i="8"/>
  <c r="A40" i="16"/>
  <c r="A39" i="8"/>
  <c r="A39" i="16"/>
  <c r="A38" i="8"/>
  <c r="A38" i="16"/>
  <c r="A37" i="8"/>
  <c r="A36" i="8"/>
  <c r="A35" i="8"/>
  <c r="A34" i="8"/>
  <c r="A75" i="17"/>
  <c r="A33" i="8"/>
  <c r="A32" i="8"/>
  <c r="A32" i="16"/>
  <c r="A31" i="8"/>
  <c r="A30" i="8"/>
  <c r="A29" i="8"/>
  <c r="A28" i="8"/>
  <c r="A27" i="8"/>
  <c r="A27" i="16"/>
  <c r="A26" i="8"/>
  <c r="A25" i="8"/>
  <c r="A24" i="8"/>
  <c r="A23" i="17"/>
  <c r="A24" i="16"/>
  <c r="A23" i="8"/>
  <c r="A22" i="8"/>
  <c r="A21" i="17"/>
  <c r="A21" i="8"/>
  <c r="A20" i="8"/>
  <c r="A19" i="8"/>
  <c r="A19" i="16"/>
  <c r="A18" i="8"/>
  <c r="A59" i="17"/>
  <c r="A18" i="16"/>
  <c r="A17" i="8"/>
  <c r="A17" i="16"/>
  <c r="A16" i="8"/>
  <c r="A57" i="17"/>
  <c r="A15" i="8"/>
  <c r="A15" i="16"/>
  <c r="A14" i="8"/>
  <c r="A14" i="16"/>
  <c r="A13" i="8"/>
  <c r="A13" i="16"/>
  <c r="A12" i="8"/>
  <c r="A11" i="8"/>
  <c r="A11" i="16"/>
  <c r="A10" i="8"/>
  <c r="A10" i="16"/>
  <c r="A9" i="8"/>
  <c r="A9" i="16"/>
  <c r="A8" i="8"/>
  <c r="A7" i="8"/>
  <c r="A7" i="16"/>
  <c r="A6" i="8"/>
  <c r="A47" i="17"/>
  <c r="A6" i="16"/>
  <c r="A5" i="8"/>
  <c r="A5" i="16"/>
  <c r="A4" i="8"/>
  <c r="A3" i="8"/>
  <c r="A3" i="16"/>
  <c r="A2" i="8"/>
  <c r="A1" i="17"/>
  <c r="A2" i="16"/>
  <c r="AN44" i="8"/>
  <c r="AN43" i="8"/>
  <c r="W44" i="8"/>
  <c r="W43" i="8"/>
  <c r="E39" i="14"/>
  <c r="T1" i="14"/>
  <c r="B9" i="14"/>
  <c r="Q9" i="14"/>
  <c r="B3" i="18"/>
  <c r="C1" i="18"/>
  <c r="D1" i="18"/>
  <c r="D3" i="18"/>
  <c r="X42" i="14"/>
  <c r="W42" i="14"/>
  <c r="V42" i="14"/>
  <c r="U42" i="14"/>
  <c r="T42" i="14"/>
  <c r="S42" i="14"/>
  <c r="R42" i="14"/>
  <c r="Q42" i="14"/>
  <c r="P42" i="14"/>
  <c r="O42" i="14"/>
  <c r="N42" i="14"/>
  <c r="M42" i="14"/>
  <c r="L42" i="14"/>
  <c r="K42" i="14"/>
  <c r="J42" i="14"/>
  <c r="I42" i="14"/>
  <c r="H42" i="14"/>
  <c r="G42" i="14"/>
  <c r="F42" i="14"/>
  <c r="E42" i="14"/>
  <c r="D42" i="14"/>
  <c r="C42" i="14"/>
  <c r="A42" i="14"/>
  <c r="X41" i="14"/>
  <c r="W41" i="14"/>
  <c r="V41" i="14"/>
  <c r="U41" i="14"/>
  <c r="T41" i="14"/>
  <c r="S41" i="14"/>
  <c r="R41" i="14"/>
  <c r="Q41" i="14"/>
  <c r="P41" i="14"/>
  <c r="O41" i="14"/>
  <c r="N41" i="14"/>
  <c r="M41" i="14"/>
  <c r="L41" i="14"/>
  <c r="K41" i="14"/>
  <c r="J41" i="14"/>
  <c r="I41" i="14"/>
  <c r="H41" i="14"/>
  <c r="G41" i="14"/>
  <c r="F41" i="14"/>
  <c r="E41" i="14"/>
  <c r="D41" i="14"/>
  <c r="C41" i="14"/>
  <c r="A41" i="14"/>
  <c r="X40" i="14"/>
  <c r="W40" i="14"/>
  <c r="V40" i="14"/>
  <c r="U40" i="14"/>
  <c r="T40" i="14"/>
  <c r="S40" i="14"/>
  <c r="R40" i="14"/>
  <c r="Q40" i="14"/>
  <c r="P40" i="14"/>
  <c r="O40" i="14"/>
  <c r="N40" i="14"/>
  <c r="M40" i="14"/>
  <c r="L40" i="14"/>
  <c r="K40" i="14"/>
  <c r="J40" i="14"/>
  <c r="I40" i="14"/>
  <c r="H40" i="14"/>
  <c r="G40" i="14"/>
  <c r="F40" i="14"/>
  <c r="E40" i="14"/>
  <c r="D40" i="14"/>
  <c r="C40" i="14"/>
  <c r="A40" i="14"/>
  <c r="X39" i="14"/>
  <c r="W39" i="14"/>
  <c r="V39" i="14"/>
  <c r="U39" i="14"/>
  <c r="T39" i="14"/>
  <c r="S39" i="14"/>
  <c r="R39" i="14"/>
  <c r="Q39" i="14"/>
  <c r="P39" i="14"/>
  <c r="O39" i="14"/>
  <c r="N39" i="14"/>
  <c r="M39" i="14"/>
  <c r="L39" i="14"/>
  <c r="K39" i="14"/>
  <c r="J39" i="14"/>
  <c r="I39" i="14"/>
  <c r="H39" i="14"/>
  <c r="G39" i="14"/>
  <c r="F39" i="14"/>
  <c r="D39" i="14"/>
  <c r="C39" i="14"/>
  <c r="A39" i="14"/>
  <c r="X38" i="14"/>
  <c r="W38" i="14"/>
  <c r="V38" i="14"/>
  <c r="U38" i="14"/>
  <c r="T38" i="14"/>
  <c r="S38" i="14"/>
  <c r="R38" i="14"/>
  <c r="Q38" i="14"/>
  <c r="P38" i="14"/>
  <c r="O38" i="14"/>
  <c r="N38" i="14"/>
  <c r="M38" i="14"/>
  <c r="L38" i="14"/>
  <c r="K38" i="14"/>
  <c r="J38" i="14"/>
  <c r="I38" i="14"/>
  <c r="H38" i="14"/>
  <c r="G38" i="14"/>
  <c r="F38" i="14"/>
  <c r="E38" i="14"/>
  <c r="D38" i="14"/>
  <c r="C38" i="14"/>
  <c r="A38" i="14"/>
  <c r="X37" i="14"/>
  <c r="W37" i="14"/>
  <c r="V37" i="14"/>
  <c r="U37" i="14"/>
  <c r="T37" i="14"/>
  <c r="S37" i="14"/>
  <c r="R37" i="14"/>
  <c r="Q37" i="14"/>
  <c r="P37" i="14"/>
  <c r="O37" i="14"/>
  <c r="N37" i="14"/>
  <c r="M37" i="14"/>
  <c r="L37" i="14"/>
  <c r="K37" i="14"/>
  <c r="J37" i="14"/>
  <c r="I37" i="14"/>
  <c r="H37" i="14"/>
  <c r="G37" i="14"/>
  <c r="F37" i="14"/>
  <c r="E37" i="14"/>
  <c r="D37" i="14"/>
  <c r="C37"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X36" i="14"/>
  <c r="X35" i="14"/>
  <c r="X34" i="14"/>
  <c r="X33" i="14"/>
  <c r="X32" i="14"/>
  <c r="X31" i="14"/>
  <c r="X30" i="14"/>
  <c r="X29" i="14"/>
  <c r="X28" i="14"/>
  <c r="X27" i="14"/>
  <c r="X26" i="14"/>
  <c r="X25" i="14"/>
  <c r="X24" i="14"/>
  <c r="X23" i="14"/>
  <c r="X22" i="14"/>
  <c r="X21" i="14"/>
  <c r="X20" i="14"/>
  <c r="X19" i="14"/>
  <c r="X18" i="14"/>
  <c r="X17" i="14"/>
  <c r="X16" i="14"/>
  <c r="X15" i="14"/>
  <c r="X14" i="14"/>
  <c r="X13" i="14"/>
  <c r="X12" i="14"/>
  <c r="X11" i="14"/>
  <c r="X10" i="14"/>
  <c r="X9" i="14"/>
  <c r="X8" i="14"/>
  <c r="X7" i="14"/>
  <c r="X6" i="14"/>
  <c r="X5" i="14"/>
  <c r="X4" i="14"/>
  <c r="X3" i="14"/>
  <c r="X2" i="14"/>
  <c r="W36" i="14"/>
  <c r="V36" i="14"/>
  <c r="U36" i="14"/>
  <c r="T36" i="14"/>
  <c r="S36" i="14"/>
  <c r="R36" i="14"/>
  <c r="Q36" i="14"/>
  <c r="P36" i="14"/>
  <c r="O36" i="14"/>
  <c r="N36" i="14"/>
  <c r="M36" i="14"/>
  <c r="L36" i="14"/>
  <c r="K36" i="14"/>
  <c r="J36" i="14"/>
  <c r="I36" i="14"/>
  <c r="H36" i="14"/>
  <c r="G36" i="14"/>
  <c r="F36" i="14"/>
  <c r="E36" i="14"/>
  <c r="D36" i="14"/>
  <c r="C36" i="14"/>
  <c r="W35" i="14"/>
  <c r="V35" i="14"/>
  <c r="U35" i="14"/>
  <c r="T35" i="14"/>
  <c r="S35" i="14"/>
  <c r="R35" i="14"/>
  <c r="Q35" i="14"/>
  <c r="P35" i="14"/>
  <c r="O35" i="14"/>
  <c r="N35" i="14"/>
  <c r="M35" i="14"/>
  <c r="L35" i="14"/>
  <c r="K35" i="14"/>
  <c r="J35" i="14"/>
  <c r="I35" i="14"/>
  <c r="H35" i="14"/>
  <c r="G35" i="14"/>
  <c r="F35" i="14"/>
  <c r="E35" i="14"/>
  <c r="D35" i="14"/>
  <c r="C35" i="14"/>
  <c r="W34" i="14"/>
  <c r="V34" i="14"/>
  <c r="U34" i="14"/>
  <c r="T34" i="14"/>
  <c r="S34" i="14"/>
  <c r="R34" i="14"/>
  <c r="Q34" i="14"/>
  <c r="P34" i="14"/>
  <c r="O34" i="14"/>
  <c r="N34" i="14"/>
  <c r="M34" i="14"/>
  <c r="L34" i="14"/>
  <c r="K34" i="14"/>
  <c r="J34" i="14"/>
  <c r="I34" i="14"/>
  <c r="H34" i="14"/>
  <c r="G34" i="14"/>
  <c r="F34" i="14"/>
  <c r="E34" i="14"/>
  <c r="D34" i="14"/>
  <c r="C34" i="14"/>
  <c r="W33" i="14"/>
  <c r="V33" i="14"/>
  <c r="U33" i="14"/>
  <c r="T33" i="14"/>
  <c r="S33" i="14"/>
  <c r="R33" i="14"/>
  <c r="Q33" i="14"/>
  <c r="P33" i="14"/>
  <c r="O33" i="14"/>
  <c r="N33" i="14"/>
  <c r="M33" i="14"/>
  <c r="L33" i="14"/>
  <c r="K33" i="14"/>
  <c r="J33" i="14"/>
  <c r="I33" i="14"/>
  <c r="H33" i="14"/>
  <c r="G33" i="14"/>
  <c r="F33" i="14"/>
  <c r="E33" i="14"/>
  <c r="D33" i="14"/>
  <c r="C33" i="14"/>
  <c r="W32" i="14"/>
  <c r="V32" i="14"/>
  <c r="U32" i="14"/>
  <c r="T32" i="14"/>
  <c r="S32" i="14"/>
  <c r="R32" i="14"/>
  <c r="Q32" i="14"/>
  <c r="P32" i="14"/>
  <c r="O32" i="14"/>
  <c r="N32" i="14"/>
  <c r="M32" i="14"/>
  <c r="L32" i="14"/>
  <c r="K32" i="14"/>
  <c r="J32" i="14"/>
  <c r="I32" i="14"/>
  <c r="H32" i="14"/>
  <c r="G32" i="14"/>
  <c r="F32" i="14"/>
  <c r="E32" i="14"/>
  <c r="D32" i="14"/>
  <c r="C32" i="14"/>
  <c r="W31" i="14"/>
  <c r="V31" i="14"/>
  <c r="U31" i="14"/>
  <c r="T31" i="14"/>
  <c r="S31" i="14"/>
  <c r="R31" i="14"/>
  <c r="Q31" i="14"/>
  <c r="P31" i="14"/>
  <c r="O31" i="14"/>
  <c r="N31" i="14"/>
  <c r="M31" i="14"/>
  <c r="L31" i="14"/>
  <c r="K31" i="14"/>
  <c r="J31" i="14"/>
  <c r="I31" i="14"/>
  <c r="H31" i="14"/>
  <c r="G31" i="14"/>
  <c r="F31" i="14"/>
  <c r="E31" i="14"/>
  <c r="D31" i="14"/>
  <c r="C31" i="14"/>
  <c r="W30" i="14"/>
  <c r="V30" i="14"/>
  <c r="U30" i="14"/>
  <c r="T30" i="14"/>
  <c r="S30" i="14"/>
  <c r="R30" i="14"/>
  <c r="Q30" i="14"/>
  <c r="P30" i="14"/>
  <c r="O30" i="14"/>
  <c r="N30" i="14"/>
  <c r="M30" i="14"/>
  <c r="L30" i="14"/>
  <c r="K30" i="14"/>
  <c r="J30" i="14"/>
  <c r="I30" i="14"/>
  <c r="H30" i="14"/>
  <c r="G30" i="14"/>
  <c r="F30" i="14"/>
  <c r="E30" i="14"/>
  <c r="D30" i="14"/>
  <c r="C30" i="14"/>
  <c r="W29" i="14"/>
  <c r="V29" i="14"/>
  <c r="U29" i="14"/>
  <c r="T29" i="14"/>
  <c r="S29" i="14"/>
  <c r="R29" i="14"/>
  <c r="Q29" i="14"/>
  <c r="P29" i="14"/>
  <c r="O29" i="14"/>
  <c r="N29" i="14"/>
  <c r="M29" i="14"/>
  <c r="L29" i="14"/>
  <c r="K29" i="14"/>
  <c r="J29" i="14"/>
  <c r="I29" i="14"/>
  <c r="H29" i="14"/>
  <c r="G29" i="14"/>
  <c r="F29" i="14"/>
  <c r="E29" i="14"/>
  <c r="D29" i="14"/>
  <c r="C29" i="14"/>
  <c r="W28" i="14"/>
  <c r="V28" i="14"/>
  <c r="U28" i="14"/>
  <c r="T28" i="14"/>
  <c r="S28" i="14"/>
  <c r="R28" i="14"/>
  <c r="Q28" i="14"/>
  <c r="P28" i="14"/>
  <c r="O28" i="14"/>
  <c r="N28" i="14"/>
  <c r="M28" i="14"/>
  <c r="L28" i="14"/>
  <c r="K28" i="14"/>
  <c r="J28" i="14"/>
  <c r="I28" i="14"/>
  <c r="H28" i="14"/>
  <c r="G28" i="14"/>
  <c r="F28" i="14"/>
  <c r="E28" i="14"/>
  <c r="D28" i="14"/>
  <c r="C28" i="14"/>
  <c r="W27" i="14"/>
  <c r="V27" i="14"/>
  <c r="U27" i="14"/>
  <c r="T27" i="14"/>
  <c r="S27" i="14"/>
  <c r="R27" i="14"/>
  <c r="Q27" i="14"/>
  <c r="P27" i="14"/>
  <c r="O27" i="14"/>
  <c r="N27" i="14"/>
  <c r="M27" i="14"/>
  <c r="L27" i="14"/>
  <c r="K27" i="14"/>
  <c r="J27" i="14"/>
  <c r="I27" i="14"/>
  <c r="H27" i="14"/>
  <c r="G27" i="14"/>
  <c r="F27" i="14"/>
  <c r="E27" i="14"/>
  <c r="D27" i="14"/>
  <c r="C27" i="14"/>
  <c r="W26" i="14"/>
  <c r="V26" i="14"/>
  <c r="U26" i="14"/>
  <c r="T26" i="14"/>
  <c r="S26" i="14"/>
  <c r="R26" i="14"/>
  <c r="Q26" i="14"/>
  <c r="P26" i="14"/>
  <c r="O26" i="14"/>
  <c r="N26" i="14"/>
  <c r="M26" i="14"/>
  <c r="L26" i="14"/>
  <c r="K26" i="14"/>
  <c r="J26" i="14"/>
  <c r="I26" i="14"/>
  <c r="H26" i="14"/>
  <c r="G26" i="14"/>
  <c r="F26" i="14"/>
  <c r="E26" i="14"/>
  <c r="D26" i="14"/>
  <c r="C26" i="14"/>
  <c r="W25" i="14"/>
  <c r="V25" i="14"/>
  <c r="U25" i="14"/>
  <c r="T25" i="14"/>
  <c r="S25" i="14"/>
  <c r="R25" i="14"/>
  <c r="Q25" i="14"/>
  <c r="P25" i="14"/>
  <c r="O25" i="14"/>
  <c r="N25" i="14"/>
  <c r="M25" i="14"/>
  <c r="L25" i="14"/>
  <c r="K25" i="14"/>
  <c r="J25" i="14"/>
  <c r="I25" i="14"/>
  <c r="H25" i="14"/>
  <c r="G25" i="14"/>
  <c r="F25" i="14"/>
  <c r="E25" i="14"/>
  <c r="D25" i="14"/>
  <c r="C25" i="14"/>
  <c r="W24" i="14"/>
  <c r="V24" i="14"/>
  <c r="U24" i="14"/>
  <c r="T24" i="14"/>
  <c r="S24" i="14"/>
  <c r="R24" i="14"/>
  <c r="Q24" i="14"/>
  <c r="P24" i="14"/>
  <c r="O24" i="14"/>
  <c r="N24" i="14"/>
  <c r="M24" i="14"/>
  <c r="L24" i="14"/>
  <c r="K24" i="14"/>
  <c r="J24" i="14"/>
  <c r="I24" i="14"/>
  <c r="H24" i="14"/>
  <c r="G24" i="14"/>
  <c r="F24" i="14"/>
  <c r="E24" i="14"/>
  <c r="D24" i="14"/>
  <c r="C24" i="14"/>
  <c r="W23" i="14"/>
  <c r="V23" i="14"/>
  <c r="U23" i="14"/>
  <c r="T23" i="14"/>
  <c r="S23" i="14"/>
  <c r="R23" i="14"/>
  <c r="Q23" i="14"/>
  <c r="P23" i="14"/>
  <c r="O23" i="14"/>
  <c r="N23" i="14"/>
  <c r="M23" i="14"/>
  <c r="L23" i="14"/>
  <c r="K23" i="14"/>
  <c r="J23" i="14"/>
  <c r="I23" i="14"/>
  <c r="H23" i="14"/>
  <c r="G23" i="14"/>
  <c r="F23" i="14"/>
  <c r="E23" i="14"/>
  <c r="D23" i="14"/>
  <c r="C23" i="14"/>
  <c r="W22" i="14"/>
  <c r="V22" i="14"/>
  <c r="U22" i="14"/>
  <c r="T22" i="14"/>
  <c r="S22" i="14"/>
  <c r="R22" i="14"/>
  <c r="Q22" i="14"/>
  <c r="P22" i="14"/>
  <c r="O22" i="14"/>
  <c r="N22" i="14"/>
  <c r="M22" i="14"/>
  <c r="L22" i="14"/>
  <c r="K22" i="14"/>
  <c r="J22" i="14"/>
  <c r="I22" i="14"/>
  <c r="H22" i="14"/>
  <c r="G22" i="14"/>
  <c r="F22" i="14"/>
  <c r="E22" i="14"/>
  <c r="D22" i="14"/>
  <c r="C22" i="14"/>
  <c r="W21" i="14"/>
  <c r="V21" i="14"/>
  <c r="U21" i="14"/>
  <c r="T21" i="14"/>
  <c r="S21" i="14"/>
  <c r="R21" i="14"/>
  <c r="Q21" i="14"/>
  <c r="P21" i="14"/>
  <c r="O21" i="14"/>
  <c r="N21" i="14"/>
  <c r="M21" i="14"/>
  <c r="L21" i="14"/>
  <c r="K21" i="14"/>
  <c r="J21" i="14"/>
  <c r="I21" i="14"/>
  <c r="H21" i="14"/>
  <c r="G21" i="14"/>
  <c r="F21" i="14"/>
  <c r="E21" i="14"/>
  <c r="D21" i="14"/>
  <c r="C21" i="14"/>
  <c r="W20" i="14"/>
  <c r="V20" i="14"/>
  <c r="U20" i="14"/>
  <c r="T20" i="14"/>
  <c r="S20" i="14"/>
  <c r="R20" i="14"/>
  <c r="Q20" i="14"/>
  <c r="P20" i="14"/>
  <c r="O20" i="14"/>
  <c r="N20" i="14"/>
  <c r="M20" i="14"/>
  <c r="L20" i="14"/>
  <c r="K20" i="14"/>
  <c r="J20" i="14"/>
  <c r="I20" i="14"/>
  <c r="H20" i="14"/>
  <c r="G20" i="14"/>
  <c r="F20" i="14"/>
  <c r="E20" i="14"/>
  <c r="D20" i="14"/>
  <c r="C20" i="14"/>
  <c r="W19" i="14"/>
  <c r="V19" i="14"/>
  <c r="U19" i="14"/>
  <c r="T19" i="14"/>
  <c r="S19" i="14"/>
  <c r="R19" i="14"/>
  <c r="Q19" i="14"/>
  <c r="P19" i="14"/>
  <c r="O19" i="14"/>
  <c r="N19" i="14"/>
  <c r="M19" i="14"/>
  <c r="L19" i="14"/>
  <c r="K19" i="14"/>
  <c r="J19" i="14"/>
  <c r="I19" i="14"/>
  <c r="H19" i="14"/>
  <c r="G19" i="14"/>
  <c r="F19" i="14"/>
  <c r="E19" i="14"/>
  <c r="D19" i="14"/>
  <c r="C19" i="14"/>
  <c r="W18" i="14"/>
  <c r="V18" i="14"/>
  <c r="U18" i="14"/>
  <c r="T18" i="14"/>
  <c r="S18" i="14"/>
  <c r="R18" i="14"/>
  <c r="Q18" i="14"/>
  <c r="P18" i="14"/>
  <c r="O18" i="14"/>
  <c r="N18" i="14"/>
  <c r="M18" i="14"/>
  <c r="L18" i="14"/>
  <c r="K18" i="14"/>
  <c r="J18" i="14"/>
  <c r="I18" i="14"/>
  <c r="H18" i="14"/>
  <c r="G18" i="14"/>
  <c r="F18" i="14"/>
  <c r="E18" i="14"/>
  <c r="D18" i="14"/>
  <c r="C18" i="14"/>
  <c r="W17" i="14"/>
  <c r="V17" i="14"/>
  <c r="U17" i="14"/>
  <c r="T17" i="14"/>
  <c r="S17" i="14"/>
  <c r="R17" i="14"/>
  <c r="Q17" i="14"/>
  <c r="P17" i="14"/>
  <c r="O17" i="14"/>
  <c r="N17" i="14"/>
  <c r="M17" i="14"/>
  <c r="L17" i="14"/>
  <c r="K17" i="14"/>
  <c r="J17" i="14"/>
  <c r="I17" i="14"/>
  <c r="H17" i="14"/>
  <c r="G17" i="14"/>
  <c r="F17" i="14"/>
  <c r="E17" i="14"/>
  <c r="D17" i="14"/>
  <c r="C17" i="14"/>
  <c r="W15" i="14"/>
  <c r="V15" i="14"/>
  <c r="U15" i="14"/>
  <c r="T15" i="14"/>
  <c r="S15" i="14"/>
  <c r="R15" i="14"/>
  <c r="Q15" i="14"/>
  <c r="P15" i="14"/>
  <c r="O15" i="14"/>
  <c r="N15" i="14"/>
  <c r="M15" i="14"/>
  <c r="L15" i="14"/>
  <c r="K15" i="14"/>
  <c r="J15" i="14"/>
  <c r="I15" i="14"/>
  <c r="H15" i="14"/>
  <c r="G15" i="14"/>
  <c r="F15" i="14"/>
  <c r="E15" i="14"/>
  <c r="D15" i="14"/>
  <c r="C15" i="14"/>
  <c r="W14" i="14"/>
  <c r="V14" i="14"/>
  <c r="U14" i="14"/>
  <c r="T14" i="14"/>
  <c r="S14" i="14"/>
  <c r="R14" i="14"/>
  <c r="Q14" i="14"/>
  <c r="P14" i="14"/>
  <c r="O14" i="14"/>
  <c r="N14" i="14"/>
  <c r="M14" i="14"/>
  <c r="L14" i="14"/>
  <c r="K14" i="14"/>
  <c r="J14" i="14"/>
  <c r="I14" i="14"/>
  <c r="H14" i="14"/>
  <c r="G14" i="14"/>
  <c r="F14" i="14"/>
  <c r="E14" i="14"/>
  <c r="D14" i="14"/>
  <c r="C14" i="14"/>
  <c r="W13" i="14"/>
  <c r="V13" i="14"/>
  <c r="U13" i="14"/>
  <c r="T13" i="14"/>
  <c r="S13" i="14"/>
  <c r="R13" i="14"/>
  <c r="Q13" i="14"/>
  <c r="P13" i="14"/>
  <c r="O13" i="14"/>
  <c r="N13" i="14"/>
  <c r="M13" i="14"/>
  <c r="L13" i="14"/>
  <c r="K13" i="14"/>
  <c r="J13" i="14"/>
  <c r="I13" i="14"/>
  <c r="H13" i="14"/>
  <c r="G13" i="14"/>
  <c r="F13" i="14"/>
  <c r="E13" i="14"/>
  <c r="D13" i="14"/>
  <c r="C13" i="14"/>
  <c r="W12" i="14"/>
  <c r="V12" i="14"/>
  <c r="U12" i="14"/>
  <c r="T12" i="14"/>
  <c r="S12" i="14"/>
  <c r="R12" i="14"/>
  <c r="Q12" i="14"/>
  <c r="P12" i="14"/>
  <c r="O12" i="14"/>
  <c r="N12" i="14"/>
  <c r="M12" i="14"/>
  <c r="L12" i="14"/>
  <c r="K12" i="14"/>
  <c r="J12" i="14"/>
  <c r="I12" i="14"/>
  <c r="H12" i="14"/>
  <c r="G12" i="14"/>
  <c r="F12" i="14"/>
  <c r="E12" i="14"/>
  <c r="D12" i="14"/>
  <c r="C12" i="14"/>
  <c r="W11" i="14"/>
  <c r="V11" i="14"/>
  <c r="U11" i="14"/>
  <c r="T11" i="14"/>
  <c r="S11" i="14"/>
  <c r="R11" i="14"/>
  <c r="Q11" i="14"/>
  <c r="P11" i="14"/>
  <c r="O11" i="14"/>
  <c r="N11" i="14"/>
  <c r="M11" i="14"/>
  <c r="L11" i="14"/>
  <c r="K11" i="14"/>
  <c r="J11" i="14"/>
  <c r="I11" i="14"/>
  <c r="H11" i="14"/>
  <c r="G11" i="14"/>
  <c r="F11" i="14"/>
  <c r="E11" i="14"/>
  <c r="D11" i="14"/>
  <c r="C11" i="14"/>
  <c r="W10" i="14"/>
  <c r="V10" i="14"/>
  <c r="U10" i="14"/>
  <c r="T10" i="14"/>
  <c r="S10" i="14"/>
  <c r="R10" i="14"/>
  <c r="Q10" i="14"/>
  <c r="P10" i="14"/>
  <c r="O10" i="14"/>
  <c r="N10" i="14"/>
  <c r="M10" i="14"/>
  <c r="L10" i="14"/>
  <c r="K10" i="14"/>
  <c r="J10" i="14"/>
  <c r="I10" i="14"/>
  <c r="H10" i="14"/>
  <c r="G10" i="14"/>
  <c r="F10" i="14"/>
  <c r="E10" i="14"/>
  <c r="D10" i="14"/>
  <c r="C10" i="14"/>
  <c r="W8" i="14"/>
  <c r="V8" i="14"/>
  <c r="U8" i="14"/>
  <c r="T8" i="14"/>
  <c r="S8" i="14"/>
  <c r="R8" i="14"/>
  <c r="Q8" i="14"/>
  <c r="P8" i="14"/>
  <c r="O8" i="14"/>
  <c r="N8" i="14"/>
  <c r="M8" i="14"/>
  <c r="L8" i="14"/>
  <c r="K8" i="14"/>
  <c r="J8" i="14"/>
  <c r="I8" i="14"/>
  <c r="H8" i="14"/>
  <c r="G8" i="14"/>
  <c r="F8" i="14"/>
  <c r="E8" i="14"/>
  <c r="D8" i="14"/>
  <c r="C8" i="14"/>
  <c r="W7" i="14"/>
  <c r="V7" i="14"/>
  <c r="U7" i="14"/>
  <c r="T7" i="14"/>
  <c r="S7" i="14"/>
  <c r="R7" i="14"/>
  <c r="Q7" i="14"/>
  <c r="P7" i="14"/>
  <c r="O7" i="14"/>
  <c r="N7" i="14"/>
  <c r="M7" i="14"/>
  <c r="L7" i="14"/>
  <c r="K7" i="14"/>
  <c r="J7" i="14"/>
  <c r="I7" i="14"/>
  <c r="H7" i="14"/>
  <c r="G7" i="14"/>
  <c r="F7" i="14"/>
  <c r="E7" i="14"/>
  <c r="D7" i="14"/>
  <c r="C7" i="14"/>
  <c r="W6" i="14"/>
  <c r="V6" i="14"/>
  <c r="U6" i="14"/>
  <c r="T6" i="14"/>
  <c r="S6" i="14"/>
  <c r="R6" i="14"/>
  <c r="Q6" i="14"/>
  <c r="P6" i="14"/>
  <c r="O6" i="14"/>
  <c r="N6" i="14"/>
  <c r="M6" i="14"/>
  <c r="L6" i="14"/>
  <c r="K6" i="14"/>
  <c r="J6" i="14"/>
  <c r="I6" i="14"/>
  <c r="H6" i="14"/>
  <c r="G6" i="14"/>
  <c r="F6" i="14"/>
  <c r="E6" i="14"/>
  <c r="D6" i="14"/>
  <c r="C6" i="14"/>
  <c r="W5" i="14"/>
  <c r="V5" i="14"/>
  <c r="U5" i="14"/>
  <c r="T5" i="14"/>
  <c r="S5" i="14"/>
  <c r="R5" i="14"/>
  <c r="Q5" i="14"/>
  <c r="P5" i="14"/>
  <c r="O5" i="14"/>
  <c r="N5" i="14"/>
  <c r="M5" i="14"/>
  <c r="L5" i="14"/>
  <c r="K5" i="14"/>
  <c r="J5" i="14"/>
  <c r="I5" i="14"/>
  <c r="H5" i="14"/>
  <c r="G5" i="14"/>
  <c r="F5" i="14"/>
  <c r="E5" i="14"/>
  <c r="D5" i="14"/>
  <c r="C5" i="14"/>
  <c r="W4" i="14"/>
  <c r="V4" i="14"/>
  <c r="U4" i="14"/>
  <c r="T4" i="14"/>
  <c r="S4" i="14"/>
  <c r="R4" i="14"/>
  <c r="Q4" i="14"/>
  <c r="P4" i="14"/>
  <c r="O4" i="14"/>
  <c r="N4" i="14"/>
  <c r="M4" i="14"/>
  <c r="L4" i="14"/>
  <c r="K4" i="14"/>
  <c r="J4" i="14"/>
  <c r="I4" i="14"/>
  <c r="H4" i="14"/>
  <c r="G4" i="14"/>
  <c r="F4" i="14"/>
  <c r="E4" i="14"/>
  <c r="D4" i="14"/>
  <c r="C4" i="14"/>
  <c r="W3" i="14"/>
  <c r="V3" i="14"/>
  <c r="U3" i="14"/>
  <c r="T3" i="14"/>
  <c r="S3" i="14"/>
  <c r="R3" i="14"/>
  <c r="Q3" i="14"/>
  <c r="P3" i="14"/>
  <c r="O3" i="14"/>
  <c r="N3" i="14"/>
  <c r="M3" i="14"/>
  <c r="L3" i="14"/>
  <c r="K3" i="14"/>
  <c r="J3" i="14"/>
  <c r="I3" i="14"/>
  <c r="H3" i="14"/>
  <c r="G3" i="14"/>
  <c r="F3" i="14"/>
  <c r="E3" i="14"/>
  <c r="D3" i="14"/>
  <c r="C3" i="14"/>
  <c r="W2" i="14"/>
  <c r="V2" i="14"/>
  <c r="U2" i="14"/>
  <c r="T2" i="14"/>
  <c r="S2" i="14"/>
  <c r="R2" i="14"/>
  <c r="Q2" i="14"/>
  <c r="P2" i="14"/>
  <c r="O2" i="14"/>
  <c r="N2" i="14"/>
  <c r="M2" i="14"/>
  <c r="L2" i="14"/>
  <c r="K2" i="14"/>
  <c r="J2" i="14"/>
  <c r="I2" i="14"/>
  <c r="H2" i="14"/>
  <c r="G2" i="14"/>
  <c r="F2" i="14"/>
  <c r="E2" i="14"/>
  <c r="D2" i="14"/>
  <c r="C2" i="14"/>
  <c r="B14" i="11"/>
  <c r="B15" i="11"/>
  <c r="B12" i="11"/>
  <c r="W14" i="9"/>
  <c r="V14" i="9"/>
  <c r="U14" i="9"/>
  <c r="T14" i="9"/>
  <c r="S14" i="9"/>
  <c r="R14" i="9"/>
  <c r="Q14" i="9"/>
  <c r="P14" i="9"/>
  <c r="O14" i="9"/>
  <c r="N14" i="9"/>
  <c r="M14" i="9"/>
  <c r="L14" i="9"/>
  <c r="K14" i="9"/>
  <c r="J14" i="9"/>
  <c r="I14" i="9"/>
  <c r="H14" i="9"/>
  <c r="G14" i="9"/>
  <c r="F14" i="9"/>
  <c r="E14" i="9"/>
  <c r="D14" i="9"/>
  <c r="C14" i="9"/>
  <c r="C34" i="21"/>
  <c r="D34" i="21"/>
  <c r="C35" i="21"/>
  <c r="D35" i="21"/>
  <c r="X5" i="4"/>
  <c r="X5" i="23"/>
  <c r="W5" i="4"/>
  <c r="W5" i="23"/>
  <c r="G5" i="22"/>
  <c r="V5" i="4"/>
  <c r="V5" i="23"/>
  <c r="U5" i="23"/>
  <c r="T5" i="23"/>
  <c r="S5" i="23"/>
  <c r="R5" i="23"/>
  <c r="Q5" i="23"/>
  <c r="GZ44" i="7"/>
  <c r="P5" i="23"/>
  <c r="O5" i="23"/>
  <c r="N5" i="23"/>
  <c r="M5" i="23"/>
  <c r="L5" i="23"/>
  <c r="K5" i="23"/>
  <c r="J5" i="23"/>
  <c r="I5" i="23"/>
  <c r="HX36" i="7"/>
  <c r="H5" i="23"/>
  <c r="G5" i="23"/>
  <c r="BF5" i="22"/>
  <c r="F5" i="23"/>
  <c r="E5" i="23"/>
  <c r="D5" i="23"/>
  <c r="C5" i="23"/>
  <c r="B5" i="23"/>
  <c r="BA5" i="22"/>
  <c r="B15" i="9"/>
  <c r="B7" i="18"/>
  <c r="D2" i="18"/>
  <c r="C2" i="18"/>
  <c r="C7" i="18"/>
  <c r="B122" i="13"/>
  <c r="B7" i="11"/>
  <c r="B9" i="9"/>
  <c r="C9" i="9"/>
  <c r="W14" i="8"/>
  <c r="B6" i="18"/>
  <c r="W35" i="9"/>
  <c r="V35" i="9"/>
  <c r="U35" i="9"/>
  <c r="T35" i="9"/>
  <c r="S35" i="9"/>
  <c r="R35" i="9"/>
  <c r="Q35" i="9"/>
  <c r="P35" i="9"/>
  <c r="O35" i="9"/>
  <c r="N35" i="9"/>
  <c r="M35" i="9"/>
  <c r="L35" i="9"/>
  <c r="K35" i="9"/>
  <c r="J35" i="9"/>
  <c r="I35" i="9"/>
  <c r="H35" i="9"/>
  <c r="G35" i="9"/>
  <c r="F35" i="9"/>
  <c r="E35" i="9"/>
  <c r="D35" i="9"/>
  <c r="C35" i="9"/>
  <c r="W34" i="9"/>
  <c r="V34" i="9"/>
  <c r="U34" i="9"/>
  <c r="T34" i="9"/>
  <c r="S34" i="9"/>
  <c r="R34" i="9"/>
  <c r="Q34" i="9"/>
  <c r="P34" i="9"/>
  <c r="O34" i="9"/>
  <c r="N34" i="9"/>
  <c r="M34" i="9"/>
  <c r="L34" i="9"/>
  <c r="K34" i="9"/>
  <c r="J34" i="9"/>
  <c r="I34" i="9"/>
  <c r="H34" i="9"/>
  <c r="G34" i="9"/>
  <c r="F34" i="9"/>
  <c r="E34" i="9"/>
  <c r="D34" i="9"/>
  <c r="C34" i="9"/>
  <c r="W33" i="9"/>
  <c r="V33" i="9"/>
  <c r="U33" i="9"/>
  <c r="T33" i="9"/>
  <c r="S33" i="9"/>
  <c r="R33" i="9"/>
  <c r="Q33" i="9"/>
  <c r="P33" i="9"/>
  <c r="O33" i="9"/>
  <c r="N33" i="9"/>
  <c r="M33" i="9"/>
  <c r="L33" i="9"/>
  <c r="K33" i="9"/>
  <c r="J33" i="9"/>
  <c r="I33" i="9"/>
  <c r="H33" i="9"/>
  <c r="G33" i="9"/>
  <c r="F33" i="9"/>
  <c r="E33" i="9"/>
  <c r="D33" i="9"/>
  <c r="C33" i="9"/>
  <c r="W32" i="9"/>
  <c r="V32" i="9"/>
  <c r="U32" i="9"/>
  <c r="T32" i="9"/>
  <c r="S32" i="9"/>
  <c r="R32" i="9"/>
  <c r="Q32" i="9"/>
  <c r="P32" i="9"/>
  <c r="O32" i="9"/>
  <c r="N32" i="9"/>
  <c r="M32" i="9"/>
  <c r="L32" i="9"/>
  <c r="K32" i="9"/>
  <c r="J32" i="9"/>
  <c r="I32" i="9"/>
  <c r="H32" i="9"/>
  <c r="G32" i="9"/>
  <c r="F32" i="9"/>
  <c r="E32" i="9"/>
  <c r="D32" i="9"/>
  <c r="C32" i="9"/>
  <c r="W31" i="9"/>
  <c r="V31" i="9"/>
  <c r="U31" i="9"/>
  <c r="T31" i="9"/>
  <c r="S31" i="9"/>
  <c r="R31" i="9"/>
  <c r="Q31" i="9"/>
  <c r="P31" i="9"/>
  <c r="O31" i="9"/>
  <c r="N31" i="9"/>
  <c r="M31" i="9"/>
  <c r="L31" i="9"/>
  <c r="K31" i="9"/>
  <c r="J31" i="9"/>
  <c r="I31" i="9"/>
  <c r="H31" i="9"/>
  <c r="G31" i="9"/>
  <c r="F31" i="9"/>
  <c r="E31" i="9"/>
  <c r="D31" i="9"/>
  <c r="C31" i="9"/>
  <c r="W30" i="9"/>
  <c r="V30" i="9"/>
  <c r="U30" i="9"/>
  <c r="T30" i="9"/>
  <c r="S30" i="9"/>
  <c r="R30" i="9"/>
  <c r="Q30" i="9"/>
  <c r="P30" i="9"/>
  <c r="O30" i="9"/>
  <c r="N30" i="9"/>
  <c r="M30" i="9"/>
  <c r="L30" i="9"/>
  <c r="K30" i="9"/>
  <c r="J30" i="9"/>
  <c r="I30" i="9"/>
  <c r="H30" i="9"/>
  <c r="G30" i="9"/>
  <c r="F30" i="9"/>
  <c r="E30" i="9"/>
  <c r="D30" i="9"/>
  <c r="C30" i="9"/>
  <c r="W29" i="9"/>
  <c r="V29" i="9"/>
  <c r="U29" i="9"/>
  <c r="T29" i="9"/>
  <c r="S29" i="9"/>
  <c r="R29" i="9"/>
  <c r="Q29" i="9"/>
  <c r="P29" i="9"/>
  <c r="O29" i="9"/>
  <c r="N29" i="9"/>
  <c r="M29" i="9"/>
  <c r="L29" i="9"/>
  <c r="K29" i="9"/>
  <c r="J29" i="9"/>
  <c r="I29" i="9"/>
  <c r="H29" i="9"/>
  <c r="G29" i="9"/>
  <c r="F29" i="9"/>
  <c r="E29" i="9"/>
  <c r="D29" i="9"/>
  <c r="C29" i="9"/>
  <c r="W28" i="9"/>
  <c r="V28" i="9"/>
  <c r="U28" i="9"/>
  <c r="T28" i="9"/>
  <c r="S28" i="9"/>
  <c r="R28" i="9"/>
  <c r="Q28" i="9"/>
  <c r="P28" i="9"/>
  <c r="O28" i="9"/>
  <c r="N28" i="9"/>
  <c r="M28" i="9"/>
  <c r="L28" i="9"/>
  <c r="K28" i="9"/>
  <c r="J28" i="9"/>
  <c r="I28" i="9"/>
  <c r="H28" i="9"/>
  <c r="G28" i="9"/>
  <c r="F28" i="9"/>
  <c r="E28" i="9"/>
  <c r="D28" i="9"/>
  <c r="C28" i="9"/>
  <c r="W27" i="9"/>
  <c r="V27" i="9"/>
  <c r="U27" i="9"/>
  <c r="T27" i="9"/>
  <c r="S27" i="9"/>
  <c r="R27" i="9"/>
  <c r="Q27" i="9"/>
  <c r="P27" i="9"/>
  <c r="O27" i="9"/>
  <c r="N27" i="9"/>
  <c r="M27" i="9"/>
  <c r="L27" i="9"/>
  <c r="K27" i="9"/>
  <c r="J27" i="9"/>
  <c r="I27" i="9"/>
  <c r="H27" i="9"/>
  <c r="G27" i="9"/>
  <c r="F27" i="9"/>
  <c r="E27" i="9"/>
  <c r="D27" i="9"/>
  <c r="C27" i="9"/>
  <c r="W26" i="9"/>
  <c r="V26" i="9"/>
  <c r="U26" i="9"/>
  <c r="T26" i="9"/>
  <c r="S26" i="9"/>
  <c r="R26" i="9"/>
  <c r="Q26" i="9"/>
  <c r="P26" i="9"/>
  <c r="O26" i="9"/>
  <c r="N26" i="9"/>
  <c r="M26" i="9"/>
  <c r="L26" i="9"/>
  <c r="K26" i="9"/>
  <c r="J26" i="9"/>
  <c r="I26" i="9"/>
  <c r="H26" i="9"/>
  <c r="G26" i="9"/>
  <c r="F26" i="9"/>
  <c r="E26" i="9"/>
  <c r="D26" i="9"/>
  <c r="C26" i="9"/>
  <c r="W25" i="9"/>
  <c r="V25" i="9"/>
  <c r="U25" i="9"/>
  <c r="T25" i="9"/>
  <c r="S25" i="9"/>
  <c r="R25" i="9"/>
  <c r="Q25" i="9"/>
  <c r="P25" i="9"/>
  <c r="O25" i="9"/>
  <c r="N25" i="9"/>
  <c r="M25" i="9"/>
  <c r="L25" i="9"/>
  <c r="K25" i="9"/>
  <c r="J25" i="9"/>
  <c r="I25" i="9"/>
  <c r="H25" i="9"/>
  <c r="G25" i="9"/>
  <c r="F25" i="9"/>
  <c r="E25" i="9"/>
  <c r="D25" i="9"/>
  <c r="C25" i="9"/>
  <c r="W24" i="9"/>
  <c r="V24" i="9"/>
  <c r="U24" i="9"/>
  <c r="T24" i="9"/>
  <c r="S24" i="9"/>
  <c r="R24" i="9"/>
  <c r="Q24" i="9"/>
  <c r="P24" i="9"/>
  <c r="O24" i="9"/>
  <c r="N24" i="9"/>
  <c r="M24" i="9"/>
  <c r="L24" i="9"/>
  <c r="K24" i="9"/>
  <c r="J24" i="9"/>
  <c r="I24" i="9"/>
  <c r="H24" i="9"/>
  <c r="G24" i="9"/>
  <c r="F24" i="9"/>
  <c r="E24" i="9"/>
  <c r="D24" i="9"/>
  <c r="C24" i="9"/>
  <c r="W23" i="9"/>
  <c r="V23" i="9"/>
  <c r="U23" i="9"/>
  <c r="T23" i="9"/>
  <c r="S23" i="9"/>
  <c r="R23" i="9"/>
  <c r="Q23" i="9"/>
  <c r="P23" i="9"/>
  <c r="O23" i="9"/>
  <c r="N23" i="9"/>
  <c r="M23" i="9"/>
  <c r="L23" i="9"/>
  <c r="K23" i="9"/>
  <c r="J23" i="9"/>
  <c r="I23" i="9"/>
  <c r="H23" i="9"/>
  <c r="G23" i="9"/>
  <c r="F23" i="9"/>
  <c r="E23" i="9"/>
  <c r="D23" i="9"/>
  <c r="C23" i="9"/>
  <c r="W22" i="9"/>
  <c r="V22" i="9"/>
  <c r="U22" i="9"/>
  <c r="T22" i="9"/>
  <c r="S22" i="9"/>
  <c r="R22" i="9"/>
  <c r="Q22" i="9"/>
  <c r="P22" i="9"/>
  <c r="O22" i="9"/>
  <c r="N22" i="9"/>
  <c r="M22" i="9"/>
  <c r="L22" i="9"/>
  <c r="K22" i="9"/>
  <c r="J22" i="9"/>
  <c r="I22" i="9"/>
  <c r="H22" i="9"/>
  <c r="G22" i="9"/>
  <c r="F22" i="9"/>
  <c r="E22" i="9"/>
  <c r="D22" i="9"/>
  <c r="C22" i="9"/>
  <c r="W21" i="9"/>
  <c r="V21" i="9"/>
  <c r="U21" i="9"/>
  <c r="T21" i="9"/>
  <c r="S21" i="9"/>
  <c r="R21" i="9"/>
  <c r="Q21" i="9"/>
  <c r="P21" i="9"/>
  <c r="O21" i="9"/>
  <c r="N21" i="9"/>
  <c r="M21" i="9"/>
  <c r="L21" i="9"/>
  <c r="K21" i="9"/>
  <c r="J21" i="9"/>
  <c r="I21" i="9"/>
  <c r="H21" i="9"/>
  <c r="G21" i="9"/>
  <c r="F21" i="9"/>
  <c r="E21" i="9"/>
  <c r="D21" i="9"/>
  <c r="C21" i="9"/>
  <c r="W20" i="9"/>
  <c r="V20" i="9"/>
  <c r="U20" i="9"/>
  <c r="T20" i="9"/>
  <c r="S20" i="9"/>
  <c r="R20" i="9"/>
  <c r="Q20" i="9"/>
  <c r="P20" i="9"/>
  <c r="O20" i="9"/>
  <c r="N20" i="9"/>
  <c r="M20" i="9"/>
  <c r="L20" i="9"/>
  <c r="K20" i="9"/>
  <c r="J20" i="9"/>
  <c r="I20" i="9"/>
  <c r="H20" i="9"/>
  <c r="G20" i="9"/>
  <c r="F20" i="9"/>
  <c r="E20" i="9"/>
  <c r="D20" i="9"/>
  <c r="C20" i="9"/>
  <c r="W19" i="9"/>
  <c r="V19" i="9"/>
  <c r="U19" i="9"/>
  <c r="T19" i="9"/>
  <c r="S19" i="9"/>
  <c r="R19" i="9"/>
  <c r="Q19" i="9"/>
  <c r="P19" i="9"/>
  <c r="O19" i="9"/>
  <c r="N19" i="9"/>
  <c r="M19" i="9"/>
  <c r="L19" i="9"/>
  <c r="K19" i="9"/>
  <c r="J19" i="9"/>
  <c r="I19" i="9"/>
  <c r="H19" i="9"/>
  <c r="G19" i="9"/>
  <c r="F19" i="9"/>
  <c r="E19" i="9"/>
  <c r="D19" i="9"/>
  <c r="C19" i="9"/>
  <c r="W18" i="9"/>
  <c r="V18" i="9"/>
  <c r="U18" i="9"/>
  <c r="T18" i="9"/>
  <c r="S18" i="9"/>
  <c r="R18" i="9"/>
  <c r="Q18" i="9"/>
  <c r="P18" i="9"/>
  <c r="O18" i="9"/>
  <c r="N18" i="9"/>
  <c r="M18" i="9"/>
  <c r="L18" i="9"/>
  <c r="K18" i="9"/>
  <c r="J18" i="9"/>
  <c r="I18" i="9"/>
  <c r="H18" i="9"/>
  <c r="G18" i="9"/>
  <c r="F18" i="9"/>
  <c r="E18" i="9"/>
  <c r="D18" i="9"/>
  <c r="C18" i="9"/>
  <c r="W17" i="9"/>
  <c r="V17" i="9"/>
  <c r="U17" i="9"/>
  <c r="T17" i="9"/>
  <c r="S17" i="9"/>
  <c r="R17" i="9"/>
  <c r="Q17" i="9"/>
  <c r="P17" i="9"/>
  <c r="O17" i="9"/>
  <c r="N17" i="9"/>
  <c r="M17" i="9"/>
  <c r="L17" i="9"/>
  <c r="K17" i="9"/>
  <c r="J17" i="9"/>
  <c r="I17" i="9"/>
  <c r="H17" i="9"/>
  <c r="G17" i="9"/>
  <c r="F17" i="9"/>
  <c r="E17" i="9"/>
  <c r="D17" i="9"/>
  <c r="C17" i="9"/>
  <c r="B16" i="9"/>
  <c r="V16" i="9"/>
  <c r="W16" i="9"/>
  <c r="U16" i="9"/>
  <c r="T16" i="9"/>
  <c r="S16" i="9"/>
  <c r="R16" i="9"/>
  <c r="Q16" i="9"/>
  <c r="P16" i="9"/>
  <c r="O16" i="9"/>
  <c r="M16" i="9"/>
  <c r="L16" i="9"/>
  <c r="K16" i="9"/>
  <c r="J16" i="9"/>
  <c r="I16" i="9"/>
  <c r="H16" i="9"/>
  <c r="G16" i="9"/>
  <c r="E16" i="9"/>
  <c r="D16" i="9"/>
  <c r="C16" i="9"/>
  <c r="W15" i="9"/>
  <c r="V15" i="9"/>
  <c r="U15" i="9"/>
  <c r="T15" i="9"/>
  <c r="S15" i="9"/>
  <c r="R15" i="9"/>
  <c r="Q15" i="9"/>
  <c r="P15" i="9"/>
  <c r="O15" i="9"/>
  <c r="N15" i="9"/>
  <c r="M15" i="9"/>
  <c r="L15" i="9"/>
  <c r="K15" i="9"/>
  <c r="J15" i="9"/>
  <c r="I15" i="9"/>
  <c r="H15" i="9"/>
  <c r="G15" i="9"/>
  <c r="F15" i="9"/>
  <c r="E15" i="9"/>
  <c r="D15" i="9"/>
  <c r="C15" i="9"/>
  <c r="W13" i="9"/>
  <c r="V13" i="9"/>
  <c r="U13" i="9"/>
  <c r="T13" i="9"/>
  <c r="S13" i="9"/>
  <c r="R13" i="9"/>
  <c r="Q13" i="9"/>
  <c r="P13" i="9"/>
  <c r="O13" i="9"/>
  <c r="N13" i="9"/>
  <c r="M13" i="9"/>
  <c r="L13" i="9"/>
  <c r="K13" i="9"/>
  <c r="J13" i="9"/>
  <c r="I13" i="9"/>
  <c r="H13" i="9"/>
  <c r="G13" i="9"/>
  <c r="F13" i="9"/>
  <c r="E13" i="9"/>
  <c r="D13" i="9"/>
  <c r="C13" i="9"/>
  <c r="W12" i="9"/>
  <c r="V12" i="9"/>
  <c r="U12" i="9"/>
  <c r="T12" i="9"/>
  <c r="S12" i="9"/>
  <c r="R12" i="9"/>
  <c r="Q12" i="9"/>
  <c r="P12" i="9"/>
  <c r="O12" i="9"/>
  <c r="N12" i="9"/>
  <c r="M12" i="9"/>
  <c r="L12" i="9"/>
  <c r="K12" i="9"/>
  <c r="J12" i="9"/>
  <c r="I12" i="9"/>
  <c r="H12" i="9"/>
  <c r="G12" i="9"/>
  <c r="F12" i="9"/>
  <c r="E12" i="9"/>
  <c r="D12" i="9"/>
  <c r="C12" i="9"/>
  <c r="W11" i="9"/>
  <c r="V11" i="9"/>
  <c r="U11" i="9"/>
  <c r="T11" i="9"/>
  <c r="S11" i="9"/>
  <c r="R11" i="9"/>
  <c r="Q11" i="9"/>
  <c r="P11" i="9"/>
  <c r="O11" i="9"/>
  <c r="N11" i="9"/>
  <c r="M11" i="9"/>
  <c r="L11" i="9"/>
  <c r="K11" i="9"/>
  <c r="J11" i="9"/>
  <c r="I11" i="9"/>
  <c r="H11" i="9"/>
  <c r="G11" i="9"/>
  <c r="F11" i="9"/>
  <c r="E11" i="9"/>
  <c r="D11" i="9"/>
  <c r="C11" i="9"/>
  <c r="W10" i="9"/>
  <c r="V10" i="9"/>
  <c r="U10" i="9"/>
  <c r="T10" i="9"/>
  <c r="S10" i="9"/>
  <c r="R10" i="9"/>
  <c r="Q10" i="9"/>
  <c r="P10" i="9"/>
  <c r="O10" i="9"/>
  <c r="N10" i="9"/>
  <c r="M10" i="9"/>
  <c r="L10" i="9"/>
  <c r="K10" i="9"/>
  <c r="J10" i="9"/>
  <c r="I10" i="9"/>
  <c r="H10" i="9"/>
  <c r="G10" i="9"/>
  <c r="F10" i="9"/>
  <c r="E10" i="9"/>
  <c r="D10" i="9"/>
  <c r="C10" i="9"/>
  <c r="M9" i="9"/>
  <c r="W8" i="9"/>
  <c r="V8" i="9"/>
  <c r="U8" i="9"/>
  <c r="T8" i="9"/>
  <c r="S8" i="9"/>
  <c r="R8" i="9"/>
  <c r="Q8" i="9"/>
  <c r="P8" i="9"/>
  <c r="O8" i="9"/>
  <c r="N8" i="9"/>
  <c r="M8" i="9"/>
  <c r="L8" i="9"/>
  <c r="K8" i="9"/>
  <c r="J8" i="9"/>
  <c r="I8" i="9"/>
  <c r="H8" i="9"/>
  <c r="G8" i="9"/>
  <c r="F8" i="9"/>
  <c r="E8" i="9"/>
  <c r="D8" i="9"/>
  <c r="C8" i="9"/>
  <c r="W7" i="9"/>
  <c r="V7" i="9"/>
  <c r="U7" i="9"/>
  <c r="T7" i="9"/>
  <c r="S7" i="9"/>
  <c r="R7" i="9"/>
  <c r="Q7" i="9"/>
  <c r="P7" i="9"/>
  <c r="O7" i="9"/>
  <c r="N7" i="9"/>
  <c r="M7" i="9"/>
  <c r="L7" i="9"/>
  <c r="K7" i="9"/>
  <c r="J7" i="9"/>
  <c r="I7" i="9"/>
  <c r="H7" i="9"/>
  <c r="G7" i="9"/>
  <c r="F7" i="9"/>
  <c r="E7" i="9"/>
  <c r="D7" i="9"/>
  <c r="C7" i="9"/>
  <c r="W6" i="9"/>
  <c r="V6" i="9"/>
  <c r="U6" i="9"/>
  <c r="T6" i="9"/>
  <c r="S6" i="9"/>
  <c r="R6" i="9"/>
  <c r="Q6" i="9"/>
  <c r="P6" i="9"/>
  <c r="O6" i="9"/>
  <c r="N6" i="9"/>
  <c r="M6" i="9"/>
  <c r="L6" i="9"/>
  <c r="K6" i="9"/>
  <c r="J6" i="9"/>
  <c r="I6" i="9"/>
  <c r="H6" i="9"/>
  <c r="G6" i="9"/>
  <c r="F6" i="9"/>
  <c r="E6" i="9"/>
  <c r="D6" i="9"/>
  <c r="C6" i="9"/>
  <c r="B5" i="9"/>
  <c r="P5" i="9"/>
  <c r="W4" i="9"/>
  <c r="V4" i="9"/>
  <c r="U4" i="9"/>
  <c r="T4" i="9"/>
  <c r="S4" i="9"/>
  <c r="R4" i="9"/>
  <c r="Q4" i="9"/>
  <c r="P4" i="9"/>
  <c r="O4" i="9"/>
  <c r="N4" i="9"/>
  <c r="M4" i="9"/>
  <c r="L4" i="9"/>
  <c r="K4" i="9"/>
  <c r="J4" i="9"/>
  <c r="I4" i="9"/>
  <c r="H4" i="9"/>
  <c r="G4" i="9"/>
  <c r="F4" i="9"/>
  <c r="E4" i="9"/>
  <c r="D4" i="9"/>
  <c r="C4" i="9"/>
  <c r="B3" i="9"/>
  <c r="W3" i="9"/>
  <c r="V3" i="9"/>
  <c r="U3" i="9"/>
  <c r="S3" i="9"/>
  <c r="Q3" i="9"/>
  <c r="P3" i="9"/>
  <c r="O3" i="9"/>
  <c r="M3" i="9"/>
  <c r="K3" i="9"/>
  <c r="H3" i="9"/>
  <c r="G3" i="9"/>
  <c r="E3" i="9"/>
  <c r="D3" i="9"/>
  <c r="C3" i="9"/>
  <c r="W2" i="9"/>
  <c r="V2" i="9"/>
  <c r="U2" i="9"/>
  <c r="T2" i="9"/>
  <c r="S2" i="9"/>
  <c r="R2" i="9"/>
  <c r="Q2" i="9"/>
  <c r="P2" i="9"/>
  <c r="O2" i="9"/>
  <c r="N2" i="9"/>
  <c r="M2" i="9"/>
  <c r="L2" i="9"/>
  <c r="K2" i="9"/>
  <c r="J2" i="9"/>
  <c r="I2" i="9"/>
  <c r="H2" i="9"/>
  <c r="G2" i="9"/>
  <c r="F2" i="9"/>
  <c r="E2" i="9"/>
  <c r="D2" i="9"/>
  <c r="C2" i="9"/>
  <c r="W1" i="9"/>
  <c r="V1" i="9"/>
  <c r="U1" i="9"/>
  <c r="T1" i="9"/>
  <c r="S1" i="9"/>
  <c r="R1" i="9"/>
  <c r="Q1" i="9"/>
  <c r="P1" i="9"/>
  <c r="O1" i="9"/>
  <c r="N1" i="9"/>
  <c r="M1" i="9"/>
  <c r="L1" i="9"/>
  <c r="K1" i="9"/>
  <c r="J1" i="9"/>
  <c r="I1" i="9"/>
  <c r="H1" i="9"/>
  <c r="G1" i="9"/>
  <c r="F1" i="9"/>
  <c r="E1" i="9"/>
  <c r="D1" i="9"/>
  <c r="G6" i="4"/>
  <c r="G5" i="4"/>
  <c r="G4"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D69"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D98" i="4"/>
  <c r="G98" i="4"/>
  <c r="D99" i="4"/>
  <c r="G99" i="4"/>
  <c r="G100" i="4"/>
  <c r="G101" i="4"/>
  <c r="G102" i="4"/>
  <c r="G103" i="4"/>
  <c r="G104" i="4"/>
  <c r="G105" i="4"/>
  <c r="G106" i="4"/>
  <c r="G107" i="4"/>
  <c r="G108" i="4"/>
  <c r="G109" i="4"/>
  <c r="G110" i="4"/>
  <c r="G111" i="4"/>
  <c r="G3" i="4"/>
  <c r="C6" i="18"/>
  <c r="X37" i="4"/>
  <c r="X24" i="23"/>
  <c r="H24" i="22"/>
  <c r="W37" i="4"/>
  <c r="W24" i="23"/>
  <c r="G24" i="22"/>
  <c r="V37" i="4"/>
  <c r="V24" i="23"/>
  <c r="U24" i="23"/>
  <c r="E24" i="22"/>
  <c r="E24" i="23"/>
  <c r="D24" i="22"/>
  <c r="C24" i="23"/>
  <c r="C24" i="22"/>
  <c r="X20" i="4"/>
  <c r="X23" i="23"/>
  <c r="H23" i="22"/>
  <c r="W20" i="4"/>
  <c r="W23" i="23"/>
  <c r="G23" i="22"/>
  <c r="V20" i="4"/>
  <c r="V23" i="23"/>
  <c r="F23" i="22"/>
  <c r="U23" i="23"/>
  <c r="E23" i="22"/>
  <c r="E23" i="23"/>
  <c r="C23" i="23"/>
  <c r="C23" i="22"/>
  <c r="X21" i="4"/>
  <c r="X22" i="23"/>
  <c r="W21" i="4"/>
  <c r="W22" i="23"/>
  <c r="G22" i="22"/>
  <c r="V21" i="4"/>
  <c r="V22" i="23"/>
  <c r="U22" i="23"/>
  <c r="E22" i="22"/>
  <c r="E22" i="23"/>
  <c r="D22" i="22"/>
  <c r="C22" i="23"/>
  <c r="C22" i="22"/>
  <c r="X83" i="4"/>
  <c r="X21" i="23"/>
  <c r="H21" i="22"/>
  <c r="W83" i="4"/>
  <c r="W21" i="23"/>
  <c r="G21" i="22"/>
  <c r="V83" i="4"/>
  <c r="V21" i="23"/>
  <c r="F21" i="22"/>
  <c r="U21" i="23"/>
  <c r="E21" i="22"/>
  <c r="E21" i="23"/>
  <c r="D21" i="22"/>
  <c r="C21" i="23"/>
  <c r="C21" i="22"/>
  <c r="X111" i="4"/>
  <c r="X20" i="23"/>
  <c r="H20" i="22"/>
  <c r="W111" i="4"/>
  <c r="W20" i="23"/>
  <c r="G20" i="22"/>
  <c r="V111" i="4"/>
  <c r="V20" i="23"/>
  <c r="U20" i="23"/>
  <c r="E20" i="22"/>
  <c r="E20" i="23"/>
  <c r="C20" i="23"/>
  <c r="C20" i="22"/>
  <c r="X55" i="4"/>
  <c r="X19" i="23"/>
  <c r="W55" i="4"/>
  <c r="W19" i="23"/>
  <c r="G19" i="22"/>
  <c r="V55" i="4"/>
  <c r="V19" i="23"/>
  <c r="F19" i="22"/>
  <c r="U19" i="23"/>
  <c r="E19" i="22"/>
  <c r="E19" i="23"/>
  <c r="D19" i="22"/>
  <c r="C19" i="23"/>
  <c r="C19" i="22"/>
  <c r="X109" i="4"/>
  <c r="X18" i="23"/>
  <c r="H18" i="22"/>
  <c r="W109" i="4"/>
  <c r="W18" i="23"/>
  <c r="V109" i="4"/>
  <c r="V18" i="23"/>
  <c r="F18" i="22"/>
  <c r="U18" i="23"/>
  <c r="E18" i="22"/>
  <c r="E18" i="23"/>
  <c r="C18" i="23"/>
  <c r="C18" i="22"/>
  <c r="X73" i="4"/>
  <c r="X17" i="23"/>
  <c r="W73" i="4"/>
  <c r="W17" i="23"/>
  <c r="G17" i="22"/>
  <c r="V73" i="4"/>
  <c r="V17" i="23"/>
  <c r="F17" i="22"/>
  <c r="U17" i="23"/>
  <c r="E17" i="22"/>
  <c r="E17" i="23"/>
  <c r="D17" i="22"/>
  <c r="C17" i="23"/>
  <c r="C17" i="22"/>
  <c r="X108" i="4"/>
  <c r="X16" i="23"/>
  <c r="H16" i="22"/>
  <c r="W108" i="4"/>
  <c r="W16" i="23"/>
  <c r="G16" i="22"/>
  <c r="V108" i="4"/>
  <c r="V16" i="23"/>
  <c r="F16" i="22"/>
  <c r="U16" i="23"/>
  <c r="E16" i="22"/>
  <c r="E16" i="23"/>
  <c r="C16" i="23"/>
  <c r="C16" i="22"/>
  <c r="X107" i="4"/>
  <c r="X15" i="23"/>
  <c r="H15" i="22"/>
  <c r="W107" i="4"/>
  <c r="W15" i="23"/>
  <c r="G15" i="22"/>
  <c r="V107" i="4"/>
  <c r="V15" i="23"/>
  <c r="F15" i="22"/>
  <c r="U15" i="23"/>
  <c r="E15" i="22"/>
  <c r="E15" i="23"/>
  <c r="D15" i="22"/>
  <c r="C15" i="23"/>
  <c r="C15" i="22"/>
  <c r="X95" i="4"/>
  <c r="X14" i="23"/>
  <c r="H14" i="22"/>
  <c r="W95" i="4"/>
  <c r="W14" i="23"/>
  <c r="G14" i="22"/>
  <c r="V95" i="4"/>
  <c r="V14" i="23"/>
  <c r="F14" i="22"/>
  <c r="U14" i="23"/>
  <c r="E14" i="22"/>
  <c r="E14" i="23"/>
  <c r="C14" i="23"/>
  <c r="C14" i="22"/>
  <c r="X92" i="4"/>
  <c r="X13" i="23"/>
  <c r="W92" i="4"/>
  <c r="W13" i="23"/>
  <c r="G13" i="22"/>
  <c r="V92" i="4"/>
  <c r="V13" i="23"/>
  <c r="F13" i="22"/>
  <c r="U13" i="23"/>
  <c r="E13" i="22"/>
  <c r="E13" i="23"/>
  <c r="D13" i="22"/>
  <c r="C13" i="23"/>
  <c r="C13" i="22"/>
  <c r="X67" i="4"/>
  <c r="X12" i="23"/>
  <c r="H12" i="22"/>
  <c r="W67" i="4"/>
  <c r="W12" i="23"/>
  <c r="G12" i="22"/>
  <c r="V67" i="4"/>
  <c r="V12" i="23"/>
  <c r="F12" i="22"/>
  <c r="U12" i="23"/>
  <c r="E12" i="22"/>
  <c r="E12" i="23"/>
  <c r="D12" i="22"/>
  <c r="C12" i="23"/>
  <c r="X68" i="4"/>
  <c r="X11" i="23"/>
  <c r="W68" i="4"/>
  <c r="W11" i="23"/>
  <c r="G11" i="22"/>
  <c r="V68" i="4"/>
  <c r="V11" i="23"/>
  <c r="F11" i="22"/>
  <c r="U11" i="23"/>
  <c r="E11" i="22"/>
  <c r="E11" i="23"/>
  <c r="D11" i="22"/>
  <c r="C11" i="23"/>
  <c r="C11" i="22"/>
  <c r="X70" i="4"/>
  <c r="X10" i="23"/>
  <c r="H10" i="22"/>
  <c r="W70" i="4"/>
  <c r="W10" i="23"/>
  <c r="V70" i="4"/>
  <c r="V10" i="23"/>
  <c r="F10" i="22"/>
  <c r="U10" i="23"/>
  <c r="E10" i="22"/>
  <c r="E10" i="23"/>
  <c r="C10" i="23"/>
  <c r="C10" i="22"/>
  <c r="X17" i="4"/>
  <c r="X9" i="23"/>
  <c r="H9" i="22"/>
  <c r="W17" i="4"/>
  <c r="W9" i="23"/>
  <c r="V17" i="4"/>
  <c r="V9" i="23"/>
  <c r="F9" i="22"/>
  <c r="U9" i="23"/>
  <c r="E9" i="22"/>
  <c r="E9" i="23"/>
  <c r="D9" i="22"/>
  <c r="N9" i="22"/>
  <c r="C9" i="23"/>
  <c r="X51" i="4"/>
  <c r="X8" i="23"/>
  <c r="H8" i="22"/>
  <c r="W51" i="4"/>
  <c r="W8" i="23"/>
  <c r="G8" i="22"/>
  <c r="V51" i="4"/>
  <c r="V8" i="23"/>
  <c r="F8" i="22"/>
  <c r="U8" i="23"/>
  <c r="E8" i="22"/>
  <c r="E8" i="23"/>
  <c r="C8" i="23"/>
  <c r="X30" i="4"/>
  <c r="X7" i="23"/>
  <c r="H7" i="22"/>
  <c r="W30" i="4"/>
  <c r="W7" i="23"/>
  <c r="G7" i="22"/>
  <c r="V30" i="4"/>
  <c r="V7" i="23"/>
  <c r="F7" i="22"/>
  <c r="U7" i="23"/>
  <c r="E7" i="22"/>
  <c r="E7" i="23"/>
  <c r="D7" i="22"/>
  <c r="C7" i="23"/>
  <c r="X59" i="4"/>
  <c r="X6" i="23"/>
  <c r="H6" i="22"/>
  <c r="W59" i="4"/>
  <c r="W6" i="23"/>
  <c r="G6" i="22"/>
  <c r="V59" i="4"/>
  <c r="V6" i="23"/>
  <c r="F6" i="22"/>
  <c r="U6" i="23"/>
  <c r="E6" i="22"/>
  <c r="E6" i="23"/>
  <c r="C6" i="23"/>
  <c r="C6" i="22"/>
  <c r="E5" i="22"/>
  <c r="D5" i="22"/>
  <c r="X46" i="4"/>
  <c r="X4" i="23"/>
  <c r="H4" i="22"/>
  <c r="W46" i="4"/>
  <c r="W4" i="23"/>
  <c r="G4" i="22"/>
  <c r="V46" i="4"/>
  <c r="V4" i="23"/>
  <c r="F4" i="22"/>
  <c r="U4" i="23"/>
  <c r="E4" i="22"/>
  <c r="E4" i="23"/>
  <c r="C4" i="23"/>
  <c r="C4" i="22"/>
  <c r="B3" i="23"/>
  <c r="BA3" i="22"/>
  <c r="C3" i="23"/>
  <c r="BB3" i="22"/>
  <c r="D3" i="23"/>
  <c r="BC3" i="22"/>
  <c r="E3" i="23"/>
  <c r="BD3" i="22"/>
  <c r="D3" i="22"/>
  <c r="F3" i="23"/>
  <c r="BE3" i="22"/>
  <c r="G3" i="23"/>
  <c r="BF3" i="22"/>
  <c r="B4" i="23"/>
  <c r="BA4" i="22"/>
  <c r="BB4" i="22"/>
  <c r="D4" i="23"/>
  <c r="BC4" i="22"/>
  <c r="F4" i="23"/>
  <c r="BE4" i="22"/>
  <c r="G4" i="23"/>
  <c r="BF4" i="22"/>
  <c r="BC5" i="22"/>
  <c r="BD5" i="22"/>
  <c r="BE5" i="22"/>
  <c r="B6" i="23"/>
  <c r="BA6" i="22"/>
  <c r="BB6" i="22"/>
  <c r="D6" i="23"/>
  <c r="BC6" i="22"/>
  <c r="F6" i="23"/>
  <c r="BE6" i="22"/>
  <c r="G6" i="23"/>
  <c r="BF6" i="22"/>
  <c r="B7" i="23"/>
  <c r="BA7" i="22"/>
  <c r="D7" i="23"/>
  <c r="BC7" i="22"/>
  <c r="BD7" i="22"/>
  <c r="F7" i="23"/>
  <c r="BE7" i="22"/>
  <c r="G7" i="23"/>
  <c r="BF7" i="22"/>
  <c r="B8" i="23"/>
  <c r="BA8" i="22"/>
  <c r="D8" i="23"/>
  <c r="BC8" i="22"/>
  <c r="F8" i="23"/>
  <c r="BE8" i="22"/>
  <c r="G8" i="23"/>
  <c r="BF8" i="22"/>
  <c r="B9" i="23"/>
  <c r="BA9" i="22"/>
  <c r="D9" i="23"/>
  <c r="BC9" i="22"/>
  <c r="BD9" i="22"/>
  <c r="F9" i="23"/>
  <c r="BE9" i="22"/>
  <c r="G9" i="23"/>
  <c r="BF9" i="22"/>
  <c r="B10" i="23"/>
  <c r="BA10" i="22"/>
  <c r="BB10" i="22"/>
  <c r="D10" i="23"/>
  <c r="BC10" i="22"/>
  <c r="F10" i="23"/>
  <c r="BE10" i="22"/>
  <c r="G10" i="23"/>
  <c r="BF10" i="22"/>
  <c r="B11" i="23"/>
  <c r="BA11" i="22"/>
  <c r="BB11" i="22"/>
  <c r="D11" i="23"/>
  <c r="BC11" i="22"/>
  <c r="BD11" i="22"/>
  <c r="F11" i="23"/>
  <c r="BE11" i="22"/>
  <c r="G11" i="23"/>
  <c r="BF11" i="22"/>
  <c r="B12" i="23"/>
  <c r="BA12" i="22"/>
  <c r="D12" i="23"/>
  <c r="BC12" i="22"/>
  <c r="BD12" i="22"/>
  <c r="F12" i="23"/>
  <c r="BE12" i="22"/>
  <c r="G12" i="23"/>
  <c r="BF12" i="22"/>
  <c r="B13" i="23"/>
  <c r="BA13" i="22"/>
  <c r="BB13" i="22"/>
  <c r="D13" i="23"/>
  <c r="BC13" i="22"/>
  <c r="BD13" i="22"/>
  <c r="F13" i="23"/>
  <c r="BE13" i="22"/>
  <c r="G13" i="23"/>
  <c r="BF13" i="22"/>
  <c r="B14" i="23"/>
  <c r="BA14" i="22"/>
  <c r="BB14" i="22"/>
  <c r="D14" i="23"/>
  <c r="BC14" i="22"/>
  <c r="F14" i="23"/>
  <c r="BE14" i="22"/>
  <c r="G14" i="23"/>
  <c r="BF14" i="22"/>
  <c r="B15" i="23"/>
  <c r="BA15" i="22"/>
  <c r="BB15" i="22"/>
  <c r="D15" i="23"/>
  <c r="BC15" i="22"/>
  <c r="BD15" i="22"/>
  <c r="F15" i="23"/>
  <c r="BE15" i="22"/>
  <c r="G15" i="23"/>
  <c r="BF15" i="22"/>
  <c r="B16" i="23"/>
  <c r="BA16" i="22"/>
  <c r="BB16" i="22"/>
  <c r="D16" i="23"/>
  <c r="BC16" i="22"/>
  <c r="F16" i="23"/>
  <c r="BE16" i="22"/>
  <c r="G16" i="23"/>
  <c r="BF16" i="22"/>
  <c r="B17" i="23"/>
  <c r="BA17" i="22"/>
  <c r="BB17" i="22"/>
  <c r="D17" i="23"/>
  <c r="BC17" i="22"/>
  <c r="BD17" i="22"/>
  <c r="F17" i="23"/>
  <c r="BE17" i="22"/>
  <c r="G17" i="23"/>
  <c r="BF17" i="22"/>
  <c r="B18" i="23"/>
  <c r="BA18" i="22"/>
  <c r="BB18" i="22"/>
  <c r="D18" i="23"/>
  <c r="BC18" i="22"/>
  <c r="F18" i="23"/>
  <c r="BE18" i="22"/>
  <c r="G18" i="23"/>
  <c r="BF18" i="22"/>
  <c r="B19" i="23"/>
  <c r="BA19" i="22"/>
  <c r="BB19" i="22"/>
  <c r="D19" i="23"/>
  <c r="BC19" i="22"/>
  <c r="BD19" i="22"/>
  <c r="F19" i="23"/>
  <c r="BE19" i="22"/>
  <c r="G19" i="23"/>
  <c r="BF19" i="22"/>
  <c r="B20" i="23"/>
  <c r="BA20" i="22"/>
  <c r="BB20" i="22"/>
  <c r="D20" i="23"/>
  <c r="BC20" i="22"/>
  <c r="F20" i="23"/>
  <c r="BE20" i="22"/>
  <c r="G20" i="23"/>
  <c r="BF20" i="22"/>
  <c r="B21" i="23"/>
  <c r="BA21" i="22"/>
  <c r="BB21" i="22"/>
  <c r="D21" i="23"/>
  <c r="BC21" i="22"/>
  <c r="BD21" i="22"/>
  <c r="F21" i="23"/>
  <c r="BE21" i="22"/>
  <c r="G21" i="23"/>
  <c r="BF21" i="22"/>
  <c r="B22" i="23"/>
  <c r="BA22" i="22"/>
  <c r="BB22" i="22"/>
  <c r="D22" i="23"/>
  <c r="BC22" i="22"/>
  <c r="BD22" i="22"/>
  <c r="F22" i="23"/>
  <c r="BE22" i="22"/>
  <c r="G22" i="23"/>
  <c r="BF22" i="22"/>
  <c r="B23" i="23"/>
  <c r="BA23" i="22"/>
  <c r="BB23" i="22"/>
  <c r="D23" i="23"/>
  <c r="BC23" i="22"/>
  <c r="F23" i="23"/>
  <c r="BE23" i="22"/>
  <c r="G23" i="23"/>
  <c r="BF23" i="22"/>
  <c r="B24" i="23"/>
  <c r="BA24" i="22"/>
  <c r="BB24" i="22"/>
  <c r="D24" i="23"/>
  <c r="BC24" i="22"/>
  <c r="BD24" i="22"/>
  <c r="F24" i="23"/>
  <c r="BE24" i="22"/>
  <c r="G24" i="23"/>
  <c r="BF24" i="22"/>
  <c r="I4" i="23"/>
  <c r="J4" i="23"/>
  <c r="BI4" i="22"/>
  <c r="K4" i="23"/>
  <c r="L4" i="23"/>
  <c r="M4" i="23"/>
  <c r="N4" i="23"/>
  <c r="O4" i="23"/>
  <c r="P4" i="23"/>
  <c r="Q4" i="23"/>
  <c r="R4" i="23"/>
  <c r="S4" i="23"/>
  <c r="T4" i="23"/>
  <c r="I6" i="23"/>
  <c r="BH6" i="22"/>
  <c r="J6" i="23"/>
  <c r="BI6" i="22"/>
  <c r="K6" i="23"/>
  <c r="L6" i="23"/>
  <c r="M6" i="23"/>
  <c r="BL6" i="22"/>
  <c r="N6" i="23"/>
  <c r="BM6" i="22"/>
  <c r="O6" i="23"/>
  <c r="P6" i="23"/>
  <c r="Q6" i="23"/>
  <c r="BP6" i="22"/>
  <c r="R6" i="23"/>
  <c r="BQ6" i="22"/>
  <c r="S6" i="23"/>
  <c r="T6" i="23"/>
  <c r="I7" i="23"/>
  <c r="BH7" i="22"/>
  <c r="J7" i="23"/>
  <c r="K7" i="23"/>
  <c r="BJ7" i="22"/>
  <c r="L7" i="23"/>
  <c r="M7" i="23"/>
  <c r="BL7" i="22"/>
  <c r="N7" i="23"/>
  <c r="O7" i="23"/>
  <c r="BN7" i="22"/>
  <c r="P7" i="23"/>
  <c r="Q7" i="23"/>
  <c r="BP7" i="22"/>
  <c r="R7" i="23"/>
  <c r="S7" i="23"/>
  <c r="BR7" i="22"/>
  <c r="T7" i="23"/>
  <c r="I8" i="23"/>
  <c r="J8" i="23"/>
  <c r="K8" i="23"/>
  <c r="L8" i="23"/>
  <c r="M8" i="23"/>
  <c r="N8" i="23"/>
  <c r="O8" i="23"/>
  <c r="BN8" i="22"/>
  <c r="P8" i="23"/>
  <c r="Q8" i="23"/>
  <c r="R8" i="23"/>
  <c r="S8" i="23"/>
  <c r="T8" i="23"/>
  <c r="I9" i="23"/>
  <c r="BH9" i="22"/>
  <c r="J9" i="23"/>
  <c r="K9" i="23"/>
  <c r="BJ9" i="22"/>
  <c r="L9" i="23"/>
  <c r="M9" i="23"/>
  <c r="BL9" i="22"/>
  <c r="N9" i="23"/>
  <c r="O9" i="23"/>
  <c r="BN9" i="22"/>
  <c r="P9" i="23"/>
  <c r="BO9" i="22"/>
  <c r="Q9" i="23"/>
  <c r="BP9" i="22"/>
  <c r="R9" i="23"/>
  <c r="S9" i="23"/>
  <c r="BR9" i="22"/>
  <c r="T9" i="23"/>
  <c r="I10" i="23"/>
  <c r="BH10" i="22"/>
  <c r="J10" i="23"/>
  <c r="BI10" i="22"/>
  <c r="K10" i="23"/>
  <c r="L10" i="23"/>
  <c r="M10" i="23"/>
  <c r="BL10" i="22"/>
  <c r="N10" i="23"/>
  <c r="BM10" i="22"/>
  <c r="O10" i="23"/>
  <c r="P10" i="23"/>
  <c r="Q10" i="23"/>
  <c r="BP10" i="22"/>
  <c r="R10" i="23"/>
  <c r="BQ10" i="22"/>
  <c r="S10" i="23"/>
  <c r="BR10" i="22"/>
  <c r="T10" i="23"/>
  <c r="I11" i="23"/>
  <c r="BH11" i="22"/>
  <c r="J11" i="23"/>
  <c r="K11" i="23"/>
  <c r="BJ11" i="22"/>
  <c r="L11" i="23"/>
  <c r="M11" i="23"/>
  <c r="BL11" i="22"/>
  <c r="N11" i="23"/>
  <c r="O11" i="23"/>
  <c r="BN11" i="22"/>
  <c r="P11" i="23"/>
  <c r="Q11" i="23"/>
  <c r="BP11" i="22"/>
  <c r="R11" i="23"/>
  <c r="S11" i="23"/>
  <c r="BR11" i="22"/>
  <c r="T11" i="23"/>
  <c r="I12" i="23"/>
  <c r="BH12" i="22"/>
  <c r="J12" i="23"/>
  <c r="K12" i="23"/>
  <c r="L12" i="23"/>
  <c r="M12" i="23"/>
  <c r="BL12" i="22"/>
  <c r="N12" i="23"/>
  <c r="O12" i="23"/>
  <c r="BN12" i="22"/>
  <c r="P12" i="23"/>
  <c r="Q12" i="23"/>
  <c r="BP12" i="22"/>
  <c r="R12" i="23"/>
  <c r="BQ12" i="22"/>
  <c r="S12" i="23"/>
  <c r="T12" i="23"/>
  <c r="I13" i="23"/>
  <c r="BH13" i="22"/>
  <c r="J13" i="23"/>
  <c r="K13" i="23"/>
  <c r="BJ13" i="22"/>
  <c r="L13" i="23"/>
  <c r="M13" i="23"/>
  <c r="BL13" i="22"/>
  <c r="N13" i="23"/>
  <c r="O13" i="23"/>
  <c r="BN13" i="22"/>
  <c r="P13" i="23"/>
  <c r="Q13" i="23"/>
  <c r="BP13" i="22"/>
  <c r="R13" i="23"/>
  <c r="BQ13" i="22"/>
  <c r="S13" i="23"/>
  <c r="BR13" i="22"/>
  <c r="T13" i="23"/>
  <c r="I14" i="23"/>
  <c r="BH14" i="22"/>
  <c r="J14" i="23"/>
  <c r="BI14" i="22"/>
  <c r="K14" i="23"/>
  <c r="BJ14" i="22"/>
  <c r="L14" i="23"/>
  <c r="M14" i="23"/>
  <c r="BL14" i="22"/>
  <c r="N14" i="23"/>
  <c r="BM14" i="22"/>
  <c r="O14" i="23"/>
  <c r="BN14" i="22"/>
  <c r="P14" i="23"/>
  <c r="BO14" i="22"/>
  <c r="Q14" i="23"/>
  <c r="BP14" i="22"/>
  <c r="R14" i="23"/>
  <c r="BQ14" i="22"/>
  <c r="S14" i="23"/>
  <c r="T14" i="23"/>
  <c r="I15" i="23"/>
  <c r="BH15" i="22"/>
  <c r="J15" i="23"/>
  <c r="K15" i="23"/>
  <c r="BJ15" i="22"/>
  <c r="L15" i="23"/>
  <c r="BK15" i="22"/>
  <c r="M15" i="23"/>
  <c r="BL15" i="22"/>
  <c r="N15" i="23"/>
  <c r="BM15" i="22"/>
  <c r="O15" i="23"/>
  <c r="BN15" i="22"/>
  <c r="P15" i="23"/>
  <c r="Q15" i="23"/>
  <c r="BP15" i="22"/>
  <c r="R15" i="23"/>
  <c r="BQ15" i="22"/>
  <c r="S15" i="23"/>
  <c r="BR15" i="22"/>
  <c r="T15" i="23"/>
  <c r="I16" i="23"/>
  <c r="J16" i="23"/>
  <c r="K16" i="23"/>
  <c r="L16" i="23"/>
  <c r="M16" i="23"/>
  <c r="N16" i="23"/>
  <c r="O16" i="23"/>
  <c r="P16" i="23"/>
  <c r="Q16" i="23"/>
  <c r="R16" i="23"/>
  <c r="S16" i="23"/>
  <c r="T16" i="23"/>
  <c r="I17" i="23"/>
  <c r="BH17" i="22"/>
  <c r="J17" i="23"/>
  <c r="K17" i="23"/>
  <c r="BJ17" i="22"/>
  <c r="L17" i="23"/>
  <c r="M17" i="23"/>
  <c r="BL17" i="22"/>
  <c r="N17" i="23"/>
  <c r="O17" i="23"/>
  <c r="BN17" i="22"/>
  <c r="P17" i="23"/>
  <c r="BO17" i="22"/>
  <c r="Q17" i="23"/>
  <c r="BP17" i="22"/>
  <c r="R17" i="23"/>
  <c r="S17" i="23"/>
  <c r="T17" i="23"/>
  <c r="I18" i="23"/>
  <c r="BH18" i="22"/>
  <c r="J18" i="23"/>
  <c r="K18" i="23"/>
  <c r="L18" i="23"/>
  <c r="M18" i="23"/>
  <c r="BL18" i="22"/>
  <c r="N18" i="23"/>
  <c r="BM18" i="22"/>
  <c r="O18" i="23"/>
  <c r="P18" i="23"/>
  <c r="Q18" i="23"/>
  <c r="BP18" i="22"/>
  <c r="R18" i="23"/>
  <c r="BQ18" i="22"/>
  <c r="S18" i="23"/>
  <c r="BR18" i="22"/>
  <c r="T18" i="23"/>
  <c r="I19" i="23"/>
  <c r="BH19" i="22"/>
  <c r="J19" i="23"/>
  <c r="K19" i="23"/>
  <c r="BJ19" i="22"/>
  <c r="L19" i="23"/>
  <c r="M19" i="23"/>
  <c r="BL19" i="22"/>
  <c r="N19" i="23"/>
  <c r="O19" i="23"/>
  <c r="BN19" i="22"/>
  <c r="P19" i="23"/>
  <c r="Q19" i="23"/>
  <c r="BP19" i="22"/>
  <c r="R19" i="23"/>
  <c r="S19" i="23"/>
  <c r="BR19" i="22"/>
  <c r="T19" i="23"/>
  <c r="BS19" i="22"/>
  <c r="I20" i="23"/>
  <c r="BH20" i="22"/>
  <c r="J20" i="23"/>
  <c r="K20" i="23"/>
  <c r="L20" i="23"/>
  <c r="M20" i="23"/>
  <c r="BL20" i="22"/>
  <c r="N20" i="23"/>
  <c r="BM20" i="22"/>
  <c r="O20" i="23"/>
  <c r="P20" i="23"/>
  <c r="BO20" i="22"/>
  <c r="Q20" i="23"/>
  <c r="BP20" i="22"/>
  <c r="R20" i="23"/>
  <c r="BQ20" i="22"/>
  <c r="S20" i="23"/>
  <c r="T20" i="23"/>
  <c r="I21" i="23"/>
  <c r="BH21" i="22"/>
  <c r="J21" i="23"/>
  <c r="K21" i="23"/>
  <c r="BJ21" i="22"/>
  <c r="L21" i="23"/>
  <c r="M21" i="23"/>
  <c r="N21" i="23"/>
  <c r="O21" i="23"/>
  <c r="BN21" i="22"/>
  <c r="P21" i="23"/>
  <c r="Q21" i="23"/>
  <c r="BP21" i="22"/>
  <c r="R21" i="23"/>
  <c r="BQ21" i="22"/>
  <c r="S21" i="23"/>
  <c r="BR21" i="22"/>
  <c r="T21" i="23"/>
  <c r="I22" i="23"/>
  <c r="BH22" i="22"/>
  <c r="J22" i="23"/>
  <c r="BI22" i="22"/>
  <c r="K22" i="23"/>
  <c r="BJ22" i="22"/>
  <c r="L22" i="23"/>
  <c r="M22" i="23"/>
  <c r="BL22" i="22"/>
  <c r="N22" i="23"/>
  <c r="BM22" i="22"/>
  <c r="O22" i="23"/>
  <c r="BN22" i="22"/>
  <c r="P22" i="23"/>
  <c r="Q22" i="23"/>
  <c r="BP22" i="22"/>
  <c r="R22" i="23"/>
  <c r="BQ22" i="22"/>
  <c r="S22" i="23"/>
  <c r="BR22" i="22"/>
  <c r="T22" i="23"/>
  <c r="I23" i="23"/>
  <c r="BH23" i="22"/>
  <c r="J23" i="23"/>
  <c r="BI23" i="22"/>
  <c r="K23" i="23"/>
  <c r="BJ23" i="22"/>
  <c r="L23" i="23"/>
  <c r="BK23" i="22"/>
  <c r="M23" i="23"/>
  <c r="BL23" i="22"/>
  <c r="N23" i="23"/>
  <c r="O23" i="23"/>
  <c r="BN23" i="22"/>
  <c r="P23" i="23"/>
  <c r="Q23" i="23"/>
  <c r="BP23" i="22"/>
  <c r="R23" i="23"/>
  <c r="S23" i="23"/>
  <c r="BR23" i="22"/>
  <c r="T23" i="23"/>
  <c r="I24" i="23"/>
  <c r="BH24" i="22"/>
  <c r="J24" i="23"/>
  <c r="K24" i="23"/>
  <c r="L24" i="23"/>
  <c r="M24" i="23"/>
  <c r="BL24" i="22"/>
  <c r="N24" i="23"/>
  <c r="O24" i="23"/>
  <c r="BN24" i="22"/>
  <c r="P24" i="23"/>
  <c r="Q24" i="23"/>
  <c r="BP24" i="22"/>
  <c r="R24" i="23"/>
  <c r="S24" i="23"/>
  <c r="T24" i="23"/>
  <c r="BH4" i="22"/>
  <c r="BJ4" i="22"/>
  <c r="BK4" i="22"/>
  <c r="BL4" i="22"/>
  <c r="BM4" i="22"/>
  <c r="BN4" i="22"/>
  <c r="BO4" i="22"/>
  <c r="BP4" i="22"/>
  <c r="BQ4" i="22"/>
  <c r="BR4" i="22"/>
  <c r="BS4" i="22"/>
  <c r="BT4" i="22"/>
  <c r="BI5" i="22"/>
  <c r="BK5" i="22"/>
  <c r="BL5" i="22"/>
  <c r="BO5" i="22"/>
  <c r="BQ5" i="22"/>
  <c r="BS5" i="22"/>
  <c r="BT5" i="22"/>
  <c r="BJ6" i="22"/>
  <c r="BK6" i="22"/>
  <c r="BN6" i="22"/>
  <c r="BR6" i="22"/>
  <c r="BS6" i="22"/>
  <c r="BI7" i="22"/>
  <c r="BK7" i="22"/>
  <c r="BM7" i="22"/>
  <c r="BO7" i="22"/>
  <c r="BQ7" i="22"/>
  <c r="BS7" i="22"/>
  <c r="BT7" i="22"/>
  <c r="BH8" i="22"/>
  <c r="BI8" i="22"/>
  <c r="BJ8" i="22"/>
  <c r="BK8" i="22"/>
  <c r="BL8" i="22"/>
  <c r="BM8" i="22"/>
  <c r="BO8" i="22"/>
  <c r="BP8" i="22"/>
  <c r="BQ8" i="22"/>
  <c r="BR8" i="22"/>
  <c r="BS8" i="22"/>
  <c r="BT8" i="22"/>
  <c r="BK9" i="22"/>
  <c r="BM9" i="22"/>
  <c r="BQ9" i="22"/>
  <c r="BS9" i="22"/>
  <c r="BT9" i="22"/>
  <c r="BK10" i="22"/>
  <c r="BN10" i="22"/>
  <c r="BO10" i="22"/>
  <c r="BS10" i="22"/>
  <c r="BT10" i="22"/>
  <c r="BI11" i="22"/>
  <c r="BK11" i="22"/>
  <c r="BM11" i="22"/>
  <c r="BO11" i="22"/>
  <c r="BQ11" i="22"/>
  <c r="BS11" i="22"/>
  <c r="BT11" i="22"/>
  <c r="BI12" i="22"/>
  <c r="BJ12" i="22"/>
  <c r="BK12" i="22"/>
  <c r="BM12" i="22"/>
  <c r="BO12" i="22"/>
  <c r="BR12" i="22"/>
  <c r="BS12" i="22"/>
  <c r="BT12" i="22"/>
  <c r="BI13" i="22"/>
  <c r="BM13" i="22"/>
  <c r="BO13" i="22"/>
  <c r="BS13" i="22"/>
  <c r="BT13" i="22"/>
  <c r="BK14" i="22"/>
  <c r="BR14" i="22"/>
  <c r="BS14" i="22"/>
  <c r="BT14" i="22"/>
  <c r="BI15" i="22"/>
  <c r="BO15" i="22"/>
  <c r="BS15" i="22"/>
  <c r="BT15" i="22"/>
  <c r="BH16" i="22"/>
  <c r="BI16" i="22"/>
  <c r="BJ16" i="22"/>
  <c r="BK16" i="22"/>
  <c r="BL16" i="22"/>
  <c r="BM16" i="22"/>
  <c r="BN16" i="22"/>
  <c r="BO16" i="22"/>
  <c r="BP16" i="22"/>
  <c r="BQ16" i="22"/>
  <c r="BR16" i="22"/>
  <c r="BS16" i="22"/>
  <c r="BT16" i="22"/>
  <c r="BI17" i="22"/>
  <c r="BK17" i="22"/>
  <c r="BM17" i="22"/>
  <c r="BQ17" i="22"/>
  <c r="BS17" i="22"/>
  <c r="BT17" i="22"/>
  <c r="BJ18" i="22"/>
  <c r="BK18" i="22"/>
  <c r="BN18" i="22"/>
  <c r="BO18" i="22"/>
  <c r="BS18" i="22"/>
  <c r="BT18" i="22"/>
  <c r="BI19" i="22"/>
  <c r="BK19" i="22"/>
  <c r="BM19" i="22"/>
  <c r="BO19" i="22"/>
  <c r="BQ19" i="22"/>
  <c r="BT19" i="22"/>
  <c r="BI20" i="22"/>
  <c r="BJ20" i="22"/>
  <c r="BK20" i="22"/>
  <c r="BN20" i="22"/>
  <c r="BR20" i="22"/>
  <c r="BS20" i="22"/>
  <c r="BT20" i="22"/>
  <c r="BI21" i="22"/>
  <c r="BK21" i="22"/>
  <c r="BM21" i="22"/>
  <c r="BO21" i="22"/>
  <c r="BS21" i="22"/>
  <c r="BT21" i="22"/>
  <c r="BK22" i="22"/>
  <c r="BO22" i="22"/>
  <c r="BS22" i="22"/>
  <c r="BT22" i="22"/>
  <c r="BM23" i="22"/>
  <c r="BO23" i="22"/>
  <c r="BQ23" i="22"/>
  <c r="BS23" i="22"/>
  <c r="BT23" i="22"/>
  <c r="BI24" i="22"/>
  <c r="BJ24" i="22"/>
  <c r="BM24" i="22"/>
  <c r="BO24" i="22"/>
  <c r="BQ24" i="22"/>
  <c r="BR24" i="22"/>
  <c r="BT24" i="22"/>
  <c r="GF4" i="7"/>
  <c r="GF5" i="7"/>
  <c r="GF6" i="7"/>
  <c r="GF7" i="7"/>
  <c r="GF8" i="7"/>
  <c r="GF9" i="7"/>
  <c r="GF10" i="7"/>
  <c r="GF11" i="7"/>
  <c r="GF12" i="7"/>
  <c r="GF13" i="7"/>
  <c r="GF14" i="7"/>
  <c r="GF15" i="7"/>
  <c r="GF16" i="7"/>
  <c r="GF17" i="7"/>
  <c r="GF18" i="7"/>
  <c r="GF19" i="7"/>
  <c r="GF20" i="7"/>
  <c r="GF21" i="7"/>
  <c r="GF23" i="7"/>
  <c r="GF24" i="7"/>
  <c r="GE41" i="7"/>
  <c r="GC25" i="7"/>
  <c r="GD5" i="7"/>
  <c r="GD9" i="7"/>
  <c r="GD17" i="7"/>
  <c r="GA24" i="7"/>
  <c r="GA23" i="7"/>
  <c r="GA22" i="7"/>
  <c r="GA21" i="7"/>
  <c r="GA20" i="7"/>
  <c r="GA19" i="7"/>
  <c r="GA18" i="7"/>
  <c r="GA17" i="7"/>
  <c r="GA16" i="7"/>
  <c r="GA15" i="7"/>
  <c r="GA14" i="7"/>
  <c r="GA13" i="7"/>
  <c r="GA12" i="7"/>
  <c r="GA11" i="7"/>
  <c r="GA10" i="7"/>
  <c r="GA9" i="7"/>
  <c r="GA8" i="7"/>
  <c r="GA7" i="7"/>
  <c r="GA6" i="7"/>
  <c r="GA5" i="7"/>
  <c r="GA4" i="7"/>
  <c r="DR4" i="7"/>
  <c r="DR5" i="7"/>
  <c r="DR6" i="7"/>
  <c r="DR7" i="7"/>
  <c r="DR8" i="7"/>
  <c r="DR9" i="7"/>
  <c r="DR10" i="7"/>
  <c r="DR11" i="7"/>
  <c r="DR12" i="7"/>
  <c r="DR13" i="7"/>
  <c r="DR14" i="7"/>
  <c r="DS14" i="7"/>
  <c r="DR15" i="7"/>
  <c r="DR16" i="7"/>
  <c r="DR17" i="7"/>
  <c r="DR18" i="7"/>
  <c r="DR19" i="7"/>
  <c r="DR20" i="7"/>
  <c r="DR21" i="7"/>
  <c r="DS21" i="7"/>
  <c r="DR23" i="7"/>
  <c r="DR24" i="7"/>
  <c r="DR25" i="7"/>
  <c r="DS17" i="7"/>
  <c r="DO25" i="7"/>
  <c r="DP24" i="7"/>
  <c r="DP4" i="7"/>
  <c r="DP5" i="7"/>
  <c r="DP6" i="7"/>
  <c r="DP7" i="7"/>
  <c r="DP8" i="7"/>
  <c r="DP9" i="7"/>
  <c r="DP10" i="7"/>
  <c r="DP11" i="7"/>
  <c r="DP12" i="7"/>
  <c r="DP13" i="7"/>
  <c r="DP14" i="7"/>
  <c r="DP15" i="7"/>
  <c r="DP16" i="7"/>
  <c r="DP17" i="7"/>
  <c r="DP18" i="7"/>
  <c r="DP19" i="7"/>
  <c r="DP20" i="7"/>
  <c r="DP21" i="7"/>
  <c r="DP22" i="7"/>
  <c r="DP23" i="7"/>
  <c r="DM24" i="7"/>
  <c r="DM23" i="7"/>
  <c r="DM22" i="7"/>
  <c r="DM21" i="7"/>
  <c r="DM20" i="7"/>
  <c r="DM19" i="7"/>
  <c r="DM18" i="7"/>
  <c r="DM17" i="7"/>
  <c r="DM16" i="7"/>
  <c r="DM15" i="7"/>
  <c r="DM14" i="7"/>
  <c r="DM13" i="7"/>
  <c r="DM12" i="7"/>
  <c r="DM11" i="7"/>
  <c r="DM10" i="7"/>
  <c r="DM9" i="7"/>
  <c r="DM8" i="7"/>
  <c r="DM7" i="7"/>
  <c r="DM6" i="7"/>
  <c r="DM5" i="7"/>
  <c r="DM4" i="7"/>
  <c r="CV4" i="7"/>
  <c r="CV5" i="7"/>
  <c r="CV6" i="7"/>
  <c r="CV7" i="7"/>
  <c r="CV8" i="7"/>
  <c r="CV9" i="7"/>
  <c r="CV10" i="7"/>
  <c r="CV11" i="7"/>
  <c r="CV12" i="7"/>
  <c r="CV13" i="7"/>
  <c r="CV14" i="7"/>
  <c r="CV15" i="7"/>
  <c r="CV16" i="7"/>
  <c r="CV17" i="7"/>
  <c r="CV18" i="7"/>
  <c r="CV19" i="7"/>
  <c r="CV20" i="7"/>
  <c r="CV21" i="7"/>
  <c r="CV23" i="7"/>
  <c r="CV24" i="7"/>
  <c r="CV25" i="7"/>
  <c r="CS25" i="7"/>
  <c r="CT17" i="7"/>
  <c r="CT24" i="7"/>
  <c r="CT32" i="7"/>
  <c r="CT33" i="7"/>
  <c r="CT5" i="7"/>
  <c r="CT7" i="7"/>
  <c r="CT9" i="7"/>
  <c r="CT11" i="7"/>
  <c r="CT13" i="7"/>
  <c r="CT15" i="7"/>
  <c r="CT21" i="7"/>
  <c r="CT23" i="7"/>
  <c r="CQ24" i="7"/>
  <c r="CQ23" i="7"/>
  <c r="CQ22" i="7"/>
  <c r="CQ21" i="7"/>
  <c r="CQ20" i="7"/>
  <c r="CQ19" i="7"/>
  <c r="CQ18" i="7"/>
  <c r="CQ17" i="7"/>
  <c r="CQ16" i="7"/>
  <c r="CQ15" i="7"/>
  <c r="CQ14" i="7"/>
  <c r="CQ13" i="7"/>
  <c r="CQ12" i="7"/>
  <c r="CQ11" i="7"/>
  <c r="CQ10" i="7"/>
  <c r="CQ9" i="7"/>
  <c r="CQ8" i="7"/>
  <c r="CQ7" i="7"/>
  <c r="CQ6" i="7"/>
  <c r="CQ5" i="7"/>
  <c r="CQ4" i="7"/>
  <c r="H3" i="23"/>
  <c r="I3" i="23"/>
  <c r="BH3" i="22"/>
  <c r="J3" i="23"/>
  <c r="BI3" i="22"/>
  <c r="K3" i="23"/>
  <c r="BJ3" i="22"/>
  <c r="L3" i="23"/>
  <c r="M3" i="23"/>
  <c r="BL3" i="22"/>
  <c r="N3" i="23"/>
  <c r="BM3" i="22"/>
  <c r="P3" i="23"/>
  <c r="BO3" i="22"/>
  <c r="Q3" i="23"/>
  <c r="R3" i="23"/>
  <c r="S3" i="23"/>
  <c r="BR3" i="22"/>
  <c r="T3" i="23"/>
  <c r="U3" i="23"/>
  <c r="BT3" i="22"/>
  <c r="E3" i="22"/>
  <c r="V3" i="23"/>
  <c r="W3" i="23"/>
  <c r="X3" i="23"/>
  <c r="BW3" i="22"/>
  <c r="H3" i="22"/>
  <c r="H4" i="23"/>
  <c r="AE5" i="23"/>
  <c r="AB5" i="23"/>
  <c r="H6" i="23"/>
  <c r="H7" i="23"/>
  <c r="BG7" i="22"/>
  <c r="AD7" i="23"/>
  <c r="AA7" i="23"/>
  <c r="BZ7" i="22"/>
  <c r="AE7" i="23"/>
  <c r="AB7" i="23"/>
  <c r="H8" i="23"/>
  <c r="H9" i="23"/>
  <c r="BG9" i="22"/>
  <c r="AE9" i="23"/>
  <c r="AB9" i="23"/>
  <c r="CA9" i="22"/>
  <c r="H10" i="23"/>
  <c r="BG10" i="22"/>
  <c r="H11" i="23"/>
  <c r="BG11" i="22"/>
  <c r="AE11" i="23"/>
  <c r="H12" i="23"/>
  <c r="H13" i="23"/>
  <c r="BG13" i="22"/>
  <c r="AD13" i="23"/>
  <c r="CC13" i="22"/>
  <c r="AE13" i="23"/>
  <c r="H14" i="23"/>
  <c r="AD14" i="23"/>
  <c r="AE14" i="23"/>
  <c r="L14" i="7"/>
  <c r="H15" i="23"/>
  <c r="H16" i="23"/>
  <c r="BG16" i="22"/>
  <c r="H17" i="23"/>
  <c r="H18" i="23"/>
  <c r="BG18" i="22"/>
  <c r="H19" i="23"/>
  <c r="BG19" i="22"/>
  <c r="AE19" i="23"/>
  <c r="H20" i="23"/>
  <c r="H21" i="23"/>
  <c r="BG21" i="22"/>
  <c r="H22" i="23"/>
  <c r="H23" i="23"/>
  <c r="BG23" i="22"/>
  <c r="H24" i="23"/>
  <c r="Z24" i="23"/>
  <c r="AA24" i="23"/>
  <c r="AB24" i="23"/>
  <c r="CA24" i="22"/>
  <c r="AC24" i="23"/>
  <c r="AD24" i="23"/>
  <c r="AE24" i="23"/>
  <c r="H25" i="23"/>
  <c r="I25" i="23"/>
  <c r="J25" i="23"/>
  <c r="K25" i="23"/>
  <c r="L25" i="23"/>
  <c r="M25" i="23"/>
  <c r="N25" i="23"/>
  <c r="O25" i="23"/>
  <c r="P25" i="23"/>
  <c r="Q25" i="23"/>
  <c r="R25" i="23"/>
  <c r="S25" i="23"/>
  <c r="T25" i="23"/>
  <c r="U25" i="23"/>
  <c r="H26" i="23"/>
  <c r="I26" i="23"/>
  <c r="J26" i="23"/>
  <c r="K26" i="23"/>
  <c r="L26" i="23"/>
  <c r="M26" i="23"/>
  <c r="N26" i="23"/>
  <c r="O26" i="23"/>
  <c r="P26" i="23"/>
  <c r="Q26" i="23"/>
  <c r="R26" i="23"/>
  <c r="S26" i="23"/>
  <c r="T26" i="23"/>
  <c r="U26" i="23"/>
  <c r="W15" i="8"/>
  <c r="W13" i="8"/>
  <c r="W12" i="8"/>
  <c r="W11" i="8"/>
  <c r="W10" i="8"/>
  <c r="W9" i="8"/>
  <c r="W8" i="8"/>
  <c r="W7" i="8"/>
  <c r="W6" i="8"/>
  <c r="W5" i="8"/>
  <c r="W4" i="8"/>
  <c r="W3" i="8"/>
  <c r="W2" i="8"/>
  <c r="X110" i="4"/>
  <c r="W110" i="4"/>
  <c r="V110" i="4"/>
  <c r="D18" i="7"/>
  <c r="N18" i="7"/>
  <c r="D4" i="7"/>
  <c r="D5" i="7"/>
  <c r="D7" i="7"/>
  <c r="D8" i="7"/>
  <c r="D9" i="7"/>
  <c r="N9" i="7"/>
  <c r="D10" i="7"/>
  <c r="N10" i="7"/>
  <c r="D11" i="7"/>
  <c r="N11" i="7"/>
  <c r="D12" i="7"/>
  <c r="D13" i="7"/>
  <c r="D14" i="7"/>
  <c r="N14" i="7"/>
  <c r="D15" i="7"/>
  <c r="N15" i="7"/>
  <c r="D17" i="7"/>
  <c r="N17" i="7"/>
  <c r="D19" i="7"/>
  <c r="D20" i="7"/>
  <c r="D21" i="7"/>
  <c r="N21" i="7"/>
  <c r="D22" i="7"/>
  <c r="N22" i="7"/>
  <c r="D23" i="7"/>
  <c r="D24" i="7"/>
  <c r="N24" i="7"/>
  <c r="ID33" i="7"/>
  <c r="ID32" i="7"/>
  <c r="ID31" i="7"/>
  <c r="E18" i="7"/>
  <c r="E4" i="7"/>
  <c r="N4" i="7"/>
  <c r="L5" i="7"/>
  <c r="E5" i="7"/>
  <c r="HC47" i="7"/>
  <c r="E6" i="7"/>
  <c r="E7" i="7"/>
  <c r="L8" i="7"/>
  <c r="E8" i="7"/>
  <c r="N8" i="7"/>
  <c r="L9" i="7"/>
  <c r="E9" i="7"/>
  <c r="E10" i="7"/>
  <c r="E11" i="7"/>
  <c r="L12" i="7"/>
  <c r="N12" i="7"/>
  <c r="E12" i="7"/>
  <c r="E13" i="7"/>
  <c r="E14" i="7"/>
  <c r="E15" i="7"/>
  <c r="E16" i="7"/>
  <c r="E17" i="7"/>
  <c r="E19" i="7"/>
  <c r="L19" i="7"/>
  <c r="E20" i="7"/>
  <c r="N20" i="7"/>
  <c r="E21" i="7"/>
  <c r="E22" i="7"/>
  <c r="E23" i="7"/>
  <c r="E24" i="7"/>
  <c r="IF4" i="7"/>
  <c r="IF8" i="7"/>
  <c r="B118" i="13"/>
  <c r="D26" i="21"/>
  <c r="B80" i="13"/>
  <c r="C27" i="21"/>
  <c r="D27" i="21"/>
  <c r="B27" i="21"/>
  <c r="AB16" i="22"/>
  <c r="AB17" i="22"/>
  <c r="AG24" i="22"/>
  <c r="AG25" i="22"/>
  <c r="AH15" i="22"/>
  <c r="AG4" i="22"/>
  <c r="AG5" i="22"/>
  <c r="AG6" i="22"/>
  <c r="AG7" i="22"/>
  <c r="AH7" i="22"/>
  <c r="AG8" i="22"/>
  <c r="AG9" i="22"/>
  <c r="AG10" i="22"/>
  <c r="AG11" i="22"/>
  <c r="AH11" i="22"/>
  <c r="AG12" i="22"/>
  <c r="AG13" i="22"/>
  <c r="AG14" i="22"/>
  <c r="AG15" i="22"/>
  <c r="AG16" i="22"/>
  <c r="AG17" i="22"/>
  <c r="AG18" i="22"/>
  <c r="AG19" i="22"/>
  <c r="AH19" i="22"/>
  <c r="AG20" i="22"/>
  <c r="AG21" i="22"/>
  <c r="AG22" i="22"/>
  <c r="AD25" i="22"/>
  <c r="AE6" i="22"/>
  <c r="AE13" i="22"/>
  <c r="AE24" i="22"/>
  <c r="AB4" i="22"/>
  <c r="AB5" i="22"/>
  <c r="AB6" i="22"/>
  <c r="AB7" i="22"/>
  <c r="AB8" i="22"/>
  <c r="AB9" i="22"/>
  <c r="AB10" i="22"/>
  <c r="AB11" i="22"/>
  <c r="AB12" i="22"/>
  <c r="AB13" i="22"/>
  <c r="AB14" i="22"/>
  <c r="AB15" i="22"/>
  <c r="AB18" i="22"/>
  <c r="AB19" i="22"/>
  <c r="AB20" i="22"/>
  <c r="AB21" i="22"/>
  <c r="AB22" i="22"/>
  <c r="AB24" i="22"/>
  <c r="CD24" i="22"/>
  <c r="CC24" i="22"/>
  <c r="CB24" i="22"/>
  <c r="BZ24" i="22"/>
  <c r="BY24" i="22"/>
  <c r="CD23" i="22"/>
  <c r="CC23" i="22"/>
  <c r="CB23" i="22"/>
  <c r="CA23" i="22"/>
  <c r="BZ23" i="22"/>
  <c r="BY23" i="22"/>
  <c r="CD22" i="22"/>
  <c r="CC22" i="22"/>
  <c r="CB22" i="22"/>
  <c r="CA22" i="22"/>
  <c r="BZ22" i="22"/>
  <c r="BY22" i="22"/>
  <c r="CD21" i="22"/>
  <c r="CC21" i="22"/>
  <c r="CB21" i="22"/>
  <c r="CA21" i="22"/>
  <c r="BZ21" i="22"/>
  <c r="BY21" i="22"/>
  <c r="CD20" i="22"/>
  <c r="CC20" i="22"/>
  <c r="CB20" i="22"/>
  <c r="CA20" i="22"/>
  <c r="BZ20" i="22"/>
  <c r="BY20" i="22"/>
  <c r="CD19" i="22"/>
  <c r="L19" i="22"/>
  <c r="N19" i="22"/>
  <c r="CC19" i="22"/>
  <c r="CB19" i="22"/>
  <c r="CA19" i="22"/>
  <c r="BZ19" i="22"/>
  <c r="BY19" i="22"/>
  <c r="CD18" i="22"/>
  <c r="CC18" i="22"/>
  <c r="CB18" i="22"/>
  <c r="CA18" i="22"/>
  <c r="BZ18" i="22"/>
  <c r="BY18" i="22"/>
  <c r="CD17" i="22"/>
  <c r="CC17" i="22"/>
  <c r="CB17" i="22"/>
  <c r="CA17" i="22"/>
  <c r="BZ17" i="22"/>
  <c r="BY17" i="22"/>
  <c r="CD16" i="22"/>
  <c r="CC16" i="22"/>
  <c r="CB16" i="22"/>
  <c r="CA16" i="22"/>
  <c r="BZ16" i="22"/>
  <c r="BY16" i="22"/>
  <c r="CD15" i="22"/>
  <c r="CC15" i="22"/>
  <c r="CB15" i="22"/>
  <c r="CA15" i="22"/>
  <c r="BZ15" i="22"/>
  <c r="BY15" i="22"/>
  <c r="CD14" i="22"/>
  <c r="L14" i="22"/>
  <c r="CC14" i="22"/>
  <c r="CB14" i="22"/>
  <c r="CA14" i="22"/>
  <c r="BZ14" i="22"/>
  <c r="BY14" i="22"/>
  <c r="CB13" i="22"/>
  <c r="CA13" i="22"/>
  <c r="BZ13" i="22"/>
  <c r="BY13" i="22"/>
  <c r="CD12" i="22"/>
  <c r="CC12" i="22"/>
  <c r="CB12" i="22"/>
  <c r="CA12" i="22"/>
  <c r="BZ12" i="22"/>
  <c r="BY12" i="22"/>
  <c r="CD11" i="22"/>
  <c r="CC11" i="22"/>
  <c r="CB11" i="22"/>
  <c r="CA11" i="22"/>
  <c r="BZ11" i="22"/>
  <c r="BY11" i="22"/>
  <c r="CD10" i="22"/>
  <c r="CC10" i="22"/>
  <c r="CB10" i="22"/>
  <c r="CA10" i="22"/>
  <c r="BZ10" i="22"/>
  <c r="BY10" i="22"/>
  <c r="CD9" i="22"/>
  <c r="CC9" i="22"/>
  <c r="CB9" i="22"/>
  <c r="BZ9" i="22"/>
  <c r="BY9" i="22"/>
  <c r="CD8" i="22"/>
  <c r="CC8" i="22"/>
  <c r="CB8" i="22"/>
  <c r="CA8" i="22"/>
  <c r="BZ8" i="22"/>
  <c r="BY8" i="22"/>
  <c r="CD7" i="22"/>
  <c r="L7" i="22"/>
  <c r="N7" i="22"/>
  <c r="CC7" i="22"/>
  <c r="CB7" i="22"/>
  <c r="CA7" i="22"/>
  <c r="BY7" i="22"/>
  <c r="CD6" i="22"/>
  <c r="CC6" i="22"/>
  <c r="CB6" i="22"/>
  <c r="CA6" i="22"/>
  <c r="BZ6" i="22"/>
  <c r="BY6" i="22"/>
  <c r="CD5" i="22"/>
  <c r="L5" i="22"/>
  <c r="N5" i="22"/>
  <c r="CC5" i="22"/>
  <c r="CB5" i="22"/>
  <c r="CA5" i="22"/>
  <c r="BZ5" i="22"/>
  <c r="BY5" i="22"/>
  <c r="CD4" i="22"/>
  <c r="CC4" i="22"/>
  <c r="CB4" i="22"/>
  <c r="CA4" i="22"/>
  <c r="BZ4" i="22"/>
  <c r="BY4" i="22"/>
  <c r="CD3" i="22"/>
  <c r="CC3" i="22"/>
  <c r="CB3" i="22"/>
  <c r="CA3" i="22"/>
  <c r="BZ3" i="22"/>
  <c r="BY3" i="22"/>
  <c r="BW24" i="22"/>
  <c r="BV24" i="22"/>
  <c r="BG24" i="22"/>
  <c r="BW23" i="22"/>
  <c r="BV23" i="22"/>
  <c r="BU23" i="22"/>
  <c r="BV22" i="22"/>
  <c r="BG22" i="22"/>
  <c r="BW21" i="22"/>
  <c r="BV21" i="22"/>
  <c r="BU21" i="22"/>
  <c r="BW20" i="22"/>
  <c r="BV20" i="22"/>
  <c r="BG20" i="22"/>
  <c r="BV19" i="22"/>
  <c r="BU19" i="22"/>
  <c r="BW18" i="22"/>
  <c r="BU18" i="22"/>
  <c r="BV17" i="22"/>
  <c r="BU17" i="22"/>
  <c r="BG17" i="22"/>
  <c r="BW16" i="22"/>
  <c r="BV16" i="22"/>
  <c r="BU16" i="22"/>
  <c r="BW15" i="22"/>
  <c r="BV15" i="22"/>
  <c r="BU15" i="22"/>
  <c r="BG15" i="22"/>
  <c r="BW14" i="22"/>
  <c r="BV14" i="22"/>
  <c r="BU14" i="22"/>
  <c r="BG14" i="22"/>
  <c r="BV13" i="22"/>
  <c r="BU13" i="22"/>
  <c r="BW12" i="22"/>
  <c r="BV12" i="22"/>
  <c r="BU12" i="22"/>
  <c r="BG12" i="22"/>
  <c r="BV11" i="22"/>
  <c r="BU11" i="22"/>
  <c r="BW10" i="22"/>
  <c r="BU10" i="22"/>
  <c r="BW9" i="22"/>
  <c r="BU9" i="22"/>
  <c r="BW8" i="22"/>
  <c r="BV8" i="22"/>
  <c r="BU8" i="22"/>
  <c r="BG8" i="22"/>
  <c r="BW7" i="22"/>
  <c r="BV7" i="22"/>
  <c r="BU7" i="22"/>
  <c r="BW6" i="22"/>
  <c r="BV6" i="22"/>
  <c r="BU6" i="22"/>
  <c r="BG6" i="22"/>
  <c r="BV5" i="22"/>
  <c r="BG5" i="22"/>
  <c r="BW4" i="22"/>
  <c r="BV4" i="22"/>
  <c r="BU4" i="22"/>
  <c r="BG4" i="22"/>
  <c r="BV3" i="22"/>
  <c r="G3" i="22"/>
  <c r="BU3" i="22"/>
  <c r="BS3" i="22"/>
  <c r="BQ3" i="22"/>
  <c r="BP3" i="22"/>
  <c r="BN3" i="22"/>
  <c r="BK3" i="22"/>
  <c r="BG3" i="22"/>
  <c r="BG25" i="22"/>
  <c r="BH25" i="22"/>
  <c r="BI25" i="22"/>
  <c r="BJ25" i="22"/>
  <c r="BK25" i="22"/>
  <c r="BL25" i="22"/>
  <c r="BM25" i="22"/>
  <c r="BN25" i="22"/>
  <c r="BO25" i="22"/>
  <c r="BP25" i="22"/>
  <c r="BQ25" i="22"/>
  <c r="BR25" i="22"/>
  <c r="BS25" i="22"/>
  <c r="BT25" i="22"/>
  <c r="BG26" i="22"/>
  <c r="BH26" i="22"/>
  <c r="BI26" i="22"/>
  <c r="BJ26" i="22"/>
  <c r="BK26" i="22"/>
  <c r="BL26" i="22"/>
  <c r="BM26" i="22"/>
  <c r="BN26" i="22"/>
  <c r="BO26" i="22"/>
  <c r="BP26" i="22"/>
  <c r="BQ26" i="22"/>
  <c r="BR26" i="22"/>
  <c r="BS26" i="22"/>
  <c r="BT26" i="22"/>
  <c r="IF27" i="7"/>
  <c r="AN36" i="25"/>
  <c r="AL29" i="7"/>
  <c r="C1" i="9"/>
  <c r="B22" i="13"/>
  <c r="AM8" i="22"/>
  <c r="AM12" i="22"/>
  <c r="AQ12" i="22"/>
  <c r="AQ47" i="22"/>
  <c r="AR24" i="22"/>
  <c r="AR25" i="22"/>
  <c r="AO25" i="22"/>
  <c r="AP4" i="22"/>
  <c r="AP24" i="22"/>
  <c r="AR4" i="22"/>
  <c r="AR5" i="22"/>
  <c r="AR6" i="22"/>
  <c r="AR7" i="22"/>
  <c r="AR8" i="22"/>
  <c r="AR9" i="22"/>
  <c r="AR10" i="22"/>
  <c r="AR11" i="22"/>
  <c r="AR12" i="22"/>
  <c r="AR13" i="22"/>
  <c r="AR14" i="22"/>
  <c r="AS14" i="22"/>
  <c r="AR15" i="22"/>
  <c r="AR18" i="22"/>
  <c r="AR17" i="22"/>
  <c r="AR16" i="22"/>
  <c r="AR19" i="22"/>
  <c r="AR20" i="22"/>
  <c r="AR21" i="22"/>
  <c r="AR22" i="22"/>
  <c r="L9" i="22"/>
  <c r="N11" i="22"/>
  <c r="L12" i="22"/>
  <c r="N12" i="22"/>
  <c r="N15" i="22"/>
  <c r="N17" i="22"/>
  <c r="N21" i="22"/>
  <c r="N22" i="22"/>
  <c r="N24" i="22"/>
  <c r="AS16" i="22"/>
  <c r="AP5" i="22"/>
  <c r="AP6" i="22"/>
  <c r="AP9" i="22"/>
  <c r="AP10" i="22"/>
  <c r="AP13" i="22"/>
  <c r="AP14" i="22"/>
  <c r="AP17" i="22"/>
  <c r="AP16" i="22"/>
  <c r="AP21" i="22"/>
  <c r="AP22" i="22"/>
  <c r="AM24" i="22"/>
  <c r="AM22" i="22"/>
  <c r="AM21" i="22"/>
  <c r="AM20" i="22"/>
  <c r="AM19" i="22"/>
  <c r="AM16" i="22"/>
  <c r="AM17" i="22"/>
  <c r="AM18" i="22"/>
  <c r="AM15" i="22"/>
  <c r="AM14" i="22"/>
  <c r="AM13" i="22"/>
  <c r="AM11" i="22"/>
  <c r="AM10" i="22"/>
  <c r="AM9" i="22"/>
  <c r="AM7" i="22"/>
  <c r="AM6" i="22"/>
  <c r="AM5" i="22"/>
  <c r="AM4" i="22"/>
  <c r="V24" i="22"/>
  <c r="V22" i="22"/>
  <c r="V21" i="22"/>
  <c r="V20" i="22"/>
  <c r="V19" i="22"/>
  <c r="V16" i="22"/>
  <c r="V17" i="22"/>
  <c r="V18" i="22"/>
  <c r="V15" i="22"/>
  <c r="V14" i="22"/>
  <c r="V13" i="22"/>
  <c r="V12" i="22"/>
  <c r="V11" i="22"/>
  <c r="V10" i="22"/>
  <c r="V9" i="22"/>
  <c r="V8" i="22"/>
  <c r="V7" i="22"/>
  <c r="V6" i="22"/>
  <c r="V5" i="22"/>
  <c r="V4" i="22"/>
  <c r="Q24" i="22"/>
  <c r="Q22" i="22"/>
  <c r="Q21" i="22"/>
  <c r="Q20" i="22"/>
  <c r="Q19" i="22"/>
  <c r="Q16" i="22"/>
  <c r="Q17" i="22"/>
  <c r="Q18" i="22"/>
  <c r="Q15" i="22"/>
  <c r="Q14" i="22"/>
  <c r="Q13" i="22"/>
  <c r="Q12" i="22"/>
  <c r="Q11" i="22"/>
  <c r="Q10" i="22"/>
  <c r="Q9" i="22"/>
  <c r="Q8" i="22"/>
  <c r="Q7" i="22"/>
  <c r="Q6" i="22"/>
  <c r="Q5" i="22"/>
  <c r="Q4" i="22"/>
  <c r="S25" i="22"/>
  <c r="T20" i="22"/>
  <c r="T18" i="22"/>
  <c r="T4" i="22"/>
  <c r="HM24" i="7"/>
  <c r="HM23" i="7"/>
  <c r="HM21" i="7"/>
  <c r="HM20" i="7"/>
  <c r="HM19" i="7"/>
  <c r="HM16" i="7"/>
  <c r="HM17" i="7"/>
  <c r="HM18" i="7"/>
  <c r="HM15" i="7"/>
  <c r="HM14" i="7"/>
  <c r="HM13" i="7"/>
  <c r="HM12" i="7"/>
  <c r="HM11" i="7"/>
  <c r="HM10" i="7"/>
  <c r="HM9" i="7"/>
  <c r="HM8" i="7"/>
  <c r="HM7" i="7"/>
  <c r="HM6" i="7"/>
  <c r="HM5" i="7"/>
  <c r="HM4" i="7"/>
  <c r="HB24" i="7"/>
  <c r="HB25" i="7"/>
  <c r="HB23" i="7"/>
  <c r="HB21" i="7"/>
  <c r="HB20" i="7"/>
  <c r="HB19" i="7"/>
  <c r="HB16" i="7"/>
  <c r="HB17" i="7"/>
  <c r="HB18" i="7"/>
  <c r="HB15" i="7"/>
  <c r="HB14" i="7"/>
  <c r="HB13" i="7"/>
  <c r="HB12" i="7"/>
  <c r="HB11" i="7"/>
  <c r="HB10" i="7"/>
  <c r="HB9" i="7"/>
  <c r="HB8" i="7"/>
  <c r="HB7" i="7"/>
  <c r="HB6" i="7"/>
  <c r="HB5" i="7"/>
  <c r="HB4" i="7"/>
  <c r="GQ24" i="7"/>
  <c r="GQ23" i="7"/>
  <c r="GQ21" i="7"/>
  <c r="GQ20" i="7"/>
  <c r="GQ19" i="7"/>
  <c r="GR19" i="7"/>
  <c r="GQ16" i="7"/>
  <c r="GQ17" i="7"/>
  <c r="GQ18" i="7"/>
  <c r="GQ15" i="7"/>
  <c r="GQ14" i="7"/>
  <c r="GQ13" i="7"/>
  <c r="GQ12" i="7"/>
  <c r="GQ11" i="7"/>
  <c r="GQ10" i="7"/>
  <c r="GQ9" i="7"/>
  <c r="GQ8" i="7"/>
  <c r="GQ7" i="7"/>
  <c r="GQ6" i="7"/>
  <c r="GQ5" i="7"/>
  <c r="GQ4" i="7"/>
  <c r="C3" i="22"/>
  <c r="F3" i="22"/>
  <c r="AX31" i="22"/>
  <c r="AX32" i="22"/>
  <c r="AX33" i="22"/>
  <c r="R47" i="22"/>
  <c r="V47" i="22"/>
  <c r="IG33" i="7"/>
  <c r="IG32" i="7"/>
  <c r="IG31" i="7"/>
  <c r="H22" i="7"/>
  <c r="G22" i="7"/>
  <c r="C22" i="7"/>
  <c r="IJ4" i="7"/>
  <c r="IJ33" i="7"/>
  <c r="IJ32" i="7"/>
  <c r="IJ31" i="7"/>
  <c r="HU25" i="7"/>
  <c r="HV22" i="7"/>
  <c r="HX24" i="7"/>
  <c r="HX25" i="7"/>
  <c r="HY22" i="7"/>
  <c r="HS22" i="7"/>
  <c r="HJ25" i="7"/>
  <c r="HK22" i="7"/>
  <c r="HM25" i="7"/>
  <c r="HH22" i="7"/>
  <c r="GY25" i="7"/>
  <c r="GZ22" i="7"/>
  <c r="HC22" i="7"/>
  <c r="GW22" i="7"/>
  <c r="GL22" i="7"/>
  <c r="GQ25" i="7"/>
  <c r="GR22" i="7"/>
  <c r="GN25" i="7"/>
  <c r="GO13" i="7"/>
  <c r="GR4" i="7"/>
  <c r="GR8" i="7"/>
  <c r="GR9" i="7"/>
  <c r="GR13" i="7"/>
  <c r="GR15" i="7"/>
  <c r="GR20" i="7"/>
  <c r="GL4" i="7"/>
  <c r="GL6" i="7"/>
  <c r="GL7" i="7"/>
  <c r="GL8" i="7"/>
  <c r="GL9" i="7"/>
  <c r="GL10" i="7"/>
  <c r="GL11" i="7"/>
  <c r="GL12" i="7"/>
  <c r="GL13" i="7"/>
  <c r="GL14" i="7"/>
  <c r="GL15" i="7"/>
  <c r="GL17" i="7"/>
  <c r="GL18" i="7"/>
  <c r="GL16" i="7"/>
  <c r="GL19" i="7"/>
  <c r="GL20" i="7"/>
  <c r="GL21" i="7"/>
  <c r="GL23" i="7"/>
  <c r="GL24" i="7"/>
  <c r="FP22" i="7"/>
  <c r="FU24" i="7"/>
  <c r="FU25" i="7"/>
  <c r="FV22" i="7"/>
  <c r="FR25" i="7"/>
  <c r="FS11" i="7"/>
  <c r="FS22" i="7"/>
  <c r="FP4" i="7"/>
  <c r="FP5" i="7"/>
  <c r="FP6" i="7"/>
  <c r="FP7" i="7"/>
  <c r="FP8" i="7"/>
  <c r="FP9" i="7"/>
  <c r="FP10" i="7"/>
  <c r="FP11" i="7"/>
  <c r="FP12" i="7"/>
  <c r="FP13" i="7"/>
  <c r="FP14" i="7"/>
  <c r="FP15" i="7"/>
  <c r="FP17" i="7"/>
  <c r="FP18" i="7"/>
  <c r="FP16" i="7"/>
  <c r="FP19" i="7"/>
  <c r="FP20" i="7"/>
  <c r="FP21" i="7"/>
  <c r="FP23" i="7"/>
  <c r="FP24" i="7"/>
  <c r="FU4" i="7"/>
  <c r="FV4" i="7"/>
  <c r="FU5" i="7"/>
  <c r="FV5" i="7"/>
  <c r="FU6" i="7"/>
  <c r="FU7" i="7"/>
  <c r="FV7" i="7"/>
  <c r="FU8" i="7"/>
  <c r="FU9" i="7"/>
  <c r="FV9" i="7"/>
  <c r="FU10" i="7"/>
  <c r="FU11" i="7"/>
  <c r="FV11" i="7"/>
  <c r="FU12" i="7"/>
  <c r="FV12" i="7"/>
  <c r="FU13" i="7"/>
  <c r="FV13" i="7"/>
  <c r="FU14" i="7"/>
  <c r="FU15" i="7"/>
  <c r="FV15" i="7"/>
  <c r="FU17" i="7"/>
  <c r="FU18" i="7"/>
  <c r="FV18" i="7"/>
  <c r="FU16" i="7"/>
  <c r="FU19" i="7"/>
  <c r="FV19" i="7"/>
  <c r="FU20" i="7"/>
  <c r="FV20" i="7"/>
  <c r="FU21" i="7"/>
  <c r="FU23" i="7"/>
  <c r="FS4" i="7"/>
  <c r="FS5" i="7"/>
  <c r="FS8" i="7"/>
  <c r="FS9" i="7"/>
  <c r="FS15" i="7"/>
  <c r="FS17" i="7"/>
  <c r="FS19" i="7"/>
  <c r="FS20" i="7"/>
  <c r="FS21" i="7"/>
  <c r="FE22" i="7"/>
  <c r="FJ24" i="7"/>
  <c r="FJ25" i="7"/>
  <c r="FG25" i="7"/>
  <c r="FH22" i="7"/>
  <c r="FE4" i="7"/>
  <c r="FE5" i="7"/>
  <c r="FE6" i="7"/>
  <c r="FE7" i="7"/>
  <c r="FE8" i="7"/>
  <c r="FE9" i="7"/>
  <c r="FE10" i="7"/>
  <c r="FE11" i="7"/>
  <c r="FE12" i="7"/>
  <c r="FE13" i="7"/>
  <c r="FE14" i="7"/>
  <c r="FE15" i="7"/>
  <c r="FE17" i="7"/>
  <c r="FE18" i="7"/>
  <c r="FE16" i="7"/>
  <c r="FE19" i="7"/>
  <c r="FE20" i="7"/>
  <c r="FE21" i="7"/>
  <c r="FE23" i="7"/>
  <c r="FE24" i="7"/>
  <c r="FJ4" i="7"/>
  <c r="FJ5" i="7"/>
  <c r="FK5" i="7"/>
  <c r="FJ6" i="7"/>
  <c r="FJ7" i="7"/>
  <c r="FJ8" i="7"/>
  <c r="FJ9" i="7"/>
  <c r="FJ10" i="7"/>
  <c r="FJ11" i="7"/>
  <c r="FJ12" i="7"/>
  <c r="FJ13" i="7"/>
  <c r="FJ14" i="7"/>
  <c r="FJ15" i="7"/>
  <c r="FJ17" i="7"/>
  <c r="FJ18" i="7"/>
  <c r="FJ16" i="7"/>
  <c r="FJ19" i="7"/>
  <c r="FJ20" i="7"/>
  <c r="FJ21" i="7"/>
  <c r="FJ23" i="7"/>
  <c r="FH4" i="7"/>
  <c r="FH7" i="7"/>
  <c r="FH11" i="7"/>
  <c r="FH12" i="7"/>
  <c r="FH15" i="7"/>
  <c r="FH16" i="7"/>
  <c r="FH23" i="7"/>
  <c r="FH24" i="7"/>
  <c r="ET22" i="7"/>
  <c r="EY24" i="7"/>
  <c r="EY25" i="7"/>
  <c r="EZ6" i="7"/>
  <c r="EV25" i="7"/>
  <c r="EW22" i="7"/>
  <c r="ET4" i="7"/>
  <c r="ET5" i="7"/>
  <c r="ET6" i="7"/>
  <c r="ET7" i="7"/>
  <c r="ET8" i="7"/>
  <c r="ET9" i="7"/>
  <c r="ET10" i="7"/>
  <c r="ET11" i="7"/>
  <c r="ET12" i="7"/>
  <c r="ET13" i="7"/>
  <c r="ET14" i="7"/>
  <c r="ET15" i="7"/>
  <c r="ET17" i="7"/>
  <c r="ET18" i="7"/>
  <c r="ET16" i="7"/>
  <c r="ET19" i="7"/>
  <c r="ET20" i="7"/>
  <c r="ET21" i="7"/>
  <c r="ET23" i="7"/>
  <c r="ET24" i="7"/>
  <c r="EY4" i="7"/>
  <c r="EZ4" i="7"/>
  <c r="EY5" i="7"/>
  <c r="EY6" i="7"/>
  <c r="EY7" i="7"/>
  <c r="EY8" i="7"/>
  <c r="EY9" i="7"/>
  <c r="EY10" i="7"/>
  <c r="EZ10" i="7"/>
  <c r="EY11" i="7"/>
  <c r="EY12" i="7"/>
  <c r="EY13" i="7"/>
  <c r="EY14" i="7"/>
  <c r="EY15" i="7"/>
  <c r="EZ15" i="7"/>
  <c r="EY17" i="7"/>
  <c r="EZ17" i="7"/>
  <c r="EY18" i="7"/>
  <c r="EY16" i="7"/>
  <c r="EY19" i="7"/>
  <c r="EY20" i="7"/>
  <c r="EY21" i="7"/>
  <c r="EZ21" i="7"/>
  <c r="EY23" i="7"/>
  <c r="EW4" i="7"/>
  <c r="EW5" i="7"/>
  <c r="EW6" i="7"/>
  <c r="EW7" i="7"/>
  <c r="EW8" i="7"/>
  <c r="EW9" i="7"/>
  <c r="EW10" i="7"/>
  <c r="EW11" i="7"/>
  <c r="EW12" i="7"/>
  <c r="EW13" i="7"/>
  <c r="EW14" i="7"/>
  <c r="EW15" i="7"/>
  <c r="EW17" i="7"/>
  <c r="EW18" i="7"/>
  <c r="EW16" i="7"/>
  <c r="EW19" i="7"/>
  <c r="EW20" i="7"/>
  <c r="EW21" i="7"/>
  <c r="EW23" i="7"/>
  <c r="EW24" i="7"/>
  <c r="EI22" i="7"/>
  <c r="EN24" i="7"/>
  <c r="EK25" i="7"/>
  <c r="EL5" i="7"/>
  <c r="EL22" i="7"/>
  <c r="EI4" i="7"/>
  <c r="EI5" i="7"/>
  <c r="EI6" i="7"/>
  <c r="EI7" i="7"/>
  <c r="EI8" i="7"/>
  <c r="EI9" i="7"/>
  <c r="EI10" i="7"/>
  <c r="EI11" i="7"/>
  <c r="EI12" i="7"/>
  <c r="EI13" i="7"/>
  <c r="EI14" i="7"/>
  <c r="EI15" i="7"/>
  <c r="EI17" i="7"/>
  <c r="EI18" i="7"/>
  <c r="EI16" i="7"/>
  <c r="EI19" i="7"/>
  <c r="EI20" i="7"/>
  <c r="EI21" i="7"/>
  <c r="EI23" i="7"/>
  <c r="EI24" i="7"/>
  <c r="EN4" i="7"/>
  <c r="EN5" i="7"/>
  <c r="EN6" i="7"/>
  <c r="EN7" i="7"/>
  <c r="EN8" i="7"/>
  <c r="EN9" i="7"/>
  <c r="EN10" i="7"/>
  <c r="EN11" i="7"/>
  <c r="EN12" i="7"/>
  <c r="EN13" i="7"/>
  <c r="EN14" i="7"/>
  <c r="EN15" i="7"/>
  <c r="EN17" i="7"/>
  <c r="EN18" i="7"/>
  <c r="EN16" i="7"/>
  <c r="EN19" i="7"/>
  <c r="EN20" i="7"/>
  <c r="EN21" i="7"/>
  <c r="EN23" i="7"/>
  <c r="EL4" i="7"/>
  <c r="EL7" i="7"/>
  <c r="EL8" i="7"/>
  <c r="EL9" i="7"/>
  <c r="EL10" i="7"/>
  <c r="EL11" i="7"/>
  <c r="EL12" i="7"/>
  <c r="EL15" i="7"/>
  <c r="EL17" i="7"/>
  <c r="EL18" i="7"/>
  <c r="EL16" i="7"/>
  <c r="EL19" i="7"/>
  <c r="EL20" i="7"/>
  <c r="EL24" i="7"/>
  <c r="DX22" i="7"/>
  <c r="EC24" i="7"/>
  <c r="EC25" i="7"/>
  <c r="ED22" i="7"/>
  <c r="DZ25" i="7"/>
  <c r="DX4" i="7"/>
  <c r="DX5" i="7"/>
  <c r="DX6" i="7"/>
  <c r="DX7" i="7"/>
  <c r="DX8" i="7"/>
  <c r="DX9" i="7"/>
  <c r="DX10" i="7"/>
  <c r="DX11" i="7"/>
  <c r="DX12" i="7"/>
  <c r="DX13" i="7"/>
  <c r="DX14" i="7"/>
  <c r="DX15" i="7"/>
  <c r="DX17" i="7"/>
  <c r="DX18" i="7"/>
  <c r="DX16" i="7"/>
  <c r="DX19" i="7"/>
  <c r="DX20" i="7"/>
  <c r="DX21" i="7"/>
  <c r="DX23" i="7"/>
  <c r="DX24" i="7"/>
  <c r="EC4" i="7"/>
  <c r="ED4" i="7"/>
  <c r="EC5" i="7"/>
  <c r="ED5" i="7"/>
  <c r="EC6" i="7"/>
  <c r="ED6" i="7"/>
  <c r="EC7" i="7"/>
  <c r="ED7" i="7"/>
  <c r="EC8" i="7"/>
  <c r="EC9" i="7"/>
  <c r="ED9" i="7"/>
  <c r="EC10" i="7"/>
  <c r="ED10" i="7"/>
  <c r="EC11" i="7"/>
  <c r="ED11" i="7"/>
  <c r="EC12" i="7"/>
  <c r="ED12" i="7"/>
  <c r="EC13" i="7"/>
  <c r="ED13" i="7"/>
  <c r="EC14" i="7"/>
  <c r="EC15" i="7"/>
  <c r="ED15" i="7"/>
  <c r="EC17" i="7"/>
  <c r="EC18" i="7"/>
  <c r="ED18" i="7"/>
  <c r="EC16" i="7"/>
  <c r="ED16" i="7"/>
  <c r="EC19" i="7"/>
  <c r="ED19" i="7"/>
  <c r="EC20" i="7"/>
  <c r="ED20" i="7"/>
  <c r="EC21" i="7"/>
  <c r="EC23" i="7"/>
  <c r="ED24" i="7"/>
  <c r="ED33" i="7"/>
  <c r="DB22" i="7"/>
  <c r="DG24" i="7"/>
  <c r="DD25" i="7"/>
  <c r="DB4" i="7"/>
  <c r="DB5" i="7"/>
  <c r="DB6" i="7"/>
  <c r="DB7" i="7"/>
  <c r="DB8" i="7"/>
  <c r="DB9" i="7"/>
  <c r="DB10" i="7"/>
  <c r="DB11" i="7"/>
  <c r="DB12" i="7"/>
  <c r="DB13" i="7"/>
  <c r="DB14" i="7"/>
  <c r="DB15" i="7"/>
  <c r="DB17" i="7"/>
  <c r="DB18" i="7"/>
  <c r="DB16" i="7"/>
  <c r="DB19" i="7"/>
  <c r="DB20" i="7"/>
  <c r="DB21" i="7"/>
  <c r="DB23" i="7"/>
  <c r="DB24" i="7"/>
  <c r="DG4" i="7"/>
  <c r="DG5" i="7"/>
  <c r="DG6" i="7"/>
  <c r="DG7" i="7"/>
  <c r="DG8" i="7"/>
  <c r="DG9" i="7"/>
  <c r="DG10" i="7"/>
  <c r="DG11" i="7"/>
  <c r="DG12" i="7"/>
  <c r="DG13" i="7"/>
  <c r="DG14" i="7"/>
  <c r="DG15" i="7"/>
  <c r="DG17" i="7"/>
  <c r="DG18" i="7"/>
  <c r="DG16" i="7"/>
  <c r="DG19" i="7"/>
  <c r="DG20" i="7"/>
  <c r="DG21" i="7"/>
  <c r="DG23" i="7"/>
  <c r="DE6" i="7"/>
  <c r="DE11" i="7"/>
  <c r="DE14" i="7"/>
  <c r="DE16" i="7"/>
  <c r="DE23" i="7"/>
  <c r="CF22" i="7"/>
  <c r="CK24" i="7"/>
  <c r="CK25" i="7"/>
  <c r="CH25" i="7"/>
  <c r="CI5" i="7"/>
  <c r="CI22" i="7"/>
  <c r="CF4" i="7"/>
  <c r="CF5" i="7"/>
  <c r="CF6" i="7"/>
  <c r="CF7" i="7"/>
  <c r="CF8" i="7"/>
  <c r="CF9" i="7"/>
  <c r="CF10" i="7"/>
  <c r="CF11" i="7"/>
  <c r="CF12" i="7"/>
  <c r="CF13" i="7"/>
  <c r="CF14" i="7"/>
  <c r="CF15" i="7"/>
  <c r="CF17" i="7"/>
  <c r="CF18" i="7"/>
  <c r="CF16" i="7"/>
  <c r="CF19" i="7"/>
  <c r="CF20" i="7"/>
  <c r="CF21" i="7"/>
  <c r="CF23" i="7"/>
  <c r="CF24" i="7"/>
  <c r="CK4" i="7"/>
  <c r="CL4" i="7"/>
  <c r="CK5" i="7"/>
  <c r="CL5" i="7"/>
  <c r="CK6" i="7"/>
  <c r="CK7" i="7"/>
  <c r="CK8" i="7"/>
  <c r="CK9" i="7"/>
  <c r="CK10" i="7"/>
  <c r="CK11" i="7"/>
  <c r="CK12" i="7"/>
  <c r="CL12" i="7"/>
  <c r="CK13" i="7"/>
  <c r="CK14" i="7"/>
  <c r="CL14" i="7"/>
  <c r="CK15" i="7"/>
  <c r="CK17" i="7"/>
  <c r="CK18" i="7"/>
  <c r="CL18" i="7"/>
  <c r="CK16" i="7"/>
  <c r="CK19" i="7"/>
  <c r="CK20" i="7"/>
  <c r="CK21" i="7"/>
  <c r="CK23" i="7"/>
  <c r="CI7" i="7"/>
  <c r="CI9" i="7"/>
  <c r="CI10" i="7"/>
  <c r="CI11" i="7"/>
  <c r="CI13" i="7"/>
  <c r="CI14" i="7"/>
  <c r="CI16" i="7"/>
  <c r="CI19" i="7"/>
  <c r="CI21" i="7"/>
  <c r="CI23" i="7"/>
  <c r="CI24" i="7"/>
  <c r="BU22" i="7"/>
  <c r="BZ24" i="7"/>
  <c r="BW25" i="7"/>
  <c r="BX22" i="7"/>
  <c r="BU4" i="7"/>
  <c r="BU5" i="7"/>
  <c r="BU6" i="7"/>
  <c r="BU7" i="7"/>
  <c r="BU8" i="7"/>
  <c r="BU9" i="7"/>
  <c r="BU10" i="7"/>
  <c r="BU11" i="7"/>
  <c r="BU12" i="7"/>
  <c r="BU13" i="7"/>
  <c r="BU14" i="7"/>
  <c r="BU15" i="7"/>
  <c r="BU17" i="7"/>
  <c r="BU18" i="7"/>
  <c r="BU16" i="7"/>
  <c r="BU19" i="7"/>
  <c r="BU20" i="7"/>
  <c r="BU21" i="7"/>
  <c r="BU23" i="7"/>
  <c r="BU24" i="7"/>
  <c r="BZ4" i="7"/>
  <c r="BZ5" i="7"/>
  <c r="BZ6" i="7"/>
  <c r="BZ7" i="7"/>
  <c r="BZ38" i="7"/>
  <c r="BZ8" i="7"/>
  <c r="BZ9" i="7"/>
  <c r="BZ10" i="7"/>
  <c r="BZ11" i="7"/>
  <c r="BZ12" i="7"/>
  <c r="BZ13" i="7"/>
  <c r="BZ14" i="7"/>
  <c r="BZ15" i="7"/>
  <c r="BZ17" i="7"/>
  <c r="BZ18" i="7"/>
  <c r="BZ16" i="7"/>
  <c r="BZ19" i="7"/>
  <c r="BZ20" i="7"/>
  <c r="BZ21" i="7"/>
  <c r="BZ23" i="7"/>
  <c r="BX4" i="7"/>
  <c r="BX5" i="7"/>
  <c r="BX6" i="7"/>
  <c r="BX7" i="7"/>
  <c r="BX8" i="7"/>
  <c r="BX9" i="7"/>
  <c r="BX10" i="7"/>
  <c r="BX11" i="7"/>
  <c r="BX12" i="7"/>
  <c r="BX13" i="7"/>
  <c r="BX14" i="7"/>
  <c r="BX15" i="7"/>
  <c r="BX17" i="7"/>
  <c r="BX18" i="7"/>
  <c r="BX16" i="7"/>
  <c r="BX19" i="7"/>
  <c r="BX20" i="7"/>
  <c r="BX21" i="7"/>
  <c r="BX23" i="7"/>
  <c r="BX24" i="7"/>
  <c r="BJ22" i="7"/>
  <c r="BO24" i="7"/>
  <c r="BO25" i="7"/>
  <c r="BL25" i="7"/>
  <c r="BM22" i="7"/>
  <c r="BJ4" i="7"/>
  <c r="BJ5" i="7"/>
  <c r="BJ6" i="7"/>
  <c r="BJ7" i="7"/>
  <c r="BJ8" i="7"/>
  <c r="BJ9" i="7"/>
  <c r="BJ10" i="7"/>
  <c r="BJ11" i="7"/>
  <c r="BJ12" i="7"/>
  <c r="BJ13" i="7"/>
  <c r="BJ14" i="7"/>
  <c r="BJ15" i="7"/>
  <c r="BJ17" i="7"/>
  <c r="BJ18" i="7"/>
  <c r="BJ16" i="7"/>
  <c r="BJ19" i="7"/>
  <c r="BJ20" i="7"/>
  <c r="BJ21" i="7"/>
  <c r="BJ23" i="7"/>
  <c r="BJ24" i="7"/>
  <c r="BO4" i="7"/>
  <c r="BO5" i="7"/>
  <c r="BP5" i="7"/>
  <c r="BO6" i="7"/>
  <c r="BO7" i="7"/>
  <c r="BO8" i="7"/>
  <c r="BO9" i="7"/>
  <c r="BP9" i="7"/>
  <c r="BO10" i="7"/>
  <c r="BP10" i="7"/>
  <c r="BO11" i="7"/>
  <c r="BO12" i="7"/>
  <c r="BO13" i="7"/>
  <c r="BP13" i="7"/>
  <c r="BO14" i="7"/>
  <c r="BO15" i="7"/>
  <c r="BO17" i="7"/>
  <c r="BO18" i="7"/>
  <c r="BP18" i="7"/>
  <c r="BO16" i="7"/>
  <c r="BP16" i="7"/>
  <c r="BO19" i="7"/>
  <c r="BO20" i="7"/>
  <c r="BO21" i="7"/>
  <c r="BP21" i="7"/>
  <c r="BO23" i="7"/>
  <c r="BM4" i="7"/>
  <c r="BM8" i="7"/>
  <c r="BM12" i="7"/>
  <c r="BM24" i="7"/>
  <c r="AY22" i="7"/>
  <c r="BD24" i="7"/>
  <c r="BD25" i="7"/>
  <c r="BE22" i="7"/>
  <c r="BA25" i="7"/>
  <c r="AY4" i="7"/>
  <c r="AY5" i="7"/>
  <c r="AY6" i="7"/>
  <c r="AY7" i="7"/>
  <c r="AY8" i="7"/>
  <c r="AY9" i="7"/>
  <c r="AY10" i="7"/>
  <c r="AY11" i="7"/>
  <c r="AY12" i="7"/>
  <c r="AY13" i="7"/>
  <c r="AY14" i="7"/>
  <c r="AY15" i="7"/>
  <c r="AY17" i="7"/>
  <c r="AY18" i="7"/>
  <c r="AY16" i="7"/>
  <c r="AY19" i="7"/>
  <c r="AY20" i="7"/>
  <c r="AY21" i="7"/>
  <c r="AY23" i="7"/>
  <c r="AY24" i="7"/>
  <c r="BD4" i="7"/>
  <c r="BE4" i="7"/>
  <c r="BD5" i="7"/>
  <c r="BD6" i="7"/>
  <c r="BE6" i="7"/>
  <c r="BD7" i="7"/>
  <c r="BE7" i="7"/>
  <c r="BD8" i="7"/>
  <c r="BE8" i="7"/>
  <c r="BD9" i="7"/>
  <c r="BE9" i="7"/>
  <c r="BD10" i="7"/>
  <c r="BD11" i="7"/>
  <c r="BE11" i="7"/>
  <c r="BD12" i="7"/>
  <c r="BE12" i="7"/>
  <c r="BD13" i="7"/>
  <c r="BE13" i="7"/>
  <c r="BD14" i="7"/>
  <c r="BE14" i="7"/>
  <c r="BD15" i="7"/>
  <c r="BE15" i="7"/>
  <c r="BD17" i="7"/>
  <c r="BE17" i="7"/>
  <c r="BD18" i="7"/>
  <c r="BE18" i="7"/>
  <c r="BD16" i="7"/>
  <c r="BE16" i="7"/>
  <c r="BD19" i="7"/>
  <c r="BE19" i="7"/>
  <c r="BD20" i="7"/>
  <c r="BE20" i="7"/>
  <c r="BD21" i="7"/>
  <c r="BE21" i="7"/>
  <c r="BD23" i="7"/>
  <c r="BE23" i="7"/>
  <c r="BB6" i="7"/>
  <c r="BB7" i="7"/>
  <c r="BB10" i="7"/>
  <c r="BB14" i="7"/>
  <c r="BB15" i="7"/>
  <c r="BB16" i="7"/>
  <c r="BB23" i="7"/>
  <c r="BB24" i="7"/>
  <c r="AN22" i="7"/>
  <c r="AS24" i="7"/>
  <c r="AS25" i="7"/>
  <c r="AP25" i="7"/>
  <c r="AQ22" i="7"/>
  <c r="AN4" i="7"/>
  <c r="AN5" i="7"/>
  <c r="AN6" i="7"/>
  <c r="AN7" i="7"/>
  <c r="AN8" i="7"/>
  <c r="AN10" i="7"/>
  <c r="AN11" i="7"/>
  <c r="AN12" i="7"/>
  <c r="AN13" i="7"/>
  <c r="AN14" i="7"/>
  <c r="AN15" i="7"/>
  <c r="AN17" i="7"/>
  <c r="AN18" i="7"/>
  <c r="AN16" i="7"/>
  <c r="AN19" i="7"/>
  <c r="AN20" i="7"/>
  <c r="AN21" i="7"/>
  <c r="AN23" i="7"/>
  <c r="AN24" i="7"/>
  <c r="AS4" i="7"/>
  <c r="AS5" i="7"/>
  <c r="AS6" i="7"/>
  <c r="AS7" i="7"/>
  <c r="AS8" i="7"/>
  <c r="AS9" i="7"/>
  <c r="AS10" i="7"/>
  <c r="AT10" i="7"/>
  <c r="AS11" i="7"/>
  <c r="AS12" i="7"/>
  <c r="AS13" i="7"/>
  <c r="AT13" i="7"/>
  <c r="AS14" i="7"/>
  <c r="AS15" i="7"/>
  <c r="AS17" i="7"/>
  <c r="AS18" i="7"/>
  <c r="AS16" i="7"/>
  <c r="AS19" i="7"/>
  <c r="AS20" i="7"/>
  <c r="AS46" i="7"/>
  <c r="AS21" i="7"/>
  <c r="AT21" i="7"/>
  <c r="AS23" i="7"/>
  <c r="AQ4" i="7"/>
  <c r="AQ6" i="7"/>
  <c r="AQ7" i="7"/>
  <c r="AQ8" i="7"/>
  <c r="AQ10" i="7"/>
  <c r="AQ11" i="7"/>
  <c r="AQ12" i="7"/>
  <c r="AQ14" i="7"/>
  <c r="AQ15" i="7"/>
  <c r="AQ17" i="7"/>
  <c r="AQ16" i="7"/>
  <c r="AQ19" i="7"/>
  <c r="AQ20" i="7"/>
  <c r="AQ23" i="7"/>
  <c r="AQ24" i="7"/>
  <c r="AC22" i="7"/>
  <c r="AH24" i="7"/>
  <c r="AH25" i="7"/>
  <c r="AI6" i="7"/>
  <c r="AE25" i="7"/>
  <c r="AC4" i="7"/>
  <c r="AC5" i="7"/>
  <c r="AC6" i="7"/>
  <c r="AC7" i="7"/>
  <c r="AC8" i="7"/>
  <c r="AC10" i="7"/>
  <c r="AC11" i="7"/>
  <c r="AC12" i="7"/>
  <c r="AC13" i="7"/>
  <c r="AC14" i="7"/>
  <c r="AC15" i="7"/>
  <c r="AC17" i="7"/>
  <c r="AC18" i="7"/>
  <c r="AC16" i="7"/>
  <c r="AC19" i="7"/>
  <c r="AC20" i="7"/>
  <c r="AC21" i="7"/>
  <c r="AC23" i="7"/>
  <c r="AC24" i="7"/>
  <c r="AG4" i="7"/>
  <c r="AI4" i="7"/>
  <c r="AH4" i="7"/>
  <c r="AH5" i="7"/>
  <c r="AI5" i="7"/>
  <c r="AH6" i="7"/>
  <c r="AH7" i="7"/>
  <c r="AI7" i="7"/>
  <c r="AH8" i="7"/>
  <c r="AH9" i="7"/>
  <c r="AH10" i="7"/>
  <c r="AH11" i="7"/>
  <c r="AH12" i="7"/>
  <c r="AH13" i="7"/>
  <c r="AI13" i="7"/>
  <c r="AH14" i="7"/>
  <c r="AH15" i="7"/>
  <c r="AH17" i="7"/>
  <c r="AH18" i="7"/>
  <c r="AI18" i="7"/>
  <c r="AH16" i="7"/>
  <c r="AI16" i="7"/>
  <c r="AH19" i="7"/>
  <c r="AH20" i="7"/>
  <c r="AI20" i="7"/>
  <c r="AH21" i="7"/>
  <c r="AH23" i="7"/>
  <c r="AF6" i="7"/>
  <c r="AF13" i="7"/>
  <c r="AF18" i="7"/>
  <c r="AF24" i="7"/>
  <c r="R22" i="7"/>
  <c r="W24" i="7"/>
  <c r="W25" i="7"/>
  <c r="X22" i="7"/>
  <c r="T25" i="7"/>
  <c r="U22" i="7"/>
  <c r="R4" i="7"/>
  <c r="R5" i="7"/>
  <c r="R6" i="7"/>
  <c r="R7" i="7"/>
  <c r="R8" i="7"/>
  <c r="R10" i="7"/>
  <c r="R11" i="7"/>
  <c r="R12" i="7"/>
  <c r="R13" i="7"/>
  <c r="R14" i="7"/>
  <c r="R15" i="7"/>
  <c r="R17" i="7"/>
  <c r="R18" i="7"/>
  <c r="R16" i="7"/>
  <c r="R19" i="7"/>
  <c r="R20" i="7"/>
  <c r="R21" i="7"/>
  <c r="R23" i="7"/>
  <c r="R24" i="7"/>
  <c r="V4" i="7"/>
  <c r="X4" i="7"/>
  <c r="W4" i="7"/>
  <c r="W5" i="7"/>
  <c r="W6" i="7"/>
  <c r="X6" i="7"/>
  <c r="W7" i="7"/>
  <c r="X7" i="7"/>
  <c r="W8" i="7"/>
  <c r="W9" i="7"/>
  <c r="W10" i="7"/>
  <c r="X10" i="7"/>
  <c r="W11" i="7"/>
  <c r="X11" i="7"/>
  <c r="W12" i="7"/>
  <c r="W13" i="7"/>
  <c r="W14" i="7"/>
  <c r="X14" i="7"/>
  <c r="W15" i="7"/>
  <c r="X15" i="7"/>
  <c r="W17" i="7"/>
  <c r="W18" i="7"/>
  <c r="W16" i="7"/>
  <c r="X16" i="7"/>
  <c r="W19" i="7"/>
  <c r="W20" i="7"/>
  <c r="W21" i="7"/>
  <c r="W23" i="7"/>
  <c r="X23" i="7"/>
  <c r="U4" i="7"/>
  <c r="U5" i="7"/>
  <c r="U6" i="7"/>
  <c r="U7" i="7"/>
  <c r="U8" i="7"/>
  <c r="U9" i="7"/>
  <c r="U10" i="7"/>
  <c r="U11" i="7"/>
  <c r="U12" i="7"/>
  <c r="U13" i="7"/>
  <c r="U14" i="7"/>
  <c r="U15" i="7"/>
  <c r="U17" i="7"/>
  <c r="U18" i="7"/>
  <c r="U16" i="7"/>
  <c r="U19" i="7"/>
  <c r="U20" i="7"/>
  <c r="U21" i="7"/>
  <c r="U23" i="7"/>
  <c r="U24" i="7"/>
  <c r="B84" i="13"/>
  <c r="B101" i="13"/>
  <c r="B116" i="13"/>
  <c r="Q9" i="18"/>
  <c r="V9" i="18"/>
  <c r="U9" i="18"/>
  <c r="R9" i="18"/>
  <c r="N9" i="18"/>
  <c r="L9" i="18"/>
  <c r="J9" i="18"/>
  <c r="H9" i="18"/>
  <c r="D9" i="18"/>
  <c r="B126" i="13"/>
  <c r="F23" i="7"/>
  <c r="B128" i="13"/>
  <c r="B66" i="13"/>
  <c r="B67" i="13"/>
  <c r="C33" i="21"/>
  <c r="D33" i="21"/>
  <c r="D32" i="21"/>
  <c r="B83" i="13"/>
  <c r="C31" i="21"/>
  <c r="D31" i="21"/>
  <c r="B82" i="13"/>
  <c r="B99" i="13"/>
  <c r="D30" i="21"/>
  <c r="D29" i="21"/>
  <c r="D28" i="21"/>
  <c r="C25" i="21"/>
  <c r="D25" i="21"/>
  <c r="B79" i="13"/>
  <c r="B96" i="13"/>
  <c r="D24" i="21"/>
  <c r="C23" i="21"/>
  <c r="D23" i="21"/>
  <c r="D22" i="21"/>
  <c r="B78" i="13"/>
  <c r="C20" i="21"/>
  <c r="D20" i="21"/>
  <c r="C19" i="21"/>
  <c r="D19" i="21"/>
  <c r="D18" i="21"/>
  <c r="B76" i="13"/>
  <c r="B93" i="13"/>
  <c r="C17" i="21"/>
  <c r="D17" i="21"/>
  <c r="D16" i="21"/>
  <c r="C15" i="21"/>
  <c r="D15" i="21"/>
  <c r="D14" i="21"/>
  <c r="C13" i="21"/>
  <c r="D13" i="21"/>
  <c r="D12" i="21"/>
  <c r="D11" i="21"/>
  <c r="D10" i="21"/>
  <c r="C9" i="21"/>
  <c r="D9" i="21"/>
  <c r="D8" i="21"/>
  <c r="D7" i="21"/>
  <c r="D6" i="21"/>
  <c r="B70" i="13"/>
  <c r="C5" i="21"/>
  <c r="D5" i="21"/>
  <c r="B69" i="13"/>
  <c r="B86" i="13"/>
  <c r="D4" i="21"/>
  <c r="C3" i="21"/>
  <c r="D3" i="21"/>
  <c r="D2" i="21"/>
  <c r="B19" i="21"/>
  <c r="B33" i="21"/>
  <c r="B31" i="21"/>
  <c r="B25" i="21"/>
  <c r="B23" i="21"/>
  <c r="B21" i="21"/>
  <c r="B17" i="21"/>
  <c r="B75" i="13"/>
  <c r="B15" i="21"/>
  <c r="B13" i="21"/>
  <c r="B9" i="21"/>
  <c r="B5" i="21"/>
  <c r="B3" i="21"/>
  <c r="X97" i="4"/>
  <c r="W97" i="4"/>
  <c r="V97" i="4"/>
  <c r="X96" i="4"/>
  <c r="W96" i="4"/>
  <c r="V96" i="4"/>
  <c r="HX6" i="7"/>
  <c r="HY6" i="7"/>
  <c r="HV6" i="7"/>
  <c r="HV23" i="7"/>
  <c r="HX23" i="7"/>
  <c r="HY23" i="7"/>
  <c r="HV18" i="7"/>
  <c r="HX18" i="7"/>
  <c r="HY18" i="7"/>
  <c r="HV15" i="7"/>
  <c r="HX15" i="7"/>
  <c r="HY15" i="7"/>
  <c r="HV14" i="7"/>
  <c r="HX14" i="7"/>
  <c r="HY14" i="7"/>
  <c r="HV13" i="7"/>
  <c r="HX13" i="7"/>
  <c r="HY13" i="7"/>
  <c r="HV12" i="7"/>
  <c r="HX12" i="7"/>
  <c r="HY12" i="7"/>
  <c r="HV11" i="7"/>
  <c r="HX11" i="7"/>
  <c r="HY11" i="7"/>
  <c r="HV10" i="7"/>
  <c r="HX10" i="7"/>
  <c r="HY10" i="7"/>
  <c r="HV9" i="7"/>
  <c r="HX9" i="7"/>
  <c r="HY9" i="7"/>
  <c r="HV8" i="7"/>
  <c r="HX8" i="7"/>
  <c r="HY8" i="7"/>
  <c r="HV7" i="7"/>
  <c r="HX7" i="7"/>
  <c r="HY7" i="7"/>
  <c r="HV5" i="7"/>
  <c r="HX5" i="7"/>
  <c r="HY5" i="7"/>
  <c r="HV4" i="7"/>
  <c r="HX4" i="7"/>
  <c r="HK23" i="7"/>
  <c r="HK18" i="7"/>
  <c r="HN18" i="7"/>
  <c r="HK15" i="7"/>
  <c r="HK14" i="7"/>
  <c r="HN14" i="7"/>
  <c r="HK13" i="7"/>
  <c r="HK12" i="7"/>
  <c r="HN12" i="7"/>
  <c r="HK11" i="7"/>
  <c r="HK10" i="7"/>
  <c r="HN10" i="7"/>
  <c r="HK9" i="7"/>
  <c r="HK8" i="7"/>
  <c r="HN8" i="7"/>
  <c r="HK7" i="7"/>
  <c r="HK6" i="7"/>
  <c r="HN6" i="7"/>
  <c r="HK5" i="7"/>
  <c r="HK4" i="7"/>
  <c r="HN4" i="7"/>
  <c r="HC8" i="7"/>
  <c r="GZ8" i="7"/>
  <c r="HC23" i="7"/>
  <c r="GZ23" i="7"/>
  <c r="HC4" i="7"/>
  <c r="GZ4" i="7"/>
  <c r="HC5" i="7"/>
  <c r="GZ5" i="7"/>
  <c r="HC6" i="7"/>
  <c r="GZ6" i="7"/>
  <c r="HC7" i="7"/>
  <c r="GZ7" i="7"/>
  <c r="HC9" i="7"/>
  <c r="GZ9" i="7"/>
  <c r="HC10" i="7"/>
  <c r="GZ10" i="7"/>
  <c r="HC11" i="7"/>
  <c r="GZ11" i="7"/>
  <c r="HC12" i="7"/>
  <c r="GZ12" i="7"/>
  <c r="HC13" i="7"/>
  <c r="GZ13" i="7"/>
  <c r="HC14" i="7"/>
  <c r="GZ14" i="7"/>
  <c r="HC15" i="7"/>
  <c r="GZ15" i="7"/>
  <c r="HC18" i="7"/>
  <c r="GZ18" i="7"/>
  <c r="HC17" i="7"/>
  <c r="GZ17" i="7"/>
  <c r="HC16" i="7"/>
  <c r="GZ16" i="7"/>
  <c r="HC19" i="7"/>
  <c r="GZ19" i="7"/>
  <c r="HC20" i="7"/>
  <c r="GZ20" i="7"/>
  <c r="HC21" i="7"/>
  <c r="GZ21" i="7"/>
  <c r="HC24" i="7"/>
  <c r="HC33" i="7"/>
  <c r="GZ24" i="7"/>
  <c r="HK24" i="7"/>
  <c r="HK32" i="7"/>
  <c r="HK17" i="7"/>
  <c r="HN17" i="7"/>
  <c r="HK16" i="7"/>
  <c r="HN16" i="7"/>
  <c r="HK19" i="7"/>
  <c r="HN19" i="7"/>
  <c r="HK20" i="7"/>
  <c r="HN20" i="7"/>
  <c r="HK21" i="7"/>
  <c r="HN21" i="7"/>
  <c r="HH24" i="7"/>
  <c r="HH23" i="7"/>
  <c r="HH4" i="7"/>
  <c r="HH5" i="7"/>
  <c r="HH6" i="7"/>
  <c r="HH7" i="7"/>
  <c r="HH8" i="7"/>
  <c r="HH9" i="7"/>
  <c r="HH10" i="7"/>
  <c r="HH11" i="7"/>
  <c r="HH12" i="7"/>
  <c r="HH13" i="7"/>
  <c r="HH14" i="7"/>
  <c r="HH15" i="7"/>
  <c r="HH18" i="7"/>
  <c r="HH17" i="7"/>
  <c r="HH16" i="7"/>
  <c r="HH19" i="7"/>
  <c r="HH20" i="7"/>
  <c r="HH21" i="7"/>
  <c r="FH33" i="7"/>
  <c r="FH32" i="7"/>
  <c r="FH31" i="7"/>
  <c r="IF33" i="7"/>
  <c r="IF32" i="7"/>
  <c r="IF31" i="7"/>
  <c r="EJ46" i="7"/>
  <c r="EK44" i="7"/>
  <c r="EK43" i="7"/>
  <c r="EM42" i="7"/>
  <c r="EK42" i="7"/>
  <c r="EJ42" i="7"/>
  <c r="EM41" i="7"/>
  <c r="EK41" i="7"/>
  <c r="EJ41" i="7"/>
  <c r="EM40" i="7"/>
  <c r="EJ39" i="7"/>
  <c r="EJ38" i="7"/>
  <c r="EK36" i="7"/>
  <c r="EM35" i="7"/>
  <c r="EK35" i="7"/>
  <c r="EJ35" i="7"/>
  <c r="EL33" i="7"/>
  <c r="EL32" i="7"/>
  <c r="EL31" i="7"/>
  <c r="BX31" i="7"/>
  <c r="AQ33" i="7"/>
  <c r="AQ32" i="7"/>
  <c r="AQ31" i="7"/>
  <c r="HX21" i="7"/>
  <c r="HY21" i="7"/>
  <c r="HX20" i="7"/>
  <c r="HY20" i="7"/>
  <c r="HX17" i="7"/>
  <c r="HX16" i="7"/>
  <c r="HY16" i="7"/>
  <c r="HX19" i="7"/>
  <c r="HY19" i="7"/>
  <c r="U32" i="7"/>
  <c r="HV24" i="7"/>
  <c r="HV32" i="7"/>
  <c r="HY24" i="7"/>
  <c r="HY32" i="7"/>
  <c r="HC32" i="7"/>
  <c r="GZ32" i="7"/>
  <c r="EW32" i="7"/>
  <c r="CI32" i="7"/>
  <c r="BB32" i="7"/>
  <c r="HV16" i="7"/>
  <c r="HS16" i="7"/>
  <c r="HS4" i="7"/>
  <c r="HS19" i="7"/>
  <c r="HS5" i="7"/>
  <c r="HS6" i="7"/>
  <c r="HS7" i="7"/>
  <c r="HS8" i="7"/>
  <c r="HS9" i="7"/>
  <c r="HS10" i="7"/>
  <c r="HS11" i="7"/>
  <c r="HS12" i="7"/>
  <c r="HS13" i="7"/>
  <c r="HS14" i="7"/>
  <c r="HS15" i="7"/>
  <c r="HS18" i="7"/>
  <c r="HS17" i="7"/>
  <c r="HS20" i="7"/>
  <c r="HS21" i="7"/>
  <c r="HS23" i="7"/>
  <c r="HS24" i="7"/>
  <c r="HV19" i="7"/>
  <c r="HV17" i="7"/>
  <c r="HY17" i="7"/>
  <c r="HV20" i="7"/>
  <c r="HV21" i="7"/>
  <c r="GW16" i="7"/>
  <c r="GW4" i="7"/>
  <c r="GW19" i="7"/>
  <c r="GW5" i="7"/>
  <c r="GW6" i="7"/>
  <c r="GW7" i="7"/>
  <c r="GW8" i="7"/>
  <c r="GW9" i="7"/>
  <c r="GW10" i="7"/>
  <c r="GW11" i="7"/>
  <c r="GW12" i="7"/>
  <c r="GW13" i="7"/>
  <c r="GW14" i="7"/>
  <c r="GW15" i="7"/>
  <c r="GW18" i="7"/>
  <c r="GW17" i="7"/>
  <c r="GW20" i="7"/>
  <c r="GW21" i="7"/>
  <c r="GW23" i="7"/>
  <c r="GW24" i="7"/>
  <c r="X106" i="4"/>
  <c r="H16" i="7"/>
  <c r="W106" i="4"/>
  <c r="G16" i="7"/>
  <c r="V106" i="4"/>
  <c r="F16" i="7"/>
  <c r="C16" i="7"/>
  <c r="HY33" i="7"/>
  <c r="HV33" i="7"/>
  <c r="HY31" i="7"/>
  <c r="HV31" i="7"/>
  <c r="GZ33" i="7"/>
  <c r="HC31" i="7"/>
  <c r="GZ31" i="7"/>
  <c r="EW33" i="7"/>
  <c r="EW31" i="7"/>
  <c r="BB33" i="7"/>
  <c r="BB31" i="7"/>
  <c r="FR46" i="7"/>
  <c r="FR45" i="7"/>
  <c r="FT43" i="7"/>
  <c r="FT42" i="7"/>
  <c r="FR42" i="7"/>
  <c r="FQ42" i="7"/>
  <c r="FT41" i="7"/>
  <c r="FR41" i="7"/>
  <c r="FQ41" i="7"/>
  <c r="FQ40" i="7"/>
  <c r="FR38" i="7"/>
  <c r="FR37" i="7"/>
  <c r="FT35" i="7"/>
  <c r="FR35" i="7"/>
  <c r="FQ35" i="7"/>
  <c r="CI33" i="7"/>
  <c r="CI31" i="7"/>
  <c r="H12" i="7"/>
  <c r="G12" i="7"/>
  <c r="F12" i="7"/>
  <c r="C12" i="7"/>
  <c r="H6" i="7"/>
  <c r="G6" i="7"/>
  <c r="F6" i="7"/>
  <c r="C6" i="7"/>
  <c r="BC46" i="7"/>
  <c r="BC45" i="7"/>
  <c r="AZ44" i="7"/>
  <c r="AZ43" i="7"/>
  <c r="BC42" i="7"/>
  <c r="BA42" i="7"/>
  <c r="AZ42" i="7"/>
  <c r="BC41" i="7"/>
  <c r="BA41" i="7"/>
  <c r="AZ41" i="7"/>
  <c r="BC40" i="7"/>
  <c r="BA39" i="7"/>
  <c r="BC38" i="7"/>
  <c r="BA37" i="7"/>
  <c r="BC35" i="7"/>
  <c r="BA35" i="7"/>
  <c r="AZ35" i="7"/>
  <c r="H18" i="7"/>
  <c r="G18" i="7"/>
  <c r="F18" i="7"/>
  <c r="C18" i="7"/>
  <c r="H15" i="7"/>
  <c r="G15" i="7"/>
  <c r="F15" i="7"/>
  <c r="C15" i="7"/>
  <c r="X77" i="4"/>
  <c r="W77" i="4"/>
  <c r="V77" i="4"/>
  <c r="H14" i="7"/>
  <c r="G14" i="7"/>
  <c r="F14" i="7"/>
  <c r="C14" i="7"/>
  <c r="H24" i="7"/>
  <c r="G24" i="7"/>
  <c r="F24" i="7"/>
  <c r="C24" i="7"/>
  <c r="G17" i="7"/>
  <c r="F17" i="7"/>
  <c r="C17" i="7"/>
  <c r="H13" i="7"/>
  <c r="G13" i="7"/>
  <c r="F13" i="7"/>
  <c r="C13" i="7"/>
  <c r="G11" i="7"/>
  <c r="F11" i="7"/>
  <c r="C11" i="7"/>
  <c r="H10" i="7"/>
  <c r="G10" i="7"/>
  <c r="F10" i="7"/>
  <c r="C10" i="7"/>
  <c r="C20" i="7"/>
  <c r="F20" i="7"/>
  <c r="G20" i="7"/>
  <c r="H20" i="7"/>
  <c r="H19" i="7"/>
  <c r="G19" i="7"/>
  <c r="F19" i="7"/>
  <c r="C19" i="7"/>
  <c r="X100" i="4"/>
  <c r="W100" i="4"/>
  <c r="V100" i="4"/>
  <c r="C21" i="7"/>
  <c r="F21" i="7"/>
  <c r="G21" i="7"/>
  <c r="H21" i="7"/>
  <c r="H4" i="7"/>
  <c r="H23" i="7"/>
  <c r="X103" i="4"/>
  <c r="W103" i="4"/>
  <c r="V103" i="4"/>
  <c r="X102" i="4"/>
  <c r="W102" i="4"/>
  <c r="V102" i="4"/>
  <c r="X101" i="4"/>
  <c r="W101" i="4"/>
  <c r="V101" i="4"/>
  <c r="X99" i="4"/>
  <c r="W99" i="4"/>
  <c r="V99" i="4"/>
  <c r="X98" i="4"/>
  <c r="W98" i="4"/>
  <c r="V98" i="4"/>
  <c r="V112" i="4"/>
  <c r="W112" i="4"/>
  <c r="X112" i="4"/>
  <c r="X94" i="4"/>
  <c r="W94" i="4"/>
  <c r="V94" i="4"/>
  <c r="X93" i="4"/>
  <c r="W93" i="4"/>
  <c r="V93" i="4"/>
  <c r="X91" i="4"/>
  <c r="W91" i="4"/>
  <c r="V91" i="4"/>
  <c r="V23" i="4"/>
  <c r="W23" i="4"/>
  <c r="X23" i="4"/>
  <c r="X22" i="4"/>
  <c r="W22" i="4"/>
  <c r="V22" i="4"/>
  <c r="X78" i="4"/>
  <c r="W78" i="4"/>
  <c r="V78" i="4"/>
  <c r="X76" i="4"/>
  <c r="W76" i="4"/>
  <c r="V76" i="4"/>
  <c r="X75" i="4"/>
  <c r="W75" i="4"/>
  <c r="V75" i="4"/>
  <c r="X47" i="4"/>
  <c r="W47" i="4"/>
  <c r="V47" i="4"/>
  <c r="X50" i="4"/>
  <c r="W50" i="4"/>
  <c r="V50" i="4"/>
  <c r="X49" i="4"/>
  <c r="W49" i="4"/>
  <c r="V49" i="4"/>
  <c r="C23" i="7"/>
  <c r="X8" i="4"/>
  <c r="W8" i="4"/>
  <c r="V8" i="4"/>
  <c r="C9" i="7"/>
  <c r="C5" i="7"/>
  <c r="C4" i="7"/>
  <c r="X11" i="4"/>
  <c r="W11" i="4"/>
  <c r="V11" i="4"/>
  <c r="C3" i="7"/>
  <c r="X84" i="4"/>
  <c r="W84" i="4"/>
  <c r="V84" i="4"/>
  <c r="X87" i="4"/>
  <c r="W87" i="4"/>
  <c r="V87" i="4"/>
  <c r="X86" i="4"/>
  <c r="W86" i="4"/>
  <c r="V86" i="4"/>
  <c r="V14" i="4"/>
  <c r="W14" i="4"/>
  <c r="X14" i="4"/>
  <c r="H3" i="7"/>
  <c r="G3" i="7"/>
  <c r="F3" i="7"/>
  <c r="E3" i="7"/>
  <c r="D3" i="7"/>
  <c r="X82" i="4"/>
  <c r="W82" i="4"/>
  <c r="F8" i="7"/>
  <c r="V82" i="4"/>
  <c r="X66" i="4"/>
  <c r="W66" i="4"/>
  <c r="V66" i="4"/>
  <c r="X25" i="4"/>
  <c r="X7" i="4"/>
  <c r="W25" i="4"/>
  <c r="W7" i="4"/>
  <c r="V25" i="4"/>
  <c r="V7" i="4"/>
  <c r="X105" i="4"/>
  <c r="W105" i="4"/>
  <c r="V105" i="4"/>
  <c r="X79" i="4"/>
  <c r="X89" i="4"/>
  <c r="W79" i="4"/>
  <c r="W89" i="4"/>
  <c r="V79" i="4"/>
  <c r="V89" i="4"/>
  <c r="X88" i="4"/>
  <c r="W88" i="4"/>
  <c r="V88" i="4"/>
  <c r="X90" i="4"/>
  <c r="W90" i="4"/>
  <c r="V90" i="4"/>
  <c r="X38" i="4"/>
  <c r="W38" i="4"/>
  <c r="F7" i="7"/>
  <c r="V38" i="4"/>
  <c r="X15" i="4"/>
  <c r="X71" i="4"/>
  <c r="W15" i="4"/>
  <c r="W71" i="4"/>
  <c r="V15" i="4"/>
  <c r="F9" i="7"/>
  <c r="V71" i="4"/>
  <c r="X27" i="4"/>
  <c r="W27" i="4"/>
  <c r="V27" i="4"/>
  <c r="X4" i="4"/>
  <c r="X28" i="4"/>
  <c r="W4" i="4"/>
  <c r="W28" i="4"/>
  <c r="V4" i="4"/>
  <c r="V28" i="4"/>
  <c r="X13" i="4"/>
  <c r="W13" i="4"/>
  <c r="V13" i="4"/>
  <c r="X45" i="4"/>
  <c r="W45" i="4"/>
  <c r="V45" i="4"/>
  <c r="X58" i="4"/>
  <c r="W58" i="4"/>
  <c r="V58" i="4"/>
  <c r="X72" i="4"/>
  <c r="X16" i="4"/>
  <c r="W72" i="4"/>
  <c r="W16" i="4"/>
  <c r="V72" i="4"/>
  <c r="V16" i="4"/>
  <c r="X10" i="4"/>
  <c r="W10" i="4"/>
  <c r="V10" i="4"/>
  <c r="X81" i="4"/>
  <c r="W81" i="4"/>
  <c r="G23" i="7"/>
  <c r="V81" i="4"/>
  <c r="X43" i="4"/>
  <c r="X36" i="4"/>
  <c r="W43" i="4"/>
  <c r="W36" i="4"/>
  <c r="V43" i="4"/>
  <c r="V36" i="4"/>
  <c r="X85" i="4"/>
  <c r="X26" i="4"/>
  <c r="W85" i="4"/>
  <c r="W26" i="4"/>
  <c r="V85" i="4"/>
  <c r="V26" i="4"/>
  <c r="X3" i="4"/>
  <c r="W3" i="4"/>
  <c r="V3" i="4"/>
  <c r="X33" i="4"/>
  <c r="W33" i="4"/>
  <c r="V33" i="4"/>
  <c r="X19" i="4"/>
  <c r="W19" i="4"/>
  <c r="V19" i="4"/>
  <c r="X104" i="4"/>
  <c r="W104" i="4"/>
  <c r="V104" i="4"/>
  <c r="X42" i="4"/>
  <c r="X65" i="4"/>
  <c r="W42" i="4"/>
  <c r="W65" i="4"/>
  <c r="V42" i="4"/>
  <c r="V65" i="4"/>
  <c r="X41" i="4"/>
  <c r="X64" i="4"/>
  <c r="W41" i="4"/>
  <c r="W64" i="4"/>
  <c r="V41" i="4"/>
  <c r="V64" i="4"/>
  <c r="X40" i="4"/>
  <c r="X63" i="4"/>
  <c r="W40" i="4"/>
  <c r="W63" i="4"/>
  <c r="V40" i="4"/>
  <c r="V63" i="4"/>
  <c r="X39" i="4"/>
  <c r="X62" i="4"/>
  <c r="W39" i="4"/>
  <c r="W62" i="4"/>
  <c r="V39" i="4"/>
  <c r="V62" i="4"/>
  <c r="X61" i="4"/>
  <c r="W61" i="4"/>
  <c r="V61" i="4"/>
  <c r="X60" i="4"/>
  <c r="W60" i="4"/>
  <c r="V60" i="4"/>
  <c r="X80" i="4"/>
  <c r="W80" i="4"/>
  <c r="V80" i="4"/>
  <c r="X48" i="4"/>
  <c r="W48" i="4"/>
  <c r="V48" i="4"/>
  <c r="X53" i="4"/>
  <c r="W53" i="4"/>
  <c r="V53" i="4"/>
  <c r="X57" i="4"/>
  <c r="X52" i="4"/>
  <c r="W57" i="4"/>
  <c r="W52" i="4"/>
  <c r="V57" i="4"/>
  <c r="V52" i="4"/>
  <c r="X29" i="4"/>
  <c r="W29" i="4"/>
  <c r="V29" i="4"/>
  <c r="X24" i="4"/>
  <c r="W24" i="4"/>
  <c r="V24" i="4"/>
  <c r="X44" i="4"/>
  <c r="W44" i="4"/>
  <c r="V44" i="4"/>
  <c r="X9" i="4"/>
  <c r="W9" i="4"/>
  <c r="V9" i="4"/>
  <c r="X12" i="4"/>
  <c r="X56" i="4"/>
  <c r="W12" i="4"/>
  <c r="W56" i="4"/>
  <c r="V12" i="4"/>
  <c r="V56" i="4"/>
  <c r="X54" i="4"/>
  <c r="W54" i="4"/>
  <c r="V54" i="4"/>
  <c r="X35" i="4"/>
  <c r="W35" i="4"/>
  <c r="V35" i="4"/>
  <c r="G4" i="7"/>
  <c r="X34" i="4"/>
  <c r="W34" i="4"/>
  <c r="V34" i="4"/>
  <c r="X18" i="4"/>
  <c r="X74" i="4"/>
  <c r="X69" i="4"/>
  <c r="X32" i="4"/>
  <c r="X31" i="4"/>
  <c r="X6" i="4"/>
  <c r="V18" i="4"/>
  <c r="V74" i="4"/>
  <c r="V69" i="4"/>
  <c r="V32" i="4"/>
  <c r="V31" i="4"/>
  <c r="V6" i="4"/>
  <c r="W18" i="4"/>
  <c r="W74" i="4"/>
  <c r="W69" i="4"/>
  <c r="W32" i="4"/>
  <c r="W31" i="4"/>
  <c r="W6" i="4"/>
  <c r="F5" i="7"/>
  <c r="C7" i="7"/>
  <c r="H7" i="7"/>
  <c r="F4" i="7"/>
  <c r="H9" i="7"/>
  <c r="G5" i="7"/>
  <c r="C8" i="7"/>
  <c r="G8" i="7"/>
  <c r="G9" i="7"/>
  <c r="G7" i="7"/>
  <c r="H8" i="7"/>
  <c r="BK35" i="7"/>
  <c r="BL35" i="7"/>
  <c r="BN35" i="7"/>
  <c r="BK36" i="7"/>
  <c r="BL37" i="7"/>
  <c r="BK38" i="7"/>
  <c r="BL39" i="7"/>
  <c r="BK40" i="7"/>
  <c r="BK41" i="7"/>
  <c r="BL41" i="7"/>
  <c r="BN41" i="7"/>
  <c r="BK42" i="7"/>
  <c r="BL42" i="7"/>
  <c r="BN42" i="7"/>
  <c r="BL43" i="7"/>
  <c r="BK44" i="7"/>
  <c r="BL45" i="7"/>
  <c r="BK46" i="7"/>
  <c r="GM35" i="7"/>
  <c r="GN35" i="7"/>
  <c r="GP35" i="7"/>
  <c r="GQ35" i="7"/>
  <c r="GM37" i="7"/>
  <c r="GQ37" i="7"/>
  <c r="GM39" i="7"/>
  <c r="GQ39" i="7"/>
  <c r="GM41" i="7"/>
  <c r="GN41" i="7"/>
  <c r="GP41" i="7"/>
  <c r="GQ41" i="7"/>
  <c r="GM42" i="7"/>
  <c r="GN42" i="7"/>
  <c r="GP42" i="7"/>
  <c r="GQ42" i="7"/>
  <c r="GM43" i="7"/>
  <c r="GQ43" i="7"/>
  <c r="GM45" i="7"/>
  <c r="GQ45" i="7"/>
  <c r="GQ47" i="7"/>
  <c r="HT35" i="7"/>
  <c r="HU35" i="7"/>
  <c r="HW35" i="7"/>
  <c r="HW37" i="7"/>
  <c r="HX38" i="7"/>
  <c r="HW39" i="7"/>
  <c r="HX40" i="7"/>
  <c r="HT41" i="7"/>
  <c r="HU41" i="7"/>
  <c r="HW41" i="7"/>
  <c r="HT42" i="7"/>
  <c r="HU42" i="7"/>
  <c r="HW42" i="7"/>
  <c r="HX42" i="7"/>
  <c r="HW43" i="7"/>
  <c r="HX43" i="7"/>
  <c r="HX44" i="7"/>
  <c r="HW45" i="7"/>
  <c r="HX45" i="7"/>
  <c r="HX46" i="7"/>
  <c r="HW47" i="7"/>
  <c r="EW38" i="7"/>
  <c r="EW41" i="7"/>
  <c r="EW42" i="7"/>
  <c r="EW46" i="7"/>
  <c r="EU35" i="7"/>
  <c r="EV35" i="7"/>
  <c r="EX35" i="7"/>
  <c r="EV37" i="7"/>
  <c r="EX37" i="7"/>
  <c r="EU38" i="7"/>
  <c r="EX38" i="7"/>
  <c r="EV39" i="7"/>
  <c r="EX39" i="7"/>
  <c r="EU40" i="7"/>
  <c r="EX40" i="7"/>
  <c r="EU41" i="7"/>
  <c r="EV41" i="7"/>
  <c r="EX41" i="7"/>
  <c r="EU42" i="7"/>
  <c r="EV42" i="7"/>
  <c r="EX42" i="7"/>
  <c r="EV43" i="7"/>
  <c r="EX43" i="7"/>
  <c r="EU44" i="7"/>
  <c r="EX44" i="7"/>
  <c r="EV45" i="7"/>
  <c r="EX45" i="7"/>
  <c r="EU46" i="7"/>
  <c r="EV46" i="7"/>
  <c r="EX46" i="7"/>
  <c r="EX47" i="7"/>
  <c r="GZ35" i="7"/>
  <c r="HC35" i="7"/>
  <c r="GZ36" i="7"/>
  <c r="HC36" i="7"/>
  <c r="HC37" i="7"/>
  <c r="GZ38" i="7"/>
  <c r="HC38" i="7"/>
  <c r="GZ39" i="7"/>
  <c r="HC39" i="7"/>
  <c r="GZ40" i="7"/>
  <c r="HC40" i="7"/>
  <c r="GZ41" i="7"/>
  <c r="HC41" i="7"/>
  <c r="GZ42" i="7"/>
  <c r="HC42" i="7"/>
  <c r="GZ43" i="7"/>
  <c r="HC43" i="7"/>
  <c r="HC44" i="7"/>
  <c r="GZ45" i="7"/>
  <c r="HC45" i="7"/>
  <c r="GZ46" i="7"/>
  <c r="HC46" i="7"/>
  <c r="GZ47" i="7"/>
  <c r="GX35" i="7"/>
  <c r="GY35" i="7"/>
  <c r="HA35" i="7"/>
  <c r="HB35" i="7"/>
  <c r="GX36" i="7"/>
  <c r="GY36" i="7"/>
  <c r="HA36" i="7"/>
  <c r="HB36" i="7"/>
  <c r="GX37" i="7"/>
  <c r="GY37" i="7"/>
  <c r="HA37" i="7"/>
  <c r="HB37" i="7"/>
  <c r="GX38" i="7"/>
  <c r="GY38" i="7"/>
  <c r="HA38" i="7"/>
  <c r="HB38" i="7"/>
  <c r="GX39" i="7"/>
  <c r="GY39" i="7"/>
  <c r="HA39" i="7"/>
  <c r="HB39" i="7"/>
  <c r="GX40" i="7"/>
  <c r="GY40" i="7"/>
  <c r="HA40" i="7"/>
  <c r="HB40" i="7"/>
  <c r="GX41" i="7"/>
  <c r="GY41" i="7"/>
  <c r="HA41" i="7"/>
  <c r="HB41" i="7"/>
  <c r="GX42" i="7"/>
  <c r="GY42" i="7"/>
  <c r="HA42" i="7"/>
  <c r="HB42" i="7"/>
  <c r="GX43" i="7"/>
  <c r="GY43" i="7"/>
  <c r="HA43" i="7"/>
  <c r="HB43" i="7"/>
  <c r="GX44" i="7"/>
  <c r="GY44" i="7"/>
  <c r="HA44" i="7"/>
  <c r="HB44" i="7"/>
  <c r="GX45" i="7"/>
  <c r="GY45" i="7"/>
  <c r="HA45" i="7"/>
  <c r="HB45" i="7"/>
  <c r="GX46" i="7"/>
  <c r="GY46" i="7"/>
  <c r="HA46" i="7"/>
  <c r="HB46" i="7"/>
  <c r="GY47" i="7"/>
  <c r="HA47" i="7"/>
  <c r="HB47" i="7"/>
  <c r="DY35" i="7"/>
  <c r="DZ35" i="7"/>
  <c r="EB35" i="7"/>
  <c r="EC35" i="7"/>
  <c r="DY36" i="7"/>
  <c r="DZ36" i="7"/>
  <c r="EB36" i="7"/>
  <c r="EC36" i="7"/>
  <c r="DY37" i="7"/>
  <c r="DZ37" i="7"/>
  <c r="EB37" i="7"/>
  <c r="EC37" i="7"/>
  <c r="DY38" i="7"/>
  <c r="DZ38" i="7"/>
  <c r="EB38" i="7"/>
  <c r="EC38" i="7"/>
  <c r="DY39" i="7"/>
  <c r="DZ39" i="7"/>
  <c r="EB39" i="7"/>
  <c r="EC39" i="7"/>
  <c r="DY40" i="7"/>
  <c r="DZ40" i="7"/>
  <c r="EB40" i="7"/>
  <c r="DY41" i="7"/>
  <c r="DZ41" i="7"/>
  <c r="EB41" i="7"/>
  <c r="EC41" i="7"/>
  <c r="DY42" i="7"/>
  <c r="DZ42" i="7"/>
  <c r="EB42" i="7"/>
  <c r="EC42" i="7"/>
  <c r="DY43" i="7"/>
  <c r="DZ43" i="7"/>
  <c r="EB43" i="7"/>
  <c r="EC43" i="7"/>
  <c r="DY44" i="7"/>
  <c r="DZ44" i="7"/>
  <c r="EB44" i="7"/>
  <c r="EC44" i="7"/>
  <c r="DY45" i="7"/>
  <c r="DZ45" i="7"/>
  <c r="EB45" i="7"/>
  <c r="EC45" i="7"/>
  <c r="DY46" i="7"/>
  <c r="DZ46" i="7"/>
  <c r="EB46" i="7"/>
  <c r="EC46" i="7"/>
  <c r="DZ47" i="7"/>
  <c r="EB47" i="7"/>
  <c r="EC47" i="7"/>
  <c r="CG35" i="7"/>
  <c r="CH35" i="7"/>
  <c r="CJ35" i="7"/>
  <c r="CK35" i="7"/>
  <c r="CG36" i="7"/>
  <c r="CH36" i="7"/>
  <c r="CJ36" i="7"/>
  <c r="CK36" i="7"/>
  <c r="CG37" i="7"/>
  <c r="CH37" i="7"/>
  <c r="CJ37" i="7"/>
  <c r="CK37" i="7"/>
  <c r="CG38" i="7"/>
  <c r="CH38" i="7"/>
  <c r="CJ38" i="7"/>
  <c r="CK38" i="7"/>
  <c r="CG39" i="7"/>
  <c r="CH39" i="7"/>
  <c r="CJ39" i="7"/>
  <c r="CK39" i="7"/>
  <c r="CG40" i="7"/>
  <c r="CH40" i="7"/>
  <c r="CJ40" i="7"/>
  <c r="CK40" i="7"/>
  <c r="CG41" i="7"/>
  <c r="CH41" i="7"/>
  <c r="CJ41" i="7"/>
  <c r="CK41" i="7"/>
  <c r="CG42" i="7"/>
  <c r="CH42" i="7"/>
  <c r="CJ42" i="7"/>
  <c r="CK42" i="7"/>
  <c r="CG43" i="7"/>
  <c r="CH43" i="7"/>
  <c r="CJ43" i="7"/>
  <c r="CK43" i="7"/>
  <c r="CG44" i="7"/>
  <c r="CH44" i="7"/>
  <c r="CJ44" i="7"/>
  <c r="CK44" i="7"/>
  <c r="CG45" i="7"/>
  <c r="CH45" i="7"/>
  <c r="CJ45" i="7"/>
  <c r="CK45" i="7"/>
  <c r="CG46" i="7"/>
  <c r="CH46" i="7"/>
  <c r="CJ46" i="7"/>
  <c r="CK46" i="7"/>
  <c r="CG47" i="7"/>
  <c r="CH47" i="7"/>
  <c r="CJ47" i="7"/>
  <c r="CK47" i="7"/>
  <c r="U35" i="7"/>
  <c r="U36" i="7"/>
  <c r="U37" i="7"/>
  <c r="U38" i="7"/>
  <c r="U39" i="7"/>
  <c r="U40" i="7"/>
  <c r="U41" i="7"/>
  <c r="U42" i="7"/>
  <c r="U43" i="7"/>
  <c r="U44" i="7"/>
  <c r="U45" i="7"/>
  <c r="U46" i="7"/>
  <c r="U47" i="7"/>
  <c r="S35" i="7"/>
  <c r="T35" i="7"/>
  <c r="V35" i="7"/>
  <c r="W35" i="7"/>
  <c r="S36" i="7"/>
  <c r="T36" i="7"/>
  <c r="V36" i="7"/>
  <c r="W36" i="7"/>
  <c r="S37" i="7"/>
  <c r="T37" i="7"/>
  <c r="V37" i="7"/>
  <c r="W37" i="7"/>
  <c r="S38" i="7"/>
  <c r="T38" i="7"/>
  <c r="V38" i="7"/>
  <c r="W38" i="7"/>
  <c r="S39" i="7"/>
  <c r="T39" i="7"/>
  <c r="V39" i="7"/>
  <c r="W39" i="7"/>
  <c r="S40" i="7"/>
  <c r="T40" i="7"/>
  <c r="V40" i="7"/>
  <c r="W40" i="7"/>
  <c r="S41" i="7"/>
  <c r="T41" i="7"/>
  <c r="V41" i="7"/>
  <c r="W41" i="7"/>
  <c r="S42" i="7"/>
  <c r="T42" i="7"/>
  <c r="V42" i="7"/>
  <c r="W42" i="7"/>
  <c r="S43" i="7"/>
  <c r="T43" i="7"/>
  <c r="V43" i="7"/>
  <c r="W43" i="7"/>
  <c r="S44" i="7"/>
  <c r="T44" i="7"/>
  <c r="V44" i="7"/>
  <c r="W44" i="7"/>
  <c r="S45" i="7"/>
  <c r="T45" i="7"/>
  <c r="V45" i="7"/>
  <c r="W45" i="7"/>
  <c r="S46" i="7"/>
  <c r="T46" i="7"/>
  <c r="V46" i="7"/>
  <c r="W46" i="7"/>
  <c r="S47" i="7"/>
  <c r="T47" i="7"/>
  <c r="V47" i="7"/>
  <c r="W47" i="7"/>
  <c r="AH35" i="7"/>
  <c r="AH36" i="7"/>
  <c r="AH37" i="7"/>
  <c r="AH38" i="7"/>
  <c r="AH39" i="7"/>
  <c r="AH40" i="7"/>
  <c r="AH41" i="7"/>
  <c r="AH42" i="7"/>
  <c r="AH43" i="7"/>
  <c r="AH44" i="7"/>
  <c r="AH45" i="7"/>
  <c r="AH46" i="7"/>
  <c r="AH47" i="7"/>
  <c r="AD35" i="7"/>
  <c r="AE35" i="7"/>
  <c r="AG35" i="7"/>
  <c r="AD36" i="7"/>
  <c r="AE36" i="7"/>
  <c r="AG36" i="7"/>
  <c r="AD37" i="7"/>
  <c r="AE37" i="7"/>
  <c r="AG37" i="7"/>
  <c r="AD38" i="7"/>
  <c r="AE38" i="7"/>
  <c r="AG38" i="7"/>
  <c r="AD39" i="7"/>
  <c r="AE39" i="7"/>
  <c r="AG39" i="7"/>
  <c r="AD40" i="7"/>
  <c r="AE40" i="7"/>
  <c r="AG40" i="7"/>
  <c r="AD41" i="7"/>
  <c r="AE41" i="7"/>
  <c r="AG41" i="7"/>
  <c r="AD42" i="7"/>
  <c r="AE42" i="7"/>
  <c r="AG42" i="7"/>
  <c r="AD43" i="7"/>
  <c r="AE43" i="7"/>
  <c r="AG43" i="7"/>
  <c r="AD44" i="7"/>
  <c r="AE44" i="7"/>
  <c r="AG44" i="7"/>
  <c r="AD45" i="7"/>
  <c r="AE45" i="7"/>
  <c r="AG45" i="7"/>
  <c r="AD46" i="7"/>
  <c r="AE46" i="7"/>
  <c r="AG46" i="7"/>
  <c r="AD47" i="7"/>
  <c r="AE47" i="7"/>
  <c r="AG47" i="7"/>
  <c r="AS38" i="7"/>
  <c r="AO35" i="7"/>
  <c r="AP35" i="7"/>
  <c r="AR35" i="7"/>
  <c r="AO36" i="7"/>
  <c r="AP36" i="7"/>
  <c r="AR36" i="7"/>
  <c r="AO37" i="7"/>
  <c r="AP37" i="7"/>
  <c r="AR37" i="7"/>
  <c r="AO38" i="7"/>
  <c r="AP38" i="7"/>
  <c r="AR38" i="7"/>
  <c r="AO39" i="7"/>
  <c r="AP39" i="7"/>
  <c r="AR39" i="7"/>
  <c r="AO40" i="7"/>
  <c r="AP40" i="7"/>
  <c r="AR40" i="7"/>
  <c r="AO41" i="7"/>
  <c r="AP41" i="7"/>
  <c r="AR41" i="7"/>
  <c r="AO42" i="7"/>
  <c r="AP42" i="7"/>
  <c r="AR42" i="7"/>
  <c r="AO43" i="7"/>
  <c r="AP43" i="7"/>
  <c r="AR43" i="7"/>
  <c r="AO44" i="7"/>
  <c r="AP44" i="7"/>
  <c r="AR44" i="7"/>
  <c r="AO45" i="7"/>
  <c r="AP45" i="7"/>
  <c r="AR45" i="7"/>
  <c r="AO46" i="7"/>
  <c r="AP46" i="7"/>
  <c r="AR46" i="7"/>
  <c r="AO47" i="7"/>
  <c r="AP47" i="7"/>
  <c r="AR47" i="7"/>
  <c r="BZ42" i="7"/>
  <c r="BZ46" i="7"/>
  <c r="BV35" i="7"/>
  <c r="BW35" i="7"/>
  <c r="BY35" i="7"/>
  <c r="BV36" i="7"/>
  <c r="BW36" i="7"/>
  <c r="BY36" i="7"/>
  <c r="BV37" i="7"/>
  <c r="BW37" i="7"/>
  <c r="BY37" i="7"/>
  <c r="BV38" i="7"/>
  <c r="BW38" i="7"/>
  <c r="BY38" i="7"/>
  <c r="BV39" i="7"/>
  <c r="BW39" i="7"/>
  <c r="BY39" i="7"/>
  <c r="BV40" i="7"/>
  <c r="BW40" i="7"/>
  <c r="BY40" i="7"/>
  <c r="BV41" i="7"/>
  <c r="BW41" i="7"/>
  <c r="BY41" i="7"/>
  <c r="BV42" i="7"/>
  <c r="BW42" i="7"/>
  <c r="BY42" i="7"/>
  <c r="BV43" i="7"/>
  <c r="BW43" i="7"/>
  <c r="BY43" i="7"/>
  <c r="BV44" i="7"/>
  <c r="BW44" i="7"/>
  <c r="BY44" i="7"/>
  <c r="BV45" i="7"/>
  <c r="BW45" i="7"/>
  <c r="BY45" i="7"/>
  <c r="BV46" i="7"/>
  <c r="BW46" i="7"/>
  <c r="BY46" i="7"/>
  <c r="BV47" i="7"/>
  <c r="BW47" i="7"/>
  <c r="BY47" i="7"/>
  <c r="DG38" i="7"/>
  <c r="DG42" i="7"/>
  <c r="DG46" i="7"/>
  <c r="DC35" i="7"/>
  <c r="DD35" i="7"/>
  <c r="DF35" i="7"/>
  <c r="DC36" i="7"/>
  <c r="DD36" i="7"/>
  <c r="DF36" i="7"/>
  <c r="DC37" i="7"/>
  <c r="DD37" i="7"/>
  <c r="DF37" i="7"/>
  <c r="DC38" i="7"/>
  <c r="DD38" i="7"/>
  <c r="DF38" i="7"/>
  <c r="DC39" i="7"/>
  <c r="DD39" i="7"/>
  <c r="DF39" i="7"/>
  <c r="DC40" i="7"/>
  <c r="DD40" i="7"/>
  <c r="DF40" i="7"/>
  <c r="DC41" i="7"/>
  <c r="DD41" i="7"/>
  <c r="DF41" i="7"/>
  <c r="DC42" i="7"/>
  <c r="DD42" i="7"/>
  <c r="DF42" i="7"/>
  <c r="DC43" i="7"/>
  <c r="DD43" i="7"/>
  <c r="DF43" i="7"/>
  <c r="DC44" i="7"/>
  <c r="DD44" i="7"/>
  <c r="DF44" i="7"/>
  <c r="DC45" i="7"/>
  <c r="DD45" i="7"/>
  <c r="DF45" i="7"/>
  <c r="DC46" i="7"/>
  <c r="DD46" i="7"/>
  <c r="DF46" i="7"/>
  <c r="DC47" i="7"/>
  <c r="DD47" i="7"/>
  <c r="DF47" i="7"/>
  <c r="EN35" i="7"/>
  <c r="EN36" i="7"/>
  <c r="EN37" i="7"/>
  <c r="EN38" i="7"/>
  <c r="EN39" i="7"/>
  <c r="EN40" i="7"/>
  <c r="EN41" i="7"/>
  <c r="EN42" i="7"/>
  <c r="EN43" i="7"/>
  <c r="EN44" i="7"/>
  <c r="EN45" i="7"/>
  <c r="EN46" i="7"/>
  <c r="EN47" i="7"/>
  <c r="IF35" i="7"/>
  <c r="IF36" i="7"/>
  <c r="IF37" i="7"/>
  <c r="IF38" i="7"/>
  <c r="IF39" i="7"/>
  <c r="IF40" i="7"/>
  <c r="IF41" i="7"/>
  <c r="IF42" i="7"/>
  <c r="IF43" i="7"/>
  <c r="IF44" i="7"/>
  <c r="IF45" i="7"/>
  <c r="IF46" i="7"/>
  <c r="IF47" i="7"/>
  <c r="FJ35" i="7"/>
  <c r="FJ36" i="7"/>
  <c r="FJ37" i="7"/>
  <c r="FJ38" i="7"/>
  <c r="FJ39" i="7"/>
  <c r="FJ40" i="7"/>
  <c r="FJ41" i="7"/>
  <c r="FJ42" i="7"/>
  <c r="FJ43" i="7"/>
  <c r="FJ44" i="7"/>
  <c r="FJ45" i="7"/>
  <c r="FJ46" i="7"/>
  <c r="FJ47" i="7"/>
  <c r="FF35" i="7"/>
  <c r="FG35" i="7"/>
  <c r="FI35" i="7"/>
  <c r="FF36" i="7"/>
  <c r="FG36" i="7"/>
  <c r="FI36" i="7"/>
  <c r="FF37" i="7"/>
  <c r="FG37" i="7"/>
  <c r="FI37" i="7"/>
  <c r="FF38" i="7"/>
  <c r="FG38" i="7"/>
  <c r="FI38" i="7"/>
  <c r="FF39" i="7"/>
  <c r="FG39" i="7"/>
  <c r="FI39" i="7"/>
  <c r="FF40" i="7"/>
  <c r="FG40" i="7"/>
  <c r="FI40" i="7"/>
  <c r="FF41" i="7"/>
  <c r="FG41" i="7"/>
  <c r="FI41" i="7"/>
  <c r="FF42" i="7"/>
  <c r="FG42" i="7"/>
  <c r="FI42" i="7"/>
  <c r="FF43" i="7"/>
  <c r="FG43" i="7"/>
  <c r="FI43" i="7"/>
  <c r="FF44" i="7"/>
  <c r="FG44" i="7"/>
  <c r="FI44" i="7"/>
  <c r="FF45" i="7"/>
  <c r="FG45" i="7"/>
  <c r="FI45" i="7"/>
  <c r="FF46" i="7"/>
  <c r="FG46" i="7"/>
  <c r="FI46" i="7"/>
  <c r="FF47" i="7"/>
  <c r="FG47" i="7"/>
  <c r="FI47" i="7"/>
  <c r="HK35" i="7"/>
  <c r="HM35" i="7"/>
  <c r="HK36" i="7"/>
  <c r="HM36" i="7"/>
  <c r="HK37" i="7"/>
  <c r="HM37" i="7"/>
  <c r="HK38" i="7"/>
  <c r="HM38" i="7"/>
  <c r="HK39" i="7"/>
  <c r="HM39" i="7"/>
  <c r="HK40" i="7"/>
  <c r="HM40" i="7"/>
  <c r="HK41" i="7"/>
  <c r="HM41" i="7"/>
  <c r="HK42" i="7"/>
  <c r="HM42" i="7"/>
  <c r="HK43" i="7"/>
  <c r="HM43" i="7"/>
  <c r="HK44" i="7"/>
  <c r="HM44" i="7"/>
  <c r="HK45" i="7"/>
  <c r="HM45" i="7"/>
  <c r="HK46" i="7"/>
  <c r="HM46" i="7"/>
  <c r="HK47" i="7"/>
  <c r="HM47" i="7"/>
  <c r="HI35" i="7"/>
  <c r="HJ35" i="7"/>
  <c r="HL35" i="7"/>
  <c r="HI36" i="7"/>
  <c r="HJ36" i="7"/>
  <c r="HL36" i="7"/>
  <c r="HI37" i="7"/>
  <c r="HJ37" i="7"/>
  <c r="HL37" i="7"/>
  <c r="HI38" i="7"/>
  <c r="HJ38" i="7"/>
  <c r="HL38" i="7"/>
  <c r="HI39" i="7"/>
  <c r="HJ39" i="7"/>
  <c r="HL39" i="7"/>
  <c r="HI40" i="7"/>
  <c r="HJ40" i="7"/>
  <c r="HL40" i="7"/>
  <c r="HI41" i="7"/>
  <c r="HJ41" i="7"/>
  <c r="HL41" i="7"/>
  <c r="HI42" i="7"/>
  <c r="HJ42" i="7"/>
  <c r="HL42" i="7"/>
  <c r="HI43" i="7"/>
  <c r="HJ43" i="7"/>
  <c r="HL43" i="7"/>
  <c r="HI44" i="7"/>
  <c r="HJ44" i="7"/>
  <c r="HL44" i="7"/>
  <c r="HI45" i="7"/>
  <c r="HJ45" i="7"/>
  <c r="HL45" i="7"/>
  <c r="HI46" i="7"/>
  <c r="HJ46" i="7"/>
  <c r="HL46" i="7"/>
  <c r="HI47" i="7"/>
  <c r="HJ47" i="7"/>
  <c r="HL47" i="7"/>
  <c r="IJ35" i="7"/>
  <c r="IJ36" i="7"/>
  <c r="IJ37" i="7"/>
  <c r="IJ38" i="7"/>
  <c r="IJ39" i="7"/>
  <c r="IJ40" i="7"/>
  <c r="IJ41" i="7"/>
  <c r="IJ42" i="7"/>
  <c r="IJ43" i="7"/>
  <c r="IJ44" i="7"/>
  <c r="IJ45" i="7"/>
  <c r="IJ46" i="7"/>
  <c r="IG35" i="7"/>
  <c r="IG36" i="7"/>
  <c r="IG37" i="7"/>
  <c r="IG38" i="7"/>
  <c r="IG39" i="7"/>
  <c r="IG40" i="7"/>
  <c r="IG41" i="7"/>
  <c r="IG42" i="7"/>
  <c r="IG43" i="7"/>
  <c r="IG44" i="7"/>
  <c r="IG45" i="7"/>
  <c r="IG46" i="7"/>
  <c r="IG47" i="7"/>
  <c r="AC35" i="22"/>
  <c r="AD35" i="22"/>
  <c r="AF35" i="22"/>
  <c r="AG35" i="22"/>
  <c r="AC47" i="22"/>
  <c r="AD47" i="22"/>
  <c r="AF47" i="22"/>
  <c r="AG47" i="22"/>
  <c r="AR35" i="22"/>
  <c r="GZ25" i="7"/>
  <c r="HD4" i="7"/>
  <c r="HD6" i="7"/>
  <c r="HD10" i="7"/>
  <c r="HD11" i="7"/>
  <c r="HD14" i="7"/>
  <c r="HD16" i="7"/>
  <c r="HD19" i="7"/>
  <c r="HD20" i="7"/>
  <c r="HD23" i="7"/>
  <c r="HD24" i="7"/>
  <c r="HD31" i="7"/>
  <c r="ID35" i="7"/>
  <c r="ID36" i="7"/>
  <c r="ID37" i="7"/>
  <c r="ID38" i="7"/>
  <c r="ID39" i="7"/>
  <c r="ID40" i="7"/>
  <c r="ID41" i="7"/>
  <c r="ID42" i="7"/>
  <c r="ID43" i="7"/>
  <c r="ID44" i="7"/>
  <c r="ID45" i="7"/>
  <c r="ID46" i="7"/>
  <c r="ID47" i="7"/>
  <c r="CR35" i="7"/>
  <c r="CS35" i="7"/>
  <c r="CU35" i="7"/>
  <c r="CV35" i="7"/>
  <c r="CR36" i="7"/>
  <c r="CS36" i="7"/>
  <c r="CU36" i="7"/>
  <c r="CV36" i="7"/>
  <c r="CR37" i="7"/>
  <c r="CS37" i="7"/>
  <c r="CU37" i="7"/>
  <c r="CV37" i="7"/>
  <c r="CR38" i="7"/>
  <c r="CS38" i="7"/>
  <c r="CU38" i="7"/>
  <c r="CV38" i="7"/>
  <c r="CR39" i="7"/>
  <c r="CS39" i="7"/>
  <c r="CU39" i="7"/>
  <c r="CV39" i="7"/>
  <c r="CR40" i="7"/>
  <c r="CS40" i="7"/>
  <c r="CU40" i="7"/>
  <c r="CV40" i="7"/>
  <c r="CR41" i="7"/>
  <c r="CS41" i="7"/>
  <c r="CU41" i="7"/>
  <c r="CV41" i="7"/>
  <c r="CR42" i="7"/>
  <c r="CS42" i="7"/>
  <c r="CU42" i="7"/>
  <c r="CV42" i="7"/>
  <c r="CR43" i="7"/>
  <c r="CS43" i="7"/>
  <c r="CU43" i="7"/>
  <c r="CV43" i="7"/>
  <c r="CR44" i="7"/>
  <c r="CS44" i="7"/>
  <c r="CU44" i="7"/>
  <c r="CV44" i="7"/>
  <c r="CR45" i="7"/>
  <c r="CS45" i="7"/>
  <c r="CU45" i="7"/>
  <c r="CV45" i="7"/>
  <c r="CR46" i="7"/>
  <c r="CS46" i="7"/>
  <c r="CU46" i="7"/>
  <c r="CV46" i="7"/>
  <c r="CR47" i="7"/>
  <c r="CS47" i="7"/>
  <c r="CU47" i="7"/>
  <c r="CV47" i="7"/>
  <c r="DP35" i="7"/>
  <c r="DP36" i="7"/>
  <c r="DP37" i="7"/>
  <c r="DP38" i="7"/>
  <c r="DP39" i="7"/>
  <c r="DP40" i="7"/>
  <c r="DP41" i="7"/>
  <c r="DP42" i="7"/>
  <c r="DP43" i="7"/>
  <c r="DP44" i="7"/>
  <c r="DP45" i="7"/>
  <c r="DP46" i="7"/>
  <c r="DP47" i="7"/>
  <c r="DN35" i="7"/>
  <c r="DO35" i="7"/>
  <c r="DQ35" i="7"/>
  <c r="DR35" i="7"/>
  <c r="DN36" i="7"/>
  <c r="DO36" i="7"/>
  <c r="DQ36" i="7"/>
  <c r="DR36" i="7"/>
  <c r="DN37" i="7"/>
  <c r="DO37" i="7"/>
  <c r="DQ37" i="7"/>
  <c r="DR37" i="7"/>
  <c r="DN38" i="7"/>
  <c r="DO38" i="7"/>
  <c r="DQ38" i="7"/>
  <c r="DR38" i="7"/>
  <c r="DN39" i="7"/>
  <c r="DO39" i="7"/>
  <c r="DQ39" i="7"/>
  <c r="DR39" i="7"/>
  <c r="DN40" i="7"/>
  <c r="DO40" i="7"/>
  <c r="DQ40" i="7"/>
  <c r="DR40" i="7"/>
  <c r="DN41" i="7"/>
  <c r="DO41" i="7"/>
  <c r="DQ41" i="7"/>
  <c r="DR41" i="7"/>
  <c r="DN42" i="7"/>
  <c r="DO42" i="7"/>
  <c r="DQ42" i="7"/>
  <c r="DR42" i="7"/>
  <c r="DN43" i="7"/>
  <c r="DO43" i="7"/>
  <c r="DQ43" i="7"/>
  <c r="DR43" i="7"/>
  <c r="DN44" i="7"/>
  <c r="DO44" i="7"/>
  <c r="DQ44" i="7"/>
  <c r="DR44" i="7"/>
  <c r="DN45" i="7"/>
  <c r="DO45" i="7"/>
  <c r="DQ45" i="7"/>
  <c r="DR45" i="7"/>
  <c r="DN46" i="7"/>
  <c r="DO46" i="7"/>
  <c r="DQ46" i="7"/>
  <c r="DR46" i="7"/>
  <c r="DN47" i="7"/>
  <c r="DO47" i="7"/>
  <c r="DQ47" i="7"/>
  <c r="DR47" i="7"/>
  <c r="GB47" i="7"/>
  <c r="GC47" i="7"/>
  <c r="GE47" i="7"/>
  <c r="GF47" i="7"/>
  <c r="GB35" i="7"/>
  <c r="GC35" i="7"/>
  <c r="GE35" i="7"/>
  <c r="GF35" i="7"/>
  <c r="AX35" i="22"/>
  <c r="HD7" i="7"/>
  <c r="HD15" i="7"/>
  <c r="HD22" i="7"/>
  <c r="HD18" i="7"/>
  <c r="HD13" i="7"/>
  <c r="HD9" i="7"/>
  <c r="HD5" i="7"/>
  <c r="HD21" i="7"/>
  <c r="HD17" i="7"/>
  <c r="HD12" i="7"/>
  <c r="HD8" i="7"/>
  <c r="HE8" i="7"/>
  <c r="ED32" i="7"/>
  <c r="HK33" i="7"/>
  <c r="AT23" i="7"/>
  <c r="AT18" i="7"/>
  <c r="AT14" i="7"/>
  <c r="AT9" i="7"/>
  <c r="AT6" i="7"/>
  <c r="BP23" i="7"/>
  <c r="BP19" i="7"/>
  <c r="BP14" i="7"/>
  <c r="BP11" i="7"/>
  <c r="BP6" i="7"/>
  <c r="EA11" i="7"/>
  <c r="HN23" i="7"/>
  <c r="HN15" i="7"/>
  <c r="HN13" i="7"/>
  <c r="HN11" i="7"/>
  <c r="HN9" i="7"/>
  <c r="HN7" i="7"/>
  <c r="HN5" i="7"/>
  <c r="HN24" i="7"/>
  <c r="HN22" i="7"/>
  <c r="GF25" i="7"/>
  <c r="GG24" i="7"/>
  <c r="GG19" i="7"/>
  <c r="GG15" i="7"/>
  <c r="GG11" i="7"/>
  <c r="GF41" i="7"/>
  <c r="GF39" i="7"/>
  <c r="GF37" i="7"/>
  <c r="GG7" i="7"/>
  <c r="BD42" i="7"/>
  <c r="ED31" i="7"/>
  <c r="HK31" i="7"/>
  <c r="B71" i="13"/>
  <c r="B88" i="13"/>
  <c r="B74" i="13"/>
  <c r="B91" i="13"/>
  <c r="X20" i="7"/>
  <c r="X18" i="7"/>
  <c r="X12" i="7"/>
  <c r="X9" i="7"/>
  <c r="X24" i="7"/>
  <c r="AT19" i="7"/>
  <c r="AT17" i="7"/>
  <c r="AT11" i="7"/>
  <c r="AT8" i="7"/>
  <c r="AT22" i="7"/>
  <c r="BB22" i="7"/>
  <c r="BB4" i="7"/>
  <c r="BB8" i="7"/>
  <c r="BB12" i="7"/>
  <c r="BB17" i="7"/>
  <c r="BB20" i="7"/>
  <c r="BB5" i="7"/>
  <c r="BB9" i="7"/>
  <c r="BB13" i="7"/>
  <c r="BB18" i="7"/>
  <c r="BB21" i="7"/>
  <c r="BP17" i="7"/>
  <c r="BP8" i="7"/>
  <c r="BM5" i="7"/>
  <c r="BM9" i="7"/>
  <c r="BM13" i="7"/>
  <c r="BM18" i="7"/>
  <c r="BM21" i="7"/>
  <c r="BM6" i="7"/>
  <c r="BM10" i="7"/>
  <c r="BM14" i="7"/>
  <c r="BM16" i="7"/>
  <c r="BM23" i="7"/>
  <c r="EA24" i="7"/>
  <c r="IH16" i="7"/>
  <c r="IH4" i="7"/>
  <c r="X2" i="25"/>
  <c r="IH24" i="7"/>
  <c r="IH19" i="7"/>
  <c r="IH17" i="7"/>
  <c r="IH15" i="7"/>
  <c r="X13" i="25"/>
  <c r="IH13" i="7"/>
  <c r="X11" i="25"/>
  <c r="X11" i="8"/>
  <c r="IH11" i="7"/>
  <c r="X9" i="25"/>
  <c r="IH9" i="7"/>
  <c r="IH7" i="7"/>
  <c r="X5" i="25"/>
  <c r="IH5" i="7"/>
  <c r="X3" i="25"/>
  <c r="X3" i="8"/>
  <c r="AN36" i="8"/>
  <c r="IH14" i="7"/>
  <c r="X12" i="25"/>
  <c r="X12" i="8"/>
  <c r="IH12" i="7"/>
  <c r="X10" i="25"/>
  <c r="X10" i="8"/>
  <c r="IH10" i="7"/>
  <c r="X8" i="25"/>
  <c r="IH8" i="7"/>
  <c r="IH6" i="7"/>
  <c r="X4" i="25"/>
  <c r="X4" i="8"/>
  <c r="IH21" i="7"/>
  <c r="IH23" i="7"/>
  <c r="X34" i="25"/>
  <c r="IH20" i="7"/>
  <c r="IH18" i="7"/>
  <c r="IH22" i="7"/>
  <c r="B68" i="13"/>
  <c r="B85" i="13"/>
  <c r="B73" i="13"/>
  <c r="B90" i="13"/>
  <c r="B100" i="13"/>
  <c r="BZ25" i="7"/>
  <c r="CA12" i="7"/>
  <c r="EA5" i="7"/>
  <c r="EA9" i="7"/>
  <c r="EA13" i="7"/>
  <c r="EA18" i="7"/>
  <c r="EA21" i="7"/>
  <c r="EA6" i="7"/>
  <c r="EA10" i="7"/>
  <c r="EA14" i="7"/>
  <c r="EA16" i="7"/>
  <c r="EA23" i="7"/>
  <c r="EA22" i="7"/>
  <c r="EA4" i="7"/>
  <c r="EA8" i="7"/>
  <c r="EA12" i="7"/>
  <c r="EA17" i="7"/>
  <c r="EA20" i="7"/>
  <c r="AQ35" i="22"/>
  <c r="U35" i="22"/>
  <c r="CW22" i="7"/>
  <c r="CW4" i="7"/>
  <c r="CW8" i="7"/>
  <c r="CW12" i="7"/>
  <c r="CW16" i="7"/>
  <c r="CW20" i="7"/>
  <c r="CW11" i="7"/>
  <c r="CW15" i="7"/>
  <c r="CW24" i="7"/>
  <c r="CW7" i="7"/>
  <c r="CW23" i="7"/>
  <c r="HV43" i="7"/>
  <c r="FU35" i="7"/>
  <c r="FU36" i="7"/>
  <c r="FU37" i="7"/>
  <c r="FU38" i="7"/>
  <c r="FU39" i="7"/>
  <c r="FU40" i="7"/>
  <c r="FU41" i="7"/>
  <c r="FU42" i="7"/>
  <c r="FU43" i="7"/>
  <c r="FU44" i="7"/>
  <c r="FU45" i="7"/>
  <c r="FU46" i="7"/>
  <c r="FU47" i="7"/>
  <c r="B87" i="13"/>
  <c r="B95" i="13"/>
  <c r="X21" i="7"/>
  <c r="X17" i="7"/>
  <c r="X13" i="7"/>
  <c r="X8" i="7"/>
  <c r="X5" i="7"/>
  <c r="AI19" i="7"/>
  <c r="AI11" i="7"/>
  <c r="AT24" i="7"/>
  <c r="AT20" i="7"/>
  <c r="AT15" i="7"/>
  <c r="AT12" i="7"/>
  <c r="AT7" i="7"/>
  <c r="BB19" i="7"/>
  <c r="BB11" i="7"/>
  <c r="BM19" i="7"/>
  <c r="BM11" i="7"/>
  <c r="BP24" i="7"/>
  <c r="BP20" i="7"/>
  <c r="BP12" i="7"/>
  <c r="BP4" i="7"/>
  <c r="CA20" i="7"/>
  <c r="CL24" i="7"/>
  <c r="CL22" i="7"/>
  <c r="EA15" i="7"/>
  <c r="EN25" i="7"/>
  <c r="FV16" i="7"/>
  <c r="FV10" i="7"/>
  <c r="GR6" i="7"/>
  <c r="GR10" i="7"/>
  <c r="GR14" i="7"/>
  <c r="GR16" i="7"/>
  <c r="GR23" i="7"/>
  <c r="GR42" i="7"/>
  <c r="AH4" i="22"/>
  <c r="AH6" i="22"/>
  <c r="AH8" i="22"/>
  <c r="AH10" i="22"/>
  <c r="AH12" i="22"/>
  <c r="AH14" i="22"/>
  <c r="AH16" i="22"/>
  <c r="AH18" i="22"/>
  <c r="AH20" i="22"/>
  <c r="AH22" i="22"/>
  <c r="C9" i="18"/>
  <c r="G9" i="18"/>
  <c r="K9" i="18"/>
  <c r="O9" i="18"/>
  <c r="S9" i="18"/>
  <c r="AF20" i="7"/>
  <c r="AF17" i="7"/>
  <c r="AF12" i="7"/>
  <c r="AF8" i="7"/>
  <c r="AF4" i="7"/>
  <c r="AQ21" i="7"/>
  <c r="AQ18" i="7"/>
  <c r="AQ13" i="7"/>
  <c r="AQ9" i="7"/>
  <c r="AQ5" i="7"/>
  <c r="CI20" i="7"/>
  <c r="CI17" i="7"/>
  <c r="CI12" i="7"/>
  <c r="CI8" i="7"/>
  <c r="CI4" i="7"/>
  <c r="DE21" i="7"/>
  <c r="DE18" i="7"/>
  <c r="DE13" i="7"/>
  <c r="DE9" i="7"/>
  <c r="DE5" i="7"/>
  <c r="EZ19" i="7"/>
  <c r="EZ11" i="7"/>
  <c r="FK24" i="7"/>
  <c r="FH5" i="7"/>
  <c r="FH9" i="7"/>
  <c r="FH13" i="7"/>
  <c r="FH18" i="7"/>
  <c r="FH21" i="7"/>
  <c r="FS24" i="7"/>
  <c r="FS18" i="7"/>
  <c r="FS12" i="7"/>
  <c r="FS7" i="7"/>
  <c r="FV23" i="7"/>
  <c r="FV14" i="7"/>
  <c r="FV6" i="7"/>
  <c r="GR24" i="7"/>
  <c r="GR17" i="7"/>
  <c r="GR12" i="7"/>
  <c r="GR7" i="7"/>
  <c r="T22" i="22"/>
  <c r="T16" i="22"/>
  <c r="T14" i="22"/>
  <c r="T10" i="22"/>
  <c r="T6" i="22"/>
  <c r="T21" i="22"/>
  <c r="T17" i="22"/>
  <c r="T13" i="22"/>
  <c r="T9" i="22"/>
  <c r="T5" i="22"/>
  <c r="T24" i="22"/>
  <c r="T19" i="22"/>
  <c r="T15" i="22"/>
  <c r="T11" i="22"/>
  <c r="T7" i="22"/>
  <c r="V25" i="22"/>
  <c r="W20" i="22"/>
  <c r="W15" i="22"/>
  <c r="AP32" i="22"/>
  <c r="AP33" i="22"/>
  <c r="AP31" i="22"/>
  <c r="AH21" i="22"/>
  <c r="AH17" i="22"/>
  <c r="AH13" i="22"/>
  <c r="AH9" i="22"/>
  <c r="AH5" i="22"/>
  <c r="B97" i="13"/>
  <c r="C5" i="22"/>
  <c r="BB5" i="22"/>
  <c r="BJ5" i="22"/>
  <c r="GF38" i="7"/>
  <c r="GE38" i="7"/>
  <c r="GB38" i="7"/>
  <c r="BN5" i="22"/>
  <c r="GF42" i="7"/>
  <c r="GE42" i="7"/>
  <c r="GB42" i="7"/>
  <c r="BR5" i="22"/>
  <c r="GF45" i="7"/>
  <c r="GE45" i="7"/>
  <c r="DE20" i="7"/>
  <c r="DE17" i="7"/>
  <c r="DE12" i="7"/>
  <c r="DE8" i="7"/>
  <c r="DE4" i="7"/>
  <c r="EZ24" i="7"/>
  <c r="EZ13" i="7"/>
  <c r="EZ5" i="7"/>
  <c r="FK23" i="7"/>
  <c r="FK20" i="7"/>
  <c r="FK16" i="7"/>
  <c r="FK17" i="7"/>
  <c r="FK14" i="7"/>
  <c r="FK12" i="7"/>
  <c r="FK10" i="7"/>
  <c r="FK8" i="7"/>
  <c r="FK6" i="7"/>
  <c r="FK4" i="7"/>
  <c r="FV17" i="7"/>
  <c r="FV8" i="7"/>
  <c r="FS6" i="7"/>
  <c r="FS10" i="7"/>
  <c r="FS14" i="7"/>
  <c r="FS16" i="7"/>
  <c r="FS23" i="7"/>
  <c r="GR21" i="7"/>
  <c r="GR18" i="7"/>
  <c r="GR11" i="7"/>
  <c r="GR5" i="7"/>
  <c r="W12" i="22"/>
  <c r="W18" i="22"/>
  <c r="N23" i="7"/>
  <c r="N19" i="7"/>
  <c r="AN35" i="22"/>
  <c r="S35" i="22"/>
  <c r="AO35" i="22"/>
  <c r="R35" i="22"/>
  <c r="V35" i="22"/>
  <c r="AP19" i="22"/>
  <c r="AP15" i="22"/>
  <c r="AP11" i="22"/>
  <c r="AP7" i="22"/>
  <c r="AS19" i="22"/>
  <c r="AS15" i="22"/>
  <c r="AS11" i="22"/>
  <c r="AS7" i="22"/>
  <c r="DP32" i="7"/>
  <c r="DP33" i="7"/>
  <c r="DP31" i="7"/>
  <c r="DS23" i="7"/>
  <c r="GC45" i="7"/>
  <c r="GC42" i="7"/>
  <c r="GC38" i="7"/>
  <c r="BD6" i="22"/>
  <c r="D6" i="22"/>
  <c r="D6" i="7"/>
  <c r="CW18" i="7"/>
  <c r="CW14" i="7"/>
  <c r="CW10" i="7"/>
  <c r="CW6" i="7"/>
  <c r="DS24" i="7"/>
  <c r="DS7" i="7"/>
  <c r="DS11" i="7"/>
  <c r="DS15" i="7"/>
  <c r="DS19" i="7"/>
  <c r="DS20" i="7"/>
  <c r="DS16" i="7"/>
  <c r="DS12" i="7"/>
  <c r="DS8" i="7"/>
  <c r="DS4" i="7"/>
  <c r="GC44" i="7"/>
  <c r="GF44" i="7"/>
  <c r="GE44" i="7"/>
  <c r="GC40" i="7"/>
  <c r="GF40" i="7"/>
  <c r="GE40" i="7"/>
  <c r="GC36" i="7"/>
  <c r="GF36" i="7"/>
  <c r="GE36" i="7"/>
  <c r="AP20" i="22"/>
  <c r="AP18" i="22"/>
  <c r="AP12" i="22"/>
  <c r="AP8" i="22"/>
  <c r="AP47" i="22"/>
  <c r="AS20" i="22"/>
  <c r="AS18" i="22"/>
  <c r="AS8" i="22"/>
  <c r="AE20" i="22"/>
  <c r="AE16" i="22"/>
  <c r="AE12" i="22"/>
  <c r="AE8" i="22"/>
  <c r="N5" i="7"/>
  <c r="CW21" i="7"/>
  <c r="CW17" i="7"/>
  <c r="CW13" i="7"/>
  <c r="CW9" i="7"/>
  <c r="CW5" i="7"/>
  <c r="DS18" i="7"/>
  <c r="GD4" i="7"/>
  <c r="GD8" i="7"/>
  <c r="GD12" i="7"/>
  <c r="GD16" i="7"/>
  <c r="GD20" i="7"/>
  <c r="GD24" i="7"/>
  <c r="GD6" i="7"/>
  <c r="GD10" i="7"/>
  <c r="GD14" i="7"/>
  <c r="GD18" i="7"/>
  <c r="GD22" i="7"/>
  <c r="GD7" i="7"/>
  <c r="GD11" i="7"/>
  <c r="GD15" i="7"/>
  <c r="GD19" i="7"/>
  <c r="GD23" i="7"/>
  <c r="GF46" i="7"/>
  <c r="BD10" i="22"/>
  <c r="D10" i="22"/>
  <c r="N10" i="22"/>
  <c r="BD18" i="22"/>
  <c r="D18" i="22"/>
  <c r="N18" i="22"/>
  <c r="D6" i="18"/>
  <c r="D7" i="18"/>
  <c r="CT20" i="7"/>
  <c r="CT16" i="7"/>
  <c r="CT12" i="7"/>
  <c r="CT8" i="7"/>
  <c r="CT4" i="7"/>
  <c r="GF43" i="7"/>
  <c r="BB8" i="22"/>
  <c r="C8" i="22"/>
  <c r="BD14" i="22"/>
  <c r="D14" i="22"/>
  <c r="N14" i="22"/>
  <c r="CT22" i="7"/>
  <c r="CT18" i="7"/>
  <c r="CT14" i="7"/>
  <c r="CT10" i="7"/>
  <c r="CT6" i="7"/>
  <c r="BB12" i="22"/>
  <c r="C12" i="22"/>
  <c r="W5" i="9"/>
  <c r="S5" i="9"/>
  <c r="O5" i="9"/>
  <c r="K5" i="9"/>
  <c r="G5" i="9"/>
  <c r="C5" i="9"/>
  <c r="U5" i="9"/>
  <c r="Q5" i="9"/>
  <c r="M5" i="9"/>
  <c r="I5" i="9"/>
  <c r="E5" i="9"/>
  <c r="B40" i="9"/>
  <c r="B38" i="9"/>
  <c r="B36" i="9"/>
  <c r="B41" i="9"/>
  <c r="D41" i="9"/>
  <c r="F5" i="9"/>
  <c r="N5" i="9"/>
  <c r="V5" i="9"/>
  <c r="B37" i="9"/>
  <c r="V9" i="9"/>
  <c r="R9" i="9"/>
  <c r="N9" i="9"/>
  <c r="J9" i="9"/>
  <c r="F9" i="9"/>
  <c r="T9" i="9"/>
  <c r="P9" i="9"/>
  <c r="L9" i="9"/>
  <c r="H9" i="9"/>
  <c r="D9" i="9"/>
  <c r="W9" i="14"/>
  <c r="S9" i="14"/>
  <c r="O9" i="14"/>
  <c r="K9" i="14"/>
  <c r="G9" i="14"/>
  <c r="C9" i="14"/>
  <c r="V9" i="14"/>
  <c r="R9" i="14"/>
  <c r="N9" i="14"/>
  <c r="J9" i="14"/>
  <c r="F9" i="14"/>
  <c r="B16" i="14"/>
  <c r="F3" i="9"/>
  <c r="J3" i="9"/>
  <c r="N3" i="9"/>
  <c r="R3" i="9"/>
  <c r="W1" i="14"/>
  <c r="S1" i="14"/>
  <c r="O1" i="14"/>
  <c r="K1" i="14"/>
  <c r="G1" i="14"/>
  <c r="C1" i="14"/>
  <c r="V1" i="14"/>
  <c r="R1" i="14"/>
  <c r="N1" i="14"/>
  <c r="J1" i="14"/>
  <c r="F1" i="14"/>
  <c r="B1" i="14"/>
  <c r="B16" i="11"/>
  <c r="U1" i="14"/>
  <c r="Q1" i="14"/>
  <c r="M1" i="14"/>
  <c r="I1" i="14"/>
  <c r="E1" i="14"/>
  <c r="D9" i="14"/>
  <c r="L9" i="14"/>
  <c r="T9" i="14"/>
  <c r="H1" i="14"/>
  <c r="E9" i="14"/>
  <c r="M9" i="14"/>
  <c r="U9" i="14"/>
  <c r="L1" i="14"/>
  <c r="V37" i="9"/>
  <c r="R37" i="9"/>
  <c r="N37" i="9"/>
  <c r="J37" i="9"/>
  <c r="F37" i="9"/>
  <c r="U37" i="9"/>
  <c r="Q37" i="9"/>
  <c r="M37" i="9"/>
  <c r="I37" i="9"/>
  <c r="E37" i="9"/>
  <c r="W37" i="9"/>
  <c r="S37" i="9"/>
  <c r="O37" i="9"/>
  <c r="K37" i="9"/>
  <c r="G37" i="9"/>
  <c r="C37" i="9"/>
  <c r="H37" i="9"/>
  <c r="T37" i="9"/>
  <c r="D37" i="9"/>
  <c r="L37" i="9"/>
  <c r="P37" i="9"/>
  <c r="N6" i="22"/>
  <c r="AP35" i="22"/>
  <c r="W24" i="22"/>
  <c r="FS33" i="7"/>
  <c r="FS32" i="7"/>
  <c r="FS31" i="7"/>
  <c r="CA22" i="7"/>
  <c r="CA18" i="7"/>
  <c r="CA7" i="7"/>
  <c r="CA15" i="7"/>
  <c r="CA5" i="7"/>
  <c r="CA21" i="7"/>
  <c r="CA11" i="7"/>
  <c r="AN15" i="8"/>
  <c r="AN14" i="8"/>
  <c r="AN13" i="8"/>
  <c r="AN9" i="8"/>
  <c r="AN5" i="8"/>
  <c r="AN12" i="8"/>
  <c r="AN8" i="8"/>
  <c r="AN4" i="8"/>
  <c r="AN11" i="8"/>
  <c r="AN7" i="8"/>
  <c r="AN3" i="8"/>
  <c r="AN35" i="8"/>
  <c r="AN10" i="8"/>
  <c r="AN6" i="8"/>
  <c r="AN2" i="8"/>
  <c r="EA32" i="7"/>
  <c r="EA33" i="7"/>
  <c r="EA31" i="7"/>
  <c r="BB41" i="7"/>
  <c r="BB43" i="7"/>
  <c r="HN32" i="7"/>
  <c r="HN31" i="7"/>
  <c r="HN33" i="7"/>
  <c r="CA6" i="7"/>
  <c r="HE21" i="7"/>
  <c r="HE18" i="7"/>
  <c r="HE7" i="7"/>
  <c r="T5" i="25"/>
  <c r="T5" i="8"/>
  <c r="HD43" i="7"/>
  <c r="HD37" i="7"/>
  <c r="HE45" i="7"/>
  <c r="HE10" i="7"/>
  <c r="HE37" i="7"/>
  <c r="HD46" i="7"/>
  <c r="HD40" i="7"/>
  <c r="T36" i="9"/>
  <c r="P36" i="9"/>
  <c r="L36" i="9"/>
  <c r="H36" i="9"/>
  <c r="D36" i="9"/>
  <c r="W36" i="9"/>
  <c r="S36" i="9"/>
  <c r="O36" i="9"/>
  <c r="K36" i="9"/>
  <c r="G36" i="9"/>
  <c r="C36" i="9"/>
  <c r="U36" i="9"/>
  <c r="Q36" i="9"/>
  <c r="M36" i="9"/>
  <c r="I36" i="9"/>
  <c r="E36" i="9"/>
  <c r="N36" i="9"/>
  <c r="J36" i="9"/>
  <c r="R36" i="9"/>
  <c r="V36" i="9"/>
  <c r="F36" i="9"/>
  <c r="GD33" i="7"/>
  <c r="GD31" i="7"/>
  <c r="GD32" i="7"/>
  <c r="DS33" i="7"/>
  <c r="DS32" i="7"/>
  <c r="DS31" i="7"/>
  <c r="W22" i="22"/>
  <c r="W21" i="22"/>
  <c r="W9" i="22"/>
  <c r="W13" i="22"/>
  <c r="W17" i="22"/>
  <c r="W6" i="22"/>
  <c r="W10" i="22"/>
  <c r="W14" i="22"/>
  <c r="W5" i="22"/>
  <c r="W4" i="22"/>
  <c r="W16" i="22"/>
  <c r="W11" i="22"/>
  <c r="GR33" i="7"/>
  <c r="GR32" i="7"/>
  <c r="GR31" i="7"/>
  <c r="BP33" i="7"/>
  <c r="BP31" i="7"/>
  <c r="BP32" i="7"/>
  <c r="IH32" i="7"/>
  <c r="IH33" i="7"/>
  <c r="IH31" i="7"/>
  <c r="GG33" i="7"/>
  <c r="GG32" i="7"/>
  <c r="GG31" i="7"/>
  <c r="HN47" i="7"/>
  <c r="HN38" i="7"/>
  <c r="CA14" i="7"/>
  <c r="HE5" i="7"/>
  <c r="T3" i="25"/>
  <c r="HE22" i="7"/>
  <c r="HE36" i="7"/>
  <c r="HD45" i="7"/>
  <c r="HD39" i="7"/>
  <c r="HE47" i="7"/>
  <c r="HE11" i="7"/>
  <c r="T9" i="25"/>
  <c r="T9" i="8"/>
  <c r="HE39" i="7"/>
  <c r="HE20" i="7"/>
  <c r="HD42" i="7"/>
  <c r="HE19" i="7"/>
  <c r="T16" i="14"/>
  <c r="P16" i="14"/>
  <c r="L16" i="14"/>
  <c r="H16" i="14"/>
  <c r="D16" i="14"/>
  <c r="W16" i="14"/>
  <c r="S16" i="14"/>
  <c r="O16" i="14"/>
  <c r="K16" i="14"/>
  <c r="G16" i="14"/>
  <c r="C16" i="14"/>
  <c r="V16" i="14"/>
  <c r="N16" i="14"/>
  <c r="F16" i="14"/>
  <c r="U16" i="14"/>
  <c r="M16" i="14"/>
  <c r="E16" i="14"/>
  <c r="Q16" i="14"/>
  <c r="I16" i="14"/>
  <c r="J16" i="14"/>
  <c r="R16" i="14"/>
  <c r="T38" i="9"/>
  <c r="P38" i="9"/>
  <c r="L38" i="9"/>
  <c r="H38" i="9"/>
  <c r="D38" i="9"/>
  <c r="W38" i="9"/>
  <c r="S38" i="9"/>
  <c r="O38" i="9"/>
  <c r="K38" i="9"/>
  <c r="G38" i="9"/>
  <c r="C38" i="9"/>
  <c r="U38" i="9"/>
  <c r="Q38" i="9"/>
  <c r="M38" i="9"/>
  <c r="I38" i="9"/>
  <c r="E38" i="9"/>
  <c r="R38" i="9"/>
  <c r="N38" i="9"/>
  <c r="V38" i="9"/>
  <c r="F38" i="9"/>
  <c r="J38" i="9"/>
  <c r="W8" i="22"/>
  <c r="EZ32" i="7"/>
  <c r="S42" i="22"/>
  <c r="AQ42" i="22"/>
  <c r="AX42" i="22"/>
  <c r="AN42" i="22"/>
  <c r="R42" i="22"/>
  <c r="V42" i="22"/>
  <c r="U42" i="22"/>
  <c r="AO42" i="22"/>
  <c r="AG42" i="22"/>
  <c r="AR42" i="22"/>
  <c r="AC42" i="22"/>
  <c r="AD42" i="22"/>
  <c r="AF42" i="22"/>
  <c r="W7" i="22"/>
  <c r="FK33" i="7"/>
  <c r="FK31" i="7"/>
  <c r="FK32" i="7"/>
  <c r="CL31" i="7"/>
  <c r="CL32" i="7"/>
  <c r="CL33" i="7"/>
  <c r="AT33" i="7"/>
  <c r="AT31" i="7"/>
  <c r="AT32" i="7"/>
  <c r="CA10" i="7"/>
  <c r="IH44" i="7"/>
  <c r="X2" i="8"/>
  <c r="IH45" i="7"/>
  <c r="IH43" i="7"/>
  <c r="IH41" i="7"/>
  <c r="IH35" i="7"/>
  <c r="IH37" i="7"/>
  <c r="EO14" i="7"/>
  <c r="CA17" i="7"/>
  <c r="GG4" i="7"/>
  <c r="GG8" i="7"/>
  <c r="GG12" i="7"/>
  <c r="GG16" i="7"/>
  <c r="GG20" i="7"/>
  <c r="GG6" i="7"/>
  <c r="GG10" i="7"/>
  <c r="GG14" i="7"/>
  <c r="GG18" i="7"/>
  <c r="GG22" i="7"/>
  <c r="GG23" i="7"/>
  <c r="GG13" i="7"/>
  <c r="GG17" i="7"/>
  <c r="GG9" i="7"/>
  <c r="GG5" i="7"/>
  <c r="GG21" i="7"/>
  <c r="CA23" i="7"/>
  <c r="HE12" i="7"/>
  <c r="T10" i="25"/>
  <c r="T10" i="8"/>
  <c r="HE9" i="7"/>
  <c r="T7" i="25"/>
  <c r="T7" i="8"/>
  <c r="HE38" i="7"/>
  <c r="HD47" i="7"/>
  <c r="HD41" i="7"/>
  <c r="HE16" i="7"/>
  <c r="T14" i="25"/>
  <c r="T14" i="8"/>
  <c r="HE14" i="7"/>
  <c r="HE41" i="7"/>
  <c r="HD36" i="7"/>
  <c r="HE44" i="7"/>
  <c r="HE4" i="7"/>
  <c r="T2" i="25"/>
  <c r="L40" i="9"/>
  <c r="H40" i="9"/>
  <c r="D40" i="9"/>
  <c r="S40" i="9"/>
  <c r="O40" i="9"/>
  <c r="C40" i="9"/>
  <c r="U40" i="9"/>
  <c r="Q40" i="9"/>
  <c r="I40" i="9"/>
  <c r="E40" i="9"/>
  <c r="R40" i="9"/>
  <c r="J40" i="9"/>
  <c r="N40" i="9"/>
  <c r="N6" i="7"/>
  <c r="GR43" i="7"/>
  <c r="GR45" i="7"/>
  <c r="GR47" i="7"/>
  <c r="GR44" i="7"/>
  <c r="W19" i="22"/>
  <c r="W42" i="22"/>
  <c r="T31" i="22"/>
  <c r="T32" i="22"/>
  <c r="T33" i="22"/>
  <c r="AQ37" i="7"/>
  <c r="AQ41" i="7"/>
  <c r="AQ36" i="7"/>
  <c r="AQ39" i="7"/>
  <c r="AQ45" i="7"/>
  <c r="AQ38" i="7"/>
  <c r="AQ44" i="7"/>
  <c r="AQ35" i="7"/>
  <c r="AQ40" i="7"/>
  <c r="AQ43" i="7"/>
  <c r="AQ47" i="7"/>
  <c r="AQ42" i="7"/>
  <c r="AQ46" i="7"/>
  <c r="CW31" i="7"/>
  <c r="CW33" i="7"/>
  <c r="CW32" i="7"/>
  <c r="EO17" i="7"/>
  <c r="X15" i="8"/>
  <c r="X16" i="8"/>
  <c r="X14" i="8"/>
  <c r="X17" i="8"/>
  <c r="X33" i="7"/>
  <c r="X31" i="7"/>
  <c r="X32" i="7"/>
  <c r="HE13" i="7"/>
  <c r="T11" i="25"/>
  <c r="HE15" i="7"/>
  <c r="T13" i="25"/>
  <c r="T13" i="8"/>
  <c r="HE40" i="7"/>
  <c r="HD35" i="7"/>
  <c r="HE43" i="7"/>
  <c r="HE6" i="7"/>
  <c r="T4" i="8"/>
  <c r="HE35" i="7"/>
  <c r="HD44" i="7"/>
  <c r="HD38" i="7"/>
  <c r="HE46" i="7"/>
  <c r="HE23" i="7"/>
  <c r="T31" i="25"/>
  <c r="W47" i="22"/>
  <c r="W35" i="22"/>
  <c r="T2" i="8"/>
  <c r="W33" i="22"/>
  <c r="W31" i="22"/>
  <c r="W32" i="22"/>
  <c r="T31" i="8"/>
  <c r="GG36" i="7"/>
  <c r="GG38" i="7"/>
  <c r="GG40" i="7"/>
  <c r="GG42" i="7"/>
  <c r="GG44" i="7"/>
  <c r="GG46" i="7"/>
  <c r="GG35" i="7"/>
  <c r="GG37" i="7"/>
  <c r="GG39" i="7"/>
  <c r="GG41" i="7"/>
  <c r="GG43" i="7"/>
  <c r="GG47" i="7"/>
  <c r="GG45" i="7"/>
  <c r="T8" i="25"/>
  <c r="T8" i="8"/>
  <c r="T12" i="25"/>
  <c r="T12" i="8"/>
  <c r="T4" i="25"/>
  <c r="HE42" i="7"/>
  <c r="EO7" i="7"/>
  <c r="EO18" i="7"/>
  <c r="EO11" i="7"/>
  <c r="EO9" i="7"/>
  <c r="EO8" i="7"/>
  <c r="EO22" i="7"/>
  <c r="EO16" i="7"/>
  <c r="EO15" i="7"/>
  <c r="EO6" i="7"/>
  <c r="EO24" i="7"/>
  <c r="EO5" i="7"/>
  <c r="EO4" i="7"/>
  <c r="EO20" i="7"/>
  <c r="EO19" i="7"/>
  <c r="AI41" i="7"/>
  <c r="EZ16" i="7"/>
  <c r="EY35" i="7"/>
  <c r="EY41" i="7"/>
  <c r="EY42" i="7"/>
  <c r="EY47" i="7"/>
  <c r="EY45" i="7"/>
  <c r="T11" i="8"/>
  <c r="EO23" i="7"/>
  <c r="GR36" i="7"/>
  <c r="GR41" i="7"/>
  <c r="AH47" i="22"/>
  <c r="GR46" i="7"/>
  <c r="GR39" i="7"/>
  <c r="EO21" i="7"/>
  <c r="GR38" i="7"/>
  <c r="GR37" i="7"/>
  <c r="EO12" i="7"/>
  <c r="EO13" i="7"/>
  <c r="P40" i="9"/>
  <c r="G40" i="9"/>
  <c r="F40" i="9"/>
  <c r="W40" i="9"/>
  <c r="M40" i="9"/>
  <c r="T40" i="9"/>
  <c r="K40" i="9"/>
  <c r="V40" i="9"/>
  <c r="CT42" i="7"/>
  <c r="GD40" i="7"/>
  <c r="CW38" i="7"/>
  <c r="CW46" i="7"/>
  <c r="CT25" i="7"/>
  <c r="AP42" i="22"/>
  <c r="GR40" i="7"/>
  <c r="GR35" i="7"/>
  <c r="BO34" i="7"/>
  <c r="GQ34" i="7"/>
  <c r="IJ34" i="7"/>
  <c r="IJ30" i="7"/>
  <c r="HV34" i="7"/>
  <c r="HV30" i="7"/>
  <c r="EA34" i="7"/>
  <c r="EA30" i="7"/>
  <c r="AH34" i="7"/>
  <c r="EZ33" i="7"/>
  <c r="EZ31" i="7"/>
  <c r="V38" i="22"/>
  <c r="AG38" i="22"/>
  <c r="T35" i="22"/>
  <c r="X47" i="7"/>
  <c r="X42" i="7"/>
  <c r="X45" i="7"/>
  <c r="X41" i="7"/>
  <c r="BM43" i="7"/>
  <c r="BB40" i="7"/>
  <c r="BB47" i="7"/>
  <c r="BB42" i="7"/>
  <c r="BB44" i="7"/>
  <c r="BB35" i="7"/>
  <c r="BB37" i="7"/>
  <c r="BB38" i="7"/>
  <c r="BB45" i="7"/>
  <c r="HN40" i="7"/>
  <c r="HN46" i="7"/>
  <c r="HN44" i="7"/>
  <c r="HN37" i="7"/>
  <c r="HN35" i="7"/>
  <c r="HN41" i="7"/>
  <c r="HN39" i="7"/>
  <c r="HN45" i="7"/>
  <c r="HN43" i="7"/>
  <c r="HK25" i="7"/>
  <c r="HN36" i="7"/>
  <c r="HN42" i="7"/>
  <c r="EO10" i="7"/>
  <c r="BP39" i="7"/>
  <c r="X7" i="25"/>
  <c r="X7" i="8"/>
  <c r="IH42" i="7"/>
  <c r="IH40" i="7"/>
  <c r="IH38" i="7"/>
  <c r="IH36" i="7"/>
  <c r="IH46" i="7"/>
  <c r="IH39" i="7"/>
  <c r="IH47" i="7"/>
  <c r="X6" i="25"/>
  <c r="X6" i="8"/>
  <c r="AS22" i="22"/>
  <c r="AR47" i="22"/>
  <c r="T3" i="8"/>
  <c r="T35" i="25"/>
  <c r="T35" i="8"/>
  <c r="CA16" i="7"/>
  <c r="CA24" i="7"/>
  <c r="CA9" i="7"/>
  <c r="CA19" i="7"/>
  <c r="CA8" i="7"/>
  <c r="CA4" i="7"/>
  <c r="CA13" i="7"/>
  <c r="X17" i="25"/>
  <c r="X14" i="25"/>
  <c r="C41" i="9"/>
  <c r="HV47" i="7"/>
  <c r="HV42" i="7"/>
  <c r="HV45" i="7"/>
  <c r="HV41" i="7"/>
  <c r="HV35" i="7"/>
  <c r="HV39" i="7"/>
  <c r="HV37" i="7"/>
  <c r="DH18" i="7"/>
  <c r="DG35" i="7"/>
  <c r="DG39" i="7"/>
  <c r="DG43" i="7"/>
  <c r="DG47" i="7"/>
  <c r="DG36" i="7"/>
  <c r="DG40" i="7"/>
  <c r="DG44" i="7"/>
  <c r="DG37" i="7"/>
  <c r="DG41" i="7"/>
  <c r="DG45" i="7"/>
  <c r="T44" i="25"/>
  <c r="T44" i="8"/>
  <c r="T6" i="25"/>
  <c r="T6" i="8"/>
  <c r="HE24" i="7"/>
  <c r="AI38" i="7"/>
  <c r="AS39" i="7"/>
  <c r="AS47" i="7"/>
  <c r="AS40" i="7"/>
  <c r="AS41" i="7"/>
  <c r="AS42" i="7"/>
  <c r="AS35" i="7"/>
  <c r="AS43" i="7"/>
  <c r="AS36" i="7"/>
  <c r="AS44" i="7"/>
  <c r="AS37" i="7"/>
  <c r="AS45" i="7"/>
  <c r="BB36" i="7"/>
  <c r="BB39" i="7"/>
  <c r="BB46" i="7"/>
  <c r="BD35" i="7"/>
  <c r="BE10" i="7"/>
  <c r="BD43" i="7"/>
  <c r="BD44" i="7"/>
  <c r="BD45" i="7"/>
  <c r="BD46" i="7"/>
  <c r="BD47" i="7"/>
  <c r="BD41" i="7"/>
  <c r="BX35" i="7"/>
  <c r="BX39" i="7"/>
  <c r="BX43" i="7"/>
  <c r="BX47" i="7"/>
  <c r="BX36" i="7"/>
  <c r="BX40" i="7"/>
  <c r="BX44" i="7"/>
  <c r="BX37" i="7"/>
  <c r="BX41" i="7"/>
  <c r="BX45" i="7"/>
  <c r="BX38" i="7"/>
  <c r="BX42" i="7"/>
  <c r="BX46" i="7"/>
  <c r="BZ35" i="7"/>
  <c r="BZ39" i="7"/>
  <c r="BZ43" i="7"/>
  <c r="BZ47" i="7"/>
  <c r="BZ36" i="7"/>
  <c r="BZ40" i="7"/>
  <c r="BZ44" i="7"/>
  <c r="BZ37" i="7"/>
  <c r="BZ41" i="7"/>
  <c r="BZ45" i="7"/>
  <c r="BM42" i="7"/>
  <c r="T43" i="25"/>
  <c r="T43" i="8"/>
  <c r="HE17" i="7"/>
  <c r="X43" i="8"/>
  <c r="X43" i="25"/>
  <c r="X8" i="8"/>
  <c r="DY47" i="7"/>
  <c r="EC40" i="7"/>
  <c r="GX47" i="7"/>
  <c r="GM47" i="7"/>
  <c r="BL47" i="7"/>
  <c r="HX35" i="7"/>
  <c r="HX41" i="7"/>
  <c r="HY4" i="7"/>
  <c r="HY43" i="7"/>
  <c r="X19" i="7"/>
  <c r="AI23" i="7"/>
  <c r="AI15" i="7"/>
  <c r="AI9" i="7"/>
  <c r="BO42" i="7"/>
  <c r="BP7" i="7"/>
  <c r="BP41" i="7"/>
  <c r="BO35" i="7"/>
  <c r="BO41" i="7"/>
  <c r="CL20" i="7"/>
  <c r="FK22" i="7"/>
  <c r="FK13" i="7"/>
  <c r="FK15" i="7"/>
  <c r="FK18" i="7"/>
  <c r="GO21" i="7"/>
  <c r="AS12" i="22"/>
  <c r="X34" i="8"/>
  <c r="X5" i="8"/>
  <c r="X13" i="8"/>
  <c r="U31" i="7"/>
  <c r="U33" i="7"/>
  <c r="AI21" i="7"/>
  <c r="AI14" i="7"/>
  <c r="AI8" i="7"/>
  <c r="AI37" i="7"/>
  <c r="BM33" i="7"/>
  <c r="BM32" i="7"/>
  <c r="BM31" i="7"/>
  <c r="CL19" i="7"/>
  <c r="EA7" i="7"/>
  <c r="EA19" i="7"/>
  <c r="IJ47" i="7"/>
  <c r="FT47" i="7"/>
  <c r="FR47" i="7"/>
  <c r="BC47" i="7"/>
  <c r="EM47" i="7"/>
  <c r="FQ47" i="7"/>
  <c r="BA47" i="7"/>
  <c r="EK47" i="7"/>
  <c r="AZ47" i="7"/>
  <c r="BK47" i="7"/>
  <c r="BN47" i="7"/>
  <c r="GN47" i="7"/>
  <c r="HT47" i="7"/>
  <c r="EW47" i="7"/>
  <c r="BO47" i="7"/>
  <c r="GP47" i="7"/>
  <c r="HU47" i="7"/>
  <c r="EU47" i="7"/>
  <c r="BW11" i="22"/>
  <c r="H11" i="22"/>
  <c r="H11" i="7"/>
  <c r="GB36" i="7"/>
  <c r="BH5" i="22"/>
  <c r="BA36" i="7"/>
  <c r="BL36" i="7"/>
  <c r="GM36" i="7"/>
  <c r="FT36" i="7"/>
  <c r="AZ36" i="7"/>
  <c r="BN36" i="7"/>
  <c r="GN36" i="7"/>
  <c r="HV36" i="7"/>
  <c r="HT36" i="7"/>
  <c r="FR36" i="7"/>
  <c r="BO36" i="7"/>
  <c r="GP36" i="7"/>
  <c r="HU36" i="7"/>
  <c r="EW36" i="7"/>
  <c r="EU36" i="7"/>
  <c r="EM36" i="7"/>
  <c r="FQ36" i="7"/>
  <c r="GQ36" i="7"/>
  <c r="HW36" i="7"/>
  <c r="EV36" i="7"/>
  <c r="EJ36" i="7"/>
  <c r="EY36" i="7"/>
  <c r="BD36" i="7"/>
  <c r="BP5" i="22"/>
  <c r="BL44" i="7"/>
  <c r="GM44" i="7"/>
  <c r="FT44" i="7"/>
  <c r="BN44" i="7"/>
  <c r="GN44" i="7"/>
  <c r="HV44" i="7"/>
  <c r="HT44" i="7"/>
  <c r="FR44" i="7"/>
  <c r="BC44" i="7"/>
  <c r="BO44" i="7"/>
  <c r="GP44" i="7"/>
  <c r="HU44" i="7"/>
  <c r="EW44" i="7"/>
  <c r="EM44" i="7"/>
  <c r="FQ44" i="7"/>
  <c r="BA44" i="7"/>
  <c r="GQ44" i="7"/>
  <c r="HW44" i="7"/>
  <c r="EV44" i="7"/>
  <c r="EJ44" i="7"/>
  <c r="EY44" i="7"/>
  <c r="BW5" i="22"/>
  <c r="H5" i="22"/>
  <c r="H5" i="7"/>
  <c r="X44" i="8"/>
  <c r="X44" i="25"/>
  <c r="X16" i="25"/>
  <c r="X15" i="25"/>
  <c r="HD32" i="7"/>
  <c r="B81" i="13"/>
  <c r="B98" i="13"/>
  <c r="AF7" i="7"/>
  <c r="AF16" i="7"/>
  <c r="AF9" i="7"/>
  <c r="AF19" i="7"/>
  <c r="AF10" i="7"/>
  <c r="AF21" i="7"/>
  <c r="AF11" i="7"/>
  <c r="AF23" i="7"/>
  <c r="AF22" i="7"/>
  <c r="AF14" i="7"/>
  <c r="AF5" i="7"/>
  <c r="AF15" i="7"/>
  <c r="CL15" i="7"/>
  <c r="CL10" i="7"/>
  <c r="CL6" i="7"/>
  <c r="CL17" i="7"/>
  <c r="CL21" i="7"/>
  <c r="CL13" i="7"/>
  <c r="CL23" i="7"/>
  <c r="CL9" i="7"/>
  <c r="CL16" i="7"/>
  <c r="GO22" i="7"/>
  <c r="GO9" i="7"/>
  <c r="GO18" i="7"/>
  <c r="GO10" i="7"/>
  <c r="GO16" i="7"/>
  <c r="GO4" i="7"/>
  <c r="GO12" i="7"/>
  <c r="GO20" i="7"/>
  <c r="GO6" i="7"/>
  <c r="GO14" i="7"/>
  <c r="GO23" i="7"/>
  <c r="GO7" i="7"/>
  <c r="GO15" i="7"/>
  <c r="GO24" i="7"/>
  <c r="GO5" i="7"/>
  <c r="GO8" i="7"/>
  <c r="GO11" i="7"/>
  <c r="GO17" i="7"/>
  <c r="GO19" i="7"/>
  <c r="GE46" i="7"/>
  <c r="BS24" i="22"/>
  <c r="GB46" i="7"/>
  <c r="BL46" i="7"/>
  <c r="GM46" i="7"/>
  <c r="BN46" i="7"/>
  <c r="GN46" i="7"/>
  <c r="HT46" i="7"/>
  <c r="BO46" i="7"/>
  <c r="GP46" i="7"/>
  <c r="HU46" i="7"/>
  <c r="FT46" i="7"/>
  <c r="GQ46" i="7"/>
  <c r="HV46" i="7"/>
  <c r="HW46" i="7"/>
  <c r="EM46" i="7"/>
  <c r="FQ46" i="7"/>
  <c r="BA46" i="7"/>
  <c r="EY46" i="7"/>
  <c r="EK46" i="7"/>
  <c r="AZ46" i="7"/>
  <c r="BK24" i="22"/>
  <c r="FT39" i="7"/>
  <c r="HX39" i="7"/>
  <c r="FR39" i="7"/>
  <c r="EY39" i="7"/>
  <c r="EM39" i="7"/>
  <c r="FQ39" i="7"/>
  <c r="BD39" i="7"/>
  <c r="EK39" i="7"/>
  <c r="BC39" i="7"/>
  <c r="BK39" i="7"/>
  <c r="GB39" i="7"/>
  <c r="AZ39" i="7"/>
  <c r="BN39" i="7"/>
  <c r="GN39" i="7"/>
  <c r="HT39" i="7"/>
  <c r="EW39" i="7"/>
  <c r="BO39" i="7"/>
  <c r="GP39" i="7"/>
  <c r="HU39" i="7"/>
  <c r="EU39" i="7"/>
  <c r="BI18" i="22"/>
  <c r="EM37" i="7"/>
  <c r="FQ37" i="7"/>
  <c r="HX37" i="7"/>
  <c r="EK37" i="7"/>
  <c r="EY37" i="7"/>
  <c r="EJ37" i="7"/>
  <c r="BD37" i="7"/>
  <c r="BC37" i="7"/>
  <c r="BK37" i="7"/>
  <c r="EW37" i="7"/>
  <c r="AZ37" i="7"/>
  <c r="BN37" i="7"/>
  <c r="GN37" i="7"/>
  <c r="HT37" i="7"/>
  <c r="GB37" i="7"/>
  <c r="FT37" i="7"/>
  <c r="BO37" i="7"/>
  <c r="GP37" i="7"/>
  <c r="HU37" i="7"/>
  <c r="EU37" i="7"/>
  <c r="GZ37" i="7"/>
  <c r="BJ10" i="22"/>
  <c r="BA38" i="7"/>
  <c r="BL38" i="7"/>
  <c r="GM38" i="7"/>
  <c r="AZ38" i="7"/>
  <c r="BE38" i="7"/>
  <c r="BN38" i="7"/>
  <c r="GN38" i="7"/>
  <c r="HT38" i="7"/>
  <c r="BO38" i="7"/>
  <c r="GP38" i="7"/>
  <c r="HU38" i="7"/>
  <c r="FT38" i="7"/>
  <c r="GQ38" i="7"/>
  <c r="HV38" i="7"/>
  <c r="HW38" i="7"/>
  <c r="EV38" i="7"/>
  <c r="EM38" i="7"/>
  <c r="FQ38" i="7"/>
  <c r="EY38" i="7"/>
  <c r="EK38" i="7"/>
  <c r="BD38" i="7"/>
  <c r="GC39" i="7"/>
  <c r="HD33" i="7"/>
  <c r="EV47" i="7"/>
  <c r="EJ47" i="7"/>
  <c r="AF33" i="7"/>
  <c r="AF32" i="7"/>
  <c r="AF31" i="7"/>
  <c r="AI24" i="7"/>
  <c r="AI12" i="7"/>
  <c r="AI17" i="7"/>
  <c r="AI22" i="7"/>
  <c r="BX33" i="7"/>
  <c r="BX32" i="7"/>
  <c r="DG25" i="7"/>
  <c r="DH13" i="7"/>
  <c r="DH24" i="7"/>
  <c r="EW35" i="7"/>
  <c r="X9" i="8"/>
  <c r="EX36" i="7"/>
  <c r="HX47" i="7"/>
  <c r="B92" i="13"/>
  <c r="DH11" i="7"/>
  <c r="H17" i="22"/>
  <c r="BW17" i="22"/>
  <c r="H17" i="7"/>
  <c r="BC36" i="7"/>
  <c r="B72" i="13"/>
  <c r="B89" i="13"/>
  <c r="AI10" i="7"/>
  <c r="AT4" i="7"/>
  <c r="AT5" i="7"/>
  <c r="AT16" i="7"/>
  <c r="CL8" i="7"/>
  <c r="AS5" i="22"/>
  <c r="AS10" i="22"/>
  <c r="AS13" i="22"/>
  <c r="AS21" i="22"/>
  <c r="AS4" i="22"/>
  <c r="BL21" i="22"/>
  <c r="EK40" i="7"/>
  <c r="BA40" i="7"/>
  <c r="BL40" i="7"/>
  <c r="GM40" i="7"/>
  <c r="EJ40" i="7"/>
  <c r="AZ40" i="7"/>
  <c r="BN40" i="7"/>
  <c r="GN40" i="7"/>
  <c r="HT40" i="7"/>
  <c r="BO40" i="7"/>
  <c r="GP40" i="7"/>
  <c r="HU40" i="7"/>
  <c r="GQ40" i="7"/>
  <c r="HW40" i="7"/>
  <c r="EV40" i="7"/>
  <c r="FT40" i="7"/>
  <c r="HV40" i="7"/>
  <c r="EY40" i="7"/>
  <c r="FR40" i="7"/>
  <c r="BD40" i="7"/>
  <c r="EW40" i="7"/>
  <c r="BR17" i="22"/>
  <c r="AP45" i="22"/>
  <c r="EM45" i="7"/>
  <c r="FQ45" i="7"/>
  <c r="BA45" i="7"/>
  <c r="EK45" i="7"/>
  <c r="AZ45" i="7"/>
  <c r="EJ45" i="7"/>
  <c r="BK45" i="7"/>
  <c r="EW45" i="7"/>
  <c r="BN45" i="7"/>
  <c r="GN45" i="7"/>
  <c r="HT45" i="7"/>
  <c r="FT45" i="7"/>
  <c r="BO45" i="7"/>
  <c r="GP45" i="7"/>
  <c r="HU45" i="7"/>
  <c r="EU45" i="7"/>
  <c r="BO6" i="22"/>
  <c r="GC43" i="7"/>
  <c r="GB43" i="7"/>
  <c r="EJ43" i="7"/>
  <c r="EW43" i="7"/>
  <c r="EY43" i="7"/>
  <c r="GE43" i="7"/>
  <c r="BK43" i="7"/>
  <c r="FR43" i="7"/>
  <c r="BC43" i="7"/>
  <c r="BN43" i="7"/>
  <c r="GN43" i="7"/>
  <c r="HT43" i="7"/>
  <c r="EM43" i="7"/>
  <c r="FQ43" i="7"/>
  <c r="BA43" i="7"/>
  <c r="BO43" i="7"/>
  <c r="GP43" i="7"/>
  <c r="HU43" i="7"/>
  <c r="EU43" i="7"/>
  <c r="C21" i="21"/>
  <c r="D21" i="21"/>
  <c r="B77" i="13"/>
  <c r="B94" i="13"/>
  <c r="I9" i="18"/>
  <c r="T9" i="18"/>
  <c r="BE24" i="7"/>
  <c r="BM20" i="7"/>
  <c r="EZ23" i="7"/>
  <c r="EZ18" i="7"/>
  <c r="EZ22" i="7"/>
  <c r="AS6" i="22"/>
  <c r="AN9" i="25"/>
  <c r="AN8" i="25"/>
  <c r="AN35" i="25"/>
  <c r="AN15" i="25"/>
  <c r="AN7" i="25"/>
  <c r="AN13" i="25"/>
  <c r="AN5" i="25"/>
  <c r="AN11" i="25"/>
  <c r="AN3" i="25"/>
  <c r="AN10" i="25"/>
  <c r="AN2" i="25"/>
  <c r="AN6" i="25"/>
  <c r="AN12" i="25"/>
  <c r="AN4" i="25"/>
  <c r="AN14" i="25"/>
  <c r="AE7" i="22"/>
  <c r="AE18" i="22"/>
  <c r="AE9" i="22"/>
  <c r="AE19" i="22"/>
  <c r="AE10" i="22"/>
  <c r="AE21" i="22"/>
  <c r="AE11" i="22"/>
  <c r="AE22" i="22"/>
  <c r="AE45" i="22"/>
  <c r="AE4" i="22"/>
  <c r="AE14" i="22"/>
  <c r="AE5" i="22"/>
  <c r="AE15" i="22"/>
  <c r="R43" i="22"/>
  <c r="V43" i="22"/>
  <c r="F22" i="22"/>
  <c r="BU22" i="22"/>
  <c r="F22" i="7"/>
  <c r="DH23" i="7"/>
  <c r="FK11" i="7"/>
  <c r="DS6" i="7"/>
  <c r="DS10" i="7"/>
  <c r="DS9" i="7"/>
  <c r="DS43" i="7"/>
  <c r="DS22" i="7"/>
  <c r="BK13" i="22"/>
  <c r="GE39" i="7"/>
  <c r="G18" i="22"/>
  <c r="BV18" i="22"/>
  <c r="F20" i="22"/>
  <c r="BU20" i="22"/>
  <c r="B9" i="18"/>
  <c r="M9" i="18"/>
  <c r="W9" i="18"/>
  <c r="BE5" i="7"/>
  <c r="BM7" i="7"/>
  <c r="BM41" i="7"/>
  <c r="ED23" i="7"/>
  <c r="ED17" i="7"/>
  <c r="EZ9" i="7"/>
  <c r="FK9" i="7"/>
  <c r="C7" i="22"/>
  <c r="BB7" i="22"/>
  <c r="D16" i="22"/>
  <c r="N16" i="22"/>
  <c r="BD16" i="22"/>
  <c r="D16" i="7"/>
  <c r="FS34" i="7"/>
  <c r="FS30" i="7"/>
  <c r="H22" i="22"/>
  <c r="BW22" i="22"/>
  <c r="F24" i="22"/>
  <c r="BU24" i="22"/>
  <c r="BM15" i="7"/>
  <c r="BM38" i="7"/>
  <c r="BM17" i="7"/>
  <c r="CL7" i="7"/>
  <c r="DH7" i="7"/>
  <c r="EZ20" i="7"/>
  <c r="EZ14" i="7"/>
  <c r="EZ8" i="7"/>
  <c r="FK21" i="7"/>
  <c r="AS17" i="22"/>
  <c r="AE33" i="22"/>
  <c r="AE32" i="22"/>
  <c r="AE31" i="22"/>
  <c r="GC46" i="7"/>
  <c r="GB40" i="7"/>
  <c r="AX47" i="22"/>
  <c r="AO47" i="22"/>
  <c r="S47" i="22"/>
  <c r="AN47" i="22"/>
  <c r="U47" i="22"/>
  <c r="H13" i="22"/>
  <c r="BW13" i="22"/>
  <c r="H19" i="22"/>
  <c r="BW19" i="22"/>
  <c r="GC41" i="7"/>
  <c r="BM5" i="22"/>
  <c r="GB41" i="7"/>
  <c r="F5" i="22"/>
  <c r="BU5" i="22"/>
  <c r="E9" i="18"/>
  <c r="P9" i="18"/>
  <c r="BP22" i="7"/>
  <c r="BP42" i="7"/>
  <c r="BP15" i="7"/>
  <c r="CL11" i="7"/>
  <c r="DH6" i="7"/>
  <c r="DE22" i="7"/>
  <c r="DE15" i="7"/>
  <c r="DE19" i="7"/>
  <c r="DE7" i="7"/>
  <c r="DE24" i="7"/>
  <c r="DE10" i="7"/>
  <c r="ED21" i="7"/>
  <c r="ED14" i="7"/>
  <c r="ED8" i="7"/>
  <c r="EZ7" i="7"/>
  <c r="FK7" i="7"/>
  <c r="FV24" i="7"/>
  <c r="FV21" i="7"/>
  <c r="AS9" i="22"/>
  <c r="AE17" i="22"/>
  <c r="DS13" i="7"/>
  <c r="G10" i="22"/>
  <c r="BV10" i="22"/>
  <c r="F9" i="18"/>
  <c r="DH16" i="7"/>
  <c r="EZ12" i="7"/>
  <c r="FK19" i="7"/>
  <c r="CD13" i="22"/>
  <c r="L13" i="22"/>
  <c r="N13" i="22"/>
  <c r="L13" i="7"/>
  <c r="N13" i="7"/>
  <c r="CW19" i="7"/>
  <c r="DS5" i="7"/>
  <c r="DP25" i="7"/>
  <c r="BI9" i="22"/>
  <c r="AN37" i="22"/>
  <c r="GE37" i="7"/>
  <c r="GC37" i="7"/>
  <c r="GB45" i="7"/>
  <c r="G9" i="22"/>
  <c r="BV9" i="22"/>
  <c r="A11" i="17"/>
  <c r="A112" i="17"/>
  <c r="A53" i="17"/>
  <c r="A95" i="17"/>
  <c r="A12" i="16"/>
  <c r="A28" i="17"/>
  <c r="A29" i="16"/>
  <c r="A70" i="17"/>
  <c r="CI18" i="7"/>
  <c r="CI6" i="7"/>
  <c r="EL23" i="7"/>
  <c r="EL14" i="7"/>
  <c r="EL6" i="7"/>
  <c r="FH20" i="7"/>
  <c r="FH10" i="7"/>
  <c r="FS13" i="7"/>
  <c r="T8" i="22"/>
  <c r="L7" i="7"/>
  <c r="N7" i="7"/>
  <c r="CT19" i="7"/>
  <c r="CT44" i="7"/>
  <c r="A108" i="17"/>
  <c r="A91" i="17"/>
  <c r="A49" i="17"/>
  <c r="A7" i="17"/>
  <c r="A8" i="16"/>
  <c r="A64" i="17"/>
  <c r="A22" i="17"/>
  <c r="A23" i="16"/>
  <c r="CI15" i="7"/>
  <c r="EL21" i="7"/>
  <c r="EL13" i="7"/>
  <c r="FH19" i="7"/>
  <c r="FH8" i="7"/>
  <c r="FH39" i="7"/>
  <c r="T12" i="22"/>
  <c r="AS24" i="22"/>
  <c r="CT31" i="7"/>
  <c r="GD21" i="7"/>
  <c r="BT6" i="22"/>
  <c r="BD4" i="22"/>
  <c r="D4" i="22"/>
  <c r="C9" i="22"/>
  <c r="BB9" i="22"/>
  <c r="B39" i="9"/>
  <c r="A3" i="17"/>
  <c r="A104" i="17"/>
  <c r="A45" i="17"/>
  <c r="A4" i="16"/>
  <c r="A72" i="17"/>
  <c r="A30" i="17"/>
  <c r="A31" i="16"/>
  <c r="FH17" i="7"/>
  <c r="FH6" i="7"/>
  <c r="FH47" i="7"/>
  <c r="AH24" i="22"/>
  <c r="AH42" i="22"/>
  <c r="GD13" i="7"/>
  <c r="GD41" i="7"/>
  <c r="BD8" i="22"/>
  <c r="D8" i="22"/>
  <c r="L5" i="9"/>
  <c r="J5" i="9"/>
  <c r="H5" i="9"/>
  <c r="D5" i="9"/>
  <c r="T5" i="9"/>
  <c r="R5" i="9"/>
  <c r="E1" i="18"/>
  <c r="A66" i="17"/>
  <c r="A24" i="17"/>
  <c r="A25" i="16"/>
  <c r="K9" i="9"/>
  <c r="I9" i="9"/>
  <c r="W9" i="9"/>
  <c r="G9" i="9"/>
  <c r="U9" i="9"/>
  <c r="E9" i="9"/>
  <c r="Q9" i="9"/>
  <c r="O9" i="9"/>
  <c r="P1" i="14"/>
  <c r="D1" i="14"/>
  <c r="FH14" i="7"/>
  <c r="D20" i="22"/>
  <c r="N20" i="22"/>
  <c r="BD20" i="22"/>
  <c r="S9" i="9"/>
  <c r="A19" i="17"/>
  <c r="A61" i="17"/>
  <c r="A20" i="16"/>
  <c r="A76" i="17"/>
  <c r="A34" i="17"/>
  <c r="A35" i="16"/>
  <c r="GB44" i="7"/>
  <c r="D23" i="22"/>
  <c r="BD23" i="22"/>
  <c r="P9" i="14"/>
  <c r="I9" i="14"/>
  <c r="H9" i="14"/>
  <c r="A116" i="17"/>
  <c r="A99" i="17"/>
  <c r="A15" i="17"/>
  <c r="A16" i="16"/>
  <c r="A44" i="17"/>
  <c r="A2" i="17"/>
  <c r="A86" i="17"/>
  <c r="A107" i="17"/>
  <c r="A90" i="17"/>
  <c r="A48" i="17"/>
  <c r="A6" i="17"/>
  <c r="A52" i="17"/>
  <c r="A10" i="17"/>
  <c r="A94" i="17"/>
  <c r="A115" i="17"/>
  <c r="A98" i="17"/>
  <c r="A56" i="17"/>
  <c r="A14" i="17"/>
  <c r="A60" i="17"/>
  <c r="A18" i="17"/>
  <c r="A30" i="16"/>
  <c r="A29" i="17"/>
  <c r="A35" i="17"/>
  <c r="A36" i="16"/>
  <c r="A77" i="17"/>
  <c r="A63" i="17"/>
  <c r="A89" i="17"/>
  <c r="I3" i="9"/>
  <c r="T3" i="9"/>
  <c r="F16" i="9"/>
  <c r="N16" i="9"/>
  <c r="C3" i="18"/>
  <c r="A36" i="17"/>
  <c r="A37" i="16"/>
  <c r="A78" i="17"/>
  <c r="A39" i="17"/>
  <c r="A65" i="17"/>
  <c r="L3" i="9"/>
  <c r="A20" i="17"/>
  <c r="A21" i="16"/>
  <c r="A62" i="17"/>
  <c r="A67" i="17"/>
  <c r="A26" i="16"/>
  <c r="A73" i="17"/>
  <c r="A4" i="17"/>
  <c r="A88" i="17"/>
  <c r="A46" i="17"/>
  <c r="A92" i="17"/>
  <c r="A50" i="17"/>
  <c r="A8" i="17"/>
  <c r="A109" i="17"/>
  <c r="A12" i="17"/>
  <c r="A96" i="17"/>
  <c r="A54" i="17"/>
  <c r="A100" i="17"/>
  <c r="A58" i="17"/>
  <c r="A16" i="17"/>
  <c r="A117" i="17"/>
  <c r="A22" i="16"/>
  <c r="A74" i="17"/>
  <c r="A32" i="17"/>
  <c r="A33" i="16"/>
  <c r="A80" i="17"/>
  <c r="A38" i="17"/>
  <c r="A17" i="17"/>
  <c r="A103" i="17"/>
  <c r="A68" i="17"/>
  <c r="A26" i="17"/>
  <c r="A81" i="17"/>
  <c r="A105" i="17"/>
  <c r="A43" i="17"/>
  <c r="A102" i="17"/>
  <c r="A85" i="17"/>
  <c r="A106" i="17"/>
  <c r="A5" i="17"/>
  <c r="A51" i="17"/>
  <c r="A110" i="17"/>
  <c r="A93" i="17"/>
  <c r="A114" i="17"/>
  <c r="A13" i="17"/>
  <c r="A27" i="17"/>
  <c r="A28" i="16"/>
  <c r="A69" i="17"/>
  <c r="A82" i="17"/>
  <c r="A40" i="17"/>
  <c r="A41" i="16"/>
  <c r="A25" i="17"/>
  <c r="A55" i="17"/>
  <c r="A111" i="17"/>
  <c r="A37" i="17"/>
  <c r="A34" i="16"/>
  <c r="A42" i="16"/>
  <c r="DT10" i="7"/>
  <c r="DT19" i="7"/>
  <c r="DT20" i="7"/>
  <c r="DT14" i="7"/>
  <c r="DU14" i="7"/>
  <c r="DT23" i="7"/>
  <c r="DT5" i="7"/>
  <c r="DT18" i="7"/>
  <c r="DT4" i="7"/>
  <c r="DT9" i="7"/>
  <c r="DT22" i="7"/>
  <c r="DT8" i="7"/>
  <c r="DT13" i="7"/>
  <c r="DU13" i="7"/>
  <c r="DT24" i="7"/>
  <c r="DT12" i="7"/>
  <c r="DT17" i="7"/>
  <c r="DT7" i="7"/>
  <c r="DT6" i="7"/>
  <c r="DT15" i="7"/>
  <c r="DT16" i="7"/>
  <c r="DT21" i="7"/>
  <c r="DU21" i="7"/>
  <c r="DT11" i="7"/>
  <c r="F1" i="18"/>
  <c r="E2" i="18"/>
  <c r="F2" i="18"/>
  <c r="E3" i="18"/>
  <c r="FV33" i="7"/>
  <c r="FV32" i="7"/>
  <c r="FV31" i="7"/>
  <c r="DE40" i="7"/>
  <c r="DE46" i="7"/>
  <c r="DE44" i="7"/>
  <c r="DE35" i="7"/>
  <c r="DE39" i="7"/>
  <c r="DE37" i="7"/>
  <c r="DE43" i="7"/>
  <c r="DE45" i="7"/>
  <c r="DE36" i="7"/>
  <c r="DE47" i="7"/>
  <c r="DE38" i="7"/>
  <c r="DE42" i="7"/>
  <c r="DE41" i="7"/>
  <c r="BE42" i="7"/>
  <c r="BE35" i="7"/>
  <c r="BE41" i="7"/>
  <c r="BE44" i="7"/>
  <c r="BB25" i="7"/>
  <c r="BE43" i="7"/>
  <c r="BE45" i="7"/>
  <c r="AC38" i="22"/>
  <c r="AF38" i="22"/>
  <c r="S38" i="22"/>
  <c r="AX38" i="22"/>
  <c r="W38" i="22"/>
  <c r="AN38" i="22"/>
  <c r="AO38" i="22"/>
  <c r="AR38" i="22"/>
  <c r="DS47" i="7"/>
  <c r="DS45" i="7"/>
  <c r="AE38" i="22"/>
  <c r="AI36" i="7"/>
  <c r="L8" i="22"/>
  <c r="N8" i="22"/>
  <c r="T47" i="22"/>
  <c r="T25" i="22"/>
  <c r="T42" i="22"/>
  <c r="CW42" i="7"/>
  <c r="CW44" i="7"/>
  <c r="CW37" i="7"/>
  <c r="CW39" i="7"/>
  <c r="CW45" i="7"/>
  <c r="CW36" i="7"/>
  <c r="CW47" i="7"/>
  <c r="EZ43" i="7"/>
  <c r="EZ40" i="7"/>
  <c r="EZ37" i="7"/>
  <c r="EZ36" i="7"/>
  <c r="EZ44" i="7"/>
  <c r="EZ35" i="7"/>
  <c r="EZ42" i="7"/>
  <c r="EZ39" i="7"/>
  <c r="EW25" i="7"/>
  <c r="EZ41" i="7"/>
  <c r="EZ45" i="7"/>
  <c r="EZ46" i="7"/>
  <c r="EZ47" i="7"/>
  <c r="EZ38" i="7"/>
  <c r="AE47" i="22"/>
  <c r="AE42" i="22"/>
  <c r="AE35" i="22"/>
  <c r="AI33" i="7"/>
  <c r="AI32" i="7"/>
  <c r="AI31" i="7"/>
  <c r="GO31" i="7"/>
  <c r="GO32" i="7"/>
  <c r="GO33" i="7"/>
  <c r="GO36" i="7"/>
  <c r="GO44" i="7"/>
  <c r="GO37" i="7"/>
  <c r="GO45" i="7"/>
  <c r="GO38" i="7"/>
  <c r="GO46" i="7"/>
  <c r="GO39" i="7"/>
  <c r="GO47" i="7"/>
  <c r="GO41" i="7"/>
  <c r="GO42" i="7"/>
  <c r="GO40" i="7"/>
  <c r="GO43" i="7"/>
  <c r="GO35" i="7"/>
  <c r="GO25" i="7"/>
  <c r="X35" i="7"/>
  <c r="X43" i="7"/>
  <c r="BM47" i="7"/>
  <c r="X37" i="7"/>
  <c r="R38" i="22"/>
  <c r="AD38" i="22"/>
  <c r="AN45" i="22"/>
  <c r="HL34" i="7"/>
  <c r="BL34" i="7"/>
  <c r="GD39" i="7"/>
  <c r="CT45" i="7"/>
  <c r="FH37" i="7"/>
  <c r="FH35" i="7"/>
  <c r="FS37" i="7"/>
  <c r="FS40" i="7"/>
  <c r="FS39" i="7"/>
  <c r="FS42" i="7"/>
  <c r="FS41" i="7"/>
  <c r="FS44" i="7"/>
  <c r="FS43" i="7"/>
  <c r="FS46" i="7"/>
  <c r="FS45" i="7"/>
  <c r="FS35" i="7"/>
  <c r="FS47" i="7"/>
  <c r="FS36" i="7"/>
  <c r="FS38" i="7"/>
  <c r="ED37" i="7"/>
  <c r="ED45" i="7"/>
  <c r="ED42" i="7"/>
  <c r="ED39" i="7"/>
  <c r="ED47" i="7"/>
  <c r="ED36" i="7"/>
  <c r="ED44" i="7"/>
  <c r="ED41" i="7"/>
  <c r="ED38" i="7"/>
  <c r="ED46" i="7"/>
  <c r="ED35" i="7"/>
  <c r="ED43" i="7"/>
  <c r="ED40" i="7"/>
  <c r="EA25" i="7"/>
  <c r="HO21" i="7"/>
  <c r="HP21" i="7"/>
  <c r="HO14" i="7"/>
  <c r="HO18" i="7"/>
  <c r="HO11" i="7"/>
  <c r="HO4" i="7"/>
  <c r="HO22" i="7"/>
  <c r="HO16" i="7"/>
  <c r="HO8" i="7"/>
  <c r="HO6" i="7"/>
  <c r="HP6" i="7"/>
  <c r="HO20" i="7"/>
  <c r="HO12" i="7"/>
  <c r="HO10" i="7"/>
  <c r="HO24" i="7"/>
  <c r="HO5" i="7"/>
  <c r="HO23" i="7"/>
  <c r="HO9" i="7"/>
  <c r="HO15" i="7"/>
  <c r="HP15" i="7"/>
  <c r="HO7" i="7"/>
  <c r="HO13" i="7"/>
  <c r="HO17" i="7"/>
  <c r="HO19" i="7"/>
  <c r="AO45" i="22"/>
  <c r="HV25" i="7"/>
  <c r="AH33" i="22"/>
  <c r="AH31" i="22"/>
  <c r="AH32" i="22"/>
  <c r="AH35" i="22"/>
  <c r="DH19" i="7"/>
  <c r="N16" i="7"/>
  <c r="EJ29" i="7"/>
  <c r="EJ31" i="7"/>
  <c r="GO34" i="7"/>
  <c r="GO30" i="7"/>
  <c r="DZ34" i="7"/>
  <c r="S34" i="7"/>
  <c r="CK34" i="7"/>
  <c r="EU34" i="7"/>
  <c r="AD34" i="7"/>
  <c r="FK34" i="7"/>
  <c r="FK30" i="7"/>
  <c r="AQ34" i="7"/>
  <c r="AQ30" i="7"/>
  <c r="HJ34" i="7"/>
  <c r="BX34" i="7"/>
  <c r="BX30" i="7"/>
  <c r="HN34" i="7"/>
  <c r="HN30" i="7"/>
  <c r="GD34" i="7"/>
  <c r="GD30" i="7"/>
  <c r="CU34" i="7"/>
  <c r="GC34" i="7"/>
  <c r="EW34" i="7"/>
  <c r="EW30" i="7"/>
  <c r="EC34" i="7"/>
  <c r="V34" i="7"/>
  <c r="CH34" i="7"/>
  <c r="EX34" i="7"/>
  <c r="T34" i="7"/>
  <c r="AS34" i="7"/>
  <c r="AP34" i="7"/>
  <c r="CL34" i="7"/>
  <c r="CL30" i="7"/>
  <c r="DP34" i="7"/>
  <c r="DP30" i="7"/>
  <c r="DO34" i="7"/>
  <c r="FR34" i="7"/>
  <c r="EJ34" i="7"/>
  <c r="AZ34" i="7"/>
  <c r="GM34" i="7"/>
  <c r="EM34" i="7"/>
  <c r="X34" i="7"/>
  <c r="X30" i="7"/>
  <c r="FH34" i="7"/>
  <c r="FH30" i="7"/>
  <c r="BZ34" i="7"/>
  <c r="IG34" i="7"/>
  <c r="IG30" i="7"/>
  <c r="BW34" i="7"/>
  <c r="CT34" i="7"/>
  <c r="CT30" i="7"/>
  <c r="GE34" i="7"/>
  <c r="CI34" i="7"/>
  <c r="CI30" i="7"/>
  <c r="EV34" i="7"/>
  <c r="BM34" i="7"/>
  <c r="BM30" i="7"/>
  <c r="BC34" i="7"/>
  <c r="GX34" i="7"/>
  <c r="BP34" i="7"/>
  <c r="BP30" i="7"/>
  <c r="BV34" i="7"/>
  <c r="AG34" i="7"/>
  <c r="DG34" i="7"/>
  <c r="HD34" i="7"/>
  <c r="HD30" i="7"/>
  <c r="DR34" i="7"/>
  <c r="CA34" i="7"/>
  <c r="CA30" i="7"/>
  <c r="EY34" i="7"/>
  <c r="BK34" i="7"/>
  <c r="HA34" i="7"/>
  <c r="AF34" i="7"/>
  <c r="AF30" i="7"/>
  <c r="FG34" i="7"/>
  <c r="BY34" i="7"/>
  <c r="BE34" i="7"/>
  <c r="BE30" i="7"/>
  <c r="FF34" i="7"/>
  <c r="AT34" i="7"/>
  <c r="AT30" i="7"/>
  <c r="DC34" i="7"/>
  <c r="CS34" i="7"/>
  <c r="HE34" i="7"/>
  <c r="GB34" i="7"/>
  <c r="CJ34" i="7"/>
  <c r="DE34" i="7"/>
  <c r="DE30" i="7"/>
  <c r="DN34" i="7"/>
  <c r="GF34" i="7"/>
  <c r="BA34" i="7"/>
  <c r="EB34" i="7"/>
  <c r="HC34" i="7"/>
  <c r="HC30" i="7"/>
  <c r="DD34" i="7"/>
  <c r="DQ34" i="7"/>
  <c r="BD34" i="7"/>
  <c r="FQ34" i="7"/>
  <c r="EN34" i="7"/>
  <c r="AO34" i="7"/>
  <c r="CW34" i="7"/>
  <c r="CW30" i="7"/>
  <c r="GY34" i="7"/>
  <c r="FT34" i="7"/>
  <c r="GR34" i="7"/>
  <c r="GR30" i="7"/>
  <c r="EZ34" i="7"/>
  <c r="EZ30" i="7"/>
  <c r="AR34" i="7"/>
  <c r="HB34" i="7"/>
  <c r="HT34" i="7"/>
  <c r="DF34" i="7"/>
  <c r="CR34" i="7"/>
  <c r="IF34" i="7"/>
  <c r="IF30" i="7"/>
  <c r="HU34" i="7"/>
  <c r="HW34" i="7"/>
  <c r="HM34" i="7"/>
  <c r="AE34" i="7"/>
  <c r="EL34" i="7"/>
  <c r="EL30" i="7"/>
  <c r="GZ34" i="7"/>
  <c r="GZ30" i="7"/>
  <c r="HY34" i="7"/>
  <c r="HY30" i="7"/>
  <c r="ED34" i="7"/>
  <c r="ED30" i="7"/>
  <c r="HK34" i="7"/>
  <c r="HK30" i="7"/>
  <c r="CV34" i="7"/>
  <c r="FI34" i="7"/>
  <c r="DS34" i="7"/>
  <c r="DS30" i="7"/>
  <c r="GG34" i="7"/>
  <c r="GG30" i="7"/>
  <c r="U34" i="7"/>
  <c r="U30" i="7"/>
  <c r="BB34" i="7"/>
  <c r="BB30" i="7"/>
  <c r="HI34" i="7"/>
  <c r="EO34" i="7"/>
  <c r="EO30" i="7"/>
  <c r="BE37" i="7"/>
  <c r="S44" i="22"/>
  <c r="V44" i="22"/>
  <c r="T44" i="22"/>
  <c r="AC44" i="22"/>
  <c r="AD44" i="22"/>
  <c r="AF44" i="22"/>
  <c r="AG44" i="22"/>
  <c r="AR44" i="22"/>
  <c r="AX44" i="22"/>
  <c r="AN44" i="22"/>
  <c r="AO44" i="22"/>
  <c r="AQ44" i="22"/>
  <c r="U44" i="22"/>
  <c r="AP44" i="22"/>
  <c r="AH44" i="22"/>
  <c r="AS44" i="22"/>
  <c r="R44" i="22"/>
  <c r="AE44" i="22"/>
  <c r="W44" i="22"/>
  <c r="AR36" i="22"/>
  <c r="S36" i="22"/>
  <c r="T36" i="22"/>
  <c r="AX36" i="22"/>
  <c r="AC36" i="22"/>
  <c r="AD36" i="22"/>
  <c r="AF36" i="22"/>
  <c r="AG36" i="22"/>
  <c r="V36" i="22"/>
  <c r="AH36" i="22"/>
  <c r="AE36" i="22"/>
  <c r="AO36" i="22"/>
  <c r="AP36" i="22"/>
  <c r="U36" i="22"/>
  <c r="AQ36" i="22"/>
  <c r="W36" i="22"/>
  <c r="AN36" i="22"/>
  <c r="R36" i="22"/>
  <c r="AS36" i="22"/>
  <c r="BE47" i="7"/>
  <c r="BP43" i="7"/>
  <c r="BP37" i="7"/>
  <c r="BP47" i="7"/>
  <c r="BM25" i="7"/>
  <c r="BP36" i="7"/>
  <c r="BP38" i="7"/>
  <c r="BP44" i="7"/>
  <c r="BP46" i="7"/>
  <c r="BM45" i="7"/>
  <c r="DS42" i="7"/>
  <c r="BP45" i="7"/>
  <c r="X36" i="7"/>
  <c r="X40" i="7"/>
  <c r="AP38" i="22"/>
  <c r="AG45" i="22"/>
  <c r="W34" i="7"/>
  <c r="HX34" i="7"/>
  <c r="EK34" i="7"/>
  <c r="CW43" i="7"/>
  <c r="GD43" i="7"/>
  <c r="CT36" i="7"/>
  <c r="FH36" i="7"/>
  <c r="HY35" i="7"/>
  <c r="HY41" i="7"/>
  <c r="HY39" i="7"/>
  <c r="HY36" i="7"/>
  <c r="HY38" i="7"/>
  <c r="HY40" i="7"/>
  <c r="HY42" i="7"/>
  <c r="HY44" i="7"/>
  <c r="HY46" i="7"/>
  <c r="CX13" i="7"/>
  <c r="CX24" i="7"/>
  <c r="CX4" i="7"/>
  <c r="CX17" i="7"/>
  <c r="CX7" i="7"/>
  <c r="CX12" i="7"/>
  <c r="CX6" i="7"/>
  <c r="CX15" i="7"/>
  <c r="CY15" i="7"/>
  <c r="CX16" i="7"/>
  <c r="CX10" i="7"/>
  <c r="CX19" i="7"/>
  <c r="CX8" i="7"/>
  <c r="CX11" i="7"/>
  <c r="CX20" i="7"/>
  <c r="CX23" i="7"/>
  <c r="CX5" i="7"/>
  <c r="CY5" i="7"/>
  <c r="CX9" i="7"/>
  <c r="CX21" i="7"/>
  <c r="CX14" i="7"/>
  <c r="CX22" i="7"/>
  <c r="CX18" i="7"/>
  <c r="HY45" i="7"/>
  <c r="U45" i="22"/>
  <c r="AC45" i="22"/>
  <c r="AD45" i="22"/>
  <c r="AS45" i="22"/>
  <c r="AQ45" i="22"/>
  <c r="W45" i="22"/>
  <c r="S45" i="22"/>
  <c r="AX45" i="22"/>
  <c r="AS42" i="22"/>
  <c r="AS47" i="22"/>
  <c r="AP25" i="22"/>
  <c r="AS35" i="22"/>
  <c r="AT46" i="7"/>
  <c r="AT39" i="7"/>
  <c r="AT43" i="7"/>
  <c r="AT44" i="7"/>
  <c r="AT47" i="7"/>
  <c r="AT42" i="7"/>
  <c r="AT36" i="7"/>
  <c r="AT41" i="7"/>
  <c r="AT45" i="7"/>
  <c r="AT40" i="7"/>
  <c r="AT35" i="7"/>
  <c r="AT37" i="7"/>
  <c r="AT38" i="7"/>
  <c r="AQ25" i="7"/>
  <c r="DH22" i="7"/>
  <c r="DH12" i="7"/>
  <c r="DH20" i="7"/>
  <c r="DH17" i="7"/>
  <c r="DH4" i="7"/>
  <c r="DH8" i="7"/>
  <c r="AI39" i="7"/>
  <c r="AI45" i="7"/>
  <c r="AI43" i="7"/>
  <c r="AI46" i="7"/>
  <c r="AF25" i="7"/>
  <c r="AI47" i="7"/>
  <c r="AI44" i="7"/>
  <c r="AI35" i="7"/>
  <c r="BM39" i="7"/>
  <c r="AF45" i="22"/>
  <c r="FV34" i="7"/>
  <c r="FV30" i="7"/>
  <c r="BO30" i="7"/>
  <c r="BO32" i="7"/>
  <c r="BO33" i="7"/>
  <c r="GD46" i="7"/>
  <c r="FH38" i="7"/>
  <c r="FH42" i="7"/>
  <c r="FH46" i="7"/>
  <c r="EL38" i="7"/>
  <c r="EL42" i="7"/>
  <c r="EL46" i="7"/>
  <c r="EL35" i="7"/>
  <c r="EL39" i="7"/>
  <c r="EL43" i="7"/>
  <c r="EL47" i="7"/>
  <c r="EL36" i="7"/>
  <c r="EL40" i="7"/>
  <c r="EL44" i="7"/>
  <c r="EL37" i="7"/>
  <c r="EL41" i="7"/>
  <c r="EL45" i="7"/>
  <c r="AN41" i="22"/>
  <c r="AX41" i="22"/>
  <c r="R41" i="22"/>
  <c r="V41" i="22"/>
  <c r="AC41" i="22"/>
  <c r="AD41" i="22"/>
  <c r="AR41" i="22"/>
  <c r="AF41" i="22"/>
  <c r="AG41" i="22"/>
  <c r="AH41" i="22"/>
  <c r="AP41" i="22"/>
  <c r="T41" i="22"/>
  <c r="AQ41" i="22"/>
  <c r="U41" i="22"/>
  <c r="AE41" i="22"/>
  <c r="AO41" i="22"/>
  <c r="S41" i="22"/>
  <c r="W41" i="22"/>
  <c r="AS41" i="22"/>
  <c r="DH14" i="7"/>
  <c r="DH10" i="7"/>
  <c r="BE40" i="7"/>
  <c r="BE36" i="7"/>
  <c r="BE39" i="7"/>
  <c r="EA36" i="7"/>
  <c r="EA40" i="7"/>
  <c r="EA35" i="7"/>
  <c r="EA42" i="7"/>
  <c r="EA37" i="7"/>
  <c r="EA44" i="7"/>
  <c r="EA39" i="7"/>
  <c r="EA41" i="7"/>
  <c r="EA38" i="7"/>
  <c r="EA45" i="7"/>
  <c r="EA47" i="7"/>
  <c r="EA46" i="7"/>
  <c r="DS39" i="7"/>
  <c r="BP40" i="7"/>
  <c r="U25" i="7"/>
  <c r="X39" i="7"/>
  <c r="AH38" i="22"/>
  <c r="R45" i="22"/>
  <c r="V45" i="22"/>
  <c r="GP34" i="7"/>
  <c r="FU34" i="7"/>
  <c r="IH34" i="7"/>
  <c r="IH30" i="7"/>
  <c r="CW40" i="7"/>
  <c r="CT47" i="7"/>
  <c r="FH43" i="7"/>
  <c r="DH31" i="7"/>
  <c r="DH32" i="7"/>
  <c r="DH33" i="7"/>
  <c r="AD46" i="22"/>
  <c r="AF46" i="22"/>
  <c r="R46" i="22"/>
  <c r="AH46" i="22"/>
  <c r="AG46" i="22"/>
  <c r="U46" i="22"/>
  <c r="AO46" i="22"/>
  <c r="AN46" i="22"/>
  <c r="AR46" i="22"/>
  <c r="S46" i="22"/>
  <c r="AP46" i="22"/>
  <c r="AQ46" i="22"/>
  <c r="AC46" i="22"/>
  <c r="T46" i="22"/>
  <c r="AX46" i="22"/>
  <c r="AE46" i="22"/>
  <c r="W46" i="22"/>
  <c r="AS46" i="22"/>
  <c r="V46" i="22"/>
  <c r="AF39" i="7"/>
  <c r="AF45" i="7"/>
  <c r="AF46" i="7"/>
  <c r="AF35" i="7"/>
  <c r="AF42" i="7"/>
  <c r="AF43" i="7"/>
  <c r="AF44" i="7"/>
  <c r="AF47" i="7"/>
  <c r="AF36" i="7"/>
  <c r="AF40" i="7"/>
  <c r="AF38" i="7"/>
  <c r="AF37" i="7"/>
  <c r="AF41" i="7"/>
  <c r="AH30" i="7"/>
  <c r="AH32" i="7"/>
  <c r="AH33" i="7"/>
  <c r="GQ30" i="7"/>
  <c r="GQ32" i="7"/>
  <c r="GQ33" i="7"/>
  <c r="GD47" i="7"/>
  <c r="GD36" i="7"/>
  <c r="GD38" i="7"/>
  <c r="GD35" i="7"/>
  <c r="GD25" i="7"/>
  <c r="GD37" i="7"/>
  <c r="N4" i="22"/>
  <c r="R34" i="22"/>
  <c r="AF34" i="22"/>
  <c r="AG34" i="22"/>
  <c r="AX34" i="22"/>
  <c r="AX30" i="22"/>
  <c r="AH34" i="22"/>
  <c r="AH30" i="22"/>
  <c r="AE34" i="22"/>
  <c r="AE30" i="22"/>
  <c r="T34" i="22"/>
  <c r="T30" i="22"/>
  <c r="AR34" i="22"/>
  <c r="AC34" i="22"/>
  <c r="AP34" i="22"/>
  <c r="AP30" i="22"/>
  <c r="AN34" i="22"/>
  <c r="V34" i="22"/>
  <c r="AS34" i="22"/>
  <c r="AS30" i="22"/>
  <c r="AQ34" i="22"/>
  <c r="U34" i="22"/>
  <c r="AD34" i="22"/>
  <c r="S34" i="22"/>
  <c r="AO34" i="22"/>
  <c r="W34" i="22"/>
  <c r="W30" i="22"/>
  <c r="HE32" i="7"/>
  <c r="HE33" i="7"/>
  <c r="HE31" i="7"/>
  <c r="T38" i="22"/>
  <c r="CT39" i="7"/>
  <c r="FH40" i="7"/>
  <c r="DH5" i="7"/>
  <c r="FV40" i="7"/>
  <c r="FV37" i="7"/>
  <c r="FV42" i="7"/>
  <c r="FV45" i="7"/>
  <c r="FV46" i="7"/>
  <c r="FV47" i="7"/>
  <c r="FV41" i="7"/>
  <c r="FV38" i="7"/>
  <c r="FV43" i="7"/>
  <c r="FV39" i="7"/>
  <c r="FV36" i="7"/>
  <c r="FV44" i="7"/>
  <c r="FS25" i="7"/>
  <c r="FV35" i="7"/>
  <c r="DE31" i="7"/>
  <c r="DE33" i="7"/>
  <c r="DE32" i="7"/>
  <c r="BM37" i="7"/>
  <c r="BM44" i="7"/>
  <c r="BM46" i="7"/>
  <c r="BM35" i="7"/>
  <c r="DH9" i="7"/>
  <c r="HY47" i="7"/>
  <c r="HY37" i="7"/>
  <c r="BE46" i="7"/>
  <c r="CL39" i="7"/>
  <c r="CL46" i="7"/>
  <c r="CL41" i="7"/>
  <c r="CL40" i="7"/>
  <c r="CL43" i="7"/>
  <c r="CL42" i="7"/>
  <c r="CL45" i="7"/>
  <c r="CI25" i="7"/>
  <c r="CL47" i="7"/>
  <c r="CL37" i="7"/>
  <c r="CL38" i="7"/>
  <c r="CL35" i="7"/>
  <c r="CL36" i="7"/>
  <c r="CL44" i="7"/>
  <c r="DH15" i="7"/>
  <c r="T15" i="25"/>
  <c r="T15" i="8"/>
  <c r="HE27" i="7"/>
  <c r="CA36" i="7"/>
  <c r="CA42" i="7"/>
  <c r="CA40" i="7"/>
  <c r="CA46" i="7"/>
  <c r="CA44" i="7"/>
  <c r="BX25" i="7"/>
  <c r="CA35" i="7"/>
  <c r="CA39" i="7"/>
  <c r="CA45" i="7"/>
  <c r="CA43" i="7"/>
  <c r="CA47" i="7"/>
  <c r="CA38" i="7"/>
  <c r="CA41" i="7"/>
  <c r="CA37" i="7"/>
  <c r="BP35" i="7"/>
  <c r="BM40" i="7"/>
  <c r="X46" i="7"/>
  <c r="X38" i="7"/>
  <c r="AQ38" i="22"/>
  <c r="AH45" i="22"/>
  <c r="BN34" i="7"/>
  <c r="CG34" i="7"/>
  <c r="ID34" i="7"/>
  <c r="ID30" i="7"/>
  <c r="CW41" i="7"/>
  <c r="GD44" i="7"/>
  <c r="AI40" i="7"/>
  <c r="FH45" i="7"/>
  <c r="EO35" i="7"/>
  <c r="EO37" i="7"/>
  <c r="EO39" i="7"/>
  <c r="EO41" i="7"/>
  <c r="EO43" i="7"/>
  <c r="EO45" i="7"/>
  <c r="EO47" i="7"/>
  <c r="EO36" i="7"/>
  <c r="EO42" i="7"/>
  <c r="EO40" i="7"/>
  <c r="EO46" i="7"/>
  <c r="EL25" i="7"/>
  <c r="EO44" i="7"/>
  <c r="EO38" i="7"/>
  <c r="AD40" i="22"/>
  <c r="T40" i="22"/>
  <c r="AF40" i="22"/>
  <c r="AX40" i="22"/>
  <c r="AG40" i="22"/>
  <c r="AR40" i="22"/>
  <c r="V40" i="22"/>
  <c r="AP40" i="22"/>
  <c r="AC40" i="22"/>
  <c r="AN40" i="22"/>
  <c r="R40" i="22"/>
  <c r="AE40" i="22"/>
  <c r="AQ40" i="22"/>
  <c r="S40" i="22"/>
  <c r="AH40" i="22"/>
  <c r="U40" i="22"/>
  <c r="W40" i="22"/>
  <c r="AO40" i="22"/>
  <c r="AS40" i="22"/>
  <c r="CA31" i="7"/>
  <c r="CA32" i="7"/>
  <c r="CA33" i="7"/>
  <c r="FH44" i="7"/>
  <c r="CT43" i="7"/>
  <c r="CT38" i="7"/>
  <c r="CT40" i="7"/>
  <c r="CT46" i="7"/>
  <c r="CT35" i="7"/>
  <c r="CT37" i="7"/>
  <c r="CT41" i="7"/>
  <c r="AX37" i="22"/>
  <c r="AD37" i="22"/>
  <c r="AO37" i="22"/>
  <c r="AF37" i="22"/>
  <c r="AR37" i="22"/>
  <c r="S37" i="22"/>
  <c r="AG37" i="22"/>
  <c r="R37" i="22"/>
  <c r="AQ37" i="22"/>
  <c r="V37" i="22"/>
  <c r="AP37" i="22"/>
  <c r="U37" i="22"/>
  <c r="AE37" i="22"/>
  <c r="T37" i="22"/>
  <c r="AC37" i="22"/>
  <c r="AH37" i="22"/>
  <c r="W37" i="22"/>
  <c r="AS37" i="22"/>
  <c r="BE31" i="7"/>
  <c r="BE32" i="7"/>
  <c r="BE33" i="7"/>
  <c r="DH21" i="7"/>
  <c r="T45" i="22"/>
  <c r="AI34" i="7"/>
  <c r="AI30" i="7"/>
  <c r="GD45" i="7"/>
  <c r="P39" i="9"/>
  <c r="T39" i="9"/>
  <c r="H39" i="9"/>
  <c r="D39" i="9"/>
  <c r="U39" i="9"/>
  <c r="K39" i="9"/>
  <c r="Q39" i="9"/>
  <c r="G39" i="9"/>
  <c r="J39" i="9"/>
  <c r="S39" i="9"/>
  <c r="E39" i="9"/>
  <c r="L39" i="9"/>
  <c r="W39" i="9"/>
  <c r="V39" i="9"/>
  <c r="O39" i="9"/>
  <c r="R39" i="9"/>
  <c r="C39" i="9"/>
  <c r="N39" i="9"/>
  <c r="I39" i="9"/>
  <c r="F39" i="9"/>
  <c r="M39" i="9"/>
  <c r="AS32" i="22"/>
  <c r="AS31" i="22"/>
  <c r="AS33" i="22"/>
  <c r="DQ29" i="7"/>
  <c r="DQ31" i="7"/>
  <c r="CJ29" i="7"/>
  <c r="CJ31" i="7"/>
  <c r="BL29" i="7"/>
  <c r="BL31" i="7"/>
  <c r="BP29" i="7"/>
  <c r="EX29" i="7"/>
  <c r="EX31" i="7"/>
  <c r="DC29" i="7"/>
  <c r="DC31" i="7"/>
  <c r="DE29" i="7"/>
  <c r="EC29" i="7"/>
  <c r="EC31" i="7"/>
  <c r="DY29" i="7"/>
  <c r="DY31" i="7"/>
  <c r="EN29" i="7"/>
  <c r="EN31" i="7"/>
  <c r="DR29" i="7"/>
  <c r="DR31" i="7"/>
  <c r="AP29" i="7"/>
  <c r="AP31" i="7"/>
  <c r="ID29" i="7"/>
  <c r="W45" i="25"/>
  <c r="IH29" i="7"/>
  <c r="X45" i="25"/>
  <c r="AQ29" i="7"/>
  <c r="FG29" i="7"/>
  <c r="FG31" i="7"/>
  <c r="BC29" i="7"/>
  <c r="BC31" i="7"/>
  <c r="DS29" i="7"/>
  <c r="HK29" i="7"/>
  <c r="X29" i="7"/>
  <c r="CH29" i="7"/>
  <c r="CH31" i="7"/>
  <c r="HN29" i="7"/>
  <c r="CT29" i="7"/>
  <c r="GR29" i="7"/>
  <c r="AT29" i="7"/>
  <c r="BE29" i="7"/>
  <c r="GP29" i="7"/>
  <c r="GP31" i="7"/>
  <c r="GY29" i="7"/>
  <c r="GY31" i="7"/>
  <c r="GD29" i="7"/>
  <c r="BW29" i="7"/>
  <c r="BW31" i="7"/>
  <c r="AR29" i="7"/>
  <c r="AR31" i="7"/>
  <c r="HB29" i="7"/>
  <c r="HB31" i="7"/>
  <c r="CK29" i="7"/>
  <c r="CK31" i="7"/>
  <c r="DN29" i="7"/>
  <c r="DN31" i="7"/>
  <c r="FK29" i="7"/>
  <c r="FU29" i="7"/>
  <c r="FU31" i="7"/>
  <c r="BB29" i="7"/>
  <c r="GF29" i="7"/>
  <c r="GF31" i="7"/>
  <c r="EB29" i="7"/>
  <c r="EB31" i="7"/>
  <c r="FR29" i="7"/>
  <c r="FR31" i="7"/>
  <c r="BY29" i="7"/>
  <c r="BY31" i="7"/>
  <c r="FQ29" i="7"/>
  <c r="FQ31" i="7"/>
  <c r="AI29" i="7"/>
  <c r="IJ29" i="7"/>
  <c r="AH29" i="7"/>
  <c r="AH31" i="7"/>
  <c r="BV29" i="7"/>
  <c r="BV31" i="7"/>
  <c r="HJ29" i="7"/>
  <c r="HJ31" i="7"/>
  <c r="IF29" i="7"/>
  <c r="AN45" i="25"/>
  <c r="HV29" i="7"/>
  <c r="HE29" i="7"/>
  <c r="HX29" i="7"/>
  <c r="HX31" i="7"/>
  <c r="CG29" i="7"/>
  <c r="CG31" i="7"/>
  <c r="BD29" i="7"/>
  <c r="BD31" i="7"/>
  <c r="AZ29" i="7"/>
  <c r="AZ31" i="7"/>
  <c r="HA29" i="7"/>
  <c r="HA31" i="7"/>
  <c r="HU29" i="7"/>
  <c r="HU31" i="7"/>
  <c r="GC29" i="7"/>
  <c r="GC31" i="7"/>
  <c r="HC29" i="7"/>
  <c r="GO29" i="7"/>
  <c r="GN29" i="7"/>
  <c r="GN31" i="7"/>
  <c r="BZ29" i="7"/>
  <c r="BZ31" i="7"/>
  <c r="HL29" i="7"/>
  <c r="HL31" i="7"/>
  <c r="HT29" i="7"/>
  <c r="HT31" i="7"/>
  <c r="CW29" i="7"/>
  <c r="FI29" i="7"/>
  <c r="FI31" i="7"/>
  <c r="AG29" i="7"/>
  <c r="AG31" i="7"/>
  <c r="CR29" i="7"/>
  <c r="CR31" i="7"/>
  <c r="IG29" i="7"/>
  <c r="DP29" i="7"/>
  <c r="FH29" i="7"/>
  <c r="BN29" i="7"/>
  <c r="BN31" i="7"/>
  <c r="DZ29" i="7"/>
  <c r="DZ31" i="7"/>
  <c r="CA29" i="7"/>
  <c r="AD29" i="7"/>
  <c r="AD31" i="7"/>
  <c r="HI29" i="7"/>
  <c r="HI31" i="7"/>
  <c r="DO29" i="7"/>
  <c r="DO31" i="7"/>
  <c r="CL29" i="7"/>
  <c r="HY29" i="7"/>
  <c r="EL29" i="7"/>
  <c r="CI29" i="7"/>
  <c r="AS29" i="7"/>
  <c r="AS31" i="7"/>
  <c r="GQ29" i="7"/>
  <c r="GQ31" i="7"/>
  <c r="GM29" i="7"/>
  <c r="GM31" i="7"/>
  <c r="GE29" i="7"/>
  <c r="GE31" i="7"/>
  <c r="T29" i="7"/>
  <c r="T31" i="7"/>
  <c r="FV29" i="7"/>
  <c r="GB29" i="7"/>
  <c r="GB31" i="7"/>
  <c r="BX29" i="7"/>
  <c r="GZ29" i="7"/>
  <c r="AO29" i="7"/>
  <c r="AO31" i="7"/>
  <c r="DG29" i="7"/>
  <c r="DG31" i="7"/>
  <c r="EA29" i="7"/>
  <c r="GG29" i="7"/>
  <c r="HM29" i="7"/>
  <c r="HM31" i="7"/>
  <c r="AF29" i="7"/>
  <c r="EM29" i="7"/>
  <c r="EM31" i="7"/>
  <c r="FS29" i="7"/>
  <c r="BA29" i="7"/>
  <c r="BA31" i="7"/>
  <c r="EU29" i="7"/>
  <c r="EU31" i="7"/>
  <c r="CU29" i="7"/>
  <c r="CU31" i="7"/>
  <c r="FJ29" i="7"/>
  <c r="FJ31" i="7"/>
  <c r="FT29" i="7"/>
  <c r="FT31" i="7"/>
  <c r="AE29" i="7"/>
  <c r="AE31" i="7"/>
  <c r="HD29" i="7"/>
  <c r="EZ29" i="7"/>
  <c r="EW29" i="7"/>
  <c r="HW29" i="7"/>
  <c r="HW31" i="7"/>
  <c r="BM29" i="7"/>
  <c r="ED29" i="7"/>
  <c r="CS29" i="7"/>
  <c r="CS31" i="7"/>
  <c r="DD29" i="7"/>
  <c r="DD31" i="7"/>
  <c r="BO29" i="7"/>
  <c r="BO31" i="7"/>
  <c r="BK29" i="7"/>
  <c r="BK31" i="7"/>
  <c r="EO29" i="7"/>
  <c r="CV29" i="7"/>
  <c r="CV31" i="7"/>
  <c r="DF29" i="7"/>
  <c r="DF31" i="7"/>
  <c r="S29" i="7"/>
  <c r="S31" i="7"/>
  <c r="W29" i="7"/>
  <c r="W31" i="7"/>
  <c r="FF29" i="7"/>
  <c r="FF31" i="7"/>
  <c r="EV29" i="7"/>
  <c r="EV31" i="7"/>
  <c r="EY29" i="7"/>
  <c r="EY31" i="7"/>
  <c r="EK29" i="7"/>
  <c r="EK31" i="7"/>
  <c r="GX29" i="7"/>
  <c r="GX31" i="7"/>
  <c r="V29" i="7"/>
  <c r="V31" i="7"/>
  <c r="U29" i="7"/>
  <c r="CI38" i="7"/>
  <c r="CI41" i="7"/>
  <c r="CI40" i="7"/>
  <c r="CI43" i="7"/>
  <c r="CI44" i="7"/>
  <c r="CI47" i="7"/>
  <c r="CI46" i="7"/>
  <c r="CI36" i="7"/>
  <c r="CI39" i="7"/>
  <c r="CI42" i="7"/>
  <c r="CI45" i="7"/>
  <c r="CI37" i="7"/>
  <c r="CI35" i="7"/>
  <c r="DS36" i="7"/>
  <c r="DS38" i="7"/>
  <c r="DS40" i="7"/>
  <c r="DS35" i="7"/>
  <c r="DS44" i="7"/>
  <c r="DS46" i="7"/>
  <c r="DS37" i="7"/>
  <c r="DS41" i="7"/>
  <c r="FH25" i="7"/>
  <c r="FK39" i="7"/>
  <c r="FK37" i="7"/>
  <c r="FK43" i="7"/>
  <c r="FK45" i="7"/>
  <c r="FK36" i="7"/>
  <c r="FK46" i="7"/>
  <c r="FK35" i="7"/>
  <c r="FK41" i="7"/>
  <c r="FK40" i="7"/>
  <c r="FK44" i="7"/>
  <c r="FK47" i="7"/>
  <c r="FK38" i="7"/>
  <c r="FK42" i="7"/>
  <c r="AO39" i="22"/>
  <c r="S39" i="22"/>
  <c r="AP39" i="22"/>
  <c r="AR39" i="22"/>
  <c r="AC39" i="22"/>
  <c r="AD39" i="22"/>
  <c r="AQ39" i="22"/>
  <c r="AF39" i="22"/>
  <c r="R39" i="22"/>
  <c r="AG39" i="22"/>
  <c r="V39" i="22"/>
  <c r="T39" i="22"/>
  <c r="AX39" i="22"/>
  <c r="AN39" i="22"/>
  <c r="U39" i="22"/>
  <c r="AE39" i="22"/>
  <c r="AH39" i="22"/>
  <c r="AS39" i="22"/>
  <c r="W39" i="22"/>
  <c r="AQ43" i="22"/>
  <c r="AD43" i="22"/>
  <c r="T43" i="22"/>
  <c r="AF43" i="22"/>
  <c r="AX43" i="22"/>
  <c r="AG43" i="22"/>
  <c r="AR43" i="22"/>
  <c r="AH43" i="22"/>
  <c r="AN43" i="22"/>
  <c r="AC43" i="22"/>
  <c r="U43" i="22"/>
  <c r="AO43" i="22"/>
  <c r="S43" i="22"/>
  <c r="AS43" i="22"/>
  <c r="AE43" i="22"/>
  <c r="W43" i="22"/>
  <c r="AP43" i="22"/>
  <c r="EA43" i="7"/>
  <c r="BM36" i="7"/>
  <c r="X44" i="7"/>
  <c r="AS38" i="22"/>
  <c r="U38" i="22"/>
  <c r="AR45" i="22"/>
  <c r="FJ34" i="7"/>
  <c r="GN34" i="7"/>
  <c r="DY34" i="7"/>
  <c r="CW35" i="7"/>
  <c r="GD42" i="7"/>
  <c r="AE25" i="22"/>
  <c r="FH41" i="7"/>
  <c r="AI42" i="7"/>
  <c r="EO31" i="7"/>
  <c r="EO33" i="7"/>
  <c r="EO32" i="7"/>
  <c r="FJ33" i="7"/>
  <c r="FJ30" i="7"/>
  <c r="FJ32" i="7"/>
  <c r="GH22" i="7"/>
  <c r="GH16" i="7"/>
  <c r="GH5" i="7"/>
  <c r="GH4" i="7"/>
  <c r="GH20" i="7"/>
  <c r="GH9" i="7"/>
  <c r="GI9" i="7"/>
  <c r="GH10" i="7"/>
  <c r="GH7" i="7"/>
  <c r="GH13" i="7"/>
  <c r="GH15" i="7"/>
  <c r="GH12" i="7"/>
  <c r="GH8" i="7"/>
  <c r="GH23" i="7"/>
  <c r="GH21" i="7"/>
  <c r="GI21" i="7"/>
  <c r="GH14" i="7"/>
  <c r="GH6" i="7"/>
  <c r="GH24" i="7"/>
  <c r="GH18" i="7"/>
  <c r="GH19" i="7"/>
  <c r="GH11" i="7"/>
  <c r="GH17" i="7"/>
  <c r="DH38" i="7"/>
  <c r="DH42" i="7"/>
  <c r="DH46" i="7"/>
  <c r="DH35" i="7"/>
  <c r="DH39" i="7"/>
  <c r="DH43" i="7"/>
  <c r="DH47" i="7"/>
  <c r="DH36" i="7"/>
  <c r="DH40" i="7"/>
  <c r="DH44" i="7"/>
  <c r="DH37" i="7"/>
  <c r="DH41" i="7"/>
  <c r="DH45" i="7"/>
  <c r="DE25" i="7"/>
  <c r="DH29" i="7"/>
  <c r="DH34" i="7"/>
  <c r="DH30" i="7"/>
  <c r="CY19" i="7"/>
  <c r="CX44" i="7"/>
  <c r="CX39" i="7"/>
  <c r="CX34" i="7"/>
  <c r="CX30" i="7"/>
  <c r="CY45" i="7"/>
  <c r="CX46" i="7"/>
  <c r="CX43" i="7"/>
  <c r="CY47" i="7"/>
  <c r="CX29" i="7"/>
  <c r="CX47" i="7"/>
  <c r="CY4" i="7"/>
  <c r="CX36" i="7"/>
  <c r="CY38" i="7"/>
  <c r="CX35" i="7"/>
  <c r="CY37" i="7"/>
  <c r="CX38" i="7"/>
  <c r="CY40" i="7"/>
  <c r="CX37" i="7"/>
  <c r="CY39" i="7"/>
  <c r="CY29" i="7"/>
  <c r="CX45" i="7"/>
  <c r="CX40" i="7"/>
  <c r="CY35" i="7"/>
  <c r="CX42" i="7"/>
  <c r="CY41" i="7"/>
  <c r="CY36" i="7"/>
  <c r="CY43" i="7"/>
  <c r="CY34" i="7"/>
  <c r="CY44" i="7"/>
  <c r="CY46" i="7"/>
  <c r="CX41" i="7"/>
  <c r="EK30" i="7"/>
  <c r="EK32" i="7"/>
  <c r="EK33" i="7"/>
  <c r="GE33" i="7"/>
  <c r="GE30" i="7"/>
  <c r="GE32" i="7"/>
  <c r="AS30" i="7"/>
  <c r="AS32" i="7"/>
  <c r="AS33" i="7"/>
  <c r="EU30" i="7"/>
  <c r="EU32" i="7"/>
  <c r="EU33" i="7"/>
  <c r="HP10" i="7"/>
  <c r="E7" i="18"/>
  <c r="E41" i="9"/>
  <c r="E6" i="18"/>
  <c r="DU17" i="7"/>
  <c r="FW11" i="7"/>
  <c r="FW20" i="7"/>
  <c r="FW6" i="7"/>
  <c r="FW15" i="7"/>
  <c r="FW5" i="7"/>
  <c r="FW10" i="7"/>
  <c r="FX10" i="7"/>
  <c r="FW19" i="7"/>
  <c r="FW9" i="7"/>
  <c r="FW14" i="7"/>
  <c r="FW24" i="7"/>
  <c r="FW13" i="7"/>
  <c r="FW18" i="7"/>
  <c r="FW4" i="7"/>
  <c r="FW17" i="7"/>
  <c r="FX17" i="7"/>
  <c r="FW22" i="7"/>
  <c r="FW8" i="7"/>
  <c r="FW7" i="7"/>
  <c r="FW16" i="7"/>
  <c r="FW21" i="7"/>
  <c r="FW12" i="7"/>
  <c r="FW23" i="7"/>
  <c r="CY21" i="7"/>
  <c r="CY10" i="7"/>
  <c r="CX31" i="7"/>
  <c r="CX32" i="7"/>
  <c r="CY24" i="7"/>
  <c r="CX33" i="7"/>
  <c r="HX33" i="7"/>
  <c r="HX30" i="7"/>
  <c r="HX32" i="7"/>
  <c r="DF30" i="7"/>
  <c r="DF32" i="7"/>
  <c r="DF33" i="7"/>
  <c r="EB33" i="7"/>
  <c r="EB30" i="7"/>
  <c r="EB32" i="7"/>
  <c r="CS33" i="7"/>
  <c r="CS30" i="7"/>
  <c r="CS32" i="7"/>
  <c r="HA30" i="7"/>
  <c r="HA32" i="7"/>
  <c r="HA33" i="7"/>
  <c r="BV30" i="7"/>
  <c r="BV32" i="7"/>
  <c r="BV33" i="7"/>
  <c r="AZ30" i="7"/>
  <c r="AZ32" i="7"/>
  <c r="AZ33" i="7"/>
  <c r="T30" i="7"/>
  <c r="T32" i="7"/>
  <c r="T33" i="7"/>
  <c r="CK30" i="7"/>
  <c r="CK32" i="7"/>
  <c r="CK33" i="7"/>
  <c r="HP13" i="7"/>
  <c r="HP12" i="7"/>
  <c r="HP18" i="7"/>
  <c r="X21" i="22"/>
  <c r="X12" i="22"/>
  <c r="X11" i="22"/>
  <c r="X20" i="22"/>
  <c r="X7" i="22"/>
  <c r="Y7" i="22"/>
  <c r="X16" i="22"/>
  <c r="Y16" i="22"/>
  <c r="X17" i="22"/>
  <c r="X4" i="22"/>
  <c r="X22" i="22"/>
  <c r="X8" i="22"/>
  <c r="X6" i="22"/>
  <c r="X15" i="22"/>
  <c r="X9" i="22"/>
  <c r="Y9" i="22"/>
  <c r="X13" i="22"/>
  <c r="Y13" i="22"/>
  <c r="X24" i="22"/>
  <c r="X10" i="22"/>
  <c r="X19" i="22"/>
  <c r="X14" i="22"/>
  <c r="X18" i="22"/>
  <c r="X5" i="22"/>
  <c r="BF8" i="7"/>
  <c r="BF22" i="7"/>
  <c r="BG22" i="7"/>
  <c r="BF11" i="7"/>
  <c r="BF12" i="7"/>
  <c r="BF6" i="7"/>
  <c r="BF16" i="7"/>
  <c r="BF17" i="7"/>
  <c r="BF10" i="7"/>
  <c r="BF20" i="7"/>
  <c r="BF21" i="7"/>
  <c r="BG21" i="7"/>
  <c r="BF14" i="7"/>
  <c r="BF9" i="7"/>
  <c r="BF23" i="7"/>
  <c r="BF13" i="7"/>
  <c r="BF15" i="7"/>
  <c r="BF18" i="7"/>
  <c r="BF19" i="7"/>
  <c r="BF7" i="7"/>
  <c r="BG7" i="7"/>
  <c r="BF24" i="7"/>
  <c r="BF4" i="7"/>
  <c r="BF5" i="7"/>
  <c r="G1" i="18"/>
  <c r="G2" i="18"/>
  <c r="F3" i="18"/>
  <c r="DU12" i="7"/>
  <c r="DU5" i="7"/>
  <c r="AQ33" i="22"/>
  <c r="AQ30" i="22"/>
  <c r="AQ32" i="22"/>
  <c r="CY14" i="7"/>
  <c r="CR33" i="7"/>
  <c r="CR30" i="7"/>
  <c r="CR32" i="7"/>
  <c r="GY30" i="7"/>
  <c r="GY32" i="7"/>
  <c r="GY33" i="7"/>
  <c r="T45" i="25"/>
  <c r="HE30" i="7"/>
  <c r="AG30" i="7"/>
  <c r="AG32" i="7"/>
  <c r="AG33" i="7"/>
  <c r="GM30" i="7"/>
  <c r="GM32" i="7"/>
  <c r="GM33" i="7"/>
  <c r="CU30" i="7"/>
  <c r="CU32" i="7"/>
  <c r="CU33" i="7"/>
  <c r="HP17" i="7"/>
  <c r="HP11" i="7"/>
  <c r="FA15" i="7"/>
  <c r="FA5" i="7"/>
  <c r="FA10" i="7"/>
  <c r="FA19" i="7"/>
  <c r="FA13" i="7"/>
  <c r="FA18" i="7"/>
  <c r="FA24" i="7"/>
  <c r="FA21" i="7"/>
  <c r="FA4" i="7"/>
  <c r="FA6" i="7"/>
  <c r="FA23" i="7"/>
  <c r="FA12" i="7"/>
  <c r="FA22" i="7"/>
  <c r="FA7" i="7"/>
  <c r="FA16" i="7"/>
  <c r="FB16" i="7"/>
  <c r="FA9" i="7"/>
  <c r="FA17" i="7"/>
  <c r="FA20" i="7"/>
  <c r="FA11" i="7"/>
  <c r="FA8" i="7"/>
  <c r="FA14" i="7"/>
  <c r="DU18" i="7"/>
  <c r="V33" i="22"/>
  <c r="V30" i="22"/>
  <c r="V32" i="22"/>
  <c r="AJ4" i="7"/>
  <c r="AJ18" i="7"/>
  <c r="AJ7" i="7"/>
  <c r="AJ8" i="7"/>
  <c r="AJ22" i="7"/>
  <c r="AJ11" i="7"/>
  <c r="AJ12" i="7"/>
  <c r="AK12" i="7"/>
  <c r="AJ6" i="7"/>
  <c r="AJ16" i="7"/>
  <c r="AJ17" i="7"/>
  <c r="AJ10" i="7"/>
  <c r="AJ21" i="7"/>
  <c r="AJ14" i="7"/>
  <c r="AJ5" i="7"/>
  <c r="AJ19" i="7"/>
  <c r="AK19" i="7"/>
  <c r="AJ20" i="7"/>
  <c r="AJ13" i="7"/>
  <c r="AJ15" i="7"/>
  <c r="AJ23" i="7"/>
  <c r="AJ24" i="7"/>
  <c r="AJ9" i="7"/>
  <c r="CY9" i="7"/>
  <c r="CY16" i="7"/>
  <c r="CY13" i="7"/>
  <c r="W33" i="7"/>
  <c r="W30" i="7"/>
  <c r="W32" i="7"/>
  <c r="HT33" i="7"/>
  <c r="HT30" i="7"/>
  <c r="HT32" i="7"/>
  <c r="AO30" i="7"/>
  <c r="AO32" i="7"/>
  <c r="AO33" i="7"/>
  <c r="BA30" i="7"/>
  <c r="BA32" i="7"/>
  <c r="BA33" i="7"/>
  <c r="DC30" i="7"/>
  <c r="DC32" i="7"/>
  <c r="DC33" i="7"/>
  <c r="BK33" i="7"/>
  <c r="BK30" i="7"/>
  <c r="BK32" i="7"/>
  <c r="BW33" i="7"/>
  <c r="BW30" i="7"/>
  <c r="BW32" i="7"/>
  <c r="EJ30" i="7"/>
  <c r="EJ32" i="7"/>
  <c r="EJ33" i="7"/>
  <c r="EX30" i="7"/>
  <c r="EX32" i="7"/>
  <c r="EX33" i="7"/>
  <c r="S30" i="7"/>
  <c r="S32" i="7"/>
  <c r="S33" i="7"/>
  <c r="HP7" i="7"/>
  <c r="HP20" i="7"/>
  <c r="HP14" i="7"/>
  <c r="DU11" i="7"/>
  <c r="DT32" i="7"/>
  <c r="DT33" i="7"/>
  <c r="DT31" i="7"/>
  <c r="DU24" i="7"/>
  <c r="DU23" i="7"/>
  <c r="AG30" i="22"/>
  <c r="AG32" i="22"/>
  <c r="AG33" i="22"/>
  <c r="AE33" i="7"/>
  <c r="AE30" i="7"/>
  <c r="AE32" i="7"/>
  <c r="FR30" i="7"/>
  <c r="FR32" i="7"/>
  <c r="FR33" i="7"/>
  <c r="L11" i="25"/>
  <c r="L11" i="8"/>
  <c r="Y9" i="7"/>
  <c r="Y23" i="7"/>
  <c r="Z23" i="7"/>
  <c r="Y21" i="7"/>
  <c r="Y19" i="7"/>
  <c r="Y5" i="7"/>
  <c r="Y15" i="7"/>
  <c r="Y13" i="7"/>
  <c r="Y7" i="7"/>
  <c r="Y18" i="7"/>
  <c r="Y11" i="7"/>
  <c r="Z11" i="7"/>
  <c r="Y8" i="7"/>
  <c r="Y6" i="7"/>
  <c r="Y12" i="7"/>
  <c r="Y10" i="7"/>
  <c r="Y20" i="7"/>
  <c r="Y4" i="7"/>
  <c r="Y17" i="7"/>
  <c r="Y22" i="7"/>
  <c r="Z22" i="7"/>
  <c r="Y14" i="7"/>
  <c r="Y16" i="7"/>
  <c r="Y24" i="7"/>
  <c r="FQ30" i="7"/>
  <c r="FQ32" i="7"/>
  <c r="FQ33" i="7"/>
  <c r="DN33" i="7"/>
  <c r="DN30" i="7"/>
  <c r="DN32" i="7"/>
  <c r="FF30" i="7"/>
  <c r="FF32" i="7"/>
  <c r="FF33" i="7"/>
  <c r="BC30" i="7"/>
  <c r="BC32" i="7"/>
  <c r="BC33" i="7"/>
  <c r="BZ30" i="7"/>
  <c r="BZ32" i="7"/>
  <c r="BZ33" i="7"/>
  <c r="HJ30" i="7"/>
  <c r="HJ32" i="7"/>
  <c r="HJ33" i="7"/>
  <c r="HP9" i="7"/>
  <c r="HP8" i="7"/>
  <c r="EE5" i="7"/>
  <c r="EE19" i="7"/>
  <c r="EE20" i="7"/>
  <c r="EE13" i="7"/>
  <c r="EE15" i="7"/>
  <c r="EE4" i="7"/>
  <c r="EE18" i="7"/>
  <c r="EF18" i="7"/>
  <c r="EE7" i="7"/>
  <c r="EE12" i="7"/>
  <c r="EE6" i="7"/>
  <c r="EE17" i="7"/>
  <c r="EE21" i="7"/>
  <c r="EE16" i="7"/>
  <c r="EE9" i="7"/>
  <c r="EE24" i="7"/>
  <c r="EE22" i="7"/>
  <c r="EE14" i="7"/>
  <c r="EE23" i="7"/>
  <c r="EE8" i="7"/>
  <c r="EE10" i="7"/>
  <c r="EE11" i="7"/>
  <c r="HL30" i="7"/>
  <c r="HL32" i="7"/>
  <c r="HL33" i="7"/>
  <c r="GS13" i="7"/>
  <c r="GS15" i="7"/>
  <c r="GS8" i="7"/>
  <c r="GS22" i="7"/>
  <c r="GS11" i="7"/>
  <c r="GS12" i="7"/>
  <c r="GS6" i="7"/>
  <c r="GS21" i="7"/>
  <c r="GT21" i="7"/>
  <c r="GS14" i="7"/>
  <c r="GS16" i="7"/>
  <c r="GS9" i="7"/>
  <c r="GS24" i="7"/>
  <c r="GS18" i="7"/>
  <c r="GS10" i="7"/>
  <c r="GS19" i="7"/>
  <c r="GS4" i="7"/>
  <c r="GS7" i="7"/>
  <c r="GS17" i="7"/>
  <c r="GS5" i="7"/>
  <c r="GS23" i="7"/>
  <c r="GS20" i="7"/>
  <c r="DU16" i="7"/>
  <c r="DU8" i="7"/>
  <c r="DU20" i="7"/>
  <c r="AN33" i="22"/>
  <c r="AN30" i="22"/>
  <c r="AN32" i="22"/>
  <c r="J3" i="25"/>
  <c r="J3" i="8"/>
  <c r="EN30" i="7"/>
  <c r="EN32" i="7"/>
  <c r="EN33" i="7"/>
  <c r="GX30" i="7"/>
  <c r="GX32" i="7"/>
  <c r="GX33" i="7"/>
  <c r="CH30" i="7"/>
  <c r="CH32" i="7"/>
  <c r="CH33" i="7"/>
  <c r="U13" i="25"/>
  <c r="U13" i="8"/>
  <c r="BL30" i="7"/>
  <c r="BL32" i="7"/>
  <c r="BL33" i="7"/>
  <c r="L12" i="25"/>
  <c r="L12" i="8"/>
  <c r="AF33" i="22"/>
  <c r="AF30" i="22"/>
  <c r="AF32" i="22"/>
  <c r="CY6" i="7"/>
  <c r="CG30" i="7"/>
  <c r="CG32" i="7"/>
  <c r="CG33" i="7"/>
  <c r="CB4" i="7"/>
  <c r="CB18" i="7"/>
  <c r="CB23" i="7"/>
  <c r="CC23" i="7"/>
  <c r="CB17" i="7"/>
  <c r="CB12" i="7"/>
  <c r="CB6" i="7"/>
  <c r="CB7" i="7"/>
  <c r="CB16" i="7"/>
  <c r="CB10" i="7"/>
  <c r="CB15" i="7"/>
  <c r="CB5" i="7"/>
  <c r="CC5" i="7"/>
  <c r="CB13" i="7"/>
  <c r="CB22" i="7"/>
  <c r="CB11" i="7"/>
  <c r="CB14" i="7"/>
  <c r="CB20" i="7"/>
  <c r="CB8" i="7"/>
  <c r="CB21" i="7"/>
  <c r="CB24" i="7"/>
  <c r="CB9" i="7"/>
  <c r="CB19" i="7"/>
  <c r="CM17" i="7"/>
  <c r="CM12" i="7"/>
  <c r="CM6" i="7"/>
  <c r="CM7" i="7"/>
  <c r="CM16" i="7"/>
  <c r="CM10" i="7"/>
  <c r="CN10" i="7"/>
  <c r="CM15" i="7"/>
  <c r="CM5" i="7"/>
  <c r="CM20" i="7"/>
  <c r="CM9" i="7"/>
  <c r="CM21" i="7"/>
  <c r="CM13" i="7"/>
  <c r="CM18" i="7"/>
  <c r="CM22" i="7"/>
  <c r="CN22" i="7"/>
  <c r="CM11" i="7"/>
  <c r="CM14" i="7"/>
  <c r="CM24" i="7"/>
  <c r="CM19" i="7"/>
  <c r="CM8" i="7"/>
  <c r="CM4" i="7"/>
  <c r="CM23" i="7"/>
  <c r="S30" i="22"/>
  <c r="S32" i="22"/>
  <c r="S33" i="22"/>
  <c r="AC33" i="22"/>
  <c r="AC30" i="22"/>
  <c r="AC32" i="22"/>
  <c r="R30" i="22"/>
  <c r="R32" i="22"/>
  <c r="R33" i="22"/>
  <c r="AU21" i="7"/>
  <c r="AU14" i="7"/>
  <c r="AU9" i="7"/>
  <c r="AV9" i="7"/>
  <c r="AU23" i="7"/>
  <c r="AU24" i="7"/>
  <c r="AU13" i="7"/>
  <c r="AU15" i="7"/>
  <c r="AU8" i="7"/>
  <c r="AU22" i="7"/>
  <c r="AU11" i="7"/>
  <c r="AU6" i="7"/>
  <c r="AV6" i="7"/>
  <c r="AU10" i="7"/>
  <c r="AU19" i="7"/>
  <c r="AU4" i="7"/>
  <c r="AU7" i="7"/>
  <c r="AU17" i="7"/>
  <c r="AU5" i="7"/>
  <c r="AU20" i="7"/>
  <c r="AU12" i="7"/>
  <c r="AV12" i="7"/>
  <c r="AU18" i="7"/>
  <c r="AU16" i="7"/>
  <c r="CY20" i="7"/>
  <c r="CY12" i="7"/>
  <c r="CV30" i="7"/>
  <c r="CV32" i="7"/>
  <c r="CV33" i="7"/>
  <c r="HW30" i="7"/>
  <c r="HW32" i="7"/>
  <c r="HW33" i="7"/>
  <c r="BD30" i="7"/>
  <c r="BD32" i="7"/>
  <c r="BD33" i="7"/>
  <c r="DR30" i="7"/>
  <c r="DR32" i="7"/>
  <c r="DR33" i="7"/>
  <c r="EC30" i="7"/>
  <c r="EC32" i="7"/>
  <c r="EC33" i="7"/>
  <c r="HZ21" i="7"/>
  <c r="HZ14" i="7"/>
  <c r="IA14" i="7"/>
  <c r="HZ23" i="7"/>
  <c r="HZ7" i="7"/>
  <c r="HZ18" i="7"/>
  <c r="HZ13" i="7"/>
  <c r="HZ11" i="7"/>
  <c r="HZ22" i="7"/>
  <c r="HZ9" i="7"/>
  <c r="HZ19" i="7"/>
  <c r="IA19" i="7"/>
  <c r="HZ4" i="7"/>
  <c r="HZ6" i="7"/>
  <c r="HZ16" i="7"/>
  <c r="HZ15" i="7"/>
  <c r="HZ24" i="7"/>
  <c r="HZ8" i="7"/>
  <c r="HZ10" i="7"/>
  <c r="HZ12" i="7"/>
  <c r="IA12" i="7"/>
  <c r="HZ5" i="7"/>
  <c r="HZ17" i="7"/>
  <c r="HZ20" i="7"/>
  <c r="HP23" i="7"/>
  <c r="HP16" i="7"/>
  <c r="DU15" i="7"/>
  <c r="DU22" i="7"/>
  <c r="DU19" i="7"/>
  <c r="GF30" i="7"/>
  <c r="GF32" i="7"/>
  <c r="GF33" i="7"/>
  <c r="DZ33" i="7"/>
  <c r="DZ30" i="7"/>
  <c r="DZ32" i="7"/>
  <c r="U4" i="25"/>
  <c r="U4" i="8"/>
  <c r="L44" i="25"/>
  <c r="L44" i="8"/>
  <c r="AT5" i="22"/>
  <c r="AT16" i="22"/>
  <c r="AT8" i="22"/>
  <c r="AT9" i="22"/>
  <c r="AT22" i="22"/>
  <c r="AT13" i="22"/>
  <c r="AT24" i="22"/>
  <c r="AT12" i="22"/>
  <c r="AU12" i="22"/>
  <c r="AT17" i="22"/>
  <c r="AT7" i="22"/>
  <c r="AT18" i="22"/>
  <c r="AT21" i="22"/>
  <c r="AT11" i="22"/>
  <c r="AT20" i="22"/>
  <c r="AT6" i="22"/>
  <c r="AT29" i="22"/>
  <c r="AT15" i="22"/>
  <c r="AU15" i="22"/>
  <c r="AT14" i="22"/>
  <c r="AT4" i="22"/>
  <c r="AT10" i="22"/>
  <c r="AT19" i="22"/>
  <c r="FI33" i="7"/>
  <c r="FI30" i="7"/>
  <c r="FI32" i="7"/>
  <c r="AR33" i="7"/>
  <c r="AR30" i="7"/>
  <c r="AR32" i="7"/>
  <c r="DO30" i="7"/>
  <c r="DO32" i="7"/>
  <c r="DO33" i="7"/>
  <c r="DY30" i="7"/>
  <c r="DY32" i="7"/>
  <c r="DY33" i="7"/>
  <c r="BN33" i="7"/>
  <c r="BN30" i="7"/>
  <c r="BN32" i="7"/>
  <c r="AD30" i="22"/>
  <c r="AD32" i="22"/>
  <c r="AD33" i="22"/>
  <c r="AR30" i="22"/>
  <c r="AR32" i="22"/>
  <c r="AR33" i="22"/>
  <c r="AN29" i="22"/>
  <c r="AN31" i="22"/>
  <c r="AS29" i="22"/>
  <c r="AQ29" i="22"/>
  <c r="AQ31" i="22"/>
  <c r="AO29" i="22"/>
  <c r="AO31" i="22"/>
  <c r="R29" i="22"/>
  <c r="R31" i="22"/>
  <c r="AH29" i="22"/>
  <c r="AE29" i="22"/>
  <c r="S29" i="22"/>
  <c r="S31" i="22"/>
  <c r="AD29" i="22"/>
  <c r="AD31" i="22"/>
  <c r="AR29" i="22"/>
  <c r="AR31" i="22"/>
  <c r="AP29" i="22"/>
  <c r="W29" i="22"/>
  <c r="AC29" i="22"/>
  <c r="AC31" i="22"/>
  <c r="AG29" i="22"/>
  <c r="AG31" i="22"/>
  <c r="V29" i="22"/>
  <c r="V31" i="22"/>
  <c r="T29" i="22"/>
  <c r="U29" i="22"/>
  <c r="U31" i="22"/>
  <c r="AF29" i="22"/>
  <c r="AF31" i="22"/>
  <c r="AX29" i="22"/>
  <c r="FU30" i="7"/>
  <c r="FU32" i="7"/>
  <c r="FU33" i="7"/>
  <c r="CY18" i="7"/>
  <c r="CY11" i="7"/>
  <c r="CY7" i="7"/>
  <c r="BQ17" i="7"/>
  <c r="BQ13" i="7"/>
  <c r="BQ15" i="7"/>
  <c r="BQ9" i="7"/>
  <c r="BQ7" i="7"/>
  <c r="BQ18" i="7"/>
  <c r="BQ11" i="7"/>
  <c r="BQ22" i="7"/>
  <c r="BR22" i="7"/>
  <c r="BQ16" i="7"/>
  <c r="BQ4" i="7"/>
  <c r="BQ6" i="7"/>
  <c r="BQ20" i="7"/>
  <c r="BQ8" i="7"/>
  <c r="BQ10" i="7"/>
  <c r="BQ12" i="7"/>
  <c r="BQ14" i="7"/>
  <c r="BR14" i="7"/>
  <c r="BQ24" i="7"/>
  <c r="BQ5" i="7"/>
  <c r="BQ23" i="7"/>
  <c r="BQ19" i="7"/>
  <c r="BQ21" i="7"/>
  <c r="HU33" i="7"/>
  <c r="HU30" i="7"/>
  <c r="HU32" i="7"/>
  <c r="DQ30" i="7"/>
  <c r="DQ32" i="7"/>
  <c r="DQ33" i="7"/>
  <c r="CJ30" i="7"/>
  <c r="CJ32" i="7"/>
  <c r="CJ33" i="7"/>
  <c r="BY30" i="7"/>
  <c r="BY32" i="7"/>
  <c r="BY33" i="7"/>
  <c r="EV33" i="7"/>
  <c r="EV30" i="7"/>
  <c r="EV32" i="7"/>
  <c r="HP5" i="7"/>
  <c r="HP22" i="7"/>
  <c r="DU6" i="7"/>
  <c r="DU9" i="7"/>
  <c r="DU10" i="7"/>
  <c r="AI16" i="22"/>
  <c r="AI7" i="22"/>
  <c r="AI18" i="22"/>
  <c r="AI20" i="22"/>
  <c r="AJ20" i="22"/>
  <c r="AI9" i="22"/>
  <c r="AI19" i="22"/>
  <c r="AI13" i="22"/>
  <c r="AI10" i="22"/>
  <c r="AI12" i="22"/>
  <c r="AI6" i="22"/>
  <c r="AI5" i="22"/>
  <c r="AI24" i="22"/>
  <c r="AI17" i="22"/>
  <c r="AI21" i="22"/>
  <c r="AI22" i="22"/>
  <c r="AI11" i="22"/>
  <c r="AI8" i="22"/>
  <c r="AI14" i="22"/>
  <c r="AI4" i="22"/>
  <c r="AI29" i="22"/>
  <c r="AI15" i="22"/>
  <c r="AJ15" i="22"/>
  <c r="J13" i="25"/>
  <c r="J13" i="8"/>
  <c r="HB30" i="7"/>
  <c r="HB32" i="7"/>
  <c r="HB33" i="7"/>
  <c r="EY33" i="7"/>
  <c r="EY30" i="7"/>
  <c r="EY32" i="7"/>
  <c r="U44" i="25"/>
  <c r="U44" i="8"/>
  <c r="FL23" i="7"/>
  <c r="FL20" i="7"/>
  <c r="FL9" i="7"/>
  <c r="FL7" i="7"/>
  <c r="FL13" i="7"/>
  <c r="FL11" i="7"/>
  <c r="FL21" i="7"/>
  <c r="FL15" i="7"/>
  <c r="FM15" i="7"/>
  <c r="FL8" i="7"/>
  <c r="FL6" i="7"/>
  <c r="FL19" i="7"/>
  <c r="FL16" i="7"/>
  <c r="FL14" i="7"/>
  <c r="FL4" i="7"/>
  <c r="FL18" i="7"/>
  <c r="FL12" i="7"/>
  <c r="FM12" i="7"/>
  <c r="FL17" i="7"/>
  <c r="FL22" i="7"/>
  <c r="FL24" i="7"/>
  <c r="FL5" i="7"/>
  <c r="FL10" i="7"/>
  <c r="EP18" i="7"/>
  <c r="EP12" i="7"/>
  <c r="EP17" i="7"/>
  <c r="EQ17" i="7"/>
  <c r="EP7" i="7"/>
  <c r="EP16" i="7"/>
  <c r="EP22" i="7"/>
  <c r="EP11" i="7"/>
  <c r="EP21" i="7"/>
  <c r="EP19" i="7"/>
  <c r="EP6" i="7"/>
  <c r="EP15" i="7"/>
  <c r="EQ15" i="7"/>
  <c r="EP5" i="7"/>
  <c r="EP4" i="7"/>
  <c r="EP10" i="7"/>
  <c r="EP20" i="7"/>
  <c r="EP9" i="7"/>
  <c r="EP14" i="7"/>
  <c r="EP24" i="7"/>
  <c r="EP13" i="7"/>
  <c r="EQ13" i="7"/>
  <c r="EP23" i="7"/>
  <c r="EP8" i="7"/>
  <c r="AO30" i="22"/>
  <c r="AO32" i="22"/>
  <c r="AO33" i="22"/>
  <c r="CY23" i="7"/>
  <c r="HM30" i="7"/>
  <c r="HM32" i="7"/>
  <c r="HM33" i="7"/>
  <c r="V30" i="7"/>
  <c r="V32" i="7"/>
  <c r="V33" i="7"/>
  <c r="GN33" i="7"/>
  <c r="GN30" i="7"/>
  <c r="GN32" i="7"/>
  <c r="U30" i="22"/>
  <c r="U32" i="22"/>
  <c r="U33" i="22"/>
  <c r="GP30" i="7"/>
  <c r="GP32" i="7"/>
  <c r="GP33" i="7"/>
  <c r="CY22" i="7"/>
  <c r="CY8" i="7"/>
  <c r="CY17" i="7"/>
  <c r="HI33" i="7"/>
  <c r="HI30" i="7"/>
  <c r="HI32" i="7"/>
  <c r="FT33" i="7"/>
  <c r="FT30" i="7"/>
  <c r="FT32" i="7"/>
  <c r="DD30" i="7"/>
  <c r="DD32" i="7"/>
  <c r="DD33" i="7"/>
  <c r="GB30" i="7"/>
  <c r="GB32" i="7"/>
  <c r="GB33" i="7"/>
  <c r="FG30" i="7"/>
  <c r="FG32" i="7"/>
  <c r="FG33" i="7"/>
  <c r="DG33" i="7"/>
  <c r="DG30" i="7"/>
  <c r="DG32" i="7"/>
  <c r="EM33" i="7"/>
  <c r="EM30" i="7"/>
  <c r="EM32" i="7"/>
  <c r="AP33" i="7"/>
  <c r="AP30" i="7"/>
  <c r="AP32" i="7"/>
  <c r="GC33" i="7"/>
  <c r="GC30" i="7"/>
  <c r="GC32" i="7"/>
  <c r="AD33" i="7"/>
  <c r="AD30" i="7"/>
  <c r="AD32" i="7"/>
  <c r="HP19" i="7"/>
  <c r="HO32" i="7"/>
  <c r="HP24" i="7"/>
  <c r="HO33" i="7"/>
  <c r="HO31" i="7"/>
  <c r="HO40" i="7"/>
  <c r="HP39" i="7"/>
  <c r="HO37" i="7"/>
  <c r="HP40" i="7"/>
  <c r="HO38" i="7"/>
  <c r="HP37" i="7"/>
  <c r="HO35" i="7"/>
  <c r="HP38" i="7"/>
  <c r="HO36" i="7"/>
  <c r="HP35" i="7"/>
  <c r="HO34" i="7"/>
  <c r="HO30" i="7"/>
  <c r="HP36" i="7"/>
  <c r="HP4" i="7"/>
  <c r="HP47" i="7"/>
  <c r="HP46" i="7"/>
  <c r="HO46" i="7"/>
  <c r="HP43" i="7"/>
  <c r="HO47" i="7"/>
  <c r="HP44" i="7"/>
  <c r="HO44" i="7"/>
  <c r="HO41" i="7"/>
  <c r="HO45" i="7"/>
  <c r="HO42" i="7"/>
  <c r="HO29" i="7"/>
  <c r="HP41" i="7"/>
  <c r="HP45" i="7"/>
  <c r="HO39" i="7"/>
  <c r="HP34" i="7"/>
  <c r="HO43" i="7"/>
  <c r="HP29" i="7"/>
  <c r="F7" i="18"/>
  <c r="F41" i="9"/>
  <c r="F6" i="18"/>
  <c r="DU7" i="7"/>
  <c r="DT43" i="7"/>
  <c r="DU41" i="7"/>
  <c r="DU44" i="7"/>
  <c r="DT45" i="7"/>
  <c r="DU43" i="7"/>
  <c r="DU4" i="7"/>
  <c r="DU46" i="7"/>
  <c r="DT47" i="7"/>
  <c r="DU45" i="7"/>
  <c r="DT38" i="7"/>
  <c r="DT29" i="7"/>
  <c r="DT36" i="7"/>
  <c r="DU47" i="7"/>
  <c r="DT44" i="7"/>
  <c r="DT35" i="7"/>
  <c r="DT42" i="7"/>
  <c r="DU34" i="7"/>
  <c r="DU29" i="7"/>
  <c r="DT37" i="7"/>
  <c r="DU35" i="7"/>
  <c r="DT40" i="7"/>
  <c r="DU36" i="7"/>
  <c r="DT41" i="7"/>
  <c r="DU39" i="7"/>
  <c r="DT34" i="7"/>
  <c r="DT30" i="7"/>
  <c r="DU40" i="7"/>
  <c r="DT39" i="7"/>
  <c r="DU37" i="7"/>
  <c r="DT46" i="7"/>
  <c r="DU38" i="7"/>
  <c r="G7" i="18"/>
  <c r="G41" i="9"/>
  <c r="G6" i="18"/>
  <c r="P13" i="25"/>
  <c r="P13" i="8"/>
  <c r="AI31" i="22"/>
  <c r="AI33" i="22"/>
  <c r="AJ24" i="22"/>
  <c r="AI32" i="22"/>
  <c r="J5" i="25"/>
  <c r="J5" i="8"/>
  <c r="E7" i="25"/>
  <c r="E7" i="8"/>
  <c r="S44" i="25"/>
  <c r="S44" i="8"/>
  <c r="C19" i="25"/>
  <c r="C19" i="8"/>
  <c r="F44" i="25"/>
  <c r="F44" i="8"/>
  <c r="Q8" i="25"/>
  <c r="Q8" i="8"/>
  <c r="FM18" i="7"/>
  <c r="AU24" i="22"/>
  <c r="AT32" i="22"/>
  <c r="AT31" i="22"/>
  <c r="AT33" i="22"/>
  <c r="AV20" i="7"/>
  <c r="CC15" i="7"/>
  <c r="EF9" i="7"/>
  <c r="FB7" i="7"/>
  <c r="FX23" i="7"/>
  <c r="GI23" i="7"/>
  <c r="EQ14" i="7"/>
  <c r="EQ19" i="7"/>
  <c r="EQ18" i="7"/>
  <c r="FL34" i="7"/>
  <c r="FL30" i="7"/>
  <c r="FL47" i="7"/>
  <c r="FM47" i="7"/>
  <c r="FM29" i="7"/>
  <c r="FM34" i="7"/>
  <c r="FL29" i="7"/>
  <c r="FM36" i="7"/>
  <c r="FL35" i="7"/>
  <c r="FM35" i="7"/>
  <c r="FL36" i="7"/>
  <c r="FM38" i="7"/>
  <c r="FL37" i="7"/>
  <c r="FM37" i="7"/>
  <c r="FL38" i="7"/>
  <c r="FM40" i="7"/>
  <c r="FL41" i="7"/>
  <c r="FM41" i="7"/>
  <c r="FL42" i="7"/>
  <c r="FM46" i="7"/>
  <c r="FL43" i="7"/>
  <c r="FM43" i="7"/>
  <c r="FL44" i="7"/>
  <c r="FM4" i="7"/>
  <c r="FL39" i="7"/>
  <c r="FL45" i="7"/>
  <c r="FL46" i="7"/>
  <c r="FM39" i="7"/>
  <c r="FM45" i="7"/>
  <c r="FL40" i="7"/>
  <c r="FM44" i="7"/>
  <c r="FM11" i="7"/>
  <c r="AJ14" i="22"/>
  <c r="AJ6" i="22"/>
  <c r="AJ7" i="22"/>
  <c r="BR10" i="7"/>
  <c r="BR18" i="7"/>
  <c r="X29" i="22"/>
  <c r="AJ29" i="22"/>
  <c r="AU20" i="22"/>
  <c r="AU13" i="22"/>
  <c r="L13" i="25"/>
  <c r="L13" i="8"/>
  <c r="IA8" i="7"/>
  <c r="IA22" i="7"/>
  <c r="AV5" i="7"/>
  <c r="AV22" i="7"/>
  <c r="AV21" i="7"/>
  <c r="CM46" i="7"/>
  <c r="CN44" i="7"/>
  <c r="CM47" i="7"/>
  <c r="CN47" i="7"/>
  <c r="CN34" i="7"/>
  <c r="CN46" i="7"/>
  <c r="CM29" i="7"/>
  <c r="CN29" i="7"/>
  <c r="CN4" i="7"/>
  <c r="CM35" i="7"/>
  <c r="CN35" i="7"/>
  <c r="CM38" i="7"/>
  <c r="CM39" i="7"/>
  <c r="CN39" i="7"/>
  <c r="CM40" i="7"/>
  <c r="CN36" i="7"/>
  <c r="CM41" i="7"/>
  <c r="CN41" i="7"/>
  <c r="CM43" i="7"/>
  <c r="CM36" i="7"/>
  <c r="CM45" i="7"/>
  <c r="CM42" i="7"/>
  <c r="CN37" i="7"/>
  <c r="CN40" i="7"/>
  <c r="CM44" i="7"/>
  <c r="CN43" i="7"/>
  <c r="CM34" i="7"/>
  <c r="CM30" i="7"/>
  <c r="CN45" i="7"/>
  <c r="CN38" i="7"/>
  <c r="CM37" i="7"/>
  <c r="CN13" i="7"/>
  <c r="CN7" i="7"/>
  <c r="CC8" i="7"/>
  <c r="CC10" i="7"/>
  <c r="CB43" i="7"/>
  <c r="CC45" i="7"/>
  <c r="CB44" i="7"/>
  <c r="CC46" i="7"/>
  <c r="CB45" i="7"/>
  <c r="CC47" i="7"/>
  <c r="CB46" i="7"/>
  <c r="CB34" i="7"/>
  <c r="CB30" i="7"/>
  <c r="CB47" i="7"/>
  <c r="CC34" i="7"/>
  <c r="CC4" i="7"/>
  <c r="CC27" i="7"/>
  <c r="CC35" i="7"/>
  <c r="CB29" i="7"/>
  <c r="CC29" i="7"/>
  <c r="CB37" i="7"/>
  <c r="CC39" i="7"/>
  <c r="CB38" i="7"/>
  <c r="CC38" i="7"/>
  <c r="CB39" i="7"/>
  <c r="CC41" i="7"/>
  <c r="CB40" i="7"/>
  <c r="CC40" i="7"/>
  <c r="CC43" i="7"/>
  <c r="CB36" i="7"/>
  <c r="CB42" i="7"/>
  <c r="CC36" i="7"/>
  <c r="CC44" i="7"/>
  <c r="CB41" i="7"/>
  <c r="CB35" i="7"/>
  <c r="CC37" i="7"/>
  <c r="L14" i="25"/>
  <c r="L14" i="8"/>
  <c r="GT10" i="7"/>
  <c r="GT12" i="7"/>
  <c r="EF11" i="7"/>
  <c r="EF16" i="7"/>
  <c r="EF15" i="7"/>
  <c r="Z44" i="7"/>
  <c r="Y41" i="7"/>
  <c r="Z41" i="7"/>
  <c r="Y42" i="7"/>
  <c r="Z46" i="7"/>
  <c r="Y43" i="7"/>
  <c r="Z43" i="7"/>
  <c r="Y44" i="7"/>
  <c r="Y34" i="7"/>
  <c r="Y30" i="7"/>
  <c r="Y45" i="7"/>
  <c r="Z45" i="7"/>
  <c r="Y46" i="7"/>
  <c r="Z38" i="7"/>
  <c r="Y47" i="7"/>
  <c r="Z47" i="7"/>
  <c r="Z34" i="7"/>
  <c r="Z37" i="7"/>
  <c r="Z4" i="7"/>
  <c r="Z27" i="7"/>
  <c r="Z29" i="7"/>
  <c r="Y29" i="7"/>
  <c r="Y38" i="7"/>
  <c r="Z36" i="7"/>
  <c r="Y35" i="7"/>
  <c r="Z35" i="7"/>
  <c r="Y36" i="7"/>
  <c r="Y37" i="7"/>
  <c r="Z40" i="7"/>
  <c r="Y39" i="7"/>
  <c r="Z39" i="7"/>
  <c r="Y40" i="7"/>
  <c r="Z7" i="7"/>
  <c r="L24" i="25"/>
  <c r="DU27" i="7"/>
  <c r="L24" i="8"/>
  <c r="U5" i="25"/>
  <c r="U5" i="8"/>
  <c r="AK9" i="7"/>
  <c r="AK14" i="7"/>
  <c r="AK22" i="7"/>
  <c r="FB14" i="7"/>
  <c r="FB22" i="7"/>
  <c r="FB13" i="7"/>
  <c r="BG18" i="7"/>
  <c r="BG10" i="7"/>
  <c r="Y5" i="22"/>
  <c r="Y15" i="22"/>
  <c r="Y20" i="22"/>
  <c r="FX12" i="7"/>
  <c r="FX18" i="7"/>
  <c r="FX15" i="7"/>
  <c r="GI11" i="7"/>
  <c r="GI8" i="7"/>
  <c r="GH46" i="7"/>
  <c r="GI38" i="7"/>
  <c r="GH29" i="7"/>
  <c r="GH35" i="7"/>
  <c r="GI34" i="7"/>
  <c r="GI40" i="7"/>
  <c r="GI35" i="7"/>
  <c r="GH43" i="7"/>
  <c r="GH37" i="7"/>
  <c r="GI44" i="7"/>
  <c r="GI37" i="7"/>
  <c r="GH36" i="7"/>
  <c r="GH45" i="7"/>
  <c r="GI46" i="7"/>
  <c r="GI39" i="7"/>
  <c r="GH38" i="7"/>
  <c r="GH34" i="7"/>
  <c r="GH30" i="7"/>
  <c r="GH41" i="7"/>
  <c r="GI41" i="7"/>
  <c r="GH40" i="7"/>
  <c r="GI29" i="7"/>
  <c r="GI43" i="7"/>
  <c r="GH44" i="7"/>
  <c r="GI36" i="7"/>
  <c r="GH42" i="7"/>
  <c r="GI4" i="7"/>
  <c r="GI45" i="7"/>
  <c r="GH39" i="7"/>
  <c r="GH47" i="7"/>
  <c r="GI47" i="7"/>
  <c r="U2" i="25"/>
  <c r="U2" i="8"/>
  <c r="HP42" i="7"/>
  <c r="N15" i="25"/>
  <c r="N15" i="8"/>
  <c r="G12" i="25"/>
  <c r="G12" i="8"/>
  <c r="E4" i="25"/>
  <c r="E4" i="8"/>
  <c r="H23" i="25"/>
  <c r="I23" i="25"/>
  <c r="H23" i="8"/>
  <c r="I23" i="8"/>
  <c r="O14" i="25"/>
  <c r="O14" i="8"/>
  <c r="FA32" i="7"/>
  <c r="FB24" i="7"/>
  <c r="FA33" i="7"/>
  <c r="FA31" i="7"/>
  <c r="B14" i="25"/>
  <c r="B14" i="8"/>
  <c r="R7" i="25"/>
  <c r="R7" i="8"/>
  <c r="U45" i="25"/>
  <c r="HP30" i="7"/>
  <c r="EQ6" i="7"/>
  <c r="BR12" i="7"/>
  <c r="Y29" i="22"/>
  <c r="IA9" i="7"/>
  <c r="CN23" i="7"/>
  <c r="GT19" i="7"/>
  <c r="Z9" i="7"/>
  <c r="FB18" i="7"/>
  <c r="B7" i="25"/>
  <c r="B7" i="8"/>
  <c r="U8" i="25"/>
  <c r="U8" i="8"/>
  <c r="GI20" i="7"/>
  <c r="L45" i="25"/>
  <c r="DU30" i="7"/>
  <c r="J23" i="25"/>
  <c r="J23" i="8"/>
  <c r="CY27" i="7"/>
  <c r="EQ9" i="7"/>
  <c r="EQ21" i="7"/>
  <c r="FM10" i="7"/>
  <c r="FM14" i="7"/>
  <c r="FM13" i="7"/>
  <c r="AJ8" i="22"/>
  <c r="AJ12" i="22"/>
  <c r="AJ16" i="22"/>
  <c r="BR21" i="7"/>
  <c r="BR8" i="7"/>
  <c r="BR7" i="7"/>
  <c r="AU29" i="22"/>
  <c r="AU11" i="22"/>
  <c r="AU22" i="22"/>
  <c r="U14" i="25"/>
  <c r="U14" i="8"/>
  <c r="HZ31" i="7"/>
  <c r="HZ33" i="7"/>
  <c r="HZ32" i="7"/>
  <c r="IA24" i="7"/>
  <c r="IA11" i="7"/>
  <c r="AV17" i="7"/>
  <c r="AV8" i="7"/>
  <c r="CN8" i="7"/>
  <c r="CN21" i="7"/>
  <c r="CN6" i="7"/>
  <c r="CC20" i="7"/>
  <c r="CC16" i="7"/>
  <c r="GT20" i="7"/>
  <c r="GT18" i="7"/>
  <c r="GT11" i="7"/>
  <c r="EF10" i="7"/>
  <c r="EF21" i="7"/>
  <c r="EF13" i="7"/>
  <c r="Z20" i="7"/>
  <c r="Z13" i="7"/>
  <c r="DU33" i="7"/>
  <c r="DU31" i="7"/>
  <c r="DU32" i="7"/>
  <c r="AJ33" i="7"/>
  <c r="AJ31" i="7"/>
  <c r="AJ32" i="7"/>
  <c r="AK24" i="7"/>
  <c r="AK21" i="7"/>
  <c r="AK8" i="7"/>
  <c r="FB8" i="7"/>
  <c r="FB12" i="7"/>
  <c r="FB19" i="7"/>
  <c r="BG15" i="7"/>
  <c r="BG17" i="7"/>
  <c r="Y18" i="22"/>
  <c r="Y6" i="22"/>
  <c r="Y11" i="22"/>
  <c r="FX21" i="7"/>
  <c r="FX13" i="7"/>
  <c r="FX6" i="7"/>
  <c r="DI20" i="7"/>
  <c r="DI9" i="7"/>
  <c r="DI24" i="7"/>
  <c r="DI13" i="7"/>
  <c r="DI23" i="7"/>
  <c r="DI4" i="7"/>
  <c r="DI18" i="7"/>
  <c r="DI8" i="7"/>
  <c r="DJ8" i="7"/>
  <c r="DI22" i="7"/>
  <c r="DI17" i="7"/>
  <c r="DI12" i="7"/>
  <c r="DI6" i="7"/>
  <c r="DI7" i="7"/>
  <c r="DI16" i="7"/>
  <c r="DI10" i="7"/>
  <c r="DI15" i="7"/>
  <c r="DJ15" i="7"/>
  <c r="DI5" i="7"/>
  <c r="DI19" i="7"/>
  <c r="DI11" i="7"/>
  <c r="DI14" i="7"/>
  <c r="DI21" i="7"/>
  <c r="GI19" i="7"/>
  <c r="GI12" i="7"/>
  <c r="GI5" i="7"/>
  <c r="V12" i="25"/>
  <c r="V12" i="8"/>
  <c r="I8" i="25"/>
  <c r="I8" i="8"/>
  <c r="CB33" i="7"/>
  <c r="CB32" i="7"/>
  <c r="CC24" i="7"/>
  <c r="CB31" i="7"/>
  <c r="C9" i="25"/>
  <c r="C9" i="8"/>
  <c r="J14" i="25"/>
  <c r="J14" i="8"/>
  <c r="F5" i="25"/>
  <c r="F5" i="8"/>
  <c r="Q15" i="25"/>
  <c r="Q15" i="8"/>
  <c r="EQ24" i="7"/>
  <c r="EP31" i="7"/>
  <c r="EP33" i="7"/>
  <c r="EP32" i="7"/>
  <c r="AJ5" i="22"/>
  <c r="J9" i="25"/>
  <c r="J9" i="8"/>
  <c r="AV14" i="7"/>
  <c r="CC18" i="7"/>
  <c r="Z17" i="7"/>
  <c r="U43" i="25"/>
  <c r="U43" i="8"/>
  <c r="L10" i="25"/>
  <c r="L10" i="8"/>
  <c r="B5" i="8"/>
  <c r="B5" i="25"/>
  <c r="FX46" i="7"/>
  <c r="FX34" i="7"/>
  <c r="FX4" i="7"/>
  <c r="FW35" i="7"/>
  <c r="FW29" i="7"/>
  <c r="FX29" i="7"/>
  <c r="FW34" i="7"/>
  <c r="FW30" i="7"/>
  <c r="FW37" i="7"/>
  <c r="FX35" i="7"/>
  <c r="FW36" i="7"/>
  <c r="FW39" i="7"/>
  <c r="FX37" i="7"/>
  <c r="FW38" i="7"/>
  <c r="FX38" i="7"/>
  <c r="FW43" i="7"/>
  <c r="FX41" i="7"/>
  <c r="FW42" i="7"/>
  <c r="FX40" i="7"/>
  <c r="FW45" i="7"/>
  <c r="FX43" i="7"/>
  <c r="FW44" i="7"/>
  <c r="FW40" i="7"/>
  <c r="FX36" i="7"/>
  <c r="FW46" i="7"/>
  <c r="FX44" i="7"/>
  <c r="FX45" i="7"/>
  <c r="FW41" i="7"/>
  <c r="FW47" i="7"/>
  <c r="FX39" i="7"/>
  <c r="FX47" i="7"/>
  <c r="L5" i="25"/>
  <c r="L5" i="8"/>
  <c r="EQ20" i="7"/>
  <c r="EQ11" i="7"/>
  <c r="FM5" i="7"/>
  <c r="FM16" i="7"/>
  <c r="FM7" i="7"/>
  <c r="AJ11" i="22"/>
  <c r="AJ10" i="22"/>
  <c r="L8" i="25"/>
  <c r="L8" i="8"/>
  <c r="BR19" i="7"/>
  <c r="BR20" i="7"/>
  <c r="BR9" i="7"/>
  <c r="AU19" i="22"/>
  <c r="AU21" i="22"/>
  <c r="AU9" i="22"/>
  <c r="U32" i="25"/>
  <c r="HP27" i="7"/>
  <c r="U32" i="8"/>
  <c r="IA15" i="7"/>
  <c r="IA13" i="7"/>
  <c r="J10" i="25"/>
  <c r="J10" i="8"/>
  <c r="AV7" i="7"/>
  <c r="AV15" i="7"/>
  <c r="CN19" i="7"/>
  <c r="CN9" i="7"/>
  <c r="CN12" i="7"/>
  <c r="CC14" i="7"/>
  <c r="CC7" i="7"/>
  <c r="GT23" i="7"/>
  <c r="GS31" i="7"/>
  <c r="GS32" i="7"/>
  <c r="GS33" i="7"/>
  <c r="GT24" i="7"/>
  <c r="GT22" i="7"/>
  <c r="EF8" i="7"/>
  <c r="EF17" i="7"/>
  <c r="EF20" i="7"/>
  <c r="Z10" i="7"/>
  <c r="Z15" i="7"/>
  <c r="AK23" i="7"/>
  <c r="AK10" i="7"/>
  <c r="AK7" i="7"/>
  <c r="FB11" i="7"/>
  <c r="FB23" i="7"/>
  <c r="FB10" i="7"/>
  <c r="G3" i="18"/>
  <c r="H1" i="18"/>
  <c r="H2" i="18"/>
  <c r="BG13" i="7"/>
  <c r="BG16" i="7"/>
  <c r="Y14" i="22"/>
  <c r="Y8" i="22"/>
  <c r="Y12" i="22"/>
  <c r="CY33" i="7"/>
  <c r="CY31" i="7"/>
  <c r="CY32" i="7"/>
  <c r="FX16" i="7"/>
  <c r="FW32" i="7"/>
  <c r="FX24" i="7"/>
  <c r="FW33" i="7"/>
  <c r="FW31" i="7"/>
  <c r="FX20" i="7"/>
  <c r="GI18" i="7"/>
  <c r="GI15" i="7"/>
  <c r="GI16" i="7"/>
  <c r="N13" i="25"/>
  <c r="N13" i="8"/>
  <c r="E10" i="25"/>
  <c r="E10" i="8"/>
  <c r="L43" i="25"/>
  <c r="L43" i="8"/>
  <c r="U7" i="25"/>
  <c r="U7" i="8"/>
  <c r="D10" i="25"/>
  <c r="D10" i="8"/>
  <c r="U15" i="25"/>
  <c r="U15" i="8"/>
  <c r="U11" i="25"/>
  <c r="U11" i="8"/>
  <c r="J44" i="25"/>
  <c r="J44" i="8"/>
  <c r="R44" i="25"/>
  <c r="R44" i="8"/>
  <c r="EQ12" i="7"/>
  <c r="BR11" i="7"/>
  <c r="IA21" i="7"/>
  <c r="CN18" i="7"/>
  <c r="GT6" i="7"/>
  <c r="EF44" i="7"/>
  <c r="EE47" i="7"/>
  <c r="EF47" i="7"/>
  <c r="EF34" i="7"/>
  <c r="EF46" i="7"/>
  <c r="EE29" i="7"/>
  <c r="EF29" i="7"/>
  <c r="EF4" i="7"/>
  <c r="EE35" i="7"/>
  <c r="EF35" i="7"/>
  <c r="EE36" i="7"/>
  <c r="EE39" i="7"/>
  <c r="EF39" i="7"/>
  <c r="EE40" i="7"/>
  <c r="EF36" i="7"/>
  <c r="EE41" i="7"/>
  <c r="EF41" i="7"/>
  <c r="EE42" i="7"/>
  <c r="EF40" i="7"/>
  <c r="EE44" i="7"/>
  <c r="EE37" i="7"/>
  <c r="EE46" i="7"/>
  <c r="EE43" i="7"/>
  <c r="EE34" i="7"/>
  <c r="EE30" i="7"/>
  <c r="EE45" i="7"/>
  <c r="EF37" i="7"/>
  <c r="EF43" i="7"/>
  <c r="EF45" i="7"/>
  <c r="EF38" i="7"/>
  <c r="EE38" i="7"/>
  <c r="AK5" i="7"/>
  <c r="BG20" i="7"/>
  <c r="EQ10" i="7"/>
  <c r="EQ22" i="7"/>
  <c r="FM24" i="7"/>
  <c r="FL31" i="7"/>
  <c r="FL33" i="7"/>
  <c r="FL32" i="7"/>
  <c r="FM19" i="7"/>
  <c r="FM9" i="7"/>
  <c r="AJ22" i="22"/>
  <c r="AJ13" i="22"/>
  <c r="L7" i="25"/>
  <c r="L7" i="8"/>
  <c r="BR23" i="7"/>
  <c r="BR6" i="7"/>
  <c r="BR15" i="7"/>
  <c r="AU10" i="22"/>
  <c r="AU18" i="22"/>
  <c r="AU8" i="22"/>
  <c r="IA20" i="7"/>
  <c r="IA16" i="7"/>
  <c r="IA18" i="7"/>
  <c r="J43" i="25"/>
  <c r="J43" i="8"/>
  <c r="AV35" i="7"/>
  <c r="AV29" i="7"/>
  <c r="AV36" i="7"/>
  <c r="AU41" i="7"/>
  <c r="AV37" i="7"/>
  <c r="AU36" i="7"/>
  <c r="AV38" i="7"/>
  <c r="AU43" i="7"/>
  <c r="AV39" i="7"/>
  <c r="AU38" i="7"/>
  <c r="AV40" i="7"/>
  <c r="AU45" i="7"/>
  <c r="AV41" i="7"/>
  <c r="AU40" i="7"/>
  <c r="AV44" i="7"/>
  <c r="AU47" i="7"/>
  <c r="AV43" i="7"/>
  <c r="AU42" i="7"/>
  <c r="AV46" i="7"/>
  <c r="AU34" i="7"/>
  <c r="AU30" i="7"/>
  <c r="AV45" i="7"/>
  <c r="AU44" i="7"/>
  <c r="AU35" i="7"/>
  <c r="AV4" i="7"/>
  <c r="AV34" i="7"/>
  <c r="AU29" i="7"/>
  <c r="AU39" i="7"/>
  <c r="AU37" i="7"/>
  <c r="AV47" i="7"/>
  <c r="AU46" i="7"/>
  <c r="AV13" i="7"/>
  <c r="CM33" i="7"/>
  <c r="CM31" i="7"/>
  <c r="CM32" i="7"/>
  <c r="CN24" i="7"/>
  <c r="CN20" i="7"/>
  <c r="CN17" i="7"/>
  <c r="CC11" i="7"/>
  <c r="CC6" i="7"/>
  <c r="J4" i="25"/>
  <c r="J4" i="8"/>
  <c r="GT5" i="7"/>
  <c r="GT9" i="7"/>
  <c r="GT8" i="7"/>
  <c r="EF23" i="7"/>
  <c r="EF6" i="7"/>
  <c r="EF19" i="7"/>
  <c r="Y33" i="7"/>
  <c r="Y31" i="7"/>
  <c r="Z24" i="7"/>
  <c r="Y32" i="7"/>
  <c r="Z12" i="7"/>
  <c r="Z5" i="7"/>
  <c r="AK15" i="7"/>
  <c r="AK17" i="7"/>
  <c r="AK18" i="7"/>
  <c r="FB20" i="7"/>
  <c r="FB6" i="7"/>
  <c r="FB5" i="7"/>
  <c r="J12" i="25"/>
  <c r="J12" i="8"/>
  <c r="BG5" i="7"/>
  <c r="BG23" i="7"/>
  <c r="BG6" i="7"/>
  <c r="Y19" i="22"/>
  <c r="Y22" i="22"/>
  <c r="Y21" i="22"/>
  <c r="FX7" i="7"/>
  <c r="FX14" i="7"/>
  <c r="FX11" i="7"/>
  <c r="J45" i="25"/>
  <c r="CY30" i="7"/>
  <c r="GH33" i="7"/>
  <c r="GH31" i="7"/>
  <c r="GI24" i="7"/>
  <c r="GH32" i="7"/>
  <c r="GI13" i="7"/>
  <c r="GI22" i="7"/>
  <c r="P10" i="25"/>
  <c r="P10" i="8"/>
  <c r="U3" i="25"/>
  <c r="U3" i="8"/>
  <c r="H3" i="25"/>
  <c r="H3" i="8"/>
  <c r="GT34" i="7"/>
  <c r="GT47" i="7"/>
  <c r="GS46" i="7"/>
  <c r="GS35" i="7"/>
  <c r="GS29" i="7"/>
  <c r="GT4" i="7"/>
  <c r="GS34" i="7"/>
  <c r="GS30" i="7"/>
  <c r="GS37" i="7"/>
  <c r="GT35" i="7"/>
  <c r="GT29" i="7"/>
  <c r="GS41" i="7"/>
  <c r="GT39" i="7"/>
  <c r="GS38" i="7"/>
  <c r="GT38" i="7"/>
  <c r="GS43" i="7"/>
  <c r="GT41" i="7"/>
  <c r="GS40" i="7"/>
  <c r="GT40" i="7"/>
  <c r="GS42" i="7"/>
  <c r="GS39" i="7"/>
  <c r="GS44" i="7"/>
  <c r="GS45" i="7"/>
  <c r="GT36" i="7"/>
  <c r="GS47" i="7"/>
  <c r="GT44" i="7"/>
  <c r="GT37" i="7"/>
  <c r="GT46" i="7"/>
  <c r="GT45" i="7"/>
  <c r="GT43" i="7"/>
  <c r="GS36" i="7"/>
  <c r="EE33" i="7"/>
  <c r="EE32" i="7"/>
  <c r="EE31" i="7"/>
  <c r="EF24" i="7"/>
  <c r="U12" i="25"/>
  <c r="U12" i="8"/>
  <c r="L3" i="25"/>
  <c r="L3" i="8"/>
  <c r="B11" i="8"/>
  <c r="B11" i="25"/>
  <c r="FM21" i="7"/>
  <c r="AI47" i="22"/>
  <c r="AJ35" i="22"/>
  <c r="AJ4" i="22"/>
  <c r="AJ47" i="22"/>
  <c r="AI42" i="22"/>
  <c r="AI35" i="22"/>
  <c r="AJ38" i="22"/>
  <c r="AI44" i="22"/>
  <c r="AI46" i="22"/>
  <c r="AI43" i="22"/>
  <c r="AJ34" i="22"/>
  <c r="AJ30" i="22"/>
  <c r="AJ40" i="22"/>
  <c r="AJ41" i="22"/>
  <c r="AI40" i="22"/>
  <c r="AJ46" i="22"/>
  <c r="AI45" i="22"/>
  <c r="AI36" i="22"/>
  <c r="AJ37" i="22"/>
  <c r="AI38" i="22"/>
  <c r="AJ45" i="22"/>
  <c r="AI41" i="22"/>
  <c r="AI34" i="22"/>
  <c r="AI30" i="22"/>
  <c r="AI39" i="22"/>
  <c r="AJ36" i="22"/>
  <c r="AI37" i="22"/>
  <c r="AJ39" i="22"/>
  <c r="AJ44" i="22"/>
  <c r="AJ43" i="22"/>
  <c r="IA10" i="7"/>
  <c r="CN16" i="7"/>
  <c r="L6" i="25"/>
  <c r="L6" i="8"/>
  <c r="AK11" i="7"/>
  <c r="BG8" i="7"/>
  <c r="GI17" i="7"/>
  <c r="L2" i="25"/>
  <c r="L2" i="8"/>
  <c r="DU42" i="7"/>
  <c r="J15" i="25"/>
  <c r="J15" i="8"/>
  <c r="EQ8" i="7"/>
  <c r="EQ4" i="7"/>
  <c r="EP35" i="7"/>
  <c r="EQ37" i="7"/>
  <c r="EP40" i="7"/>
  <c r="EP29" i="7"/>
  <c r="EP37" i="7"/>
  <c r="EQ39" i="7"/>
  <c r="EP42" i="7"/>
  <c r="EQ36" i="7"/>
  <c r="EP39" i="7"/>
  <c r="EQ41" i="7"/>
  <c r="EP44" i="7"/>
  <c r="EQ38" i="7"/>
  <c r="EP41" i="7"/>
  <c r="EQ43" i="7"/>
  <c r="EP46" i="7"/>
  <c r="EQ40" i="7"/>
  <c r="EP43" i="7"/>
  <c r="EQ45" i="7"/>
  <c r="EQ34" i="7"/>
  <c r="EQ44" i="7"/>
  <c r="EP45" i="7"/>
  <c r="EQ47" i="7"/>
  <c r="EQ29" i="7"/>
  <c r="EQ35" i="7"/>
  <c r="EP38" i="7"/>
  <c r="EP36" i="7"/>
  <c r="EQ46" i="7"/>
  <c r="EP34" i="7"/>
  <c r="EP30" i="7"/>
  <c r="EP47" i="7"/>
  <c r="EQ16" i="7"/>
  <c r="FM22" i="7"/>
  <c r="FM6" i="7"/>
  <c r="FM20" i="7"/>
  <c r="AJ21" i="22"/>
  <c r="AJ19" i="22"/>
  <c r="L4" i="25"/>
  <c r="L4" i="8"/>
  <c r="BR5" i="7"/>
  <c r="BR29" i="7"/>
  <c r="BQ34" i="7"/>
  <c r="BQ30" i="7"/>
  <c r="BQ35" i="7"/>
  <c r="BR35" i="7"/>
  <c r="BQ36" i="7"/>
  <c r="BQ37" i="7"/>
  <c r="BR37" i="7"/>
  <c r="BQ38" i="7"/>
  <c r="BR36" i="7"/>
  <c r="BQ39" i="7"/>
  <c r="BR39" i="7"/>
  <c r="BQ40" i="7"/>
  <c r="BR38" i="7"/>
  <c r="BQ41" i="7"/>
  <c r="BR41" i="7"/>
  <c r="BQ44" i="7"/>
  <c r="BR44" i="7"/>
  <c r="BQ45" i="7"/>
  <c r="BR45" i="7"/>
  <c r="BQ46" i="7"/>
  <c r="BR46" i="7"/>
  <c r="BQ47" i="7"/>
  <c r="BR47" i="7"/>
  <c r="BR34" i="7"/>
  <c r="BQ43" i="7"/>
  <c r="BQ29" i="7"/>
  <c r="BR4" i="7"/>
  <c r="BR43" i="7"/>
  <c r="BQ42" i="7"/>
  <c r="BR40" i="7"/>
  <c r="BR13" i="7"/>
  <c r="AT35" i="22"/>
  <c r="AT47" i="22"/>
  <c r="AU4" i="22"/>
  <c r="AU35" i="22"/>
  <c r="AU47" i="22"/>
  <c r="AT42" i="22"/>
  <c r="AU39" i="22"/>
  <c r="AT38" i="22"/>
  <c r="AT44" i="22"/>
  <c r="AT36" i="22"/>
  <c r="AU34" i="22"/>
  <c r="AU30" i="22"/>
  <c r="AT37" i="22"/>
  <c r="AU45" i="22"/>
  <c r="AU36" i="22"/>
  <c r="AU41" i="22"/>
  <c r="AU40" i="22"/>
  <c r="AU38" i="22"/>
  <c r="AT41" i="22"/>
  <c r="AT39" i="22"/>
  <c r="AT46" i="22"/>
  <c r="AU37" i="22"/>
  <c r="AU43" i="22"/>
  <c r="AT45" i="22"/>
  <c r="AU46" i="22"/>
  <c r="AU44" i="22"/>
  <c r="AT34" i="22"/>
  <c r="AT30" i="22"/>
  <c r="AT40" i="22"/>
  <c r="AT43" i="22"/>
  <c r="AU7" i="22"/>
  <c r="AU16" i="22"/>
  <c r="IA17" i="7"/>
  <c r="IA6" i="7"/>
  <c r="IA7" i="7"/>
  <c r="AV16" i="7"/>
  <c r="AV19" i="7"/>
  <c r="AV24" i="7"/>
  <c r="AU32" i="7"/>
  <c r="AU33" i="7"/>
  <c r="AU31" i="7"/>
  <c r="CN14" i="7"/>
  <c r="CN5" i="7"/>
  <c r="CC19" i="7"/>
  <c r="CC22" i="7"/>
  <c r="CC12" i="7"/>
  <c r="GT17" i="7"/>
  <c r="GT16" i="7"/>
  <c r="GT15" i="7"/>
  <c r="EF14" i="7"/>
  <c r="EF12" i="7"/>
  <c r="EF5" i="7"/>
  <c r="Z16" i="7"/>
  <c r="Z6" i="7"/>
  <c r="Z19" i="7"/>
  <c r="AK13" i="7"/>
  <c r="AK16" i="7"/>
  <c r="AK37" i="7"/>
  <c r="AK4" i="7"/>
  <c r="AK29" i="7"/>
  <c r="AJ37" i="7"/>
  <c r="AK39" i="7"/>
  <c r="AJ36" i="7"/>
  <c r="AK36" i="7"/>
  <c r="AJ39" i="7"/>
  <c r="AK41" i="7"/>
  <c r="AJ38" i="7"/>
  <c r="AK38" i="7"/>
  <c r="AJ41" i="7"/>
  <c r="AK43" i="7"/>
  <c r="AJ40" i="7"/>
  <c r="AK40" i="7"/>
  <c r="AJ43" i="7"/>
  <c r="AK45" i="7"/>
  <c r="AJ42" i="7"/>
  <c r="AK44" i="7"/>
  <c r="AJ45" i="7"/>
  <c r="AK47" i="7"/>
  <c r="AJ44" i="7"/>
  <c r="AK46" i="7"/>
  <c r="AJ47" i="7"/>
  <c r="AK35" i="7"/>
  <c r="AK34" i="7"/>
  <c r="AJ35" i="7"/>
  <c r="AJ46" i="7"/>
  <c r="AJ34" i="7"/>
  <c r="AJ30" i="7"/>
  <c r="AJ29" i="7"/>
  <c r="FB17" i="7"/>
  <c r="FA40" i="7"/>
  <c r="FB40" i="7"/>
  <c r="FA45" i="7"/>
  <c r="FB43" i="7"/>
  <c r="FA42" i="7"/>
  <c r="FB44" i="7"/>
  <c r="FA47" i="7"/>
  <c r="FB45" i="7"/>
  <c r="FA44" i="7"/>
  <c r="FB46" i="7"/>
  <c r="FB4" i="7"/>
  <c r="FB47" i="7"/>
  <c r="FA46" i="7"/>
  <c r="FA35" i="7"/>
  <c r="FA29" i="7"/>
  <c r="FB34" i="7"/>
  <c r="FB29" i="7"/>
  <c r="FA39" i="7"/>
  <c r="FB37" i="7"/>
  <c r="FA36" i="7"/>
  <c r="FB36" i="7"/>
  <c r="FA41" i="7"/>
  <c r="FB39" i="7"/>
  <c r="FB41" i="7"/>
  <c r="FA38" i="7"/>
  <c r="FA34" i="7"/>
  <c r="FA30" i="7"/>
  <c r="FA43" i="7"/>
  <c r="FB38" i="7"/>
  <c r="FA37" i="7"/>
  <c r="FB35" i="7"/>
  <c r="FB15" i="7"/>
  <c r="BF34" i="7"/>
  <c r="BF30" i="7"/>
  <c r="BF35" i="7"/>
  <c r="BG4" i="7"/>
  <c r="BG29" i="7"/>
  <c r="BF37" i="7"/>
  <c r="BF29" i="7"/>
  <c r="BF36" i="7"/>
  <c r="BG36" i="7"/>
  <c r="BF39" i="7"/>
  <c r="BG35" i="7"/>
  <c r="BF38" i="7"/>
  <c r="BG38" i="7"/>
  <c r="BF41" i="7"/>
  <c r="BG37" i="7"/>
  <c r="BF42" i="7"/>
  <c r="BF43" i="7"/>
  <c r="BG45" i="7"/>
  <c r="BG41" i="7"/>
  <c r="BG44" i="7"/>
  <c r="BF45" i="7"/>
  <c r="BG47" i="7"/>
  <c r="BF44" i="7"/>
  <c r="BG34" i="7"/>
  <c r="BG39" i="7"/>
  <c r="BF46" i="7"/>
  <c r="BF40" i="7"/>
  <c r="BG46" i="7"/>
  <c r="BF47" i="7"/>
  <c r="BG40" i="7"/>
  <c r="BG43" i="7"/>
  <c r="BG9" i="7"/>
  <c r="BG12" i="7"/>
  <c r="Y10" i="22"/>
  <c r="X47" i="22"/>
  <c r="Y35" i="22"/>
  <c r="X35" i="22"/>
  <c r="X42" i="22"/>
  <c r="Y4" i="22"/>
  <c r="Y47" i="22"/>
  <c r="X36" i="22"/>
  <c r="Y45" i="22"/>
  <c r="X37" i="22"/>
  <c r="X43" i="22"/>
  <c r="Y44" i="22"/>
  <c r="Y46" i="22"/>
  <c r="X39" i="22"/>
  <c r="Y36" i="22"/>
  <c r="X40" i="22"/>
  <c r="Y38" i="22"/>
  <c r="X44" i="22"/>
  <c r="X34" i="22"/>
  <c r="X30" i="22"/>
  <c r="Y40" i="22"/>
  <c r="Y43" i="22"/>
  <c r="X38" i="22"/>
  <c r="X45" i="22"/>
  <c r="Y41" i="22"/>
  <c r="X46" i="22"/>
  <c r="X41" i="22"/>
  <c r="Y34" i="22"/>
  <c r="Y37" i="22"/>
  <c r="Y39" i="22"/>
  <c r="U35" i="25"/>
  <c r="U35" i="8"/>
  <c r="FX8" i="7"/>
  <c r="FX9" i="7"/>
  <c r="L15" i="25"/>
  <c r="L15" i="8"/>
  <c r="J2" i="25"/>
  <c r="CY42" i="7"/>
  <c r="J2" i="8"/>
  <c r="GI6" i="7"/>
  <c r="GI7" i="7"/>
  <c r="N11" i="25"/>
  <c r="N11" i="8"/>
  <c r="V10" i="25"/>
  <c r="V10" i="8"/>
  <c r="M35" i="25"/>
  <c r="M35" i="8"/>
  <c r="AJ18" i="22"/>
  <c r="AU6" i="22"/>
  <c r="AV11" i="7"/>
  <c r="CC21" i="7"/>
  <c r="Z18" i="7"/>
  <c r="J7" i="25"/>
  <c r="J7" i="8"/>
  <c r="BG19" i="7"/>
  <c r="FX5" i="7"/>
  <c r="HP32" i="7"/>
  <c r="HP31" i="7"/>
  <c r="HP33" i="7"/>
  <c r="J6" i="25"/>
  <c r="J6" i="8"/>
  <c r="EQ23" i="7"/>
  <c r="EQ5" i="7"/>
  <c r="EQ7" i="7"/>
  <c r="FM17" i="7"/>
  <c r="FM8" i="7"/>
  <c r="FM23" i="7"/>
  <c r="AJ17" i="22"/>
  <c r="AJ9" i="22"/>
  <c r="BQ31" i="7"/>
  <c r="BQ32" i="7"/>
  <c r="BQ33" i="7"/>
  <c r="BR24" i="7"/>
  <c r="BR16" i="7"/>
  <c r="BR17" i="7"/>
  <c r="AU14" i="22"/>
  <c r="AU17" i="22"/>
  <c r="AU5" i="22"/>
  <c r="IA5" i="7"/>
  <c r="HZ47" i="7"/>
  <c r="HZ40" i="7"/>
  <c r="IA35" i="7"/>
  <c r="IA43" i="7"/>
  <c r="IA40" i="7"/>
  <c r="HZ46" i="7"/>
  <c r="HZ41" i="7"/>
  <c r="IA38" i="7"/>
  <c r="HZ44" i="7"/>
  <c r="HZ35" i="7"/>
  <c r="HZ42" i="7"/>
  <c r="IA37" i="7"/>
  <c r="IA39" i="7"/>
  <c r="IA47" i="7"/>
  <c r="IA45" i="7"/>
  <c r="IA4" i="7"/>
  <c r="HZ34" i="7"/>
  <c r="HZ30" i="7"/>
  <c r="HZ39" i="7"/>
  <c r="IA46" i="7"/>
  <c r="HZ37" i="7"/>
  <c r="IA44" i="7"/>
  <c r="HZ36" i="7"/>
  <c r="IA41" i="7"/>
  <c r="IA29" i="7"/>
  <c r="HZ45" i="7"/>
  <c r="HZ29" i="7"/>
  <c r="HZ43" i="7"/>
  <c r="IA34" i="7"/>
  <c r="HZ38" i="7"/>
  <c r="IA36" i="7"/>
  <c r="IA23" i="7"/>
  <c r="AV18" i="7"/>
  <c r="AV10" i="7"/>
  <c r="AV23" i="7"/>
  <c r="CN11" i="7"/>
  <c r="CN15" i="7"/>
  <c r="CC9" i="7"/>
  <c r="CC13" i="7"/>
  <c r="CC17" i="7"/>
  <c r="GT7" i="7"/>
  <c r="GT14" i="7"/>
  <c r="GT13" i="7"/>
  <c r="EF22" i="7"/>
  <c r="EF7" i="7"/>
  <c r="U6" i="25"/>
  <c r="U6" i="8"/>
  <c r="Z14" i="7"/>
  <c r="Z8" i="7"/>
  <c r="Z21" i="7"/>
  <c r="L9" i="25"/>
  <c r="L9" i="8"/>
  <c r="J11" i="25"/>
  <c r="J11" i="8"/>
  <c r="AK20" i="7"/>
  <c r="AK6" i="7"/>
  <c r="FB9" i="7"/>
  <c r="FB21" i="7"/>
  <c r="U9" i="25"/>
  <c r="U9" i="8"/>
  <c r="BF32" i="7"/>
  <c r="BF31" i="7"/>
  <c r="BG24" i="7"/>
  <c r="BF33" i="7"/>
  <c r="BG14" i="7"/>
  <c r="BG11" i="7"/>
  <c r="X33" i="22"/>
  <c r="X32" i="22"/>
  <c r="Y24" i="22"/>
  <c r="X31" i="22"/>
  <c r="Y17" i="22"/>
  <c r="U10" i="25"/>
  <c r="U10" i="8"/>
  <c r="J8" i="25"/>
  <c r="J8" i="8"/>
  <c r="FX22" i="7"/>
  <c r="FX19" i="7"/>
  <c r="GI14" i="7"/>
  <c r="GI10" i="7"/>
  <c r="H6" i="18"/>
  <c r="H7" i="18"/>
  <c r="H41" i="9"/>
  <c r="P43" i="8"/>
  <c r="P43" i="25"/>
  <c r="R15" i="25"/>
  <c r="R15" i="8"/>
  <c r="D3" i="25"/>
  <c r="D3" i="8"/>
  <c r="K13" i="25"/>
  <c r="K13" i="8"/>
  <c r="Q29" i="25"/>
  <c r="Q29" i="8"/>
  <c r="FX27" i="7"/>
  <c r="I9" i="25"/>
  <c r="I9" i="8"/>
  <c r="S11" i="25"/>
  <c r="S11" i="8"/>
  <c r="E20" i="25"/>
  <c r="AV27" i="7"/>
  <c r="E20" i="8"/>
  <c r="BR33" i="7"/>
  <c r="BR31" i="7"/>
  <c r="BR32" i="7"/>
  <c r="P15" i="25"/>
  <c r="P15" i="8"/>
  <c r="R5" i="25"/>
  <c r="R5" i="8"/>
  <c r="Q6" i="25"/>
  <c r="Q6" i="8"/>
  <c r="F10" i="25"/>
  <c r="F10" i="8"/>
  <c r="O13" i="25"/>
  <c r="O13" i="8"/>
  <c r="S15" i="25"/>
  <c r="S15" i="8"/>
  <c r="B17" i="8"/>
  <c r="B17" i="25"/>
  <c r="O43" i="25"/>
  <c r="O43" i="8"/>
  <c r="E45" i="25"/>
  <c r="AV30" i="7"/>
  <c r="P7" i="25"/>
  <c r="P7" i="8"/>
  <c r="F43" i="25"/>
  <c r="F43" i="8"/>
  <c r="M2" i="25"/>
  <c r="EF42" i="7"/>
  <c r="M2" i="8"/>
  <c r="S4" i="25"/>
  <c r="S4" i="8"/>
  <c r="R13" i="25"/>
  <c r="R13" i="8"/>
  <c r="D20" i="25"/>
  <c r="AK27" i="7"/>
  <c r="D20" i="8"/>
  <c r="N43" i="25"/>
  <c r="N43" i="8"/>
  <c r="H35" i="25"/>
  <c r="H35" i="8"/>
  <c r="EQ32" i="7"/>
  <c r="EQ33" i="7"/>
  <c r="EQ31" i="7"/>
  <c r="DJ5" i="7"/>
  <c r="DJ22" i="7"/>
  <c r="DJ20" i="7"/>
  <c r="F13" i="25"/>
  <c r="F13" i="8"/>
  <c r="M44" i="25"/>
  <c r="M44" i="8"/>
  <c r="I44" i="25"/>
  <c r="I44" i="8"/>
  <c r="G44" i="25"/>
  <c r="G44" i="8"/>
  <c r="N7" i="25"/>
  <c r="N7" i="8"/>
  <c r="B43" i="25"/>
  <c r="B43" i="8"/>
  <c r="C5" i="25"/>
  <c r="C5" i="8"/>
  <c r="M14" i="25"/>
  <c r="M14" i="8"/>
  <c r="E3" i="25"/>
  <c r="E3" i="8"/>
  <c r="P45" i="25"/>
  <c r="FM30" i="7"/>
  <c r="R29" i="25"/>
  <c r="GI27" i="7"/>
  <c r="R29" i="8"/>
  <c r="F7" i="25"/>
  <c r="F7" i="8"/>
  <c r="AV32" i="7"/>
  <c r="AV33" i="7"/>
  <c r="AV31" i="7"/>
  <c r="E2" i="25"/>
  <c r="AV42" i="7"/>
  <c r="E2" i="8"/>
  <c r="H3" i="18"/>
  <c r="I1" i="18"/>
  <c r="I2" i="18"/>
  <c r="I45" i="25"/>
  <c r="CN30" i="7"/>
  <c r="G35" i="25"/>
  <c r="G35" i="8"/>
  <c r="AJ31" i="22"/>
  <c r="AJ33" i="22"/>
  <c r="AJ32" i="22"/>
  <c r="F12" i="25"/>
  <c r="F12" i="8"/>
  <c r="O7" i="25"/>
  <c r="O7" i="8"/>
  <c r="C6" i="25"/>
  <c r="C6" i="8"/>
  <c r="S5" i="25"/>
  <c r="S5" i="8"/>
  <c r="E35" i="25"/>
  <c r="E44" i="25"/>
  <c r="E44" i="8"/>
  <c r="E35" i="8"/>
  <c r="V2" i="25"/>
  <c r="V2" i="8"/>
  <c r="IA42" i="7"/>
  <c r="V3" i="25"/>
  <c r="V3" i="8"/>
  <c r="N3" i="25"/>
  <c r="N3" i="8"/>
  <c r="B2" i="25"/>
  <c r="B2" i="8"/>
  <c r="Y42" i="22"/>
  <c r="C18" i="25"/>
  <c r="C14" i="25"/>
  <c r="C18" i="8"/>
  <c r="C14" i="8"/>
  <c r="AU42" i="22"/>
  <c r="P4" i="25"/>
  <c r="P4" i="8"/>
  <c r="N2" i="25"/>
  <c r="EQ42" i="7"/>
  <c r="N2" i="8"/>
  <c r="F6" i="25"/>
  <c r="F6" i="8"/>
  <c r="F21" i="25"/>
  <c r="BG27" i="7"/>
  <c r="F21" i="8"/>
  <c r="D15" i="25"/>
  <c r="D15" i="8"/>
  <c r="H4" i="25"/>
  <c r="H4" i="8"/>
  <c r="E11" i="25"/>
  <c r="E11" i="8"/>
  <c r="G4" i="25"/>
  <c r="G4" i="8"/>
  <c r="V44" i="8"/>
  <c r="V44" i="25"/>
  <c r="Q43" i="25"/>
  <c r="Q43" i="8"/>
  <c r="C8" i="25"/>
  <c r="C8" i="8"/>
  <c r="E5" i="25"/>
  <c r="E5" i="8"/>
  <c r="CC32" i="7"/>
  <c r="CC31" i="7"/>
  <c r="CC33" i="7"/>
  <c r="R10" i="25"/>
  <c r="R10" i="8"/>
  <c r="DJ10" i="7"/>
  <c r="DJ18" i="7"/>
  <c r="Q11" i="25"/>
  <c r="Q11" i="8"/>
  <c r="O10" i="25"/>
  <c r="O10" i="8"/>
  <c r="S9" i="25"/>
  <c r="S9" i="8"/>
  <c r="E6" i="25"/>
  <c r="E6" i="8"/>
  <c r="N4" i="25"/>
  <c r="N4" i="8"/>
  <c r="B3" i="25"/>
  <c r="B3" i="8"/>
  <c r="D7" i="25"/>
  <c r="D7" i="8"/>
  <c r="S10" i="25"/>
  <c r="S10" i="8"/>
  <c r="H45" i="25"/>
  <c r="CC30" i="7"/>
  <c r="V6" i="25"/>
  <c r="V6" i="8"/>
  <c r="G8" i="25"/>
  <c r="G8" i="8"/>
  <c r="O5" i="25"/>
  <c r="O5" i="8"/>
  <c r="O44" i="25"/>
  <c r="O44" i="8"/>
  <c r="E8" i="25"/>
  <c r="E8" i="8"/>
  <c r="H10" i="25"/>
  <c r="H10" i="8"/>
  <c r="AJ42" i="22"/>
  <c r="D35" i="25"/>
  <c r="D35" i="8"/>
  <c r="E13" i="25"/>
  <c r="E13" i="8"/>
  <c r="E12" i="25"/>
  <c r="E12" i="8"/>
  <c r="R2" i="25"/>
  <c r="GI42" i="7"/>
  <c r="R2" i="8"/>
  <c r="B13" i="8"/>
  <c r="B13" i="25"/>
  <c r="D4" i="25"/>
  <c r="D4" i="8"/>
  <c r="C12" i="25"/>
  <c r="C12" i="8"/>
  <c r="H15" i="25"/>
  <c r="H15" i="8"/>
  <c r="V33" i="25"/>
  <c r="IA27" i="7"/>
  <c r="V33" i="8"/>
  <c r="N26" i="25"/>
  <c r="EQ27" i="7"/>
  <c r="N26" i="8"/>
  <c r="M3" i="25"/>
  <c r="M3" i="8"/>
  <c r="E14" i="25"/>
  <c r="E14" i="8"/>
  <c r="N6" i="25"/>
  <c r="N6" i="8"/>
  <c r="D9" i="25"/>
  <c r="D9" i="8"/>
  <c r="EF33" i="7"/>
  <c r="EF31" i="7"/>
  <c r="EF32" i="7"/>
  <c r="Q9" i="25"/>
  <c r="Q9" i="8"/>
  <c r="F3" i="25"/>
  <c r="F3" i="8"/>
  <c r="D13" i="25"/>
  <c r="D13" i="8"/>
  <c r="M4" i="25"/>
  <c r="M4" i="8"/>
  <c r="H9" i="25"/>
  <c r="H9" i="8"/>
  <c r="V35" i="25"/>
  <c r="V35" i="8"/>
  <c r="G22" i="25"/>
  <c r="G22" i="8"/>
  <c r="BR27" i="7"/>
  <c r="G9" i="25"/>
  <c r="G9" i="8"/>
  <c r="B10" i="25"/>
  <c r="B10" i="8"/>
  <c r="O8" i="25"/>
  <c r="O8" i="8"/>
  <c r="M43" i="25"/>
  <c r="M43" i="8"/>
  <c r="S30" i="25"/>
  <c r="GT27" i="7"/>
  <c r="S30" i="8"/>
  <c r="DJ16" i="7"/>
  <c r="DJ4" i="7"/>
  <c r="DI37" i="7"/>
  <c r="DI47" i="7"/>
  <c r="DI38" i="7"/>
  <c r="DJ40" i="7"/>
  <c r="DI35" i="7"/>
  <c r="DJ45" i="7"/>
  <c r="DI40" i="7"/>
  <c r="DJ44" i="7"/>
  <c r="DI39" i="7"/>
  <c r="DJ47" i="7"/>
  <c r="DI42" i="7"/>
  <c r="DJ46" i="7"/>
  <c r="DI43" i="7"/>
  <c r="DI29" i="7"/>
  <c r="DJ41" i="7"/>
  <c r="DI44" i="7"/>
  <c r="DJ34" i="7"/>
  <c r="DJ35" i="7"/>
  <c r="DJ36" i="7"/>
  <c r="DI46" i="7"/>
  <c r="DI41" i="7"/>
  <c r="DJ37" i="7"/>
  <c r="DI34" i="7"/>
  <c r="DI30" i="7"/>
  <c r="DJ29" i="7"/>
  <c r="DI45" i="7"/>
  <c r="DJ39" i="7"/>
  <c r="DI36" i="7"/>
  <c r="DJ38" i="7"/>
  <c r="DJ43" i="7"/>
  <c r="Q44" i="25"/>
  <c r="Q44" i="8"/>
  <c r="O6" i="25"/>
  <c r="O6" i="8"/>
  <c r="S35" i="25"/>
  <c r="S35" i="8"/>
  <c r="E43" i="25"/>
  <c r="E15" i="25"/>
  <c r="E43" i="8"/>
  <c r="E15" i="8"/>
  <c r="AU27" i="22"/>
  <c r="FB33" i="7"/>
  <c r="FB32" i="7"/>
  <c r="FB31" i="7"/>
  <c r="R6" i="25"/>
  <c r="R6" i="8"/>
  <c r="F8" i="25"/>
  <c r="F8" i="8"/>
  <c r="S8" i="25"/>
  <c r="S8" i="8"/>
  <c r="M7" i="25"/>
  <c r="M7" i="8"/>
  <c r="F4" i="25"/>
  <c r="F4" i="8"/>
  <c r="G13" i="25"/>
  <c r="G13" i="8"/>
  <c r="G10" i="25"/>
  <c r="G10" i="8"/>
  <c r="D12" i="25"/>
  <c r="D12" i="8"/>
  <c r="M9" i="25"/>
  <c r="M9" i="8"/>
  <c r="BG33" i="7"/>
  <c r="BG32" i="7"/>
  <c r="BG31" i="7"/>
  <c r="H11" i="25"/>
  <c r="H11" i="8"/>
  <c r="O2" i="25"/>
  <c r="O2" i="8"/>
  <c r="FB42" i="7"/>
  <c r="D45" i="25"/>
  <c r="AK30" i="7"/>
  <c r="D2" i="25"/>
  <c r="D2" i="8"/>
  <c r="AK42" i="7"/>
  <c r="M10" i="25"/>
  <c r="M10" i="8"/>
  <c r="I3" i="25"/>
  <c r="I3" i="8"/>
  <c r="V5" i="25"/>
  <c r="V5" i="8"/>
  <c r="G45" i="25"/>
  <c r="BR30" i="7"/>
  <c r="G3" i="25"/>
  <c r="G3" i="8"/>
  <c r="N14" i="25"/>
  <c r="N14" i="8"/>
  <c r="P44" i="8"/>
  <c r="P44" i="25"/>
  <c r="S45" i="25"/>
  <c r="GT30" i="7"/>
  <c r="R11" i="25"/>
  <c r="R11" i="8"/>
  <c r="Q12" i="25"/>
  <c r="Q12" i="8"/>
  <c r="C3" i="25"/>
  <c r="C3" i="8"/>
  <c r="M25" i="25"/>
  <c r="M25" i="8"/>
  <c r="EF27" i="7"/>
  <c r="I15" i="25"/>
  <c r="I15" i="8"/>
  <c r="V14" i="25"/>
  <c r="V14" i="8"/>
  <c r="M45" i="25"/>
  <c r="EF30" i="7"/>
  <c r="N10" i="25"/>
  <c r="N10" i="8"/>
  <c r="B6" i="25"/>
  <c r="B6" i="8"/>
  <c r="O27" i="25"/>
  <c r="FB27" i="7"/>
  <c r="O27" i="8"/>
  <c r="M15" i="25"/>
  <c r="M15" i="8"/>
  <c r="H5" i="25"/>
  <c r="H5" i="8"/>
  <c r="P5" i="25"/>
  <c r="P5" i="8"/>
  <c r="DJ21" i="7"/>
  <c r="DJ7" i="7"/>
  <c r="DJ23" i="7"/>
  <c r="B9" i="25"/>
  <c r="B9" i="8"/>
  <c r="D6" i="25"/>
  <c r="D6" i="8"/>
  <c r="S43" i="25"/>
  <c r="S43" i="8"/>
  <c r="V9" i="25"/>
  <c r="V9" i="8"/>
  <c r="P11" i="25"/>
  <c r="P11" i="8"/>
  <c r="C7" i="25"/>
  <c r="C7" i="8"/>
  <c r="R9" i="25"/>
  <c r="R9" i="8"/>
  <c r="F35" i="25"/>
  <c r="F35" i="8"/>
  <c r="H8" i="25"/>
  <c r="H8" i="8"/>
  <c r="H13" i="25"/>
  <c r="H13" i="8"/>
  <c r="R4" i="25"/>
  <c r="R4" i="8"/>
  <c r="G2" i="25"/>
  <c r="G2" i="8"/>
  <c r="BR42" i="7"/>
  <c r="Q4" i="25"/>
  <c r="Q4" i="8"/>
  <c r="AU31" i="22"/>
  <c r="AU32" i="22"/>
  <c r="AU33" i="22"/>
  <c r="R8" i="25"/>
  <c r="R8" i="8"/>
  <c r="B15" i="25"/>
  <c r="B15" i="8"/>
  <c r="D43" i="25"/>
  <c r="D43" i="8"/>
  <c r="R12" i="25"/>
  <c r="R12" i="8"/>
  <c r="H7" i="25"/>
  <c r="H7" i="8"/>
  <c r="C35" i="25"/>
  <c r="C35" i="8"/>
  <c r="B45" i="25"/>
  <c r="Y30" i="22"/>
  <c r="F2" i="25"/>
  <c r="F2" i="8"/>
  <c r="BG42" i="7"/>
  <c r="M12" i="25"/>
  <c r="M12" i="8"/>
  <c r="I12" i="25"/>
  <c r="I12" i="8"/>
  <c r="V4" i="25"/>
  <c r="V4" i="8"/>
  <c r="G11" i="25"/>
  <c r="G11" i="8"/>
  <c r="Q5" i="25"/>
  <c r="Q5" i="8"/>
  <c r="C10" i="25"/>
  <c r="C10" i="8"/>
  <c r="S6" i="25"/>
  <c r="S6" i="8"/>
  <c r="I43" i="25"/>
  <c r="I43" i="8"/>
  <c r="V43" i="25"/>
  <c r="V43" i="8"/>
  <c r="FM31" i="7"/>
  <c r="FM33" i="7"/>
  <c r="FM32" i="7"/>
  <c r="FX31" i="7"/>
  <c r="FX32" i="7"/>
  <c r="FX33" i="7"/>
  <c r="B12" i="25"/>
  <c r="B12" i="8"/>
  <c r="O9" i="25"/>
  <c r="O9" i="8"/>
  <c r="M6" i="25"/>
  <c r="M6" i="8"/>
  <c r="H12" i="25"/>
  <c r="H12" i="8"/>
  <c r="V11" i="25"/>
  <c r="V11" i="8"/>
  <c r="G7" i="25"/>
  <c r="G7" i="8"/>
  <c r="P14" i="25"/>
  <c r="P14" i="8"/>
  <c r="DJ14" i="7"/>
  <c r="DJ6" i="7"/>
  <c r="DJ13" i="7"/>
  <c r="B4" i="25"/>
  <c r="B4" i="8"/>
  <c r="D44" i="25"/>
  <c r="D44" i="8"/>
  <c r="C11" i="25"/>
  <c r="C11" i="8"/>
  <c r="H14" i="25"/>
  <c r="H14" i="8"/>
  <c r="IA31" i="7"/>
  <c r="IA33" i="7"/>
  <c r="IA32" i="7"/>
  <c r="P12" i="25"/>
  <c r="P12" i="8"/>
  <c r="Q13" i="25"/>
  <c r="Q13" i="8"/>
  <c r="O11" i="25"/>
  <c r="O11" i="8"/>
  <c r="C2" i="25"/>
  <c r="Z42" i="7"/>
  <c r="C2" i="8"/>
  <c r="H6" i="25"/>
  <c r="H6" i="8"/>
  <c r="I2" i="25"/>
  <c r="I2" i="8"/>
  <c r="CN42" i="7"/>
  <c r="N35" i="25"/>
  <c r="N35" i="8"/>
  <c r="F9" i="25"/>
  <c r="F9" i="8"/>
  <c r="S12" i="25"/>
  <c r="S12" i="8"/>
  <c r="Q3" i="25"/>
  <c r="Q3" i="8"/>
  <c r="F45" i="25"/>
  <c r="BG30" i="7"/>
  <c r="I35" i="25"/>
  <c r="J35" i="25"/>
  <c r="I35" i="8"/>
  <c r="J35" i="8"/>
  <c r="R3" i="25"/>
  <c r="R3" i="8"/>
  <c r="I6" i="25"/>
  <c r="I6" i="8"/>
  <c r="H2" i="25"/>
  <c r="CC42" i="7"/>
  <c r="H2" i="8"/>
  <c r="Y31" i="22"/>
  <c r="Y33" i="22"/>
  <c r="Y32" i="22"/>
  <c r="M5" i="25"/>
  <c r="M5" i="8"/>
  <c r="I13" i="25"/>
  <c r="I13" i="8"/>
  <c r="V45" i="25"/>
  <c r="IA30" i="7"/>
  <c r="G15" i="25"/>
  <c r="G15" i="8"/>
  <c r="P28" i="25"/>
  <c r="FM27" i="7"/>
  <c r="P28" i="8"/>
  <c r="H44" i="25"/>
  <c r="H44" i="8"/>
  <c r="D14" i="25"/>
  <c r="D14" i="8"/>
  <c r="S13" i="25"/>
  <c r="S13" i="8"/>
  <c r="V15" i="25"/>
  <c r="V15" i="8"/>
  <c r="I14" i="25"/>
  <c r="I14" i="8"/>
  <c r="GI33" i="7"/>
  <c r="GI31" i="7"/>
  <c r="GI32" i="7"/>
  <c r="B44" i="25"/>
  <c r="B44" i="8"/>
  <c r="O3" i="25"/>
  <c r="O3" i="8"/>
  <c r="S7" i="25"/>
  <c r="S7" i="8"/>
  <c r="CN31" i="7"/>
  <c r="CN32" i="7"/>
  <c r="CN33" i="7"/>
  <c r="F14" i="25"/>
  <c r="F14" i="8"/>
  <c r="D5" i="25"/>
  <c r="D5" i="8"/>
  <c r="I10" i="25"/>
  <c r="I10" i="8"/>
  <c r="V13" i="25"/>
  <c r="V13" i="8"/>
  <c r="G43" i="25"/>
  <c r="G43" i="8"/>
  <c r="P3" i="25"/>
  <c r="P3" i="8"/>
  <c r="Q2" i="25"/>
  <c r="Q2" i="8"/>
  <c r="FX42" i="7"/>
  <c r="DJ11" i="7"/>
  <c r="DJ12" i="7"/>
  <c r="DI32" i="7"/>
  <c r="DJ24" i="7"/>
  <c r="DI33" i="7"/>
  <c r="DI31" i="7"/>
  <c r="B16" i="25"/>
  <c r="B16" i="8"/>
  <c r="AK32" i="7"/>
  <c r="AK33" i="7"/>
  <c r="AK31" i="7"/>
  <c r="C43" i="25"/>
  <c r="C43" i="8"/>
  <c r="H43" i="25"/>
  <c r="H43" i="8"/>
  <c r="G5" i="25"/>
  <c r="G5" i="8"/>
  <c r="P8" i="25"/>
  <c r="P8" i="8"/>
  <c r="R43" i="25"/>
  <c r="R43" i="8"/>
  <c r="CN27" i="7"/>
  <c r="R45" i="25"/>
  <c r="GI30" i="7"/>
  <c r="I5" i="25"/>
  <c r="I5" i="8"/>
  <c r="P9" i="25"/>
  <c r="P9" i="8"/>
  <c r="P2" i="25"/>
  <c r="P2" i="8"/>
  <c r="FM42" i="7"/>
  <c r="C44" i="25"/>
  <c r="C44" i="8"/>
  <c r="N5" i="25"/>
  <c r="N5" i="8"/>
  <c r="C4" i="25"/>
  <c r="C4" i="8"/>
  <c r="C13" i="25"/>
  <c r="C13" i="8"/>
  <c r="K6" i="25"/>
  <c r="K6" i="8"/>
  <c r="M8" i="25"/>
  <c r="M8" i="8"/>
  <c r="G14" i="25"/>
  <c r="G14" i="8"/>
  <c r="P6" i="25"/>
  <c r="P6" i="8"/>
  <c r="E9" i="25"/>
  <c r="E9" i="8"/>
  <c r="Q7" i="25"/>
  <c r="Q7" i="8"/>
  <c r="B8" i="25"/>
  <c r="B8" i="8"/>
  <c r="O45" i="25"/>
  <c r="FB30" i="7"/>
  <c r="O15" i="25"/>
  <c r="O15" i="8"/>
  <c r="D11" i="25"/>
  <c r="D11" i="8"/>
  <c r="S14" i="25"/>
  <c r="S14" i="8"/>
  <c r="N45" i="25"/>
  <c r="EQ30" i="7"/>
  <c r="V8" i="25"/>
  <c r="V8" i="8"/>
  <c r="S2" i="25"/>
  <c r="S2" i="8"/>
  <c r="GT42" i="7"/>
  <c r="B18" i="25"/>
  <c r="B18" i="8"/>
  <c r="Y27" i="22"/>
  <c r="O4" i="25"/>
  <c r="O4" i="8"/>
  <c r="Z32" i="7"/>
  <c r="Z33" i="7"/>
  <c r="Z31" i="7"/>
  <c r="S3" i="25"/>
  <c r="S3" i="8"/>
  <c r="AJ27" i="22"/>
  <c r="N8" i="25"/>
  <c r="N8" i="8"/>
  <c r="R14" i="25"/>
  <c r="R14" i="8"/>
  <c r="Q14" i="25"/>
  <c r="Q14" i="8"/>
  <c r="F11" i="25"/>
  <c r="F11" i="8"/>
  <c r="D8" i="25"/>
  <c r="D8" i="8"/>
  <c r="GT33" i="7"/>
  <c r="GT32" i="7"/>
  <c r="GT31" i="7"/>
  <c r="I7" i="25"/>
  <c r="I7" i="8"/>
  <c r="N9" i="25"/>
  <c r="N9" i="8"/>
  <c r="Q45" i="25"/>
  <c r="FX30" i="7"/>
  <c r="C15" i="25"/>
  <c r="C15" i="8"/>
  <c r="DJ19" i="7"/>
  <c r="DJ17" i="7"/>
  <c r="DJ9" i="7"/>
  <c r="F15" i="25"/>
  <c r="F15" i="8"/>
  <c r="M11" i="25"/>
  <c r="M11" i="8"/>
  <c r="I4" i="25"/>
  <c r="I4" i="8"/>
  <c r="G6" i="25"/>
  <c r="G6" i="8"/>
  <c r="N44" i="25"/>
  <c r="N44" i="8"/>
  <c r="V7" i="25"/>
  <c r="V7" i="8"/>
  <c r="Q10" i="25"/>
  <c r="Q10" i="8"/>
  <c r="O12" i="25"/>
  <c r="O12" i="8"/>
  <c r="C45" i="25"/>
  <c r="Z30" i="7"/>
  <c r="M13" i="25"/>
  <c r="M13" i="8"/>
  <c r="I11" i="25"/>
  <c r="I11" i="8"/>
  <c r="N12" i="25"/>
  <c r="N12" i="8"/>
  <c r="K10" i="25"/>
  <c r="K10" i="8"/>
  <c r="K9" i="25"/>
  <c r="K9" i="8"/>
  <c r="L35" i="25"/>
  <c r="K35" i="25"/>
  <c r="K35" i="8"/>
  <c r="L35" i="8"/>
  <c r="K8" i="25"/>
  <c r="K8" i="8"/>
  <c r="K7" i="25"/>
  <c r="K7" i="8"/>
  <c r="K11" i="25"/>
  <c r="K11" i="8"/>
  <c r="K24" i="25"/>
  <c r="K24" i="8"/>
  <c r="DJ27" i="7"/>
  <c r="K45" i="25"/>
  <c r="DJ30" i="7"/>
  <c r="K15" i="25"/>
  <c r="K15" i="8"/>
  <c r="K4" i="25"/>
  <c r="K4" i="8"/>
  <c r="K5" i="25"/>
  <c r="K5" i="8"/>
  <c r="K2" i="25"/>
  <c r="DJ42" i="7"/>
  <c r="K2" i="8"/>
  <c r="I7" i="18"/>
  <c r="I41" i="9"/>
  <c r="I6" i="18"/>
  <c r="K12" i="25"/>
  <c r="K12" i="8"/>
  <c r="K44" i="25"/>
  <c r="K44" i="8"/>
  <c r="K14" i="25"/>
  <c r="K14" i="8"/>
  <c r="J1" i="18"/>
  <c r="J2" i="18"/>
  <c r="I3" i="18"/>
  <c r="K3" i="25"/>
  <c r="K3" i="8"/>
  <c r="DJ31" i="7"/>
  <c r="DJ33" i="7"/>
  <c r="DJ32" i="7"/>
  <c r="K43" i="25"/>
  <c r="K43" i="8"/>
  <c r="J7" i="18"/>
  <c r="J41" i="9"/>
  <c r="J6" i="18"/>
  <c r="K1" i="18"/>
  <c r="K2" i="18"/>
  <c r="J3" i="18"/>
  <c r="K6" i="18"/>
  <c r="K7" i="18"/>
  <c r="K41" i="9"/>
  <c r="K3" i="18"/>
  <c r="L1" i="18"/>
  <c r="L2" i="18"/>
  <c r="L7" i="18"/>
  <c r="L41" i="9"/>
  <c r="L6" i="18"/>
  <c r="L3" i="18"/>
  <c r="M1" i="18"/>
  <c r="M2" i="18"/>
  <c r="M7" i="18"/>
  <c r="M41" i="9"/>
  <c r="M6" i="18"/>
  <c r="N1" i="18"/>
  <c r="M3" i="18"/>
  <c r="N2" i="18"/>
  <c r="O1" i="18"/>
  <c r="N3" i="18"/>
  <c r="N7" i="18"/>
  <c r="N41" i="9"/>
  <c r="N6" i="18"/>
  <c r="O3" i="18"/>
  <c r="P1" i="18"/>
  <c r="P2" i="18"/>
  <c r="O2" i="18"/>
  <c r="O7" i="18"/>
  <c r="O41" i="9"/>
  <c r="O6" i="18"/>
  <c r="P7" i="18"/>
  <c r="P41" i="9"/>
  <c r="P6" i="18"/>
  <c r="P3" i="18"/>
  <c r="Q1" i="18"/>
  <c r="Q2" i="18"/>
  <c r="R1" i="18"/>
  <c r="Q3" i="18"/>
  <c r="Q7" i="18"/>
  <c r="Q41" i="9"/>
  <c r="Q6" i="18"/>
  <c r="S1" i="18"/>
  <c r="R3" i="18"/>
  <c r="R2" i="18"/>
  <c r="S3" i="18"/>
  <c r="T1" i="18"/>
  <c r="T2" i="18"/>
  <c r="R6" i="18"/>
  <c r="R7" i="18"/>
  <c r="R41" i="9"/>
  <c r="S2" i="18"/>
  <c r="T7" i="18"/>
  <c r="T41" i="9"/>
  <c r="T6" i="18"/>
  <c r="S7" i="18"/>
  <c r="S41" i="9"/>
  <c r="S6" i="18"/>
  <c r="T3" i="18"/>
  <c r="U1" i="18"/>
  <c r="U2" i="18"/>
  <c r="V1" i="18"/>
  <c r="U3" i="18"/>
  <c r="V2" i="18"/>
  <c r="U7" i="18"/>
  <c r="U41" i="9"/>
  <c r="U6" i="18"/>
  <c r="V7" i="18"/>
  <c r="V41" i="9"/>
  <c r="V6" i="18"/>
  <c r="V3" i="18"/>
  <c r="W2" i="18"/>
  <c r="W3" i="18"/>
  <c r="W7" i="18"/>
  <c r="W41" i="9"/>
  <c r="W6"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Mauricio Paton</author>
  </authors>
  <commentList>
    <comment ref="B12" authorId="0" shapeId="0" xr:uid="{00000000-0006-0000-0000-000001000000}">
      <text>
        <r>
          <rPr>
            <b/>
            <sz val="9"/>
            <color indexed="81"/>
            <rFont val="Tahoma"/>
            <family val="2"/>
          </rPr>
          <t>Mauricio Paton:</t>
        </r>
        <r>
          <rPr>
            <sz val="9"/>
            <color indexed="81"/>
            <rFont val="Tahoma"/>
            <family val="2"/>
          </rPr>
          <t xml:space="preserve">
200-acre are 809371 m2, not 350000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Mauricio Paton</author>
  </authors>
  <commentList>
    <comment ref="BO1" authorId="0" shapeId="0" xr:uid="{00000000-0006-0000-0300-000001000000}">
      <text>
        <r>
          <rPr>
            <b/>
            <sz val="9"/>
            <color indexed="81"/>
            <rFont val="Tahoma"/>
            <family val="2"/>
          </rPr>
          <t>Mauricio Paton:</t>
        </r>
        <r>
          <rPr>
            <sz val="9"/>
            <color indexed="81"/>
            <rFont val="Tahoma"/>
            <family val="2"/>
          </rPr>
          <t xml:space="preserve">
Need to be corrected in MATLAB
Check if is X or S. If it is S, is repeated again as in Column 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Dr Jorge Rodríguez-Rodríguez</author>
  </authors>
  <commentList>
    <comment ref="A1" authorId="0" shapeId="0" xr:uid="{00000000-0006-0000-0700-000001000000}">
      <text>
        <r>
          <rPr>
            <b/>
            <sz val="8"/>
            <color indexed="81"/>
            <rFont val="Tahoma"/>
            <family val="2"/>
          </rPr>
          <t>First column is Gºf of the uncharged not hydrated species of the compound.
Second columns is the fully protonated (hydrated if applicable e.g. H2CO3) species. Subsequent columns are the subsequent deprotonated species (if weak acid or base).
E.g. [CO2 H2CO3 HCO3- CO32-
NH3 NH4+ NH3 ... ...]</t>
        </r>
      </text>
    </comment>
    <comment ref="A85" authorId="0" shapeId="0" xr:uid="{00000000-0006-0000-0700-000002000000}">
      <text>
        <r>
          <rPr>
            <b/>
            <sz val="8"/>
            <color indexed="81"/>
            <rFont val="Tahoma"/>
            <family val="2"/>
          </rPr>
          <t>Charge matrix ONLY for the liquid species</t>
        </r>
      </text>
    </comment>
    <comment ref="A102" authorId="0" shapeId="0" xr:uid="{00000000-0006-0000-0700-000003000000}">
      <text>
        <r>
          <rPr>
            <b/>
            <sz val="8"/>
            <color indexed="81"/>
            <rFont val="Tahoma"/>
            <family val="2"/>
          </rPr>
          <t>Marix with the liquid species names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Jorge</author>
    <author>Jorge Rodríguez Rodríguez</author>
  </authors>
  <commentList>
    <comment ref="Q2" authorId="0" shapeId="0" xr:uid="{00000000-0006-0000-0E00-000001000000}">
      <text>
        <r>
          <rPr>
            <b/>
            <sz val="8"/>
            <color indexed="81"/>
            <rFont val="Tahoma"/>
            <family val="2"/>
          </rPr>
          <t>Special Group (remains unaltered)</t>
        </r>
      </text>
    </comment>
    <comment ref="R2" authorId="0" shapeId="0" xr:uid="{00000000-0006-0000-0E00-000002000000}">
      <text>
        <r>
          <rPr>
            <b/>
            <sz val="8"/>
            <color indexed="81"/>
            <rFont val="Tahoma"/>
            <family val="2"/>
          </rPr>
          <t>Special Group (remains unaltered)
Reduced version</t>
        </r>
      </text>
    </comment>
    <comment ref="X2" authorId="1" shapeId="0" xr:uid="{00000000-0006-0000-0E00-000003000000}">
      <text>
        <r>
          <rPr>
            <b/>
            <sz val="8"/>
            <color indexed="81"/>
            <rFont val="Tahoma"/>
            <family val="2"/>
          </rPr>
          <t>Only for information, check the nitrogen source!!</t>
        </r>
        <r>
          <rPr>
            <sz val="8"/>
            <color indexed="81"/>
            <rFont val="Tahoma"/>
            <family val="2"/>
          </rPr>
          <t xml:space="preserve">
</t>
        </r>
      </text>
    </comment>
    <comment ref="D7" authorId="1" shapeId="0" xr:uid="{00000000-0006-0000-0E00-000004000000}">
      <text>
        <r>
          <rPr>
            <b/>
            <sz val="8"/>
            <color indexed="81"/>
            <rFont val="Tahoma"/>
            <family val="2"/>
          </rPr>
          <t>Calculated by group contribution
from data of Stephanopoulos</t>
        </r>
      </text>
    </comment>
    <comment ref="D8" authorId="0" shapeId="0" xr:uid="{00000000-0006-0000-0E00-000005000000}">
      <text>
        <r>
          <rPr>
            <b/>
            <sz val="8"/>
            <color indexed="81"/>
            <rFont val="Tahoma"/>
            <family val="2"/>
          </rPr>
          <t>Calculated from the pKa value at 18 ºC</t>
        </r>
      </text>
    </comment>
    <comment ref="D12" authorId="0" shapeId="0" xr:uid="{00000000-0006-0000-0E00-000006000000}">
      <text>
        <r>
          <rPr>
            <b/>
            <sz val="8"/>
            <color indexed="81"/>
            <rFont val="Tahoma"/>
            <family val="2"/>
          </rPr>
          <t>Calculated from the Gibbs energy of hydrolysis of ATP formation of -13 kJ/mol (thauer 10977)</t>
        </r>
      </text>
    </comment>
    <comment ref="D14" authorId="1" shapeId="0" xr:uid="{00000000-0006-0000-0E00-000007000000}">
      <text>
        <r>
          <rPr>
            <b/>
            <sz val="8"/>
            <color indexed="81"/>
            <rFont val="Tahoma"/>
            <family val="2"/>
          </rPr>
          <t>Calculated from Thauer hydrolysis energy DG0' obs</t>
        </r>
      </text>
    </comment>
    <comment ref="D18" authorId="1" shapeId="0" xr:uid="{00000000-0006-0000-0E00-000008000000}">
      <text>
        <r>
          <rPr>
            <b/>
            <sz val="8"/>
            <color indexed="81"/>
            <rFont val="Tahoma"/>
            <family val="2"/>
          </rPr>
          <t>Calculated from Thauer ATP+AMP=2ADP DG=0</t>
        </r>
      </text>
    </comment>
    <comment ref="D29" authorId="0" shapeId="0" xr:uid="{00000000-0006-0000-0E00-000009000000}">
      <text>
        <r>
          <rPr>
            <b/>
            <sz val="8"/>
            <color indexed="81"/>
            <rFont val="Tahoma"/>
            <family val="2"/>
          </rPr>
          <t>Estimated assuming same hydrolysis DG than for acetyl-P</t>
        </r>
      </text>
    </comment>
    <comment ref="D35" authorId="1" shapeId="0" xr:uid="{00000000-0006-0000-0E00-00000A000000}">
      <text>
        <r>
          <rPr>
            <b/>
            <sz val="8"/>
            <color indexed="81"/>
            <rFont val="Tahoma"/>
            <family val="2"/>
          </rPr>
          <t>Reference</t>
        </r>
      </text>
    </comment>
    <comment ref="D39" authorId="1" shapeId="0" xr:uid="{00000000-0006-0000-0E00-00000B000000}">
      <text>
        <r>
          <rPr>
            <b/>
            <sz val="8"/>
            <color indexed="81"/>
            <rFont val="Tahoma"/>
            <family val="2"/>
          </rPr>
          <t>Ref</t>
        </r>
      </text>
    </comment>
    <comment ref="D41" authorId="0" shapeId="0" xr:uid="{00000000-0006-0000-0E00-00000C000000}">
      <text>
        <r>
          <rPr>
            <b/>
            <sz val="8"/>
            <color indexed="81"/>
            <rFont val="Tahoma"/>
            <family val="2"/>
          </rPr>
          <t>Define as reference</t>
        </r>
      </text>
    </comment>
    <comment ref="D42" authorId="0" shapeId="0" xr:uid="{00000000-0006-0000-0E00-00000D000000}">
      <text>
        <r>
          <rPr>
            <b/>
            <sz val="8"/>
            <color indexed="81"/>
            <rFont val="Tahoma"/>
            <family val="2"/>
          </rPr>
          <t>From potential difference Fd0x/Fdred E' -410mV</t>
        </r>
      </text>
    </comment>
    <comment ref="D56" authorId="1" shapeId="0" xr:uid="{00000000-0006-0000-0E00-00000E000000}">
      <text>
        <r>
          <rPr>
            <b/>
            <sz val="8"/>
            <color indexed="81"/>
            <rFont val="Tahoma"/>
            <family val="2"/>
          </rPr>
          <t>Calculated from pKa value</t>
        </r>
        <r>
          <rPr>
            <sz val="8"/>
            <color indexed="81"/>
            <rFont val="Tahoma"/>
            <family val="2"/>
          </rPr>
          <t xml:space="preserve">
</t>
        </r>
      </text>
    </comment>
    <comment ref="D57" authorId="1" shapeId="0" xr:uid="{00000000-0006-0000-0E00-00000F000000}">
      <text>
        <r>
          <rPr>
            <b/>
            <sz val="8"/>
            <color indexed="81"/>
            <rFont val="Tahoma"/>
            <family val="2"/>
          </rPr>
          <t>Calculated according data from Stephanopoulos</t>
        </r>
      </text>
    </comment>
    <comment ref="D62" authorId="1" shapeId="0" xr:uid="{00000000-0006-0000-0E00-000010000000}">
      <text>
        <r>
          <rPr>
            <b/>
            <sz val="8"/>
            <color indexed="81"/>
            <rFont val="Tahoma"/>
            <family val="2"/>
          </rPr>
          <t>Reference</t>
        </r>
      </text>
    </comment>
    <comment ref="D64" authorId="1" shapeId="0" xr:uid="{00000000-0006-0000-0E00-000011000000}">
      <text>
        <r>
          <rPr>
            <b/>
            <sz val="8"/>
            <color indexed="81"/>
            <rFont val="Tahoma"/>
            <family val="2"/>
          </rPr>
          <t>Reference</t>
        </r>
      </text>
    </comment>
    <comment ref="D65" authorId="1" shapeId="0" xr:uid="{00000000-0006-0000-0E00-000012000000}">
      <text>
        <r>
          <rPr>
            <b/>
            <sz val="8"/>
            <color indexed="81"/>
            <rFont val="Tahoma"/>
            <family val="2"/>
          </rPr>
          <t>Calculated to make the reaction
NAD+ + 2H+ + 2e- ---&gt;&gt; NADH + H+ with a Delta G of +30.7 kJ/mol</t>
        </r>
      </text>
    </comment>
    <comment ref="D79" authorId="0" shapeId="0" xr:uid="{00000000-0006-0000-0E00-000013000000}">
      <text>
        <r>
          <rPr>
            <b/>
            <sz val="8"/>
            <color indexed="81"/>
            <rFont val="Tahoma"/>
            <family val="2"/>
          </rPr>
          <t>Ref defined on them</t>
        </r>
      </text>
    </comment>
    <comment ref="D84" authorId="0" shapeId="0" xr:uid="{00000000-0006-0000-0E00-000014000000}">
      <text>
        <r>
          <rPr>
            <b/>
            <sz val="8"/>
            <color indexed="81"/>
            <rFont val="Tahoma"/>
            <family val="2"/>
          </rPr>
          <t>Calculated from AG0' of hydrolysis from Thauer</t>
        </r>
      </text>
    </comment>
    <comment ref="D86" authorId="0" shapeId="0" xr:uid="{00000000-0006-0000-0E00-000015000000}">
      <text>
        <r>
          <rPr>
            <b/>
            <sz val="8"/>
            <color indexed="81"/>
            <rFont val="Tahoma"/>
            <family val="2"/>
          </rPr>
          <t>Ref defined on them</t>
        </r>
      </text>
    </comment>
    <comment ref="D90" authorId="0" shapeId="0" xr:uid="{00000000-0006-0000-0E00-000016000000}">
      <text>
        <r>
          <rPr>
            <b/>
            <sz val="8"/>
            <color indexed="81"/>
            <rFont val="Tahoma"/>
            <family val="2"/>
          </rPr>
          <t>CHECK IT!
Estimated from Gibbs combustion values</t>
        </r>
      </text>
    </comment>
    <comment ref="D104" authorId="0" shapeId="0" xr:uid="{00000000-0006-0000-0E00-000017000000}">
      <text>
        <r>
          <rPr>
            <b/>
            <sz val="8"/>
            <color indexed="81"/>
            <rFont val="Tahoma"/>
            <family val="2"/>
          </rPr>
          <t>Define as reference</t>
        </r>
      </text>
    </comment>
    <comment ref="D105" authorId="0" shapeId="0" xr:uid="{00000000-0006-0000-0E00-000018000000}">
      <text>
        <r>
          <rPr>
            <b/>
            <sz val="8"/>
            <color indexed="81"/>
            <rFont val="Tahoma"/>
            <family val="2"/>
          </rPr>
          <t>From potential difference UQ0x/UQred E' +100mV</t>
        </r>
      </text>
    </comment>
  </commentList>
</comments>
</file>

<file path=xl/sharedStrings.xml><?xml version="1.0" encoding="utf-8"?>
<sst xmlns="http://schemas.openxmlformats.org/spreadsheetml/2006/main" count="2176" uniqueCount="834">
  <si>
    <t>Name
(aquous phase unless other specified)</t>
  </si>
  <si>
    <t>Struct.</t>
  </si>
  <si>
    <t>C</t>
  </si>
  <si>
    <t>H</t>
  </si>
  <si>
    <t>O</t>
  </si>
  <si>
    <t>N</t>
  </si>
  <si>
    <t>P</t>
  </si>
  <si>
    <t>Ad-</t>
  </si>
  <si>
    <t xml:space="preserve"> -S-CoA </t>
  </si>
  <si>
    <t>FAD</t>
  </si>
  <si>
    <t>Charge</t>
  </si>
  <si>
    <t>Mmol
(g/mol)</t>
  </si>
  <si>
    <t>Electrons per mole</t>
  </si>
  <si>
    <t>Glucose</t>
  </si>
  <si>
    <t>Glu</t>
  </si>
  <si>
    <t>Sucrose</t>
  </si>
  <si>
    <t>Sucr</t>
  </si>
  <si>
    <t>n-Butanol</t>
  </si>
  <si>
    <t>Butyric acid</t>
  </si>
  <si>
    <t>BuH</t>
  </si>
  <si>
    <t>Butyrate</t>
  </si>
  <si>
    <t>Bu-</t>
  </si>
  <si>
    <t>Acetoacetate</t>
  </si>
  <si>
    <t>AcAc-</t>
  </si>
  <si>
    <t>Succinic acid</t>
  </si>
  <si>
    <t>SucH</t>
  </si>
  <si>
    <t>Succinate</t>
  </si>
  <si>
    <r>
      <t>Succ</t>
    </r>
    <r>
      <rPr>
        <vertAlign val="superscript"/>
        <sz val="10"/>
        <rFont val="Arial"/>
        <family val="2"/>
      </rPr>
      <t>2-</t>
    </r>
  </si>
  <si>
    <t>Malate</t>
  </si>
  <si>
    <r>
      <t>Mal</t>
    </r>
    <r>
      <rPr>
        <vertAlign val="superscript"/>
        <sz val="10"/>
        <rFont val="Arial"/>
        <family val="2"/>
      </rPr>
      <t>2-</t>
    </r>
  </si>
  <si>
    <t>~&lt;1106.15</t>
  </si>
  <si>
    <t>Fumarate</t>
  </si>
  <si>
    <r>
      <t>Fum</t>
    </r>
    <r>
      <rPr>
        <vertAlign val="superscript"/>
        <sz val="10"/>
        <rFont val="Arial"/>
        <family val="2"/>
      </rPr>
      <t>2-</t>
    </r>
  </si>
  <si>
    <t>Oxaloacetate</t>
  </si>
  <si>
    <t>~&lt;985.15</t>
  </si>
  <si>
    <t>Glycerol</t>
  </si>
  <si>
    <t>Glyc</t>
  </si>
  <si>
    <t>Iso-Propanol</t>
  </si>
  <si>
    <t>Acetone</t>
  </si>
  <si>
    <t>Propionic acid</t>
  </si>
  <si>
    <t>ProH</t>
  </si>
  <si>
    <t>Propionate</t>
  </si>
  <si>
    <t>Pro-</t>
  </si>
  <si>
    <t>Lactic acid</t>
  </si>
  <si>
    <t>LacH</t>
  </si>
  <si>
    <t>Lactate</t>
  </si>
  <si>
    <t>Lac-</t>
  </si>
  <si>
    <t>Pyruvate</t>
  </si>
  <si>
    <t>Pyr-</t>
  </si>
  <si>
    <t>Ethanol</t>
  </si>
  <si>
    <t>EtOH</t>
  </si>
  <si>
    <t>Acetaldehyde</t>
  </si>
  <si>
    <t>Acetald</t>
  </si>
  <si>
    <t>Acetic acid</t>
  </si>
  <si>
    <t>AcH</t>
  </si>
  <si>
    <t>Acetate</t>
  </si>
  <si>
    <t>Ac-</t>
  </si>
  <si>
    <t>Methane (gas)</t>
  </si>
  <si>
    <t>CH4 (g)</t>
  </si>
  <si>
    <t>Methane</t>
  </si>
  <si>
    <t>CH4</t>
  </si>
  <si>
    <t>Biomass (NH4 source)</t>
  </si>
  <si>
    <t>X</t>
  </si>
  <si>
    <t>Formic acid</t>
  </si>
  <si>
    <t>Formate</t>
  </si>
  <si>
    <t>Bicarbonate</t>
  </si>
  <si>
    <t>HCO3-</t>
  </si>
  <si>
    <t>Carbon Dioxide (gas)</t>
  </si>
  <si>
    <t>CO2 (g)</t>
  </si>
  <si>
    <t>Carbon Dioxide</t>
  </si>
  <si>
    <t>Carbonic acid</t>
  </si>
  <si>
    <t>Carbonate</t>
  </si>
  <si>
    <t>Acetoacetyl CoA</t>
  </si>
  <si>
    <t>Succinyl CoA</t>
  </si>
  <si>
    <t>Succ-CoA</t>
  </si>
  <si>
    <t>Methylmalonyl CoA</t>
  </si>
  <si>
    <t>Propanoyl CoA</t>
  </si>
  <si>
    <t>Lactoyl CoA</t>
  </si>
  <si>
    <t>Acryloyl CoA</t>
  </si>
  <si>
    <t>Acetyl CoA</t>
  </si>
  <si>
    <t>Coenzyme A</t>
  </si>
  <si>
    <t>CoA-SH</t>
  </si>
  <si>
    <t>NADP+</t>
  </si>
  <si>
    <r>
      <t>NADP</t>
    </r>
    <r>
      <rPr>
        <vertAlign val="superscript"/>
        <sz val="10"/>
        <rFont val="Arial"/>
        <family val="2"/>
      </rPr>
      <t>+</t>
    </r>
  </si>
  <si>
    <t>NADPH</t>
  </si>
  <si>
    <t>NAD+</t>
  </si>
  <si>
    <r>
      <t>NAD</t>
    </r>
    <r>
      <rPr>
        <vertAlign val="superscript"/>
        <sz val="10"/>
        <rFont val="Arial"/>
        <family val="2"/>
      </rPr>
      <t>+</t>
    </r>
  </si>
  <si>
    <t>NADH</t>
  </si>
  <si>
    <t>FADH2</t>
  </si>
  <si>
    <t>Amonia (gas)</t>
  </si>
  <si>
    <t>Amonia</t>
  </si>
  <si>
    <t>NH3(aq)</t>
  </si>
  <si>
    <t>Amonium</t>
  </si>
  <si>
    <t>Nitrous acid</t>
  </si>
  <si>
    <t>HNO2(aq)</t>
  </si>
  <si>
    <t>HNO2</t>
  </si>
  <si>
    <t>Nitrite</t>
  </si>
  <si>
    <t>NO2-</t>
  </si>
  <si>
    <t>Nitric acid</t>
  </si>
  <si>
    <t>HNO3(aq)</t>
  </si>
  <si>
    <t>HNO3</t>
  </si>
  <si>
    <t>Nitrate</t>
  </si>
  <si>
    <t>NO3-</t>
  </si>
  <si>
    <t>Oxygen (gas)</t>
  </si>
  <si>
    <t>O2</t>
  </si>
  <si>
    <t>Oxygen</t>
  </si>
  <si>
    <t>Hydrogen (gas)</t>
  </si>
  <si>
    <t>H2</t>
  </si>
  <si>
    <t>Hydrogen</t>
  </si>
  <si>
    <t>Phosphate</t>
  </si>
  <si>
    <t>Pi</t>
  </si>
  <si>
    <t>Pyrophosphate</t>
  </si>
  <si>
    <t>AMP</t>
  </si>
  <si>
    <r>
      <t>Ad-1Pi</t>
    </r>
    <r>
      <rPr>
        <vertAlign val="superscript"/>
        <sz val="10"/>
        <rFont val="Arial"/>
        <family val="2"/>
      </rPr>
      <t>3-</t>
    </r>
  </si>
  <si>
    <t>ADP</t>
  </si>
  <si>
    <r>
      <t>Ad-2Pi</t>
    </r>
    <r>
      <rPr>
        <vertAlign val="superscript"/>
        <sz val="10"/>
        <rFont val="Arial"/>
        <family val="2"/>
      </rPr>
      <t>3-</t>
    </r>
  </si>
  <si>
    <t>ATP</t>
  </si>
  <si>
    <r>
      <t>Ad-3Pi</t>
    </r>
    <r>
      <rPr>
        <vertAlign val="superscript"/>
        <sz val="10"/>
        <rFont val="Arial"/>
        <family val="2"/>
      </rPr>
      <t>4-</t>
    </r>
  </si>
  <si>
    <t>Water</t>
  </si>
  <si>
    <t>H2O</t>
  </si>
  <si>
    <t>Hydroxyl</t>
  </si>
  <si>
    <t>OH-</t>
  </si>
  <si>
    <t>Proton</t>
  </si>
  <si>
    <t>H+</t>
  </si>
  <si>
    <r>
      <t>H</t>
    </r>
    <r>
      <rPr>
        <vertAlign val="superscript"/>
        <sz val="10"/>
        <rFont val="Arial"/>
        <family val="2"/>
      </rPr>
      <t>+</t>
    </r>
  </si>
  <si>
    <t>Electron</t>
  </si>
  <si>
    <t>e-</t>
  </si>
  <si>
    <r>
      <t>e</t>
    </r>
    <r>
      <rPr>
        <vertAlign val="superscript"/>
        <sz val="10"/>
        <rFont val="Arial"/>
        <family val="2"/>
      </rPr>
      <t>-</t>
    </r>
  </si>
  <si>
    <t>RefOxState</t>
  </si>
  <si>
    <t>Heijnen</t>
  </si>
  <si>
    <t>Hanselmann</t>
  </si>
  <si>
    <t>C-bal</t>
  </si>
  <si>
    <t>Copies of van Gulik</t>
  </si>
  <si>
    <t>H-bal</t>
  </si>
  <si>
    <t>Stephanopoulos</t>
  </si>
  <si>
    <t>O-bal</t>
  </si>
  <si>
    <t>Others</t>
  </si>
  <si>
    <t>N-bal</t>
  </si>
  <si>
    <t>Thauer</t>
  </si>
  <si>
    <t>P-bal</t>
  </si>
  <si>
    <t>Ad-bal</t>
  </si>
  <si>
    <t>CoA-bal</t>
  </si>
  <si>
    <t>Chrg-bal</t>
  </si>
  <si>
    <r>
      <t>C</t>
    </r>
    <r>
      <rPr>
        <vertAlign val="subscript"/>
        <sz val="10"/>
        <rFont val="Arial"/>
        <family val="2"/>
      </rPr>
      <t>6</t>
    </r>
    <r>
      <rPr>
        <sz val="10"/>
        <rFont val="Arial"/>
        <family val="2"/>
      </rPr>
      <t>H</t>
    </r>
    <r>
      <rPr>
        <vertAlign val="subscript"/>
        <sz val="10"/>
        <rFont val="Arial"/>
        <family val="2"/>
      </rPr>
      <t>12</t>
    </r>
    <r>
      <rPr>
        <sz val="10"/>
        <rFont val="Arial"/>
        <family val="2"/>
      </rPr>
      <t>O</t>
    </r>
    <r>
      <rPr>
        <vertAlign val="subscript"/>
        <sz val="10"/>
        <rFont val="Arial"/>
        <family val="2"/>
      </rPr>
      <t>6</t>
    </r>
  </si>
  <si>
    <r>
      <t>C</t>
    </r>
    <r>
      <rPr>
        <vertAlign val="subscript"/>
        <sz val="10"/>
        <rFont val="Arial"/>
        <family val="2"/>
      </rPr>
      <t>12</t>
    </r>
    <r>
      <rPr>
        <sz val="10"/>
        <rFont val="Arial"/>
        <family val="2"/>
      </rPr>
      <t>H</t>
    </r>
    <r>
      <rPr>
        <vertAlign val="subscript"/>
        <sz val="10"/>
        <rFont val="Arial"/>
        <family val="2"/>
      </rPr>
      <t>22</t>
    </r>
    <r>
      <rPr>
        <sz val="10"/>
        <rFont val="Arial"/>
        <family val="2"/>
      </rPr>
      <t>O</t>
    </r>
    <r>
      <rPr>
        <vertAlign val="subscript"/>
        <sz val="10"/>
        <rFont val="Arial"/>
        <family val="2"/>
      </rPr>
      <t>11</t>
    </r>
  </si>
  <si>
    <r>
      <t>C</t>
    </r>
    <r>
      <rPr>
        <vertAlign val="subscript"/>
        <sz val="10"/>
        <rFont val="Arial"/>
        <family val="2"/>
      </rPr>
      <t>4</t>
    </r>
    <r>
      <rPr>
        <sz val="10"/>
        <rFont val="Arial"/>
        <family val="2"/>
      </rPr>
      <t>H</t>
    </r>
    <r>
      <rPr>
        <vertAlign val="subscript"/>
        <sz val="10"/>
        <rFont val="Arial"/>
        <family val="2"/>
      </rPr>
      <t>10</t>
    </r>
    <r>
      <rPr>
        <sz val="10"/>
        <rFont val="Arial"/>
        <family val="2"/>
      </rPr>
      <t>O</t>
    </r>
  </si>
  <si>
    <r>
      <t>C</t>
    </r>
    <r>
      <rPr>
        <vertAlign val="subscript"/>
        <sz val="10"/>
        <rFont val="Arial"/>
        <family val="2"/>
      </rPr>
      <t>4</t>
    </r>
    <r>
      <rPr>
        <sz val="10"/>
        <rFont val="Arial"/>
        <family val="2"/>
      </rPr>
      <t>H</t>
    </r>
    <r>
      <rPr>
        <vertAlign val="subscript"/>
        <sz val="10"/>
        <rFont val="Arial"/>
        <family val="2"/>
      </rPr>
      <t>8</t>
    </r>
    <r>
      <rPr>
        <sz val="10"/>
        <rFont val="Arial"/>
        <family val="2"/>
      </rPr>
      <t>O</t>
    </r>
  </si>
  <si>
    <r>
      <t>C</t>
    </r>
    <r>
      <rPr>
        <vertAlign val="subscript"/>
        <sz val="10"/>
        <rFont val="Arial"/>
        <family val="2"/>
      </rPr>
      <t>4</t>
    </r>
    <r>
      <rPr>
        <sz val="10"/>
        <rFont val="Arial"/>
        <family val="2"/>
      </rPr>
      <t>H</t>
    </r>
    <r>
      <rPr>
        <vertAlign val="subscript"/>
        <sz val="10"/>
        <rFont val="Arial"/>
        <family val="2"/>
      </rPr>
      <t>8</t>
    </r>
    <r>
      <rPr>
        <sz val="10"/>
        <rFont val="Arial"/>
        <family val="2"/>
      </rPr>
      <t>O</t>
    </r>
    <r>
      <rPr>
        <vertAlign val="subscript"/>
        <sz val="10"/>
        <rFont val="Arial"/>
        <family val="2"/>
      </rPr>
      <t>2</t>
    </r>
  </si>
  <si>
    <r>
      <t>C</t>
    </r>
    <r>
      <rPr>
        <vertAlign val="subscript"/>
        <sz val="10"/>
        <rFont val="Arial"/>
        <family val="2"/>
      </rPr>
      <t>4</t>
    </r>
    <r>
      <rPr>
        <sz val="10"/>
        <rFont val="Arial"/>
        <family val="2"/>
      </rPr>
      <t>H</t>
    </r>
    <r>
      <rPr>
        <vertAlign val="subscript"/>
        <sz val="10"/>
        <rFont val="Arial"/>
        <family val="2"/>
      </rPr>
      <t>7</t>
    </r>
    <r>
      <rPr>
        <sz val="10"/>
        <rFont val="Arial"/>
        <family val="2"/>
      </rPr>
      <t>O</t>
    </r>
    <r>
      <rPr>
        <vertAlign val="subscript"/>
        <sz val="10"/>
        <rFont val="Arial"/>
        <family val="2"/>
      </rPr>
      <t>2</t>
    </r>
    <r>
      <rPr>
        <vertAlign val="superscript"/>
        <sz val="10"/>
        <rFont val="Arial"/>
        <family val="2"/>
      </rPr>
      <t>-</t>
    </r>
  </si>
  <si>
    <r>
      <t>C</t>
    </r>
    <r>
      <rPr>
        <vertAlign val="subscript"/>
        <sz val="10"/>
        <rFont val="Arial"/>
        <family val="2"/>
      </rPr>
      <t>4</t>
    </r>
    <r>
      <rPr>
        <sz val="10"/>
        <rFont val="Arial"/>
        <family val="2"/>
      </rPr>
      <t>H</t>
    </r>
    <r>
      <rPr>
        <vertAlign val="subscript"/>
        <sz val="10"/>
        <rFont val="Arial"/>
        <family val="2"/>
      </rPr>
      <t>5</t>
    </r>
    <r>
      <rPr>
        <sz val="10"/>
        <rFont val="Arial"/>
        <family val="2"/>
      </rPr>
      <t>O</t>
    </r>
    <r>
      <rPr>
        <vertAlign val="subscript"/>
        <sz val="10"/>
        <rFont val="Arial"/>
        <family val="2"/>
      </rPr>
      <t>3</t>
    </r>
    <r>
      <rPr>
        <vertAlign val="superscript"/>
        <sz val="10"/>
        <rFont val="Arial"/>
        <family val="2"/>
      </rPr>
      <t>-</t>
    </r>
  </si>
  <si>
    <r>
      <t>C</t>
    </r>
    <r>
      <rPr>
        <vertAlign val="subscript"/>
        <sz val="10"/>
        <rFont val="Arial"/>
        <family val="2"/>
      </rPr>
      <t>4</t>
    </r>
    <r>
      <rPr>
        <sz val="10"/>
        <rFont val="Arial"/>
        <family val="2"/>
      </rPr>
      <t>H</t>
    </r>
    <r>
      <rPr>
        <vertAlign val="subscript"/>
        <sz val="10"/>
        <rFont val="Arial"/>
        <family val="2"/>
      </rPr>
      <t>6</t>
    </r>
    <r>
      <rPr>
        <sz val="10"/>
        <rFont val="Arial"/>
        <family val="2"/>
      </rPr>
      <t>O</t>
    </r>
    <r>
      <rPr>
        <vertAlign val="subscript"/>
        <sz val="10"/>
        <rFont val="Arial"/>
        <family val="2"/>
      </rPr>
      <t>4</t>
    </r>
  </si>
  <si>
    <r>
      <t>C</t>
    </r>
    <r>
      <rPr>
        <vertAlign val="subscript"/>
        <sz val="10"/>
        <rFont val="Arial"/>
        <family val="2"/>
      </rPr>
      <t>4</t>
    </r>
    <r>
      <rPr>
        <sz val="10"/>
        <rFont val="Arial"/>
        <family val="2"/>
      </rPr>
      <t>H</t>
    </r>
    <r>
      <rPr>
        <vertAlign val="subscript"/>
        <sz val="10"/>
        <rFont val="Arial"/>
        <family val="2"/>
      </rPr>
      <t>4</t>
    </r>
    <r>
      <rPr>
        <sz val="10"/>
        <rFont val="Arial"/>
        <family val="2"/>
      </rPr>
      <t>O</t>
    </r>
    <r>
      <rPr>
        <vertAlign val="subscript"/>
        <sz val="10"/>
        <rFont val="Arial"/>
        <family val="2"/>
      </rPr>
      <t>4</t>
    </r>
    <r>
      <rPr>
        <vertAlign val="superscript"/>
        <sz val="10"/>
        <rFont val="Arial"/>
        <family val="2"/>
      </rPr>
      <t>2-</t>
    </r>
  </si>
  <si>
    <r>
      <t>C</t>
    </r>
    <r>
      <rPr>
        <vertAlign val="subscript"/>
        <sz val="10"/>
        <rFont val="Arial"/>
        <family val="2"/>
      </rPr>
      <t>4</t>
    </r>
    <r>
      <rPr>
        <sz val="10"/>
        <rFont val="Arial"/>
        <family val="2"/>
      </rPr>
      <t>H</t>
    </r>
    <r>
      <rPr>
        <vertAlign val="subscript"/>
        <sz val="10"/>
        <rFont val="Arial"/>
        <family val="2"/>
      </rPr>
      <t>4</t>
    </r>
    <r>
      <rPr>
        <sz val="10"/>
        <rFont val="Arial"/>
        <family val="2"/>
      </rPr>
      <t>O</t>
    </r>
    <r>
      <rPr>
        <vertAlign val="subscript"/>
        <sz val="10"/>
        <rFont val="Arial"/>
        <family val="2"/>
      </rPr>
      <t>5</t>
    </r>
    <r>
      <rPr>
        <vertAlign val="superscript"/>
        <sz val="10"/>
        <rFont val="Arial"/>
        <family val="2"/>
      </rPr>
      <t>2-</t>
    </r>
  </si>
  <si>
    <r>
      <t>C</t>
    </r>
    <r>
      <rPr>
        <vertAlign val="subscript"/>
        <sz val="10"/>
        <rFont val="Arial"/>
        <family val="2"/>
      </rPr>
      <t>4</t>
    </r>
    <r>
      <rPr>
        <sz val="10"/>
        <rFont val="Arial"/>
        <family val="2"/>
      </rPr>
      <t>H</t>
    </r>
    <r>
      <rPr>
        <vertAlign val="subscript"/>
        <sz val="10"/>
        <rFont val="Arial"/>
        <family val="2"/>
      </rPr>
      <t>2</t>
    </r>
    <r>
      <rPr>
        <sz val="10"/>
        <rFont val="Arial"/>
        <family val="2"/>
      </rPr>
      <t>O</t>
    </r>
    <r>
      <rPr>
        <vertAlign val="subscript"/>
        <sz val="10"/>
        <rFont val="Arial"/>
        <family val="2"/>
      </rPr>
      <t>4</t>
    </r>
    <r>
      <rPr>
        <vertAlign val="superscript"/>
        <sz val="10"/>
        <rFont val="Arial"/>
        <family val="2"/>
      </rPr>
      <t>2-</t>
    </r>
  </si>
  <si>
    <r>
      <t>C</t>
    </r>
    <r>
      <rPr>
        <vertAlign val="subscript"/>
        <sz val="10"/>
        <rFont val="Arial"/>
        <family val="2"/>
      </rPr>
      <t>4</t>
    </r>
    <r>
      <rPr>
        <sz val="10"/>
        <rFont val="Arial"/>
        <family val="2"/>
      </rPr>
      <t>H</t>
    </r>
    <r>
      <rPr>
        <vertAlign val="subscript"/>
        <sz val="10"/>
        <rFont val="Arial"/>
        <family val="2"/>
      </rPr>
      <t>2</t>
    </r>
    <r>
      <rPr>
        <sz val="10"/>
        <rFont val="Arial"/>
        <family val="2"/>
      </rPr>
      <t>O</t>
    </r>
    <r>
      <rPr>
        <vertAlign val="subscript"/>
        <sz val="10"/>
        <rFont val="Arial"/>
        <family val="2"/>
      </rPr>
      <t>5</t>
    </r>
    <r>
      <rPr>
        <vertAlign val="superscript"/>
        <sz val="10"/>
        <rFont val="Arial"/>
        <family val="2"/>
      </rPr>
      <t>2-</t>
    </r>
  </si>
  <si>
    <r>
      <t>C</t>
    </r>
    <r>
      <rPr>
        <vertAlign val="subscript"/>
        <sz val="10"/>
        <rFont val="Arial"/>
        <family val="2"/>
      </rPr>
      <t>3</t>
    </r>
    <r>
      <rPr>
        <sz val="10"/>
        <rFont val="Arial"/>
        <family val="2"/>
      </rPr>
      <t>H</t>
    </r>
    <r>
      <rPr>
        <vertAlign val="subscript"/>
        <sz val="10"/>
        <rFont val="Arial"/>
        <family val="2"/>
      </rPr>
      <t>8</t>
    </r>
    <r>
      <rPr>
        <sz val="10"/>
        <rFont val="Arial"/>
        <family val="2"/>
      </rPr>
      <t>O</t>
    </r>
    <r>
      <rPr>
        <vertAlign val="subscript"/>
        <sz val="10"/>
        <rFont val="Arial"/>
        <family val="2"/>
      </rPr>
      <t>3</t>
    </r>
  </si>
  <si>
    <r>
      <t>C</t>
    </r>
    <r>
      <rPr>
        <vertAlign val="subscript"/>
        <sz val="10"/>
        <rFont val="Arial"/>
        <family val="2"/>
      </rPr>
      <t>3</t>
    </r>
    <r>
      <rPr>
        <sz val="10"/>
        <rFont val="Arial"/>
        <family val="2"/>
      </rPr>
      <t>H</t>
    </r>
    <r>
      <rPr>
        <vertAlign val="subscript"/>
        <sz val="10"/>
        <rFont val="Arial"/>
        <family val="2"/>
      </rPr>
      <t>8</t>
    </r>
    <r>
      <rPr>
        <sz val="10"/>
        <rFont val="Arial"/>
        <family val="2"/>
      </rPr>
      <t>O</t>
    </r>
  </si>
  <si>
    <r>
      <t>C</t>
    </r>
    <r>
      <rPr>
        <vertAlign val="subscript"/>
        <sz val="10"/>
        <rFont val="Arial"/>
        <family val="2"/>
      </rPr>
      <t>3</t>
    </r>
    <r>
      <rPr>
        <sz val="10"/>
        <rFont val="Arial"/>
        <family val="2"/>
      </rPr>
      <t>H</t>
    </r>
    <r>
      <rPr>
        <vertAlign val="subscript"/>
        <sz val="10"/>
        <rFont val="Arial"/>
        <family val="2"/>
      </rPr>
      <t>6</t>
    </r>
    <r>
      <rPr>
        <sz val="10"/>
        <rFont val="Arial"/>
        <family val="2"/>
      </rPr>
      <t>O</t>
    </r>
  </si>
  <si>
    <r>
      <t>C</t>
    </r>
    <r>
      <rPr>
        <vertAlign val="subscript"/>
        <sz val="10"/>
        <rFont val="Arial"/>
        <family val="2"/>
      </rPr>
      <t>3</t>
    </r>
    <r>
      <rPr>
        <sz val="10"/>
        <rFont val="Arial"/>
        <family val="2"/>
      </rPr>
      <t>H</t>
    </r>
    <r>
      <rPr>
        <vertAlign val="subscript"/>
        <sz val="10"/>
        <rFont val="Arial"/>
        <family val="2"/>
      </rPr>
      <t>6</t>
    </r>
    <r>
      <rPr>
        <sz val="10"/>
        <rFont val="Arial"/>
        <family val="2"/>
      </rPr>
      <t>O</t>
    </r>
    <r>
      <rPr>
        <vertAlign val="subscript"/>
        <sz val="10"/>
        <rFont val="Arial"/>
        <family val="2"/>
      </rPr>
      <t>2</t>
    </r>
  </si>
  <si>
    <r>
      <t>C</t>
    </r>
    <r>
      <rPr>
        <vertAlign val="subscript"/>
        <sz val="10"/>
        <rFont val="Arial"/>
        <family val="2"/>
      </rPr>
      <t>3</t>
    </r>
    <r>
      <rPr>
        <sz val="10"/>
        <rFont val="Arial"/>
        <family val="2"/>
      </rPr>
      <t>H</t>
    </r>
    <r>
      <rPr>
        <vertAlign val="subscript"/>
        <sz val="10"/>
        <rFont val="Arial"/>
        <family val="2"/>
      </rPr>
      <t>5</t>
    </r>
    <r>
      <rPr>
        <sz val="10"/>
        <rFont val="Arial"/>
        <family val="2"/>
      </rPr>
      <t>O</t>
    </r>
    <r>
      <rPr>
        <vertAlign val="subscript"/>
        <sz val="10"/>
        <rFont val="Arial"/>
        <family val="2"/>
      </rPr>
      <t>2</t>
    </r>
    <r>
      <rPr>
        <vertAlign val="superscript"/>
        <sz val="10"/>
        <rFont val="Arial"/>
        <family val="2"/>
      </rPr>
      <t>-</t>
    </r>
  </si>
  <si>
    <r>
      <t>C</t>
    </r>
    <r>
      <rPr>
        <vertAlign val="subscript"/>
        <sz val="10"/>
        <rFont val="Arial"/>
        <family val="2"/>
      </rPr>
      <t>3</t>
    </r>
    <r>
      <rPr>
        <sz val="10"/>
        <rFont val="Arial"/>
        <family val="2"/>
      </rPr>
      <t>H</t>
    </r>
    <r>
      <rPr>
        <vertAlign val="subscript"/>
        <sz val="10"/>
        <rFont val="Arial"/>
        <family val="2"/>
      </rPr>
      <t>6</t>
    </r>
    <r>
      <rPr>
        <sz val="10"/>
        <rFont val="Arial"/>
        <family val="2"/>
      </rPr>
      <t>O</t>
    </r>
    <r>
      <rPr>
        <vertAlign val="subscript"/>
        <sz val="10"/>
        <rFont val="Arial"/>
        <family val="2"/>
      </rPr>
      <t>3</t>
    </r>
  </si>
  <si>
    <r>
      <t>C</t>
    </r>
    <r>
      <rPr>
        <vertAlign val="subscript"/>
        <sz val="10"/>
        <rFont val="Arial"/>
        <family val="2"/>
      </rPr>
      <t>3</t>
    </r>
    <r>
      <rPr>
        <sz val="10"/>
        <rFont val="Arial"/>
        <family val="2"/>
      </rPr>
      <t>H</t>
    </r>
    <r>
      <rPr>
        <vertAlign val="subscript"/>
        <sz val="10"/>
        <rFont val="Arial"/>
        <family val="2"/>
      </rPr>
      <t>5</t>
    </r>
    <r>
      <rPr>
        <sz val="10"/>
        <rFont val="Arial"/>
        <family val="2"/>
      </rPr>
      <t>O</t>
    </r>
    <r>
      <rPr>
        <vertAlign val="subscript"/>
        <sz val="10"/>
        <rFont val="Arial"/>
        <family val="2"/>
      </rPr>
      <t>3</t>
    </r>
    <r>
      <rPr>
        <vertAlign val="superscript"/>
        <sz val="10"/>
        <rFont val="Arial"/>
        <family val="2"/>
      </rPr>
      <t>-</t>
    </r>
  </si>
  <si>
    <r>
      <t>C</t>
    </r>
    <r>
      <rPr>
        <vertAlign val="subscript"/>
        <sz val="10"/>
        <rFont val="Arial"/>
        <family val="2"/>
      </rPr>
      <t>3</t>
    </r>
    <r>
      <rPr>
        <sz val="10"/>
        <rFont val="Arial"/>
        <family val="2"/>
      </rPr>
      <t>H</t>
    </r>
    <r>
      <rPr>
        <vertAlign val="subscript"/>
        <sz val="10"/>
        <rFont val="Arial"/>
        <family val="2"/>
      </rPr>
      <t>3</t>
    </r>
    <r>
      <rPr>
        <sz val="10"/>
        <rFont val="Arial"/>
        <family val="2"/>
      </rPr>
      <t>O</t>
    </r>
    <r>
      <rPr>
        <vertAlign val="subscript"/>
        <sz val="10"/>
        <rFont val="Arial"/>
        <family val="2"/>
      </rPr>
      <t>3</t>
    </r>
    <r>
      <rPr>
        <vertAlign val="superscript"/>
        <sz val="10"/>
        <rFont val="Arial"/>
        <family val="2"/>
      </rPr>
      <t>-</t>
    </r>
  </si>
  <si>
    <r>
      <t>C</t>
    </r>
    <r>
      <rPr>
        <vertAlign val="subscript"/>
        <sz val="10"/>
        <rFont val="Arial"/>
        <family val="2"/>
      </rPr>
      <t>2</t>
    </r>
    <r>
      <rPr>
        <sz val="10"/>
        <rFont val="Arial"/>
        <family val="2"/>
      </rPr>
      <t>H</t>
    </r>
    <r>
      <rPr>
        <vertAlign val="subscript"/>
        <sz val="10"/>
        <rFont val="Arial"/>
        <family val="2"/>
      </rPr>
      <t>6</t>
    </r>
    <r>
      <rPr>
        <sz val="10"/>
        <rFont val="Arial"/>
        <family val="2"/>
      </rPr>
      <t>O</t>
    </r>
  </si>
  <si>
    <r>
      <t>C</t>
    </r>
    <r>
      <rPr>
        <vertAlign val="subscript"/>
        <sz val="10"/>
        <rFont val="Arial"/>
        <family val="2"/>
      </rPr>
      <t>2</t>
    </r>
    <r>
      <rPr>
        <sz val="10"/>
        <rFont val="Arial"/>
        <family val="2"/>
      </rPr>
      <t>H</t>
    </r>
    <r>
      <rPr>
        <vertAlign val="subscript"/>
        <sz val="10"/>
        <rFont val="Arial"/>
        <family val="2"/>
      </rPr>
      <t>4</t>
    </r>
    <r>
      <rPr>
        <sz val="10"/>
        <rFont val="Arial"/>
        <family val="2"/>
      </rPr>
      <t>O</t>
    </r>
  </si>
  <si>
    <r>
      <t>C</t>
    </r>
    <r>
      <rPr>
        <vertAlign val="subscript"/>
        <sz val="10"/>
        <rFont val="Arial"/>
        <family val="2"/>
      </rPr>
      <t>2</t>
    </r>
    <r>
      <rPr>
        <sz val="10"/>
        <rFont val="Arial"/>
        <family val="2"/>
      </rPr>
      <t>H</t>
    </r>
    <r>
      <rPr>
        <vertAlign val="subscript"/>
        <sz val="10"/>
        <rFont val="Arial"/>
        <family val="2"/>
      </rPr>
      <t>4</t>
    </r>
    <r>
      <rPr>
        <sz val="10"/>
        <rFont val="Arial"/>
        <family val="2"/>
      </rPr>
      <t>O</t>
    </r>
    <r>
      <rPr>
        <vertAlign val="subscript"/>
        <sz val="10"/>
        <rFont val="Arial"/>
        <family val="2"/>
      </rPr>
      <t>2</t>
    </r>
  </si>
  <si>
    <r>
      <t>C</t>
    </r>
    <r>
      <rPr>
        <vertAlign val="subscript"/>
        <sz val="10"/>
        <rFont val="Arial"/>
        <family val="2"/>
      </rPr>
      <t>2</t>
    </r>
    <r>
      <rPr>
        <sz val="10"/>
        <rFont val="Arial"/>
        <family val="2"/>
      </rPr>
      <t>H</t>
    </r>
    <r>
      <rPr>
        <vertAlign val="subscript"/>
        <sz val="10"/>
        <rFont val="Arial"/>
        <family val="2"/>
      </rPr>
      <t>3</t>
    </r>
    <r>
      <rPr>
        <sz val="10"/>
        <rFont val="Arial"/>
        <family val="2"/>
      </rPr>
      <t>O</t>
    </r>
    <r>
      <rPr>
        <vertAlign val="subscript"/>
        <sz val="10"/>
        <rFont val="Arial"/>
        <family val="2"/>
      </rPr>
      <t>2</t>
    </r>
    <r>
      <rPr>
        <vertAlign val="superscript"/>
        <sz val="10"/>
        <rFont val="Arial"/>
        <family val="2"/>
      </rPr>
      <t>-</t>
    </r>
  </si>
  <si>
    <r>
      <t>CH</t>
    </r>
    <r>
      <rPr>
        <vertAlign val="subscript"/>
        <sz val="10"/>
        <rFont val="Arial"/>
        <family val="2"/>
      </rPr>
      <t>4</t>
    </r>
  </si>
  <si>
    <r>
      <t>CH</t>
    </r>
    <r>
      <rPr>
        <vertAlign val="subscript"/>
        <sz val="10"/>
        <rFont val="Arial"/>
        <family val="2"/>
      </rPr>
      <t>1.8</t>
    </r>
    <r>
      <rPr>
        <sz val="10"/>
        <rFont val="Arial"/>
        <family val="2"/>
      </rPr>
      <t>O</t>
    </r>
    <r>
      <rPr>
        <vertAlign val="subscript"/>
        <sz val="10"/>
        <rFont val="Arial"/>
        <family val="2"/>
      </rPr>
      <t>0.5</t>
    </r>
    <r>
      <rPr>
        <sz val="10"/>
        <rFont val="Arial"/>
        <family val="2"/>
      </rPr>
      <t>N</t>
    </r>
    <r>
      <rPr>
        <vertAlign val="subscript"/>
        <sz val="10"/>
        <rFont val="Arial"/>
        <family val="2"/>
      </rPr>
      <t>0.2</t>
    </r>
  </si>
  <si>
    <r>
      <t>H</t>
    </r>
    <r>
      <rPr>
        <vertAlign val="subscript"/>
        <sz val="10"/>
        <rFont val="Arial"/>
        <family val="2"/>
      </rPr>
      <t>2</t>
    </r>
    <r>
      <rPr>
        <sz val="10"/>
        <rFont val="Arial"/>
        <family val="2"/>
      </rPr>
      <t>CO</t>
    </r>
    <r>
      <rPr>
        <vertAlign val="subscript"/>
        <sz val="10"/>
        <rFont val="Arial"/>
        <family val="2"/>
      </rPr>
      <t>2</t>
    </r>
  </si>
  <si>
    <r>
      <t>CHO</t>
    </r>
    <r>
      <rPr>
        <vertAlign val="subscript"/>
        <sz val="10"/>
        <rFont val="Arial"/>
        <family val="2"/>
      </rPr>
      <t>2</t>
    </r>
    <r>
      <rPr>
        <vertAlign val="superscript"/>
        <sz val="10"/>
        <rFont val="Arial"/>
        <family val="2"/>
      </rPr>
      <t>-</t>
    </r>
  </si>
  <si>
    <r>
      <t>HCO</t>
    </r>
    <r>
      <rPr>
        <vertAlign val="subscript"/>
        <sz val="10"/>
        <rFont val="Arial"/>
        <family val="2"/>
      </rPr>
      <t>3</t>
    </r>
    <r>
      <rPr>
        <vertAlign val="superscript"/>
        <sz val="10"/>
        <rFont val="Arial"/>
        <family val="2"/>
      </rPr>
      <t>-</t>
    </r>
  </si>
  <si>
    <r>
      <t>CO</t>
    </r>
    <r>
      <rPr>
        <vertAlign val="subscript"/>
        <sz val="10"/>
        <rFont val="Arial"/>
        <family val="2"/>
      </rPr>
      <t>2</t>
    </r>
  </si>
  <si>
    <r>
      <t>C</t>
    </r>
    <r>
      <rPr>
        <vertAlign val="subscript"/>
        <sz val="10"/>
        <rFont val="Arial"/>
        <family val="2"/>
      </rPr>
      <t>4</t>
    </r>
    <r>
      <rPr>
        <sz val="10"/>
        <rFont val="Arial"/>
        <family val="2"/>
      </rPr>
      <t>H</t>
    </r>
    <r>
      <rPr>
        <vertAlign val="subscript"/>
        <sz val="10"/>
        <rFont val="Arial"/>
        <family val="2"/>
      </rPr>
      <t>7</t>
    </r>
    <r>
      <rPr>
        <sz val="10"/>
        <rFont val="Arial"/>
        <family val="2"/>
      </rPr>
      <t>O</t>
    </r>
    <r>
      <rPr>
        <sz val="10"/>
        <rFont val="Arial"/>
        <family val="2"/>
      </rPr>
      <t>-CoA</t>
    </r>
  </si>
  <si>
    <r>
      <t>C</t>
    </r>
    <r>
      <rPr>
        <vertAlign val="subscript"/>
        <sz val="10"/>
        <rFont val="Arial"/>
        <family val="2"/>
      </rPr>
      <t>4</t>
    </r>
    <r>
      <rPr>
        <sz val="10"/>
        <rFont val="Arial"/>
        <family val="2"/>
      </rPr>
      <t>H</t>
    </r>
    <r>
      <rPr>
        <vertAlign val="subscript"/>
        <sz val="10"/>
        <rFont val="Arial"/>
        <family val="2"/>
      </rPr>
      <t>7</t>
    </r>
    <r>
      <rPr>
        <sz val="10"/>
        <rFont val="Arial"/>
        <family val="2"/>
      </rPr>
      <t>O</t>
    </r>
    <r>
      <rPr>
        <vertAlign val="subscript"/>
        <sz val="10"/>
        <rFont val="Arial"/>
        <family val="2"/>
      </rPr>
      <t>2</t>
    </r>
    <r>
      <rPr>
        <sz val="10"/>
        <rFont val="Arial"/>
        <family val="2"/>
      </rPr>
      <t>-CoA</t>
    </r>
  </si>
  <si>
    <r>
      <t>C</t>
    </r>
    <r>
      <rPr>
        <vertAlign val="subscript"/>
        <sz val="10"/>
        <rFont val="Arial"/>
        <family val="2"/>
      </rPr>
      <t>4</t>
    </r>
    <r>
      <rPr>
        <sz val="10"/>
        <rFont val="Arial"/>
        <family val="2"/>
      </rPr>
      <t>H</t>
    </r>
    <r>
      <rPr>
        <vertAlign val="subscript"/>
        <sz val="10"/>
        <rFont val="Arial"/>
        <family val="2"/>
      </rPr>
      <t>5</t>
    </r>
    <r>
      <rPr>
        <sz val="10"/>
        <rFont val="Arial"/>
        <family val="2"/>
      </rPr>
      <t>O</t>
    </r>
    <r>
      <rPr>
        <sz val="10"/>
        <rFont val="Arial"/>
        <family val="2"/>
      </rPr>
      <t>-CoA</t>
    </r>
  </si>
  <si>
    <r>
      <t>C</t>
    </r>
    <r>
      <rPr>
        <vertAlign val="subscript"/>
        <sz val="10"/>
        <rFont val="Arial"/>
        <family val="2"/>
      </rPr>
      <t>4</t>
    </r>
    <r>
      <rPr>
        <sz val="10"/>
        <rFont val="Arial"/>
        <family val="2"/>
      </rPr>
      <t>H</t>
    </r>
    <r>
      <rPr>
        <vertAlign val="subscript"/>
        <sz val="10"/>
        <rFont val="Arial"/>
        <family val="2"/>
      </rPr>
      <t>5</t>
    </r>
    <r>
      <rPr>
        <sz val="10"/>
        <rFont val="Arial"/>
        <family val="2"/>
      </rPr>
      <t>O</t>
    </r>
    <r>
      <rPr>
        <vertAlign val="subscript"/>
        <sz val="10"/>
        <rFont val="Arial"/>
        <family val="2"/>
      </rPr>
      <t>2</t>
    </r>
    <r>
      <rPr>
        <sz val="10"/>
        <rFont val="Arial"/>
        <family val="2"/>
      </rPr>
      <t>-CoA</t>
    </r>
  </si>
  <si>
    <r>
      <t>C</t>
    </r>
    <r>
      <rPr>
        <vertAlign val="subscript"/>
        <sz val="10"/>
        <rFont val="Arial"/>
        <family val="2"/>
      </rPr>
      <t>4</t>
    </r>
    <r>
      <rPr>
        <sz val="10"/>
        <rFont val="Arial"/>
        <family val="2"/>
      </rPr>
      <t>H</t>
    </r>
    <r>
      <rPr>
        <vertAlign val="subscript"/>
        <sz val="10"/>
        <rFont val="Arial"/>
        <family val="2"/>
      </rPr>
      <t>5</t>
    </r>
    <r>
      <rPr>
        <sz val="10"/>
        <rFont val="Arial"/>
        <family val="2"/>
      </rPr>
      <t>O</t>
    </r>
    <r>
      <rPr>
        <vertAlign val="subscript"/>
        <sz val="10"/>
        <rFont val="Arial"/>
        <family val="2"/>
      </rPr>
      <t>3</t>
    </r>
    <r>
      <rPr>
        <sz val="10"/>
        <rFont val="Arial"/>
        <family val="2"/>
      </rPr>
      <t>-CoA</t>
    </r>
  </si>
  <si>
    <r>
      <t>C</t>
    </r>
    <r>
      <rPr>
        <vertAlign val="subscript"/>
        <sz val="10"/>
        <rFont val="Arial"/>
        <family val="2"/>
      </rPr>
      <t>3</t>
    </r>
    <r>
      <rPr>
        <sz val="10"/>
        <rFont val="Arial"/>
        <family val="2"/>
      </rPr>
      <t>H</t>
    </r>
    <r>
      <rPr>
        <vertAlign val="subscript"/>
        <sz val="10"/>
        <rFont val="Arial"/>
        <family val="2"/>
      </rPr>
      <t>5</t>
    </r>
    <r>
      <rPr>
        <sz val="10"/>
        <rFont val="Arial"/>
        <family val="2"/>
      </rPr>
      <t>O-CoA</t>
    </r>
  </si>
  <si>
    <r>
      <t>C</t>
    </r>
    <r>
      <rPr>
        <vertAlign val="subscript"/>
        <sz val="10"/>
        <rFont val="Arial"/>
        <family val="2"/>
      </rPr>
      <t>3</t>
    </r>
    <r>
      <rPr>
        <sz val="10"/>
        <rFont val="Arial"/>
        <family val="2"/>
      </rPr>
      <t>H</t>
    </r>
    <r>
      <rPr>
        <vertAlign val="subscript"/>
        <sz val="10"/>
        <rFont val="Arial"/>
        <family val="2"/>
      </rPr>
      <t>5</t>
    </r>
    <r>
      <rPr>
        <sz val="10"/>
        <rFont val="Arial"/>
        <family val="2"/>
      </rPr>
      <t>O</t>
    </r>
    <r>
      <rPr>
        <vertAlign val="subscript"/>
        <sz val="10"/>
        <rFont val="Arial"/>
        <family val="2"/>
      </rPr>
      <t>2</t>
    </r>
    <r>
      <rPr>
        <sz val="10"/>
        <rFont val="Arial"/>
        <family val="2"/>
      </rPr>
      <t>-CoA</t>
    </r>
  </si>
  <si>
    <r>
      <t>C</t>
    </r>
    <r>
      <rPr>
        <vertAlign val="subscript"/>
        <sz val="10"/>
        <rFont val="Arial"/>
        <family val="2"/>
      </rPr>
      <t>3</t>
    </r>
    <r>
      <rPr>
        <sz val="10"/>
        <rFont val="Arial"/>
        <family val="2"/>
      </rPr>
      <t>H</t>
    </r>
    <r>
      <rPr>
        <vertAlign val="subscript"/>
        <sz val="10"/>
        <rFont val="Arial"/>
        <family val="2"/>
      </rPr>
      <t>3</t>
    </r>
    <r>
      <rPr>
        <sz val="10"/>
        <rFont val="Arial"/>
        <family val="2"/>
      </rPr>
      <t>O</t>
    </r>
    <r>
      <rPr>
        <sz val="10"/>
        <rFont val="Arial"/>
        <family val="2"/>
      </rPr>
      <t>-CoA</t>
    </r>
  </si>
  <si>
    <r>
      <t>C</t>
    </r>
    <r>
      <rPr>
        <vertAlign val="subscript"/>
        <sz val="10"/>
        <rFont val="Arial"/>
        <family val="2"/>
      </rPr>
      <t>2</t>
    </r>
    <r>
      <rPr>
        <sz val="10"/>
        <rFont val="Arial"/>
        <family val="2"/>
      </rPr>
      <t>H</t>
    </r>
    <r>
      <rPr>
        <vertAlign val="subscript"/>
        <sz val="10"/>
        <rFont val="Arial"/>
        <family val="2"/>
      </rPr>
      <t>3</t>
    </r>
    <r>
      <rPr>
        <sz val="10"/>
        <rFont val="Arial"/>
        <family val="2"/>
      </rPr>
      <t>O-CoA</t>
    </r>
  </si>
  <si>
    <r>
      <t>FADH</t>
    </r>
    <r>
      <rPr>
        <vertAlign val="subscript"/>
        <sz val="10"/>
        <rFont val="Arial"/>
        <family val="2"/>
      </rPr>
      <t>2</t>
    </r>
  </si>
  <si>
    <r>
      <t>NH</t>
    </r>
    <r>
      <rPr>
        <vertAlign val="subscript"/>
        <sz val="10"/>
        <rFont val="Arial"/>
        <family val="2"/>
      </rPr>
      <t>3</t>
    </r>
  </si>
  <si>
    <r>
      <t>NH</t>
    </r>
    <r>
      <rPr>
        <vertAlign val="subscript"/>
        <sz val="10"/>
        <rFont val="Arial"/>
        <family val="2"/>
      </rPr>
      <t>4</t>
    </r>
    <r>
      <rPr>
        <vertAlign val="superscript"/>
        <sz val="10"/>
        <rFont val="Arial"/>
        <family val="2"/>
      </rPr>
      <t>+</t>
    </r>
  </si>
  <si>
    <r>
      <t>H</t>
    </r>
    <r>
      <rPr>
        <vertAlign val="subscript"/>
        <sz val="10"/>
        <rFont val="Arial"/>
        <family val="2"/>
      </rPr>
      <t>2</t>
    </r>
  </si>
  <si>
    <r>
      <t>HPO</t>
    </r>
    <r>
      <rPr>
        <vertAlign val="subscript"/>
        <sz val="10"/>
        <rFont val="Arial"/>
        <family val="2"/>
      </rPr>
      <t>4</t>
    </r>
    <r>
      <rPr>
        <vertAlign val="superscript"/>
        <sz val="10"/>
        <rFont val="Arial"/>
        <family val="2"/>
      </rPr>
      <t>2-</t>
    </r>
  </si>
  <si>
    <r>
      <t>H</t>
    </r>
    <r>
      <rPr>
        <vertAlign val="subscript"/>
        <sz val="10"/>
        <rFont val="Arial"/>
        <family val="2"/>
      </rPr>
      <t>2</t>
    </r>
    <r>
      <rPr>
        <sz val="10"/>
        <rFont val="Arial"/>
        <family val="2"/>
      </rPr>
      <t>O</t>
    </r>
  </si>
  <si>
    <t>Anabolism</t>
  </si>
  <si>
    <t>NA</t>
  </si>
  <si>
    <t>Electrons
per C-mole/
or per mole</t>
  </si>
  <si>
    <t>M Atom</t>
  </si>
  <si>
    <t>Na+</t>
  </si>
  <si>
    <t>K+</t>
  </si>
  <si>
    <t>Met</t>
  </si>
  <si>
    <t>Sodium Ion</t>
  </si>
  <si>
    <t>Potasium Ion</t>
  </si>
  <si>
    <t>Met-bal</t>
  </si>
  <si>
    <r>
      <t>m</t>
    </r>
    <r>
      <rPr>
        <b/>
        <vertAlign val="subscript"/>
        <sz val="10"/>
        <rFont val="Arial"/>
        <family val="2"/>
      </rPr>
      <t>i</t>
    </r>
    <r>
      <rPr>
        <b/>
        <sz val="10"/>
        <rFont val="Arial"/>
        <family val="2"/>
      </rPr>
      <t xml:space="preserve">
(kJ/mol)</t>
    </r>
  </si>
  <si>
    <r>
      <t>E</t>
    </r>
    <r>
      <rPr>
        <b/>
        <vertAlign val="subscript"/>
        <sz val="10"/>
        <rFont val="Arial"/>
        <family val="2"/>
      </rPr>
      <t>i</t>
    </r>
    <r>
      <rPr>
        <b/>
        <sz val="10"/>
        <rFont val="Arial"/>
        <family val="2"/>
      </rPr>
      <t xml:space="preserve">
(V)</t>
    </r>
  </si>
  <si>
    <r>
      <t>D</t>
    </r>
    <r>
      <rPr>
        <b/>
        <sz val="10"/>
        <rFont val="Arial"/>
        <family val="2"/>
      </rPr>
      <t>G</t>
    </r>
  </si>
  <si>
    <r>
      <t>D</t>
    </r>
    <r>
      <rPr>
        <b/>
        <sz val="10"/>
        <rFont val="Arial"/>
        <family val="2"/>
      </rPr>
      <t>G</t>
    </r>
    <r>
      <rPr>
        <b/>
        <vertAlign val="superscript"/>
        <sz val="10"/>
        <rFont val="Arial"/>
        <family val="2"/>
      </rPr>
      <t>01</t>
    </r>
  </si>
  <si>
    <r>
      <t>D</t>
    </r>
    <r>
      <rPr>
        <b/>
        <sz val="10"/>
        <rFont val="Arial"/>
        <family val="2"/>
      </rPr>
      <t>G</t>
    </r>
    <r>
      <rPr>
        <b/>
        <vertAlign val="superscript"/>
        <sz val="10"/>
        <rFont val="Arial"/>
        <family val="2"/>
      </rPr>
      <t>0</t>
    </r>
  </si>
  <si>
    <t>F</t>
  </si>
  <si>
    <t>R</t>
  </si>
  <si>
    <t>kJ/mol</t>
  </si>
  <si>
    <t>T</t>
  </si>
  <si>
    <t>K</t>
  </si>
  <si>
    <t>mMalon-CoA</t>
  </si>
  <si>
    <t xml:space="preserve"> </t>
  </si>
  <si>
    <t>Butiryl CoA</t>
  </si>
  <si>
    <t>Crotonyl CoA</t>
  </si>
  <si>
    <t>kC/mol-e</t>
  </si>
  <si>
    <t>Fd-ox</t>
  </si>
  <si>
    <t>Fd-red</t>
  </si>
  <si>
    <t>Ferredoxin (ox)</t>
  </si>
  <si>
    <t>Ferredoxin (red)</t>
  </si>
  <si>
    <t>SpGrR</t>
  </si>
  <si>
    <t>SpGrO</t>
  </si>
  <si>
    <t>SpGr-bal</t>
  </si>
  <si>
    <t>Ubiquinone (ox)</t>
  </si>
  <si>
    <t>Ubiquinone (red)</t>
  </si>
  <si>
    <t>UQred</t>
  </si>
  <si>
    <t>UQox</t>
  </si>
  <si>
    <r>
      <t>pKaº</t>
    </r>
    <r>
      <rPr>
        <vertAlign val="subscript"/>
        <sz val="10"/>
        <rFont val="Arial"/>
        <family val="2"/>
      </rPr>
      <t>3</t>
    </r>
  </si>
  <si>
    <r>
      <t>pKaº</t>
    </r>
    <r>
      <rPr>
        <vertAlign val="subscript"/>
        <sz val="10"/>
        <rFont val="Arial"/>
        <family val="2"/>
      </rPr>
      <t>2</t>
    </r>
  </si>
  <si>
    <r>
      <t>pKaº</t>
    </r>
    <r>
      <rPr>
        <vertAlign val="subscript"/>
        <sz val="10"/>
        <rFont val="Arial"/>
        <family val="2"/>
      </rPr>
      <t>1</t>
    </r>
  </si>
  <si>
    <r>
      <t>Kaº</t>
    </r>
    <r>
      <rPr>
        <vertAlign val="subscript"/>
        <sz val="10"/>
        <rFont val="Arial"/>
        <family val="2"/>
      </rPr>
      <t>1</t>
    </r>
  </si>
  <si>
    <r>
      <t>Kaº</t>
    </r>
    <r>
      <rPr>
        <vertAlign val="subscript"/>
        <sz val="10"/>
        <rFont val="Arial"/>
        <family val="2"/>
      </rPr>
      <t>3</t>
    </r>
  </si>
  <si>
    <r>
      <t>Kaº</t>
    </r>
    <r>
      <rPr>
        <vertAlign val="subscript"/>
        <sz val="10"/>
        <rFont val="Arial"/>
        <family val="2"/>
      </rPr>
      <t>2</t>
    </r>
  </si>
  <si>
    <t>Acetyl-Phosphate</t>
  </si>
  <si>
    <t>Ac-P</t>
  </si>
  <si>
    <r>
      <t>Ac-P</t>
    </r>
    <r>
      <rPr>
        <vertAlign val="superscript"/>
        <sz val="10"/>
        <rFont val="Arial"/>
        <family val="2"/>
      </rPr>
      <t>2-</t>
    </r>
  </si>
  <si>
    <t>Bu-P</t>
  </si>
  <si>
    <r>
      <t>Bu-P</t>
    </r>
    <r>
      <rPr>
        <vertAlign val="superscript"/>
        <sz val="10"/>
        <rFont val="Arial"/>
        <family val="2"/>
      </rPr>
      <t>2-</t>
    </r>
  </si>
  <si>
    <t>Butyryl-Phosphate</t>
  </si>
  <si>
    <r>
      <t>P</t>
    </r>
    <r>
      <rPr>
        <b/>
        <vertAlign val="subscript"/>
        <sz val="10"/>
        <rFont val="Arial"/>
        <family val="2"/>
      </rPr>
      <t>gas</t>
    </r>
    <r>
      <rPr>
        <b/>
        <vertAlign val="superscript"/>
        <sz val="10"/>
        <rFont val="Arial"/>
        <family val="2"/>
      </rPr>
      <t xml:space="preserve">eq
</t>
    </r>
    <r>
      <rPr>
        <b/>
        <sz val="10"/>
        <rFont val="Arial"/>
        <family val="2"/>
      </rPr>
      <t>(bar)</t>
    </r>
  </si>
  <si>
    <r>
      <t>Total Conc
[AH]+[A</t>
    </r>
    <r>
      <rPr>
        <b/>
        <vertAlign val="superscript"/>
        <sz val="10"/>
        <rFont val="Arial"/>
        <family val="2"/>
      </rPr>
      <t>-</t>
    </r>
    <r>
      <rPr>
        <b/>
        <sz val="10"/>
        <rFont val="Arial"/>
        <family val="2"/>
      </rPr>
      <t>] +[A</t>
    </r>
    <r>
      <rPr>
        <b/>
        <vertAlign val="superscript"/>
        <sz val="10"/>
        <rFont val="Arial"/>
        <family val="2"/>
      </rPr>
      <t>2-</t>
    </r>
    <r>
      <rPr>
        <b/>
        <sz val="10"/>
        <rFont val="Arial"/>
        <family val="2"/>
      </rPr>
      <t>] etc</t>
    </r>
  </si>
  <si>
    <t>Phase</t>
  </si>
  <si>
    <t>IN</t>
  </si>
  <si>
    <t>Permeable</t>
  </si>
  <si>
    <t>Y</t>
  </si>
  <si>
    <t>3-Hydroxybutyryl CoA</t>
  </si>
  <si>
    <t>ButAld</t>
  </si>
  <si>
    <t>Butyraldehyde</t>
  </si>
  <si>
    <r>
      <t>C</t>
    </r>
    <r>
      <rPr>
        <vertAlign val="subscript"/>
        <sz val="10"/>
        <rFont val="Arial"/>
        <family val="2"/>
      </rPr>
      <t>4</t>
    </r>
    <r>
      <rPr>
        <sz val="10"/>
        <rFont val="Arial"/>
        <family val="2"/>
      </rPr>
      <t>H</t>
    </r>
    <r>
      <rPr>
        <vertAlign val="subscript"/>
        <sz val="10"/>
        <rFont val="Arial"/>
        <family val="2"/>
      </rPr>
      <t>8</t>
    </r>
    <r>
      <rPr>
        <sz val="10"/>
        <rFont val="Arial"/>
        <family val="2"/>
      </rPr>
      <t>O</t>
    </r>
  </si>
  <si>
    <t>Butyraldehyde (gas)</t>
  </si>
  <si>
    <t>ButAld (g)</t>
  </si>
  <si>
    <r>
      <t>P</t>
    </r>
    <r>
      <rPr>
        <vertAlign val="subscript"/>
        <sz val="10"/>
        <rFont val="Arial"/>
        <family val="2"/>
      </rPr>
      <t>2</t>
    </r>
    <r>
      <rPr>
        <sz val="10"/>
        <rFont val="Arial"/>
        <family val="2"/>
      </rPr>
      <t>O</t>
    </r>
    <r>
      <rPr>
        <vertAlign val="subscript"/>
        <sz val="10"/>
        <rFont val="Arial"/>
        <family val="2"/>
      </rPr>
      <t>7</t>
    </r>
    <r>
      <rPr>
        <vertAlign val="superscript"/>
        <sz val="10"/>
        <rFont val="Arial"/>
        <family val="2"/>
      </rPr>
      <t>4-</t>
    </r>
  </si>
  <si>
    <t>AcAc-CoA</t>
  </si>
  <si>
    <t>Crot-CoA</t>
  </si>
  <si>
    <t>3HBu-CoA</t>
  </si>
  <si>
    <t>Bu-CoA</t>
  </si>
  <si>
    <t>Pro-CoA</t>
  </si>
  <si>
    <t>Lac-CoA</t>
  </si>
  <si>
    <t>Acryl-CoA</t>
  </si>
  <si>
    <t>Ac-CoA</t>
  </si>
  <si>
    <r>
      <t>OAA</t>
    </r>
    <r>
      <rPr>
        <vertAlign val="superscript"/>
        <sz val="10"/>
        <rFont val="Arial"/>
        <family val="2"/>
      </rPr>
      <t>2-</t>
    </r>
  </si>
  <si>
    <t>For-</t>
  </si>
  <si>
    <t>ForH</t>
  </si>
  <si>
    <t>nBuOH</t>
  </si>
  <si>
    <t>iProOH</t>
  </si>
  <si>
    <t>H2 (g)</t>
  </si>
  <si>
    <t>PPi</t>
  </si>
  <si>
    <t>Acetoacetic acid</t>
  </si>
  <si>
    <t>AcAcH</t>
  </si>
  <si>
    <r>
      <t>C</t>
    </r>
    <r>
      <rPr>
        <vertAlign val="subscript"/>
        <sz val="10"/>
        <rFont val="Arial"/>
        <family val="2"/>
      </rPr>
      <t>4</t>
    </r>
    <r>
      <rPr>
        <sz val="10"/>
        <rFont val="Arial"/>
        <family val="2"/>
      </rPr>
      <t>H</t>
    </r>
    <r>
      <rPr>
        <vertAlign val="subscript"/>
        <sz val="10"/>
        <rFont val="Arial"/>
        <family val="2"/>
      </rPr>
      <t>6</t>
    </r>
    <r>
      <rPr>
        <sz val="10"/>
        <rFont val="Arial"/>
        <family val="2"/>
      </rPr>
      <t>O</t>
    </r>
    <r>
      <rPr>
        <vertAlign val="subscript"/>
        <sz val="10"/>
        <rFont val="Arial"/>
        <family val="2"/>
      </rPr>
      <t>3</t>
    </r>
  </si>
  <si>
    <t>Abbrev. Name</t>
  </si>
  <si>
    <t>3-hydroxypropanal</t>
  </si>
  <si>
    <t>3-HPrnal</t>
  </si>
  <si>
    <t>1,3-propanediol</t>
  </si>
  <si>
    <t>1,3-Prndiol</t>
  </si>
  <si>
    <r>
      <t>C</t>
    </r>
    <r>
      <rPr>
        <vertAlign val="subscript"/>
        <sz val="10"/>
        <rFont val="Arial"/>
        <family val="2"/>
      </rPr>
      <t>3</t>
    </r>
    <r>
      <rPr>
        <sz val="10"/>
        <rFont val="Arial"/>
        <family val="2"/>
      </rPr>
      <t>H</t>
    </r>
    <r>
      <rPr>
        <vertAlign val="subscript"/>
        <sz val="10"/>
        <rFont val="Arial"/>
        <family val="2"/>
      </rPr>
      <t>8</t>
    </r>
    <r>
      <rPr>
        <sz val="10"/>
        <rFont val="Arial"/>
        <family val="2"/>
      </rPr>
      <t>O</t>
    </r>
    <r>
      <rPr>
        <vertAlign val="subscript"/>
        <sz val="10"/>
        <rFont val="Arial"/>
        <family val="2"/>
      </rPr>
      <t>2</t>
    </r>
  </si>
  <si>
    <t>Estimated</t>
  </si>
  <si>
    <t>Xylose</t>
  </si>
  <si>
    <t>Xyl</t>
  </si>
  <si>
    <r>
      <t>C</t>
    </r>
    <r>
      <rPr>
        <vertAlign val="subscript"/>
        <sz val="10"/>
        <rFont val="Arial"/>
        <family val="2"/>
      </rPr>
      <t>5</t>
    </r>
    <r>
      <rPr>
        <sz val="10"/>
        <rFont val="Arial"/>
        <family val="2"/>
      </rPr>
      <t>H</t>
    </r>
    <r>
      <rPr>
        <vertAlign val="subscript"/>
        <sz val="10"/>
        <rFont val="Arial"/>
        <family val="2"/>
      </rPr>
      <t>10</t>
    </r>
    <r>
      <rPr>
        <sz val="10"/>
        <rFont val="Arial"/>
        <family val="2"/>
      </rPr>
      <t>O</t>
    </r>
    <r>
      <rPr>
        <vertAlign val="subscript"/>
        <sz val="10"/>
        <rFont val="Arial"/>
        <family val="2"/>
      </rPr>
      <t>5</t>
    </r>
  </si>
  <si>
    <t>Hydrogenphosphate</t>
  </si>
  <si>
    <t>Phosphoric acid</t>
  </si>
  <si>
    <r>
      <t>H</t>
    </r>
    <r>
      <rPr>
        <vertAlign val="subscript"/>
        <sz val="10"/>
        <rFont val="Arial"/>
        <family val="2"/>
      </rPr>
      <t>3</t>
    </r>
    <r>
      <rPr>
        <sz val="10"/>
        <rFont val="Arial"/>
        <family val="2"/>
      </rPr>
      <t>PO</t>
    </r>
    <r>
      <rPr>
        <vertAlign val="subscript"/>
        <sz val="10"/>
        <rFont val="Arial"/>
        <family val="2"/>
      </rPr>
      <t>4</t>
    </r>
  </si>
  <si>
    <t>Dihydrogenphosphate</t>
  </si>
  <si>
    <r>
      <t>H</t>
    </r>
    <r>
      <rPr>
        <vertAlign val="subscript"/>
        <sz val="10"/>
        <rFont val="Arial"/>
        <family val="2"/>
      </rPr>
      <t>2</t>
    </r>
    <r>
      <rPr>
        <sz val="10"/>
        <rFont val="Arial"/>
        <family val="2"/>
      </rPr>
      <t>PO</t>
    </r>
    <r>
      <rPr>
        <vertAlign val="subscript"/>
        <sz val="10"/>
        <rFont val="Arial"/>
        <family val="2"/>
      </rPr>
      <t>4</t>
    </r>
    <r>
      <rPr>
        <vertAlign val="superscript"/>
        <sz val="10"/>
        <rFont val="Arial"/>
        <family val="2"/>
      </rPr>
      <t>-</t>
    </r>
  </si>
  <si>
    <r>
      <t>PO</t>
    </r>
    <r>
      <rPr>
        <vertAlign val="subscript"/>
        <sz val="10"/>
        <rFont val="Arial"/>
        <family val="2"/>
      </rPr>
      <t>4</t>
    </r>
    <r>
      <rPr>
        <vertAlign val="superscript"/>
        <sz val="10"/>
        <rFont val="Arial"/>
        <family val="2"/>
      </rPr>
      <t>3-</t>
    </r>
  </si>
  <si>
    <r>
      <t>H</t>
    </r>
    <r>
      <rPr>
        <vertAlign val="subscript"/>
        <sz val="10"/>
        <rFont val="Arial"/>
        <family val="2"/>
      </rPr>
      <t>2</t>
    </r>
    <r>
      <rPr>
        <sz val="10"/>
        <rFont val="Arial"/>
        <family val="2"/>
      </rPr>
      <t>CO</t>
    </r>
    <r>
      <rPr>
        <vertAlign val="subscript"/>
        <sz val="10"/>
        <rFont val="Arial"/>
        <family val="2"/>
      </rPr>
      <t>3</t>
    </r>
  </si>
  <si>
    <r>
      <t>CO</t>
    </r>
    <r>
      <rPr>
        <vertAlign val="subscript"/>
        <sz val="10"/>
        <rFont val="Arial"/>
        <family val="2"/>
      </rPr>
      <t>3</t>
    </r>
    <r>
      <rPr>
        <vertAlign val="superscript"/>
        <sz val="10"/>
        <rFont val="Arial"/>
        <family val="2"/>
      </rPr>
      <t>2-</t>
    </r>
  </si>
  <si>
    <t>Valeric acid</t>
  </si>
  <si>
    <t>Valerate</t>
  </si>
  <si>
    <r>
      <t>C</t>
    </r>
    <r>
      <rPr>
        <vertAlign val="subscript"/>
        <sz val="10"/>
        <rFont val="Arial"/>
        <family val="2"/>
      </rPr>
      <t>5</t>
    </r>
    <r>
      <rPr>
        <sz val="10"/>
        <rFont val="Arial"/>
        <family val="2"/>
      </rPr>
      <t>H</t>
    </r>
    <r>
      <rPr>
        <vertAlign val="subscript"/>
        <sz val="10"/>
        <rFont val="Arial"/>
        <family val="2"/>
      </rPr>
      <t>10</t>
    </r>
    <r>
      <rPr>
        <sz val="10"/>
        <rFont val="Arial"/>
        <family val="2"/>
      </rPr>
      <t>O</t>
    </r>
    <r>
      <rPr>
        <vertAlign val="subscript"/>
        <sz val="10"/>
        <rFont val="Arial"/>
        <family val="2"/>
      </rPr>
      <t>2</t>
    </r>
  </si>
  <si>
    <t>VaH</t>
  </si>
  <si>
    <t>Va-</t>
  </si>
  <si>
    <r>
      <t>C</t>
    </r>
    <r>
      <rPr>
        <vertAlign val="subscript"/>
        <sz val="10"/>
        <rFont val="Arial"/>
        <family val="2"/>
      </rPr>
      <t>5</t>
    </r>
    <r>
      <rPr>
        <sz val="10"/>
        <rFont val="Arial"/>
        <family val="2"/>
      </rPr>
      <t>H</t>
    </r>
    <r>
      <rPr>
        <vertAlign val="subscript"/>
        <sz val="10"/>
        <rFont val="Arial"/>
        <family val="2"/>
      </rPr>
      <t>9</t>
    </r>
    <r>
      <rPr>
        <sz val="10"/>
        <rFont val="Arial"/>
        <family val="2"/>
      </rPr>
      <t>O</t>
    </r>
    <r>
      <rPr>
        <vertAlign val="subscript"/>
        <sz val="10"/>
        <rFont val="Arial"/>
        <family val="2"/>
      </rPr>
      <t>2</t>
    </r>
    <r>
      <rPr>
        <vertAlign val="superscript"/>
        <sz val="10"/>
        <rFont val="Arial"/>
        <family val="2"/>
      </rPr>
      <t>-</t>
    </r>
  </si>
  <si>
    <t>S</t>
  </si>
  <si>
    <t>Sulfide</t>
  </si>
  <si>
    <r>
      <t>H</t>
    </r>
    <r>
      <rPr>
        <vertAlign val="subscript"/>
        <sz val="10"/>
        <rFont val="Arial"/>
        <family val="2"/>
      </rPr>
      <t>2</t>
    </r>
    <r>
      <rPr>
        <sz val="10"/>
        <rFont val="Arial"/>
        <family val="2"/>
      </rPr>
      <t>S</t>
    </r>
  </si>
  <si>
    <t>Dihydrogen Sulfide</t>
  </si>
  <si>
    <t>Dihydrogen Sulfide (gas)</t>
  </si>
  <si>
    <t>Hydrogen Sulfide</t>
  </si>
  <si>
    <r>
      <t>HS</t>
    </r>
    <r>
      <rPr>
        <vertAlign val="superscript"/>
        <sz val="10"/>
        <rFont val="Arial"/>
        <family val="2"/>
      </rPr>
      <t>-</t>
    </r>
  </si>
  <si>
    <r>
      <t>H</t>
    </r>
    <r>
      <rPr>
        <vertAlign val="subscript"/>
        <sz val="10"/>
        <rFont val="Arial"/>
        <family val="2"/>
      </rPr>
      <t>2</t>
    </r>
    <r>
      <rPr>
        <sz val="10"/>
        <rFont val="Arial"/>
        <family val="2"/>
      </rPr>
      <t>S(g)</t>
    </r>
  </si>
  <si>
    <r>
      <t>S</t>
    </r>
    <r>
      <rPr>
        <vertAlign val="superscript"/>
        <sz val="10"/>
        <rFont val="Arial"/>
        <family val="2"/>
      </rPr>
      <t>2-</t>
    </r>
  </si>
  <si>
    <t>Cl</t>
  </si>
  <si>
    <t>Chloric Acid</t>
  </si>
  <si>
    <t>HCl</t>
  </si>
  <si>
    <t>Chloride</t>
  </si>
  <si>
    <t>Cl-</t>
  </si>
  <si>
    <r>
      <t>Cl</t>
    </r>
    <r>
      <rPr>
        <vertAlign val="superscript"/>
        <sz val="10"/>
        <rFont val="Arial"/>
        <family val="2"/>
      </rPr>
      <t>-</t>
    </r>
  </si>
  <si>
    <t>Chlorite</t>
  </si>
  <si>
    <t>ClO2-</t>
  </si>
  <si>
    <r>
      <t>ClO</t>
    </r>
    <r>
      <rPr>
        <vertAlign val="subscript"/>
        <sz val="10"/>
        <rFont val="Arial"/>
        <family val="2"/>
      </rPr>
      <t>2</t>
    </r>
    <r>
      <rPr>
        <vertAlign val="superscript"/>
        <sz val="10"/>
        <rFont val="Arial"/>
        <family val="2"/>
      </rPr>
      <t>-</t>
    </r>
  </si>
  <si>
    <t>Chlorate</t>
  </si>
  <si>
    <t>ClO3-</t>
  </si>
  <si>
    <r>
      <t>ClO</t>
    </r>
    <r>
      <rPr>
        <vertAlign val="subscript"/>
        <sz val="10"/>
        <rFont val="Arial"/>
        <family val="2"/>
      </rPr>
      <t>3</t>
    </r>
    <r>
      <rPr>
        <vertAlign val="superscript"/>
        <sz val="10"/>
        <rFont val="Arial"/>
        <family val="2"/>
      </rPr>
      <t>-</t>
    </r>
  </si>
  <si>
    <t>Perchlorate</t>
  </si>
  <si>
    <t>ClO4-</t>
  </si>
  <si>
    <r>
      <t>ClO</t>
    </r>
    <r>
      <rPr>
        <vertAlign val="subscript"/>
        <sz val="10"/>
        <rFont val="Arial"/>
        <family val="2"/>
      </rPr>
      <t>4</t>
    </r>
    <r>
      <rPr>
        <vertAlign val="superscript"/>
        <sz val="10"/>
        <rFont val="Arial"/>
        <family val="2"/>
      </rPr>
      <t>-</t>
    </r>
  </si>
  <si>
    <t>Hypochlorite</t>
  </si>
  <si>
    <t>ClO-</t>
  </si>
  <si>
    <r>
      <t>ClO</t>
    </r>
    <r>
      <rPr>
        <vertAlign val="superscript"/>
        <sz val="10"/>
        <rFont val="Arial"/>
        <family val="2"/>
      </rPr>
      <t>-</t>
    </r>
  </si>
  <si>
    <t>Electron Donor</t>
  </si>
  <si>
    <t>Electron Acceptor</t>
  </si>
  <si>
    <t>Catabolism</t>
  </si>
  <si>
    <t>Metabolism</t>
  </si>
  <si>
    <t>S-bal</t>
  </si>
  <si>
    <t>Cl-bal</t>
  </si>
  <si>
    <t>Ycyb</t>
  </si>
  <si>
    <t>Sulfate</t>
  </si>
  <si>
    <r>
      <t>SO</t>
    </r>
    <r>
      <rPr>
        <vertAlign val="subscript"/>
        <sz val="10"/>
        <rFont val="Arial"/>
        <family val="2"/>
      </rPr>
      <t>4</t>
    </r>
    <r>
      <rPr>
        <vertAlign val="superscript"/>
        <sz val="10"/>
        <rFont val="Arial"/>
        <family val="2"/>
      </rPr>
      <t>2-</t>
    </r>
  </si>
  <si>
    <t>Ferrous iron</t>
  </si>
  <si>
    <t>Ferric iron</t>
  </si>
  <si>
    <t>Fe2+</t>
  </si>
  <si>
    <t>Fe3+</t>
  </si>
  <si>
    <t>Fe</t>
  </si>
  <si>
    <r>
      <t>l</t>
    </r>
    <r>
      <rPr>
        <b/>
        <vertAlign val="subscript"/>
        <sz val="10"/>
        <rFont val="Arial"/>
        <family val="2"/>
      </rPr>
      <t>An</t>
    </r>
  </si>
  <si>
    <r>
      <t>l</t>
    </r>
    <r>
      <rPr>
        <b/>
        <vertAlign val="subscript"/>
        <sz val="10"/>
        <rFont val="Arial"/>
        <family val="2"/>
      </rPr>
      <t>Cat</t>
    </r>
  </si>
  <si>
    <t>Anabolism*</t>
  </si>
  <si>
    <t>*Anabolism eD/eA</t>
  </si>
  <si>
    <t>eD</t>
  </si>
  <si>
    <t>Fe-bal</t>
  </si>
  <si>
    <t>eA</t>
  </si>
  <si>
    <t>Ammonium oxidation</t>
  </si>
  <si>
    <t>Nitrite oxidation</t>
  </si>
  <si>
    <t>Aceticlastic Methanogenesis</t>
  </si>
  <si>
    <t>Aerobic methane oxidation</t>
  </si>
  <si>
    <t>Yacm</t>
  </si>
  <si>
    <t>Yamo</t>
  </si>
  <si>
    <t>mol/L</t>
  </si>
  <si>
    <t>L</t>
  </si>
  <si>
    <t>Sac</t>
  </si>
  <si>
    <t>Sh2</t>
  </si>
  <si>
    <t>Sch4</t>
  </si>
  <si>
    <t>Xfer</t>
  </si>
  <si>
    <t>Sic</t>
  </si>
  <si>
    <t>bar</t>
  </si>
  <si>
    <t>[]</t>
  </si>
  <si>
    <t>Kh_h2</t>
  </si>
  <si>
    <t>M/bar</t>
  </si>
  <si>
    <t>Kh_ch4</t>
  </si>
  <si>
    <t>Kh_co2</t>
  </si>
  <si>
    <t>Rth</t>
  </si>
  <si>
    <t>kJ/mol·K</t>
  </si>
  <si>
    <t>Rg</t>
  </si>
  <si>
    <t>bar·L/mol·K</t>
  </si>
  <si>
    <t>Pgas</t>
  </si>
  <si>
    <t>1/h</t>
  </si>
  <si>
    <t>pHll</t>
  </si>
  <si>
    <t>pHul</t>
  </si>
  <si>
    <t>pHll_ac</t>
  </si>
  <si>
    <t>pHul_ac</t>
  </si>
  <si>
    <t>pHll_h2</t>
  </si>
  <si>
    <t>pHul_h2</t>
  </si>
  <si>
    <t>O2(g)</t>
  </si>
  <si>
    <t>Xcyb</t>
  </si>
  <si>
    <t>Sglu</t>
  </si>
  <si>
    <t>Sno2</t>
  </si>
  <si>
    <t>Sno3</t>
  </si>
  <si>
    <t>Sso4</t>
  </si>
  <si>
    <t>Sfe2</t>
  </si>
  <si>
    <t>So2</t>
  </si>
  <si>
    <t>Xaob</t>
  </si>
  <si>
    <t>Xnob</t>
  </si>
  <si>
    <t>Xsox</t>
  </si>
  <si>
    <t>Xsrd</t>
  </si>
  <si>
    <t>Xacm</t>
  </si>
  <si>
    <t>Xh2m</t>
  </si>
  <si>
    <t>Hydrogenotrophic Methanogenesis</t>
  </si>
  <si>
    <t>Yh2m</t>
  </si>
  <si>
    <t>eD ID</t>
  </si>
  <si>
    <r>
      <t>l</t>
    </r>
    <r>
      <rPr>
        <b/>
        <vertAlign val="subscript"/>
        <sz val="10"/>
        <rFont val="Arial"/>
        <family val="2"/>
      </rPr>
      <t>X</t>
    </r>
  </si>
  <si>
    <r>
      <t>l</t>
    </r>
    <r>
      <rPr>
        <b/>
        <vertAlign val="subscript"/>
        <sz val="10"/>
        <rFont val="Arial"/>
        <family val="2"/>
      </rPr>
      <t>eX</t>
    </r>
  </si>
  <si>
    <r>
      <t>l</t>
    </r>
    <r>
      <rPr>
        <b/>
        <vertAlign val="subscript"/>
        <sz val="10"/>
        <rFont val="Arial"/>
        <family val="2"/>
      </rPr>
      <t>eD</t>
    </r>
  </si>
  <si>
    <r>
      <t>l</t>
    </r>
    <r>
      <rPr>
        <b/>
        <vertAlign val="subscript"/>
        <sz val="10"/>
        <rFont val="Arial"/>
        <family val="2"/>
      </rPr>
      <t>eA</t>
    </r>
  </si>
  <si>
    <t>eD&amp;eA</t>
  </si>
  <si>
    <r>
      <t>D</t>
    </r>
    <r>
      <rPr>
        <b/>
        <sz val="10"/>
        <rFont val="Arial"/>
        <family val="2"/>
      </rPr>
      <t>E</t>
    </r>
  </si>
  <si>
    <r>
      <t>D</t>
    </r>
    <r>
      <rPr>
        <b/>
        <sz val="10"/>
        <rFont val="Arial"/>
        <family val="2"/>
      </rPr>
      <t>Eº</t>
    </r>
  </si>
  <si>
    <t>Nitrogen (g)</t>
  </si>
  <si>
    <t>N2 (g)</t>
  </si>
  <si>
    <t>N2(g)</t>
  </si>
  <si>
    <t>Activity
[M] / bar</t>
  </si>
  <si>
    <t>Iron reduction (III-II)</t>
  </si>
  <si>
    <t>Iron (s)</t>
  </si>
  <si>
    <t>Fe(s)</t>
  </si>
  <si>
    <r>
      <t>D</t>
    </r>
    <r>
      <rPr>
        <b/>
        <sz val="10"/>
        <rFont val="Arial"/>
        <family val="2"/>
      </rPr>
      <t>E</t>
    </r>
    <r>
      <rPr>
        <b/>
        <vertAlign val="superscript"/>
        <sz val="10"/>
        <rFont val="Arial"/>
        <family val="2"/>
      </rPr>
      <t>01</t>
    </r>
  </si>
  <si>
    <t>Sn2</t>
  </si>
  <si>
    <t>Ssh2</t>
  </si>
  <si>
    <t>B</t>
  </si>
  <si>
    <t>Xson</t>
  </si>
  <si>
    <t>Xfeox</t>
  </si>
  <si>
    <t>Xfeon</t>
  </si>
  <si>
    <t>Xferd</t>
  </si>
  <si>
    <t>Xmto</t>
  </si>
  <si>
    <t>Xmts</t>
  </si>
  <si>
    <t>Xd</t>
  </si>
  <si>
    <t>Anaerobic fermentation</t>
  </si>
  <si>
    <t>Yfer</t>
  </si>
  <si>
    <t>Yaob</t>
  </si>
  <si>
    <t>Ynob</t>
  </si>
  <si>
    <t>Aerobic heterotrophy glucose</t>
  </si>
  <si>
    <t>Aerobic heterotrophy acetate</t>
  </si>
  <si>
    <t>Yhglu</t>
  </si>
  <si>
    <t>Yhac</t>
  </si>
  <si>
    <t>Denitrification on glucose</t>
  </si>
  <si>
    <t>Denitrification on acetate</t>
  </si>
  <si>
    <t>Sulfate reduction</t>
  </si>
  <si>
    <t>Ysrd</t>
  </si>
  <si>
    <t>Autotrophic aerobic sulfide oxidation</t>
  </si>
  <si>
    <t>Ysox</t>
  </si>
  <si>
    <t>Autotrophic anoxic sulfide oxidation</t>
  </si>
  <si>
    <t>Yson</t>
  </si>
  <si>
    <t>rMcyb</t>
  </si>
  <si>
    <t>rMfer</t>
  </si>
  <si>
    <t>rMaob</t>
  </si>
  <si>
    <t>rMnob</t>
  </si>
  <si>
    <t>rMsrd</t>
  </si>
  <si>
    <t>rMsox</t>
  </si>
  <si>
    <t>rMson</t>
  </si>
  <si>
    <t>rMfeox</t>
  </si>
  <si>
    <t>rMfeon</t>
  </si>
  <si>
    <t>rMferd</t>
  </si>
  <si>
    <t>rMacm</t>
  </si>
  <si>
    <t>rMh2m</t>
  </si>
  <si>
    <t>rMmto</t>
  </si>
  <si>
    <t>rMmts</t>
  </si>
  <si>
    <t>rXd</t>
  </si>
  <si>
    <t>Biomass
hydrolysis</t>
  </si>
  <si>
    <t>fxi</t>
  </si>
  <si>
    <t>Xi</t>
  </si>
  <si>
    <t>rMdnglu</t>
  </si>
  <si>
    <t>rMdnac</t>
  </si>
  <si>
    <t>Ydnglu</t>
  </si>
  <si>
    <t>Ydnac</t>
  </si>
  <si>
    <t>Yfeox</t>
  </si>
  <si>
    <t>Aerobic iron oxidation</t>
  </si>
  <si>
    <t>Anoxic iron oxidation</t>
  </si>
  <si>
    <t>Yfeon</t>
  </si>
  <si>
    <t>Anaerobic methane oxidation</t>
  </si>
  <si>
    <t>rMhglu</t>
  </si>
  <si>
    <t>rMhac</t>
  </si>
  <si>
    <t>rXcyb</t>
  </si>
  <si>
    <t>rXfer</t>
  </si>
  <si>
    <t>rXaob</t>
  </si>
  <si>
    <t>rXnob</t>
  </si>
  <si>
    <t>rXsrd</t>
  </si>
  <si>
    <t>rXsox</t>
  </si>
  <si>
    <t>rXson</t>
  </si>
  <si>
    <t>rXfeox</t>
  </si>
  <si>
    <t>rXfeon</t>
  </si>
  <si>
    <t>rXferd</t>
  </si>
  <si>
    <t>rXacm</t>
  </si>
  <si>
    <t>rXh2m</t>
  </si>
  <si>
    <t>rXmto</t>
  </si>
  <si>
    <t>rXmts</t>
  </si>
  <si>
    <t>rTrSgluB</t>
  </si>
  <si>
    <t>rTrSacB</t>
  </si>
  <si>
    <t>rTrSch4B</t>
  </si>
  <si>
    <t>rTrSicB</t>
  </si>
  <si>
    <t>rTrSh2B</t>
  </si>
  <si>
    <t>rTrSno2B</t>
  </si>
  <si>
    <t>rTrSno3B</t>
  </si>
  <si>
    <t>rTrSn2B</t>
  </si>
  <si>
    <t>rTrSso4B</t>
  </si>
  <si>
    <t>rTrSfe2B</t>
  </si>
  <si>
    <t>rTrSo2B</t>
  </si>
  <si>
    <t>rTrSgluT</t>
  </si>
  <si>
    <t>rTrSacT</t>
  </si>
  <si>
    <t>rTrSch4T</t>
  </si>
  <si>
    <t>rTrSicT</t>
  </si>
  <si>
    <t>rTrSh2T</t>
  </si>
  <si>
    <t>rTrSno2T</t>
  </si>
  <si>
    <t>rTrSno3T</t>
  </si>
  <si>
    <t>rTrSn2T</t>
  </si>
  <si>
    <t>rTrSso4T</t>
  </si>
  <si>
    <t>rTrSfe2T</t>
  </si>
  <si>
    <t>rTrSfe3T</t>
  </si>
  <si>
    <t>rTrSo2T</t>
  </si>
  <si>
    <t>rTrXcybT</t>
  </si>
  <si>
    <t>rTrXcybB</t>
  </si>
  <si>
    <t>rTrXferT</t>
  </si>
  <si>
    <t>rTrXferB</t>
  </si>
  <si>
    <t>rTrXaobT</t>
  </si>
  <si>
    <t>rTrXaobB</t>
  </si>
  <si>
    <t>rTrXnobT</t>
  </si>
  <si>
    <t>rTrXnobB</t>
  </si>
  <si>
    <t>G0l</t>
  </si>
  <si>
    <t>G0s</t>
  </si>
  <si>
    <t>H0l</t>
  </si>
  <si>
    <t>H0s</t>
  </si>
  <si>
    <t>chr</t>
  </si>
  <si>
    <t>nSp</t>
  </si>
  <si>
    <t>Sh2o</t>
  </si>
  <si>
    <t>Soh</t>
  </si>
  <si>
    <t>rTrXsrdT</t>
  </si>
  <si>
    <t>rTrXsrdB</t>
  </si>
  <si>
    <t>rTrXsoxT</t>
  </si>
  <si>
    <t>rTrXsoxB</t>
  </si>
  <si>
    <t>rTrXsonT</t>
  </si>
  <si>
    <t>rTrXsonB</t>
  </si>
  <si>
    <t>rTrXfeoxT</t>
  </si>
  <si>
    <t>rTrXfeoxB</t>
  </si>
  <si>
    <t>rTrXfeonT</t>
  </si>
  <si>
    <t>rTrXfeonB</t>
  </si>
  <si>
    <t>rTrXferdT</t>
  </si>
  <si>
    <t>rTrXferdB</t>
  </si>
  <si>
    <t>rTrXacmT</t>
  </si>
  <si>
    <t>rTrXacmB</t>
  </si>
  <si>
    <t>rTrXh2mT</t>
  </si>
  <si>
    <t>rTrXh2mB</t>
  </si>
  <si>
    <t>rTrXmtoT</t>
  </si>
  <si>
    <t>rTrXmtoB</t>
  </si>
  <si>
    <t>rTrXmtsT</t>
  </si>
  <si>
    <t>rTrXmtsB</t>
  </si>
  <si>
    <t>rTrXdT</t>
  </si>
  <si>
    <t>rTrXiT</t>
  </si>
  <si>
    <t>Gch4</t>
  </si>
  <si>
    <t>Gh2</t>
  </si>
  <si>
    <t>Gn2</t>
  </si>
  <si>
    <t>Gsh2</t>
  </si>
  <si>
    <t>Go2</t>
  </si>
  <si>
    <t>Sco2</t>
  </si>
  <si>
    <t>Sh2co3</t>
  </si>
  <si>
    <t>Shco3_</t>
  </si>
  <si>
    <t>Sco3_</t>
  </si>
  <si>
    <t>Shno2</t>
  </si>
  <si>
    <t>Sach</t>
  </si>
  <si>
    <t>Sac_</t>
  </si>
  <si>
    <t>Snh4</t>
  </si>
  <si>
    <t>Snh3</t>
  </si>
  <si>
    <t>Scat</t>
  </si>
  <si>
    <t>San</t>
  </si>
  <si>
    <t>Sno2_</t>
  </si>
  <si>
    <t>Sno3_</t>
  </si>
  <si>
    <t>Ssh_</t>
  </si>
  <si>
    <t>Sso4_</t>
  </si>
  <si>
    <t>rTrScatT</t>
  </si>
  <si>
    <t>rTrScatB</t>
  </si>
  <si>
    <t>rTrSanT</t>
  </si>
  <si>
    <t>rTrSanB</t>
  </si>
  <si>
    <t>rTrSco2G</t>
  </si>
  <si>
    <t>rTrSch4G</t>
  </si>
  <si>
    <t>rTrSn2G</t>
  </si>
  <si>
    <t>rTrSsh2G</t>
  </si>
  <si>
    <t>rTrSo2G</t>
  </si>
  <si>
    <t>DiffXb</t>
  </si>
  <si>
    <t>z</t>
  </si>
  <si>
    <t>fmDiff</t>
  </si>
  <si>
    <t>phv</t>
  </si>
  <si>
    <r>
      <t>kmol/m</t>
    </r>
    <r>
      <rPr>
        <vertAlign val="superscript"/>
        <sz val="10"/>
        <rFont val="Arial"/>
        <family val="2"/>
      </rPr>
      <t>3</t>
    </r>
    <r>
      <rPr>
        <sz val="10"/>
        <rFont val="Arial"/>
        <family val="2"/>
      </rPr>
      <t xml:space="preserve"> (M)</t>
    </r>
  </si>
  <si>
    <t>pH</t>
  </si>
  <si>
    <t>Sh</t>
  </si>
  <si>
    <t>expFhv</t>
  </si>
  <si>
    <t>Shso4</t>
  </si>
  <si>
    <t>Hydrogensulfate</t>
  </si>
  <si>
    <r>
      <t>HSO</t>
    </r>
    <r>
      <rPr>
        <vertAlign val="subscript"/>
        <sz val="10"/>
        <rFont val="Arial"/>
        <family val="2"/>
      </rPr>
      <t>4</t>
    </r>
    <r>
      <rPr>
        <vertAlign val="superscript"/>
        <sz val="10"/>
        <rFont val="Arial"/>
        <family val="2"/>
      </rPr>
      <t>-</t>
    </r>
  </si>
  <si>
    <t>Sulfuric acid</t>
  </si>
  <si>
    <r>
      <t>H</t>
    </r>
    <r>
      <rPr>
        <vertAlign val="subscript"/>
        <sz val="10"/>
        <rFont val="Arial"/>
        <family val="2"/>
      </rPr>
      <t>2</t>
    </r>
    <r>
      <rPr>
        <sz val="10"/>
        <rFont val="Arial"/>
        <family val="2"/>
      </rPr>
      <t>SO</t>
    </r>
    <r>
      <rPr>
        <vertAlign val="subscript"/>
        <sz val="10"/>
        <rFont val="Arial"/>
        <family val="2"/>
      </rPr>
      <t>4</t>
    </r>
  </si>
  <si>
    <t>DiffSglu</t>
  </si>
  <si>
    <t>DiffSac</t>
  </si>
  <si>
    <t>DiffSch4</t>
  </si>
  <si>
    <t>DiffSic</t>
  </si>
  <si>
    <t>DiffSh2</t>
  </si>
  <si>
    <t>DiffSno2</t>
  </si>
  <si>
    <t>DiffSno3</t>
  </si>
  <si>
    <t>DiffSn2</t>
  </si>
  <si>
    <t>DiffSso4</t>
  </si>
  <si>
    <t>DiffSfe2</t>
  </si>
  <si>
    <t>DiffSfe3</t>
  </si>
  <si>
    <t>DiffSo2</t>
  </si>
  <si>
    <t>DiffScat</t>
  </si>
  <si>
    <t>DiffSan</t>
  </si>
  <si>
    <t>pLess/10ºC</t>
  </si>
  <si>
    <t>Diff (m2/s)</t>
  </si>
  <si>
    <t>Diff (m2/h)</t>
  </si>
  <si>
    <r>
      <t>m</t>
    </r>
    <r>
      <rPr>
        <vertAlign val="superscript"/>
        <sz val="10"/>
        <rFont val="Arial"/>
        <family val="2"/>
      </rPr>
      <t>2</t>
    </r>
    <r>
      <rPr>
        <sz val="10"/>
        <rFont val="Arial"/>
        <family val="2"/>
      </rPr>
      <t>/h·ºC</t>
    </r>
  </si>
  <si>
    <t>sDiffSglu</t>
  </si>
  <si>
    <t>sDiffSac</t>
  </si>
  <si>
    <t>sDiffSch4</t>
  </si>
  <si>
    <t>sDiffSic</t>
  </si>
  <si>
    <t>sDiffSh2</t>
  </si>
  <si>
    <t>sDiffSno2</t>
  </si>
  <si>
    <t>sDiffSno3</t>
  </si>
  <si>
    <t>sDiffSn2</t>
  </si>
  <si>
    <t>sDiffSso4</t>
  </si>
  <si>
    <t>sDiffSfe2</t>
  </si>
  <si>
    <t>sDiffSo2</t>
  </si>
  <si>
    <t>sDiffScat</t>
  </si>
  <si>
    <t>sDiffSan</t>
  </si>
  <si>
    <t>sDiffXb</t>
  </si>
  <si>
    <t>oDiffSglu</t>
  </si>
  <si>
    <t>oDiffSac</t>
  </si>
  <si>
    <t>oDiffSch4</t>
  </si>
  <si>
    <t>oDiffSic</t>
  </si>
  <si>
    <t>oDiffSh2</t>
  </si>
  <si>
    <t>oDiffSno2</t>
  </si>
  <si>
    <t>oDiffSno3</t>
  </si>
  <si>
    <t>oDiffSn2</t>
  </si>
  <si>
    <t>oDiffSso4</t>
  </si>
  <si>
    <t>oDiffSfe2</t>
  </si>
  <si>
    <t>oDiffSo2</t>
  </si>
  <si>
    <t>oDiffScat</t>
  </si>
  <si>
    <t>oDiffSan</t>
  </si>
  <si>
    <t>oDiffXb</t>
  </si>
  <si>
    <t>qmcyb</t>
  </si>
  <si>
    <t>qmfer</t>
  </si>
  <si>
    <t>qmhglu</t>
  </si>
  <si>
    <t>qmhac</t>
  </si>
  <si>
    <t>qmaob</t>
  </si>
  <si>
    <t>qmnob</t>
  </si>
  <si>
    <t>qmdnglu</t>
  </si>
  <si>
    <t>qmdnac</t>
  </si>
  <si>
    <t>qmsrd</t>
  </si>
  <si>
    <t>qmsox</t>
  </si>
  <si>
    <t>qmson</t>
  </si>
  <si>
    <t>qmfeox</t>
  </si>
  <si>
    <t>qmfeon</t>
  </si>
  <si>
    <t>qmferd</t>
  </si>
  <si>
    <t>qmacm</t>
  </si>
  <si>
    <t>qmh2m</t>
  </si>
  <si>
    <t>qmmto</t>
  </si>
  <si>
    <t>qmmts</t>
  </si>
  <si>
    <t>khXd</t>
  </si>
  <si>
    <t>KsDfer</t>
  </si>
  <si>
    <t>KsDhglu</t>
  </si>
  <si>
    <t>KsDhac</t>
  </si>
  <si>
    <t>KsDaob</t>
  </si>
  <si>
    <t>KsDnob</t>
  </si>
  <si>
    <t>KsDdnglu</t>
  </si>
  <si>
    <t>KsDdnac</t>
  </si>
  <si>
    <t>KsDsrd</t>
  </si>
  <si>
    <t>KsDsox</t>
  </si>
  <si>
    <t>KsDson</t>
  </si>
  <si>
    <t>KsDfeox</t>
  </si>
  <si>
    <t>KsDfeon</t>
  </si>
  <si>
    <t>KsDferd</t>
  </si>
  <si>
    <t>KsDacm</t>
  </si>
  <si>
    <t>KsDh2m</t>
  </si>
  <si>
    <t>KsDmto</t>
  </si>
  <si>
    <t>KsDmts</t>
  </si>
  <si>
    <t>KsAfer</t>
  </si>
  <si>
    <t>KsAhglu</t>
  </si>
  <si>
    <t>KsAhac</t>
  </si>
  <si>
    <t>KsAaob</t>
  </si>
  <si>
    <t>KsAnob</t>
  </si>
  <si>
    <t>KsAdnglu</t>
  </si>
  <si>
    <t>KsAdnac</t>
  </si>
  <si>
    <t>KsAsrd</t>
  </si>
  <si>
    <t>KsAsox</t>
  </si>
  <si>
    <t>KsAson</t>
  </si>
  <si>
    <t>KsAfeox</t>
  </si>
  <si>
    <t>KsAfeon</t>
  </si>
  <si>
    <t>KsAferd</t>
  </si>
  <si>
    <t>KsAacm</t>
  </si>
  <si>
    <t>KsAh2m</t>
  </si>
  <si>
    <t>KsAmto</t>
  </si>
  <si>
    <t>KsAmts</t>
  </si>
  <si>
    <t>molS/molCx·h</t>
  </si>
  <si>
    <t>molSd/L</t>
  </si>
  <si>
    <t>molSa/L</t>
  </si>
  <si>
    <r>
      <t>h</t>
    </r>
    <r>
      <rPr>
        <vertAlign val="superscript"/>
        <sz val="10"/>
        <rFont val="Arial"/>
        <family val="2"/>
      </rPr>
      <t>-1</t>
    </r>
  </si>
  <si>
    <r>
      <t>m</t>
    </r>
    <r>
      <rPr>
        <vertAlign val="superscript"/>
        <sz val="10"/>
        <rFont val="Arial"/>
        <family val="2"/>
      </rPr>
      <t>2</t>
    </r>
    <r>
      <rPr>
        <sz val="10"/>
        <rFont val="Arial"/>
        <family val="2"/>
      </rPr>
      <t>/h</t>
    </r>
  </si>
  <si>
    <t>kdXb</t>
  </si>
  <si>
    <t>m</t>
  </si>
  <si>
    <t>rhoXb</t>
  </si>
  <si>
    <t>fXld</t>
  </si>
  <si>
    <t>Kh_n2</t>
  </si>
  <si>
    <t>molIC/L</t>
  </si>
  <si>
    <t>KsICs</t>
  </si>
  <si>
    <t>molSin/L</t>
  </si>
  <si>
    <t>dCW</t>
  </si>
  <si>
    <t>dCell</t>
  </si>
  <si>
    <r>
      <t>kmolX/m</t>
    </r>
    <r>
      <rPr>
        <vertAlign val="superscript"/>
        <sz val="10"/>
        <color indexed="55"/>
        <rFont val="Arial"/>
        <family val="2"/>
      </rPr>
      <t>3</t>
    </r>
    <r>
      <rPr>
        <sz val="10"/>
        <color indexed="55"/>
        <rFont val="Arial"/>
        <family val="2"/>
      </rPr>
      <t>cell</t>
    </r>
  </si>
  <si>
    <t>Ki_nh3</t>
  </si>
  <si>
    <t>molSnh3/L</t>
  </si>
  <si>
    <t>pW</t>
  </si>
  <si>
    <t>rTrXiB</t>
  </si>
  <si>
    <t>rTrSfe3B</t>
  </si>
  <si>
    <t>rTrXdB</t>
  </si>
  <si>
    <t>VsXd</t>
  </si>
  <si>
    <t>VsXfe</t>
  </si>
  <si>
    <t>VsXi</t>
  </si>
  <si>
    <t>m/h</t>
  </si>
  <si>
    <t>kLa</t>
  </si>
  <si>
    <t>Pch4</t>
  </si>
  <si>
    <t>Pco2</t>
  </si>
  <si>
    <t>Psh2</t>
  </si>
  <si>
    <t>Po2</t>
  </si>
  <si>
    <t>Kh_o2</t>
  </si>
  <si>
    <t>rTrSh2G</t>
  </si>
  <si>
    <t>Pn2</t>
  </si>
  <si>
    <t>Kh_sh2</t>
  </si>
  <si>
    <t>Ph2</t>
  </si>
  <si>
    <t>Sh2s</t>
  </si>
  <si>
    <t>rTrSh2sT</t>
  </si>
  <si>
    <t>rTrSh2sB</t>
  </si>
  <si>
    <t>sDiffSh2s</t>
  </si>
  <si>
    <t>oDiffSh2s</t>
  </si>
  <si>
    <t>Gco2</t>
  </si>
  <si>
    <t>G</t>
  </si>
  <si>
    <t>VsG</t>
  </si>
  <si>
    <t>dGb</t>
  </si>
  <si>
    <t>molG/bubble</t>
  </si>
  <si>
    <t>nGb</t>
  </si>
  <si>
    <t>molG/L</t>
  </si>
  <si>
    <r>
      <t>kg/m</t>
    </r>
    <r>
      <rPr>
        <vertAlign val="superscript"/>
        <sz val="10"/>
        <rFont val="Arial"/>
        <family val="2"/>
      </rPr>
      <t>3</t>
    </r>
  </si>
  <si>
    <t>%</t>
  </si>
  <si>
    <t>kLaS</t>
  </si>
  <si>
    <t>rTrGch4T</t>
  </si>
  <si>
    <t>rTrGco2T</t>
  </si>
  <si>
    <t>rTrGh2T</t>
  </si>
  <si>
    <t>rTrGn2T</t>
  </si>
  <si>
    <t>rTrGsh2T</t>
  </si>
  <si>
    <t>rTrGo2T</t>
  </si>
  <si>
    <t>rTrGch4B</t>
  </si>
  <si>
    <t>rTrGco2B</t>
  </si>
  <si>
    <t>rTrGh2B</t>
  </si>
  <si>
    <t>rTrGn2B</t>
  </si>
  <si>
    <t>rTrGsh2B</t>
  </si>
  <si>
    <t>rTrGo2B</t>
  </si>
  <si>
    <t>Vgas</t>
  </si>
  <si>
    <r>
      <t>m</t>
    </r>
    <r>
      <rPr>
        <vertAlign val="superscript"/>
        <sz val="10"/>
        <rFont val="Arial"/>
        <family val="2"/>
      </rPr>
      <t>3</t>
    </r>
    <r>
      <rPr>
        <vertAlign val="subscript"/>
        <sz val="10"/>
        <rFont val="Arial"/>
        <family val="2"/>
      </rPr>
      <t>G/</t>
    </r>
    <r>
      <rPr>
        <sz val="10"/>
        <rFont val="Arial"/>
        <family val="2"/>
      </rPr>
      <t>m</t>
    </r>
    <r>
      <rPr>
        <vertAlign val="superscript"/>
        <sz val="10"/>
        <rFont val="Arial"/>
        <family val="2"/>
      </rPr>
      <t>3</t>
    </r>
  </si>
  <si>
    <t>Lg/L</t>
  </si>
  <si>
    <t>iniVgas</t>
  </si>
  <si>
    <t>Samn</t>
  </si>
  <si>
    <t>rTrSamnT</t>
  </si>
  <si>
    <t>rTrSamnB</t>
  </si>
  <si>
    <t>sDiffSamn</t>
  </si>
  <si>
    <t>oDiffSamn</t>
  </si>
  <si>
    <t>DiffSamn</t>
  </si>
  <si>
    <t>DiffSh2s</t>
  </si>
  <si>
    <t>KsAMNs</t>
  </si>
  <si>
    <t>Biomass (Phytoplankton)</t>
  </si>
  <si>
    <t>Xphyt</t>
  </si>
  <si>
    <r>
      <t>CH</t>
    </r>
    <r>
      <rPr>
        <vertAlign val="subscript"/>
        <sz val="10"/>
        <rFont val="Arial"/>
        <family val="2"/>
      </rPr>
      <t>1.66</t>
    </r>
    <r>
      <rPr>
        <sz val="10"/>
        <rFont val="Arial"/>
        <family val="2"/>
      </rPr>
      <t>O</t>
    </r>
    <r>
      <rPr>
        <vertAlign val="subscript"/>
        <sz val="10"/>
        <rFont val="Arial"/>
        <family val="2"/>
      </rPr>
      <t>0.5</t>
    </r>
    <r>
      <rPr>
        <sz val="10"/>
        <rFont val="Arial"/>
        <family val="2"/>
      </rPr>
      <t>N</t>
    </r>
    <r>
      <rPr>
        <vertAlign val="subscript"/>
        <sz val="10"/>
        <rFont val="Arial"/>
        <family val="2"/>
      </rPr>
      <t>0.15</t>
    </r>
  </si>
  <si>
    <t>Cyanobact
decay</t>
  </si>
  <si>
    <t>f</t>
  </si>
  <si>
    <t>Test</t>
  </si>
  <si>
    <t>Autotrophic photosynthesis NH3</t>
  </si>
  <si>
    <t>Autotrophic photosynthesis NO3</t>
  </si>
  <si>
    <t>Main S id</t>
  </si>
  <si>
    <t>Autotrophic photosynthesis N2 fixation</t>
  </si>
  <si>
    <t>KsNcyb</t>
  </si>
  <si>
    <t>KsCcyb</t>
  </si>
  <si>
    <r>
      <t>DG</t>
    </r>
    <r>
      <rPr>
        <b/>
        <vertAlign val="superscript"/>
        <sz val="10"/>
        <rFont val="Arial"/>
        <family val="2"/>
      </rPr>
      <t>o</t>
    </r>
  </si>
  <si>
    <t>Sfe3</t>
  </si>
  <si>
    <t>Xfeoh</t>
  </si>
  <si>
    <t>rPrFe3</t>
  </si>
  <si>
    <t>sDiffSfe3</t>
  </si>
  <si>
    <t>oDiffSfe3</t>
  </si>
  <si>
    <t>molSfe3/L</t>
  </si>
  <si>
    <t>Kprfe3</t>
  </si>
  <si>
    <t>molSfe/L·h</t>
  </si>
  <si>
    <t>Sfe3max</t>
  </si>
  <si>
    <t>Iron III precipitation</t>
  </si>
  <si>
    <r>
      <t>Fe(OH)</t>
    </r>
    <r>
      <rPr>
        <vertAlign val="subscript"/>
        <sz val="10"/>
        <rFont val="Arial"/>
        <family val="2"/>
      </rPr>
      <t>3</t>
    </r>
  </si>
  <si>
    <t>Iron trihydroxide (s)</t>
  </si>
  <si>
    <t>Pyrite (s)</t>
  </si>
  <si>
    <t>FeS</t>
  </si>
  <si>
    <t>Yferd</t>
  </si>
  <si>
    <t>Denitrification on hydrogen</t>
  </si>
  <si>
    <t>Ydnh2</t>
  </si>
  <si>
    <t>Sulfate reduction with hydrogen</t>
  </si>
  <si>
    <t>Ysrdh2</t>
  </si>
  <si>
    <t>Iron reduction (III-II) with H2</t>
  </si>
  <si>
    <t>Yferdh2</t>
  </si>
  <si>
    <t>rMdnh2</t>
  </si>
  <si>
    <t>rMsrdh2</t>
  </si>
  <si>
    <t>rMferdh2</t>
  </si>
  <si>
    <t>Xdn</t>
  </si>
  <si>
    <t>rXdn</t>
  </si>
  <si>
    <t>Xhet</t>
  </si>
  <si>
    <t>rTrXhetT</t>
  </si>
  <si>
    <t>rTrXdnT</t>
  </si>
  <si>
    <t>rTrXhetB</t>
  </si>
  <si>
    <t>rTrXdnB</t>
  </si>
  <si>
    <t>KsDdnh2</t>
  </si>
  <si>
    <t>KsDsrdh2</t>
  </si>
  <si>
    <t>KsDferdh2</t>
  </si>
  <si>
    <t>KsAdnh2</t>
  </si>
  <si>
    <t>KsAsrdh2</t>
  </si>
  <si>
    <t>KsAferdh2</t>
  </si>
  <si>
    <t>qmdnh2</t>
  </si>
  <si>
    <t>qmsrdh2</t>
  </si>
  <si>
    <t>qmferdh2</t>
  </si>
  <si>
    <t>rXhet</t>
  </si>
  <si>
    <r>
      <t>Sº</t>
    </r>
    <r>
      <rPr>
        <b/>
        <i/>
        <vertAlign val="subscript"/>
        <sz val="10"/>
        <color indexed="8"/>
        <rFont val="Arial"/>
        <family val="2"/>
      </rPr>
      <t xml:space="preserve">
</t>
    </r>
    <r>
      <rPr>
        <b/>
        <sz val="10"/>
        <color indexed="8"/>
        <rFont val="Arial"/>
        <family val="2"/>
      </rPr>
      <t>(J/mol K)</t>
    </r>
  </si>
  <si>
    <r>
      <t>DHº</t>
    </r>
    <r>
      <rPr>
        <b/>
        <i/>
        <vertAlign val="subscript"/>
        <sz val="10"/>
        <color indexed="8"/>
        <rFont val="Arial"/>
        <family val="2"/>
      </rPr>
      <t xml:space="preserve">f
</t>
    </r>
    <r>
      <rPr>
        <b/>
        <sz val="10"/>
        <color indexed="8"/>
        <rFont val="Arial"/>
        <family val="2"/>
      </rPr>
      <t>(kJ/mol)</t>
    </r>
  </si>
  <si>
    <r>
      <t>DGº</t>
    </r>
    <r>
      <rPr>
        <b/>
        <i/>
        <vertAlign val="subscript"/>
        <sz val="10"/>
        <color indexed="8"/>
        <rFont val="Arial"/>
        <family val="2"/>
      </rPr>
      <t xml:space="preserve">f
</t>
    </r>
    <r>
      <rPr>
        <b/>
        <sz val="10"/>
        <color indexed="8"/>
        <rFont val="Arial"/>
        <family val="2"/>
      </rPr>
      <t>(kJ/mol)</t>
    </r>
  </si>
  <si>
    <r>
      <t>DSº</t>
    </r>
    <r>
      <rPr>
        <b/>
        <i/>
        <vertAlign val="subscript"/>
        <sz val="10"/>
        <color indexed="8"/>
        <rFont val="Arial"/>
        <family val="2"/>
      </rPr>
      <t xml:space="preserve">f
</t>
    </r>
    <r>
      <rPr>
        <b/>
        <sz val="10"/>
        <color indexed="8"/>
        <rFont val="Arial"/>
        <family val="2"/>
      </rPr>
      <t>(kJ/mol K)</t>
    </r>
  </si>
  <si>
    <t>pHlo</t>
  </si>
  <si>
    <t>pHuo</t>
  </si>
  <si>
    <t>Alake</t>
  </si>
  <si>
    <t>m2</t>
  </si>
  <si>
    <t>Qin</t>
  </si>
  <si>
    <t>m3</t>
  </si>
  <si>
    <t>HRT</t>
  </si>
  <si>
    <t>vFlow</t>
  </si>
  <si>
    <t>h</t>
  </si>
  <si>
    <t>m3/h</t>
  </si>
  <si>
    <t>pFlow</t>
  </si>
  <si>
    <t>molCx/L</t>
  </si>
  <si>
    <t>pV</t>
  </si>
  <si>
    <t>p1</t>
  </si>
  <si>
    <t>D</t>
  </si>
  <si>
    <t>d</t>
  </si>
  <si>
    <t>ThermoFlag</t>
  </si>
  <si>
    <t>Ic</t>
  </si>
  <si>
    <t>M</t>
  </si>
  <si>
    <t>G0g</t>
  </si>
  <si>
    <t>H0g</t>
  </si>
  <si>
    <t>rTrXfe3T</t>
  </si>
  <si>
    <t>rTrXfe3B</t>
  </si>
  <si>
    <t>SRT</t>
  </si>
  <si>
    <t>Vliq</t>
  </si>
  <si>
    <t>Ph2o</t>
  </si>
  <si>
    <t>rTr</t>
  </si>
  <si>
    <t>rRc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</si>
</sst>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
    <numFmt numFmtId="165" formatCode="_-[$€]* #,##0.00_-;\-[$€]* #,##0.00_-;_-[$€]* &quot;-&quot;??_-;_-@_-"/>
    <numFmt numFmtId="166" formatCode="_-* #,##0\ &quot;pta&quot;_-;\-* #,##0\ &quot;pta&quot;_-;_-* &quot;-&quot;\ &quot;pta&quot;_-;_-@_-"/>
    <numFmt numFmtId="167" formatCode="_-* #,##0\ _p_t_a_-;\-* #,##0\ _p_t_a_-;_-* &quot;-&quot;\ _p_t_a_-;_-@_-"/>
    <numFmt numFmtId="168" formatCode="_-* #,##0.00\ &quot;pta&quot;_-;\-* #,##0.00\ &quot;pta&quot;_-;_-* &quot;-&quot;??\ &quot;pta&quot;_-;_-@_-"/>
    <numFmt numFmtId="169" formatCode="_-* #,##0.00\ _p_t_a_-;\-* #,##0.00\ _p_t_a_-;_-* &quot;-&quot;??\ _p_t_a_-;_-@_-"/>
    <numFmt numFmtId="170" formatCode="_-* #,##0.00\ [$€-1]_-;\-* #,##0.00\ [$€-1]_-;_-* &quot;-&quot;??\ [$€-1]_-"/>
    <numFmt numFmtId="171" formatCode="0.000"/>
    <numFmt numFmtId="172" formatCode="0.0"/>
    <numFmt numFmtId="173" formatCode="0.0E+00"/>
  </numFmts>
  <fonts count="76">
    <font>
      <sz val="10"/>
      <name val="Arial"/>
    </font>
    <font>
      <sz val="11"/>
      <color indexed="8"/>
      <name val="Calibri"/>
      <family val="2"/>
    </font>
    <font>
      <sz val="10"/>
      <name val="Arial"/>
      <family val="2"/>
    </font>
    <font>
      <sz val="8"/>
      <name val="Arial"/>
      <family val="2"/>
    </font>
    <font>
      <sz val="10"/>
      <name val="Arial"/>
      <family val="2"/>
    </font>
    <font>
      <sz val="10"/>
      <color indexed="8"/>
      <name val="Arial"/>
      <family val="2"/>
    </font>
    <font>
      <b/>
      <sz val="10"/>
      <name val="Arial"/>
      <family val="2"/>
    </font>
    <font>
      <b/>
      <i/>
      <vertAlign val="subscript"/>
      <sz val="10"/>
      <color indexed="8"/>
      <name val="Arial"/>
      <family val="2"/>
    </font>
    <font>
      <b/>
      <sz val="10"/>
      <color indexed="8"/>
      <name val="Arial"/>
      <family val="2"/>
    </font>
    <font>
      <vertAlign val="subscript"/>
      <sz val="10"/>
      <name val="Arial"/>
      <family val="2"/>
    </font>
    <font>
      <sz val="10"/>
      <color indexed="23"/>
      <name val="Arial"/>
      <family val="2"/>
    </font>
    <font>
      <sz val="10"/>
      <color indexed="12"/>
      <name val="Arial"/>
      <family val="2"/>
    </font>
    <font>
      <vertAlign val="superscript"/>
      <sz val="10"/>
      <name val="Arial"/>
      <family val="2"/>
    </font>
    <font>
      <sz val="10"/>
      <color indexed="8"/>
      <name val="Arial"/>
      <family val="2"/>
    </font>
    <font>
      <sz val="10"/>
      <color indexed="10"/>
      <name val="Arial"/>
      <family val="2"/>
    </font>
    <font>
      <sz val="10"/>
      <color indexed="14"/>
      <name val="Arial"/>
      <family val="2"/>
    </font>
    <font>
      <sz val="10"/>
      <color indexed="17"/>
      <name val="Arial"/>
      <family val="2"/>
    </font>
    <font>
      <sz val="10"/>
      <color indexed="17"/>
      <name val="Arial"/>
      <family val="2"/>
    </font>
    <font>
      <sz val="10"/>
      <color indexed="12"/>
      <name val="Arial"/>
      <family val="2"/>
    </font>
    <font>
      <sz val="10"/>
      <color indexed="60"/>
      <name val="Arial"/>
      <family val="2"/>
    </font>
    <font>
      <sz val="10"/>
      <color indexed="10"/>
      <name val="Arial"/>
      <family val="2"/>
    </font>
    <font>
      <b/>
      <vertAlign val="superscript"/>
      <sz val="10"/>
      <name val="Arial"/>
      <family val="2"/>
    </font>
    <font>
      <b/>
      <vertAlign val="subscript"/>
      <sz val="10"/>
      <name val="Arial"/>
      <family val="2"/>
    </font>
    <font>
      <b/>
      <sz val="10"/>
      <name val="Symbol"/>
      <family val="1"/>
      <charset val="2"/>
    </font>
    <font>
      <i/>
      <sz val="10"/>
      <name val="Arial"/>
      <family val="2"/>
    </font>
    <font>
      <sz val="10"/>
      <color indexed="60"/>
      <name val="Arial"/>
      <family val="2"/>
    </font>
    <font>
      <sz val="10"/>
      <color indexed="14"/>
      <name val="Arial"/>
      <family val="2"/>
    </font>
    <font>
      <b/>
      <i/>
      <sz val="10"/>
      <name val="Arial"/>
      <family val="2"/>
    </font>
    <font>
      <b/>
      <sz val="8"/>
      <color indexed="81"/>
      <name val="Tahoma"/>
      <family val="2"/>
    </font>
    <font>
      <sz val="8"/>
      <color indexed="81"/>
      <name val="Tahoma"/>
      <family val="2"/>
    </font>
    <font>
      <sz val="18"/>
      <name val="Arial"/>
      <family val="2"/>
    </font>
    <font>
      <sz val="10"/>
      <color indexed="23"/>
      <name val="Arial"/>
      <family val="2"/>
    </font>
    <font>
      <b/>
      <sz val="10"/>
      <color indexed="9"/>
      <name val="Arial"/>
      <family val="2"/>
    </font>
    <font>
      <sz val="10"/>
      <color indexed="22"/>
      <name val="Arial"/>
      <family val="2"/>
    </font>
    <font>
      <sz val="10"/>
      <color indexed="48"/>
      <name val="Arial"/>
      <family val="2"/>
    </font>
    <font>
      <sz val="11"/>
      <name val="Arial"/>
      <family val="2"/>
    </font>
    <font>
      <sz val="10"/>
      <color indexed="52"/>
      <name val="Arial"/>
      <family val="2"/>
    </font>
    <font>
      <sz val="10"/>
      <color indexed="12"/>
      <name val="Arial"/>
      <family val="2"/>
    </font>
    <font>
      <sz val="10"/>
      <color indexed="14"/>
      <name val="Arial"/>
      <family val="2"/>
    </font>
    <font>
      <sz val="10"/>
      <name val="Arial"/>
      <family val="2"/>
    </font>
    <font>
      <b/>
      <sz val="12"/>
      <name val="Arial"/>
      <family val="2"/>
    </font>
    <font>
      <sz val="10"/>
      <name val="Methane"/>
    </font>
    <font>
      <sz val="10"/>
      <color indexed="10"/>
      <name val="Arial"/>
      <family val="2"/>
    </font>
    <font>
      <b/>
      <sz val="10"/>
      <color indexed="12"/>
      <name val="Arial"/>
      <family val="2"/>
    </font>
    <font>
      <b/>
      <sz val="10"/>
      <color indexed="62"/>
      <name val="Arial"/>
      <family val="2"/>
    </font>
    <font>
      <b/>
      <i/>
      <sz val="10"/>
      <color indexed="10"/>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b/>
      <sz val="10"/>
      <color indexed="16"/>
      <name val="Arial"/>
      <family val="2"/>
    </font>
    <font>
      <sz val="8"/>
      <name val="Arial"/>
      <family val="2"/>
    </font>
    <font>
      <b/>
      <sz val="10"/>
      <color indexed="55"/>
      <name val="Arial"/>
      <family val="2"/>
    </font>
    <font>
      <sz val="10"/>
      <color indexed="55"/>
      <name val="Arial"/>
      <family val="2"/>
    </font>
    <font>
      <vertAlign val="superscript"/>
      <sz val="10"/>
      <color indexed="55"/>
      <name val="Arial"/>
      <family val="2"/>
    </font>
    <font>
      <sz val="10"/>
      <color indexed="23"/>
      <name val="Arial"/>
      <family val="2"/>
    </font>
    <font>
      <sz val="10"/>
      <color indexed="56"/>
      <name val="Arial"/>
      <family val="2"/>
    </font>
    <font>
      <b/>
      <sz val="10"/>
      <color indexed="61"/>
      <name val="Arial"/>
      <family val="2"/>
    </font>
    <font>
      <b/>
      <sz val="10"/>
      <color indexed="23"/>
      <name val="Arial"/>
      <family val="2"/>
    </font>
    <font>
      <b/>
      <i/>
      <sz val="10"/>
      <color indexed="23"/>
      <name val="Arial"/>
      <family val="2"/>
    </font>
    <font>
      <i/>
      <sz val="10"/>
      <color indexed="23"/>
      <name val="Arial"/>
      <family val="2"/>
    </font>
    <font>
      <sz val="10"/>
      <color indexed="62"/>
      <name val="Arial"/>
      <family val="2"/>
    </font>
    <font>
      <sz val="10"/>
      <color indexed="10"/>
      <name val="Arial"/>
      <family val="2"/>
    </font>
    <font>
      <sz val="10"/>
      <color rgb="FFFF0000"/>
      <name val="Arial"/>
      <family val="2"/>
    </font>
    <font>
      <sz val="9"/>
      <color indexed="81"/>
      <name val="Tahoma"/>
      <family val="2"/>
    </font>
    <font>
      <b/>
      <sz val="9"/>
      <color indexed="81"/>
      <name val="Tahoma"/>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22"/>
        <bgColor indexed="64"/>
      </patternFill>
    </fill>
    <fill>
      <patternFill patternType="solid">
        <fgColor indexed="8"/>
        <bgColor indexed="64"/>
      </patternFill>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indexed="55"/>
        <bgColor indexed="64"/>
      </patternFill>
    </fill>
    <fill>
      <patternFill patternType="solid">
        <fgColor rgb="FFFFFF00"/>
        <bgColor indexed="64"/>
      </patternFill>
    </fill>
    <fill>
      <patternFill patternType="solid">
        <fgColor theme="6" tint="0.39997558519241921"/>
        <bgColor indexed="64"/>
      </patternFill>
    </fill>
  </fills>
  <borders count="7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thin">
        <color indexed="64"/>
      </left>
      <right style="thin">
        <color indexed="64"/>
      </right>
      <top style="medium">
        <color indexed="64"/>
      </top>
      <bottom style="medium">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
      <left style="double">
        <color indexed="64"/>
      </left>
      <right style="double">
        <color indexed="64"/>
      </right>
      <top style="medium">
        <color indexed="64"/>
      </top>
      <bottom style="medium">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s>
  <cellStyleXfs count="4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59" fillId="12" borderId="0" applyNumberFormat="0" applyBorder="0" applyAlignment="0" applyProtection="0"/>
    <xf numFmtId="0" fontId="59" fillId="9" borderId="0" applyNumberFormat="0" applyBorder="0" applyAlignment="0" applyProtection="0"/>
    <xf numFmtId="0" fontId="59" fillId="10"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5"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3" borderId="0" applyNumberFormat="0" applyBorder="0" applyAlignment="0" applyProtection="0"/>
    <xf numFmtId="0" fontId="59" fillId="14" borderId="0" applyNumberFormat="0" applyBorder="0" applyAlignment="0" applyProtection="0"/>
    <xf numFmtId="0" fontId="59" fillId="19" borderId="0" applyNumberFormat="0" applyBorder="0" applyAlignment="0" applyProtection="0"/>
    <xf numFmtId="0" fontId="51" fillId="3" borderId="0" applyNumberFormat="0" applyBorder="0" applyAlignment="0" applyProtection="0"/>
    <xf numFmtId="0" fontId="54" fillId="20" borderId="1" applyNumberFormat="0" applyAlignment="0" applyProtection="0"/>
    <xf numFmtId="0" fontId="56" fillId="21" borderId="2" applyNumberFormat="0" applyAlignment="0" applyProtection="0"/>
    <xf numFmtId="165" fontId="2" fillId="0" borderId="0" applyFont="0" applyFill="0" applyBorder="0" applyAlignment="0" applyProtection="0"/>
    <xf numFmtId="0" fontId="58" fillId="0" borderId="0" applyNumberFormat="0" applyFill="0" applyBorder="0" applyAlignment="0" applyProtection="0"/>
    <xf numFmtId="0" fontId="50" fillId="4" borderId="0" applyNumberFormat="0" applyBorder="0" applyAlignment="0" applyProtection="0"/>
    <xf numFmtId="0" fontId="47" fillId="0" borderId="4" applyNumberFormat="0" applyFill="0" applyAlignment="0" applyProtection="0"/>
    <xf numFmtId="0" fontId="48" fillId="0" borderId="5" applyNumberFormat="0" applyFill="0" applyAlignment="0" applyProtection="0"/>
    <xf numFmtId="0" fontId="49" fillId="0" borderId="6" applyNumberFormat="0" applyFill="0" applyAlignment="0" applyProtection="0"/>
    <xf numFmtId="0" fontId="49" fillId="0" borderId="0" applyNumberFormat="0" applyFill="0" applyBorder="0" applyAlignment="0" applyProtection="0"/>
    <xf numFmtId="0" fontId="52" fillId="7" borderId="1" applyNumberFormat="0" applyAlignment="0" applyProtection="0"/>
    <xf numFmtId="0" fontId="55" fillId="0" borderId="3" applyNumberFormat="0" applyFill="0" applyAlignment="0" applyProtection="0"/>
    <xf numFmtId="167" fontId="2"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0" fontId="2" fillId="0" borderId="0"/>
    <xf numFmtId="170" fontId="39" fillId="0" borderId="0"/>
    <xf numFmtId="0" fontId="2" fillId="22" borderId="7" applyNumberFormat="0" applyFont="0" applyAlignment="0" applyProtection="0"/>
    <xf numFmtId="0" fontId="53" fillId="20" borderId="8" applyNumberFormat="0" applyAlignment="0" applyProtection="0"/>
    <xf numFmtId="0" fontId="46" fillId="0" borderId="0" applyNumberFormat="0" applyFill="0" applyBorder="0" applyAlignment="0" applyProtection="0"/>
    <xf numFmtId="0" fontId="57" fillId="0" borderId="0" applyNumberFormat="0" applyFill="0" applyBorder="0" applyAlignment="0" applyProtection="0"/>
  </cellStyleXfs>
  <cellXfs count="441">
    <xf numFmtId="0" fontId="0" fillId="0" borderId="0" xfId="0"/>
    <xf numFmtId="0" fontId="2" fillId="0" borderId="0" xfId="0" applyFont="1" applyBorder="1" applyAlignment="1" applyProtection="1">
      <alignment horizontal="center" vertical="center"/>
    </xf>
    <xf numFmtId="0" fontId="31" fillId="0" borderId="9" xfId="0" applyFont="1" applyBorder="1" applyAlignment="1" applyProtection="1">
      <alignment horizontal="center" vertical="center"/>
    </xf>
    <xf numFmtId="0" fontId="4" fillId="0" borderId="0" xfId="0" applyFont="1" applyBorder="1" applyAlignment="1" applyProtection="1">
      <alignment horizontal="center" vertical="center"/>
    </xf>
    <xf numFmtId="0" fontId="2" fillId="23" borderId="10" xfId="0" applyFont="1" applyFill="1" applyBorder="1" applyAlignment="1" applyProtection="1">
      <alignment horizontal="center" vertical="center"/>
    </xf>
    <xf numFmtId="0" fontId="31" fillId="23" borderId="11" xfId="0" applyFont="1" applyFill="1" applyBorder="1" applyAlignment="1" applyProtection="1">
      <alignment horizontal="center" vertical="center"/>
    </xf>
    <xf numFmtId="0" fontId="2" fillId="0" borderId="12" xfId="0" applyFont="1" applyBorder="1" applyAlignment="1" applyProtection="1">
      <alignment horizontal="center" vertical="center"/>
    </xf>
    <xf numFmtId="0" fontId="31" fillId="0" borderId="13" xfId="0" applyFont="1" applyBorder="1" applyAlignment="1" applyProtection="1">
      <alignment horizontal="center" vertical="center"/>
    </xf>
    <xf numFmtId="0" fontId="4" fillId="0" borderId="14" xfId="0" applyFont="1" applyBorder="1" applyAlignment="1" applyProtection="1">
      <alignment horizontal="center" vertical="center"/>
    </xf>
    <xf numFmtId="0" fontId="4" fillId="0" borderId="15" xfId="0" applyFont="1" applyBorder="1" applyAlignment="1" applyProtection="1">
      <alignment horizontal="center" vertical="center"/>
    </xf>
    <xf numFmtId="0" fontId="4" fillId="0" borderId="16" xfId="0" applyFont="1" applyBorder="1" applyAlignment="1" applyProtection="1">
      <alignment horizontal="center" vertical="center"/>
    </xf>
    <xf numFmtId="0" fontId="4" fillId="0" borderId="0" xfId="0" applyNumberFormat="1" applyFont="1" applyBorder="1" applyAlignment="1" applyProtection="1">
      <alignment horizontal="center" vertical="center"/>
    </xf>
    <xf numFmtId="0" fontId="0" fillId="0" borderId="14" xfId="0" applyBorder="1" applyAlignment="1" applyProtection="1">
      <alignment horizontal="center" vertical="center"/>
    </xf>
    <xf numFmtId="0" fontId="2" fillId="0" borderId="14" xfId="0" applyFont="1" applyBorder="1" applyAlignment="1" applyProtection="1">
      <alignment horizontal="center" vertical="center"/>
    </xf>
    <xf numFmtId="0" fontId="0" fillId="0" borderId="0" xfId="0" applyAlignment="1" applyProtection="1">
      <alignment horizontal="center" vertical="center"/>
    </xf>
    <xf numFmtId="0" fontId="4" fillId="0" borderId="0" xfId="0" applyFont="1" applyAlignment="1" applyProtection="1">
      <alignment horizontal="center" vertical="center"/>
    </xf>
    <xf numFmtId="0" fontId="5" fillId="0" borderId="0" xfId="0" applyNumberFormat="1" applyFont="1" applyAlignment="1" applyProtection="1">
      <alignment horizontal="center" vertical="center"/>
    </xf>
    <xf numFmtId="0" fontId="32" fillId="24" borderId="17" xfId="0" applyFont="1" applyFill="1" applyBorder="1" applyAlignment="1" applyProtection="1">
      <alignment horizontal="center" vertical="center"/>
    </xf>
    <xf numFmtId="0" fontId="32" fillId="24" borderId="17" xfId="0" applyFont="1" applyFill="1" applyBorder="1" applyAlignment="1" applyProtection="1">
      <alignment horizontal="center" vertical="center" wrapText="1"/>
    </xf>
    <xf numFmtId="0" fontId="6" fillId="0" borderId="18" xfId="0" applyFont="1" applyBorder="1" applyAlignment="1" applyProtection="1">
      <alignment horizontal="center" vertical="center" wrapText="1"/>
    </xf>
    <xf numFmtId="0" fontId="6" fillId="0" borderId="19" xfId="0" applyFont="1" applyBorder="1" applyAlignment="1" applyProtection="1">
      <alignment horizontal="center" vertical="center" wrapText="1"/>
    </xf>
    <xf numFmtId="0" fontId="23" fillId="0" borderId="19" xfId="0" applyFont="1" applyBorder="1" applyAlignment="1" applyProtection="1">
      <alignment horizontal="center" vertical="center" wrapText="1"/>
    </xf>
    <xf numFmtId="0" fontId="27" fillId="0" borderId="0" xfId="0" applyFont="1" applyBorder="1" applyAlignment="1" applyProtection="1">
      <alignment horizontal="center" vertical="center"/>
    </xf>
    <xf numFmtId="0" fontId="6" fillId="0" borderId="17" xfId="0" applyFont="1" applyBorder="1" applyAlignment="1" applyProtection="1">
      <alignment horizontal="center" vertical="center"/>
    </xf>
    <xf numFmtId="0" fontId="23" fillId="0" borderId="17" xfId="0" applyFont="1" applyBorder="1" applyAlignment="1" applyProtection="1">
      <alignment horizontal="center" vertical="center"/>
    </xf>
    <xf numFmtId="0" fontId="4" fillId="23" borderId="10" xfId="0" applyFont="1" applyFill="1" applyBorder="1" applyAlignment="1" applyProtection="1">
      <alignment horizontal="center" vertical="center"/>
    </xf>
    <xf numFmtId="0" fontId="0" fillId="23" borderId="20" xfId="0" applyFill="1" applyBorder="1" applyAlignment="1" applyProtection="1">
      <alignment horizontal="center" vertical="center"/>
    </xf>
    <xf numFmtId="0" fontId="2" fillId="23" borderId="20" xfId="0" applyFont="1" applyFill="1" applyBorder="1" applyAlignment="1" applyProtection="1">
      <alignment horizontal="center" vertical="center"/>
    </xf>
    <xf numFmtId="0" fontId="0" fillId="0" borderId="0" xfId="0" applyBorder="1" applyAlignment="1" applyProtection="1">
      <alignment horizontal="center" vertical="center"/>
    </xf>
    <xf numFmtId="0" fontId="2" fillId="0" borderId="16" xfId="0" applyFont="1" applyBorder="1" applyAlignment="1" applyProtection="1">
      <alignment horizontal="center" vertical="center"/>
    </xf>
    <xf numFmtId="0" fontId="27" fillId="0" borderId="21" xfId="0" applyFont="1" applyBorder="1" applyAlignment="1" applyProtection="1">
      <alignment horizontal="center"/>
    </xf>
    <xf numFmtId="0" fontId="24" fillId="0" borderId="21" xfId="0" applyFont="1" applyBorder="1" applyAlignment="1" applyProtection="1">
      <alignment horizontal="center"/>
    </xf>
    <xf numFmtId="0" fontId="24" fillId="0" borderId="22" xfId="0" applyFont="1" applyBorder="1" applyAlignment="1" applyProtection="1">
      <alignment horizontal="center"/>
    </xf>
    <xf numFmtId="0" fontId="0" fillId="0" borderId="22" xfId="0" applyBorder="1" applyAlignment="1" applyProtection="1">
      <alignment horizontal="center" vertical="center"/>
    </xf>
    <xf numFmtId="0" fontId="24" fillId="0" borderId="23" xfId="0" applyFont="1" applyBorder="1" applyAlignment="1" applyProtection="1">
      <alignment horizontal="center"/>
    </xf>
    <xf numFmtId="0" fontId="27" fillId="0" borderId="24" xfId="0" applyFont="1" applyBorder="1" applyAlignment="1" applyProtection="1">
      <alignment horizontal="center"/>
    </xf>
    <xf numFmtId="0" fontId="24" fillId="0" borderId="24" xfId="0" applyFont="1" applyBorder="1" applyAlignment="1" applyProtection="1">
      <alignment horizontal="center"/>
    </xf>
    <xf numFmtId="0" fontId="24" fillId="0" borderId="25" xfId="0" applyFont="1" applyBorder="1" applyAlignment="1" applyProtection="1">
      <alignment horizontal="center"/>
    </xf>
    <xf numFmtId="0" fontId="0" fillId="0" borderId="25" xfId="0" applyBorder="1" applyAlignment="1" applyProtection="1">
      <alignment horizontal="center" vertical="center"/>
    </xf>
    <xf numFmtId="0" fontId="24" fillId="0" borderId="26" xfId="0" applyFont="1" applyBorder="1" applyAlignment="1" applyProtection="1">
      <alignment horizontal="center"/>
    </xf>
    <xf numFmtId="0" fontId="6" fillId="0" borderId="0" xfId="0" applyFont="1" applyAlignment="1" applyProtection="1">
      <alignment horizontal="center" vertical="center"/>
    </xf>
    <xf numFmtId="0" fontId="6" fillId="0" borderId="14" xfId="0" applyFont="1" applyBorder="1" applyAlignment="1" applyProtection="1">
      <alignment horizontal="center" vertical="center"/>
    </xf>
    <xf numFmtId="0" fontId="6" fillId="0" borderId="16" xfId="0" applyFont="1" applyBorder="1" applyAlignment="1" applyProtection="1">
      <alignment horizontal="center" vertical="center"/>
    </xf>
    <xf numFmtId="0" fontId="14" fillId="0" borderId="14" xfId="0" applyFont="1" applyBorder="1" applyAlignment="1" applyProtection="1">
      <alignment horizontal="center" vertical="center"/>
    </xf>
    <xf numFmtId="11" fontId="14" fillId="0" borderId="14" xfId="0" applyNumberFormat="1" applyFont="1" applyBorder="1" applyAlignment="1" applyProtection="1">
      <alignment horizontal="center" vertical="center"/>
    </xf>
    <xf numFmtId="0" fontId="4" fillId="24" borderId="0" xfId="0" applyFont="1" applyFill="1" applyAlignment="1" applyProtection="1">
      <alignment horizontal="center" vertical="center"/>
    </xf>
    <xf numFmtId="0" fontId="5" fillId="24" borderId="0" xfId="0" applyNumberFormat="1" applyFont="1" applyFill="1" applyAlignment="1" applyProtection="1">
      <alignment horizontal="center" vertical="center"/>
    </xf>
    <xf numFmtId="0" fontId="4" fillId="24" borderId="0" xfId="0" applyNumberFormat="1" applyFont="1" applyFill="1" applyAlignment="1" applyProtection="1">
      <alignment horizontal="center" vertical="center"/>
    </xf>
    <xf numFmtId="0" fontId="6" fillId="0" borderId="27" xfId="0" applyFont="1" applyBorder="1" applyAlignment="1" applyProtection="1">
      <alignment horizontal="center" vertical="center" wrapText="1"/>
    </xf>
    <xf numFmtId="0" fontId="8" fillId="0" borderId="28" xfId="0" applyNumberFormat="1"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6" fillId="0" borderId="17" xfId="0" applyNumberFormat="1" applyFont="1" applyBorder="1" applyAlignment="1" applyProtection="1">
      <alignment horizontal="center" vertical="center" wrapText="1"/>
    </xf>
    <xf numFmtId="0" fontId="4" fillId="0" borderId="9" xfId="0" applyFont="1" applyBorder="1" applyAlignment="1" applyProtection="1">
      <alignment horizontal="center" vertical="center"/>
    </xf>
    <xf numFmtId="0" fontId="5" fillId="0" borderId="15" xfId="0" applyNumberFormat="1" applyFont="1" applyBorder="1" applyAlignment="1" applyProtection="1">
      <alignment horizontal="center" vertical="center"/>
    </xf>
    <xf numFmtId="0" fontId="10" fillId="0" borderId="14" xfId="0" applyFont="1" applyBorder="1" applyAlignment="1" applyProtection="1">
      <alignment horizontal="center" vertical="center"/>
    </xf>
    <xf numFmtId="0" fontId="10" fillId="0" borderId="14" xfId="0" applyNumberFormat="1" applyFont="1" applyBorder="1" applyAlignment="1" applyProtection="1">
      <alignment horizontal="center" vertical="center"/>
    </xf>
    <xf numFmtId="0" fontId="13" fillId="0" borderId="15" xfId="0" applyNumberFormat="1" applyFont="1" applyBorder="1" applyAlignment="1" applyProtection="1">
      <alignment horizontal="center" vertical="center"/>
    </xf>
    <xf numFmtId="0" fontId="14" fillId="0" borderId="15" xfId="0" applyNumberFormat="1" applyFont="1" applyBorder="1" applyAlignment="1" applyProtection="1">
      <alignment horizontal="center" vertical="center"/>
    </xf>
    <xf numFmtId="0" fontId="15" fillId="0" borderId="15" xfId="0" applyNumberFormat="1" applyFont="1" applyBorder="1" applyAlignment="1" applyProtection="1">
      <alignment horizontal="center" vertical="center"/>
    </xf>
    <xf numFmtId="0" fontId="16" fillId="0" borderId="15" xfId="0" applyFont="1" applyBorder="1" applyAlignment="1" applyProtection="1">
      <alignment horizontal="center" vertical="center"/>
    </xf>
    <xf numFmtId="0" fontId="17" fillId="0" borderId="15" xfId="0" applyNumberFormat="1" applyFont="1" applyBorder="1" applyAlignment="1" applyProtection="1">
      <alignment horizontal="center" vertical="center"/>
    </xf>
    <xf numFmtId="0" fontId="13" fillId="0" borderId="14" xfId="0" applyNumberFormat="1" applyFont="1" applyBorder="1" applyAlignment="1" applyProtection="1">
      <alignment horizontal="center" vertical="center"/>
    </xf>
    <xf numFmtId="164" fontId="10" fillId="0" borderId="14" xfId="0" applyNumberFormat="1" applyFont="1" applyBorder="1" applyAlignment="1" applyProtection="1">
      <alignment horizontal="center" vertical="center"/>
    </xf>
    <xf numFmtId="0" fontId="18" fillId="0" borderId="15" xfId="0" applyNumberFormat="1" applyFont="1" applyBorder="1" applyAlignment="1" applyProtection="1">
      <alignment horizontal="center" vertical="center"/>
    </xf>
    <xf numFmtId="0" fontId="5" fillId="0" borderId="14" xfId="0" applyNumberFormat="1" applyFont="1" applyBorder="1" applyAlignment="1" applyProtection="1">
      <alignment horizontal="center" vertical="center"/>
    </xf>
    <xf numFmtId="0" fontId="18" fillId="0" borderId="14" xfId="0" applyNumberFormat="1" applyFont="1" applyBorder="1" applyAlignment="1" applyProtection="1">
      <alignment horizontal="center" vertical="center"/>
    </xf>
    <xf numFmtId="0" fontId="15" fillId="0" borderId="14" xfId="0" applyNumberFormat="1" applyFont="1" applyBorder="1" applyAlignment="1" applyProtection="1">
      <alignment horizontal="center" vertical="center"/>
    </xf>
    <xf numFmtId="0" fontId="2" fillId="0" borderId="14" xfId="0" applyNumberFormat="1" applyFont="1" applyBorder="1" applyAlignment="1" applyProtection="1">
      <alignment horizontal="center" vertical="center"/>
    </xf>
    <xf numFmtId="0" fontId="19" fillId="0" borderId="14" xfId="0" applyNumberFormat="1" applyFont="1" applyBorder="1" applyAlignment="1" applyProtection="1">
      <alignment horizontal="center" vertical="center"/>
    </xf>
    <xf numFmtId="0" fontId="11" fillId="0" borderId="14" xfId="0" applyFont="1" applyBorder="1" applyAlignment="1" applyProtection="1">
      <alignment horizontal="center" vertical="center"/>
    </xf>
    <xf numFmtId="0" fontId="4" fillId="0" borderId="13" xfId="0" applyFont="1" applyBorder="1" applyAlignment="1" applyProtection="1">
      <alignment horizontal="center" vertical="center"/>
    </xf>
    <xf numFmtId="0" fontId="10" fillId="0" borderId="16" xfId="0" applyFont="1" applyBorder="1" applyAlignment="1" applyProtection="1">
      <alignment horizontal="center" vertical="center"/>
    </xf>
    <xf numFmtId="0" fontId="10" fillId="0" borderId="16" xfId="0" applyNumberFormat="1" applyFont="1" applyBorder="1" applyAlignment="1" applyProtection="1">
      <alignment horizontal="center" vertical="center"/>
    </xf>
    <xf numFmtId="0" fontId="4" fillId="0" borderId="0" xfId="0" applyNumberFormat="1" applyFont="1" applyAlignment="1" applyProtection="1">
      <alignment horizontal="center" vertical="center"/>
    </xf>
    <xf numFmtId="0" fontId="27" fillId="0" borderId="0" xfId="0" applyFont="1" applyBorder="1" applyAlignment="1" applyProtection="1">
      <alignment horizontal="center"/>
    </xf>
    <xf numFmtId="0" fontId="24" fillId="0" borderId="0" xfId="0" applyFont="1" applyBorder="1" applyAlignment="1" applyProtection="1">
      <alignment horizontal="center"/>
    </xf>
    <xf numFmtId="0" fontId="23" fillId="0" borderId="0" xfId="0" applyFont="1" applyBorder="1" applyAlignment="1" applyProtection="1">
      <alignment horizontal="center" vertical="center"/>
    </xf>
    <xf numFmtId="0" fontId="24" fillId="0" borderId="0" xfId="0" applyFont="1" applyAlignment="1" applyProtection="1">
      <alignment horizontal="center" vertical="center"/>
    </xf>
    <xf numFmtId="0" fontId="11" fillId="0" borderId="0" xfId="0" applyNumberFormat="1" applyFont="1" applyBorder="1" applyAlignment="1" applyProtection="1">
      <alignment horizontal="center" vertical="center"/>
    </xf>
    <xf numFmtId="0" fontId="16" fillId="0" borderId="0" xfId="0" applyFont="1" applyBorder="1" applyAlignment="1" applyProtection="1">
      <alignment horizontal="center" vertical="center"/>
    </xf>
    <xf numFmtId="0" fontId="20" fillId="0" borderId="0" xfId="0" applyNumberFormat="1" applyFont="1" applyBorder="1" applyAlignment="1" applyProtection="1">
      <alignment horizontal="center" vertical="center"/>
    </xf>
    <xf numFmtId="0" fontId="25" fillId="0" borderId="0" xfId="0" applyNumberFormat="1" applyFont="1" applyBorder="1" applyAlignment="1" applyProtection="1">
      <alignment horizontal="center" vertical="center"/>
    </xf>
    <xf numFmtId="0" fontId="26" fillId="0" borderId="0" xfId="0" applyNumberFormat="1" applyFont="1" applyBorder="1" applyAlignment="1" applyProtection="1">
      <alignment horizontal="center" vertical="center"/>
    </xf>
    <xf numFmtId="0" fontId="27" fillId="0" borderId="0" xfId="0" applyFont="1" applyAlignment="1" applyProtection="1">
      <alignment horizontal="center" vertical="center" wrapText="1"/>
    </xf>
    <xf numFmtId="0" fontId="6" fillId="0" borderId="0" xfId="0" applyFont="1" applyBorder="1" applyAlignment="1" applyProtection="1">
      <alignment horizontal="center" vertical="center"/>
    </xf>
    <xf numFmtId="0" fontId="4" fillId="0" borderId="26" xfId="0" applyFont="1" applyBorder="1" applyAlignment="1" applyProtection="1">
      <alignment horizontal="center"/>
    </xf>
    <xf numFmtId="0" fontId="4" fillId="0" borderId="23" xfId="0" applyFont="1" applyBorder="1" applyAlignment="1" applyProtection="1">
      <alignment horizontal="center"/>
    </xf>
    <xf numFmtId="0" fontId="33" fillId="0" borderId="14" xfId="0" applyFont="1" applyBorder="1" applyAlignment="1" applyProtection="1">
      <alignment horizontal="center" vertical="center"/>
    </xf>
    <xf numFmtId="0" fontId="33" fillId="0" borderId="16" xfId="0" applyFont="1" applyBorder="1" applyAlignment="1" applyProtection="1">
      <alignment horizontal="center" vertical="center"/>
    </xf>
    <xf numFmtId="0" fontId="34" fillId="0" borderId="0" xfId="0" applyFont="1" applyAlignment="1" applyProtection="1">
      <alignment horizontal="center" vertical="center"/>
    </xf>
    <xf numFmtId="0" fontId="34" fillId="0" borderId="14" xfId="0" applyFont="1" applyBorder="1" applyAlignment="1" applyProtection="1">
      <alignment horizontal="center" vertical="center"/>
    </xf>
    <xf numFmtId="0" fontId="35" fillId="0" borderId="29" xfId="0" applyFont="1" applyBorder="1" applyAlignment="1" applyProtection="1">
      <alignment horizontal="center" vertical="center"/>
    </xf>
    <xf numFmtId="0" fontId="35" fillId="0" borderId="30" xfId="0" applyFont="1" applyBorder="1" applyAlignment="1" applyProtection="1">
      <alignment horizontal="center" vertical="center"/>
    </xf>
    <xf numFmtId="0" fontId="30" fillId="24" borderId="31" xfId="0" applyFont="1" applyFill="1" applyBorder="1" applyAlignment="1" applyProtection="1">
      <alignment horizontal="center" vertical="center" textRotation="90"/>
    </xf>
    <xf numFmtId="0" fontId="35" fillId="0" borderId="32" xfId="0" applyFont="1" applyBorder="1" applyAlignment="1" applyProtection="1">
      <alignment horizontal="center" vertical="center"/>
    </xf>
    <xf numFmtId="0" fontId="32" fillId="24" borderId="33" xfId="0" applyFont="1" applyFill="1" applyBorder="1" applyAlignment="1" applyProtection="1">
      <alignment horizontal="center" vertical="center" textRotation="90"/>
    </xf>
    <xf numFmtId="0" fontId="35" fillId="0" borderId="34" xfId="0" applyFont="1" applyBorder="1" applyAlignment="1" applyProtection="1">
      <alignment horizontal="center" vertical="center"/>
    </xf>
    <xf numFmtId="0" fontId="2" fillId="0" borderId="35" xfId="0" applyFont="1" applyBorder="1" applyAlignment="1" applyProtection="1">
      <alignment horizontal="center" vertical="center"/>
    </xf>
    <xf numFmtId="0" fontId="31" fillId="0" borderId="36" xfId="0" applyFont="1" applyBorder="1" applyAlignment="1" applyProtection="1">
      <alignment horizontal="center" vertical="center"/>
    </xf>
    <xf numFmtId="0" fontId="33" fillId="0" borderId="37" xfId="0" applyFont="1" applyBorder="1" applyAlignment="1" applyProtection="1">
      <alignment horizontal="center" vertical="center"/>
    </xf>
    <xf numFmtId="0" fontId="2" fillId="0" borderId="37" xfId="0" applyFont="1" applyBorder="1" applyAlignment="1" applyProtection="1">
      <alignment horizontal="center" vertical="center"/>
    </xf>
    <xf numFmtId="0" fontId="0" fillId="0" borderId="37" xfId="0" applyBorder="1" applyAlignment="1" applyProtection="1">
      <alignment horizontal="center" vertical="center"/>
    </xf>
    <xf numFmtId="0" fontId="32" fillId="24" borderId="17" xfId="0" applyFont="1" applyFill="1" applyBorder="1" applyAlignment="1" applyProtection="1">
      <alignment horizontal="center" vertical="center" textRotation="90" wrapText="1"/>
    </xf>
    <xf numFmtId="0" fontId="6" fillId="0" borderId="18" xfId="0" applyFont="1" applyBorder="1" applyAlignment="1" applyProtection="1">
      <alignment horizontal="center" vertical="center" textRotation="90" wrapText="1"/>
    </xf>
    <xf numFmtId="0" fontId="31" fillId="0" borderId="14" xfId="0" applyNumberFormat="1" applyFont="1" applyBorder="1" applyAlignment="1" applyProtection="1">
      <alignment horizontal="center" vertical="center"/>
    </xf>
    <xf numFmtId="0" fontId="0" fillId="24" borderId="0" xfId="0" applyFill="1" applyAlignment="1" applyProtection="1">
      <alignment horizontal="center" vertical="center"/>
    </xf>
    <xf numFmtId="0" fontId="6" fillId="24" borderId="0" xfId="0" applyFont="1" applyFill="1" applyBorder="1" applyAlignment="1" applyProtection="1">
      <alignment horizontal="center" vertical="center" wrapText="1"/>
    </xf>
    <xf numFmtId="0" fontId="4" fillId="23" borderId="0" xfId="0" applyFont="1" applyFill="1" applyAlignment="1" applyProtection="1">
      <alignment horizontal="center" vertical="center"/>
    </xf>
    <xf numFmtId="0" fontId="0" fillId="23" borderId="0" xfId="0" applyFill="1" applyAlignment="1" applyProtection="1">
      <alignment horizontal="center" vertical="center"/>
    </xf>
    <xf numFmtId="0" fontId="2" fillId="0" borderId="15" xfId="0" applyFont="1" applyBorder="1" applyAlignment="1" applyProtection="1">
      <alignment horizontal="center" vertical="center"/>
    </xf>
    <xf numFmtId="0" fontId="2" fillId="0" borderId="38" xfId="0" applyFont="1" applyBorder="1" applyAlignment="1" applyProtection="1">
      <alignment horizontal="center" vertical="center"/>
    </xf>
    <xf numFmtId="0" fontId="2" fillId="23" borderId="39" xfId="0" applyFont="1" applyFill="1" applyBorder="1" applyAlignment="1" applyProtection="1">
      <alignment horizontal="center" vertical="center"/>
    </xf>
    <xf numFmtId="0" fontId="2" fillId="0" borderId="40" xfId="0" applyFont="1" applyBorder="1" applyAlignment="1" applyProtection="1">
      <alignment horizontal="center" vertical="center"/>
    </xf>
    <xf numFmtId="0" fontId="2" fillId="0" borderId="9" xfId="0" applyFont="1" applyBorder="1" applyAlignment="1" applyProtection="1">
      <alignment horizontal="center" vertical="center"/>
    </xf>
    <xf numFmtId="0" fontId="2" fillId="0" borderId="36" xfId="0" applyFont="1" applyBorder="1" applyAlignment="1" applyProtection="1">
      <alignment horizontal="center" vertical="center"/>
    </xf>
    <xf numFmtId="0" fontId="2" fillId="23" borderId="11" xfId="0" applyFont="1" applyFill="1" applyBorder="1" applyAlignment="1" applyProtection="1">
      <alignment horizontal="center" vertical="center"/>
    </xf>
    <xf numFmtId="0" fontId="2" fillId="0" borderId="13" xfId="0" applyFont="1" applyBorder="1" applyAlignment="1" applyProtection="1">
      <alignment horizontal="center" vertical="center"/>
    </xf>
    <xf numFmtId="0" fontId="14" fillId="0" borderId="14" xfId="0" applyNumberFormat="1" applyFont="1" applyBorder="1" applyAlignment="1" applyProtection="1">
      <alignment horizontal="center" vertical="center"/>
    </xf>
    <xf numFmtId="0" fontId="17" fillId="0" borderId="14" xfId="0" applyNumberFormat="1" applyFont="1" applyBorder="1" applyAlignment="1" applyProtection="1">
      <alignment horizontal="center" vertical="center"/>
    </xf>
    <xf numFmtId="0" fontId="5" fillId="0" borderId="0" xfId="0" applyNumberFormat="1" applyFont="1" applyBorder="1" applyAlignment="1" applyProtection="1">
      <alignment horizontal="center" vertical="center"/>
    </xf>
    <xf numFmtId="0" fontId="26" fillId="0" borderId="15" xfId="0" applyNumberFormat="1" applyFont="1" applyBorder="1" applyAlignment="1" applyProtection="1">
      <alignment horizontal="center" vertical="center"/>
    </xf>
    <xf numFmtId="0" fontId="24" fillId="0" borderId="15" xfId="0" applyNumberFormat="1" applyFont="1" applyBorder="1" applyAlignment="1" applyProtection="1">
      <alignment horizontal="center" vertical="center"/>
    </xf>
    <xf numFmtId="0" fontId="16" fillId="0" borderId="15" xfId="0" applyNumberFormat="1" applyFont="1" applyBorder="1" applyAlignment="1" applyProtection="1">
      <alignment horizontal="center" vertical="center"/>
    </xf>
    <xf numFmtId="0" fontId="11" fillId="0" borderId="14" xfId="0" applyNumberFormat="1" applyFont="1" applyBorder="1" applyAlignment="1" applyProtection="1">
      <alignment horizontal="center" vertical="center"/>
    </xf>
    <xf numFmtId="0" fontId="4" fillId="0" borderId="15" xfId="0" applyNumberFormat="1" applyFont="1" applyBorder="1" applyAlignment="1" applyProtection="1">
      <alignment horizontal="center" vertical="center"/>
    </xf>
    <xf numFmtId="0" fontId="19" fillId="0" borderId="15" xfId="0" applyNumberFormat="1" applyFont="1" applyBorder="1" applyAlignment="1" applyProtection="1">
      <alignment horizontal="center" vertical="center"/>
    </xf>
    <xf numFmtId="0" fontId="20" fillId="0" borderId="15" xfId="0" applyNumberFormat="1" applyFont="1" applyBorder="1" applyAlignment="1" applyProtection="1">
      <alignment horizontal="center" vertical="center"/>
    </xf>
    <xf numFmtId="0" fontId="31" fillId="0" borderId="16" xfId="0" applyFont="1" applyBorder="1" applyAlignment="1" applyProtection="1">
      <alignment horizontal="center" vertical="center"/>
    </xf>
    <xf numFmtId="0" fontId="23" fillId="0" borderId="0" xfId="0" applyFont="1" applyAlignment="1" applyProtection="1">
      <alignment horizontal="right" vertical="center"/>
    </xf>
    <xf numFmtId="0" fontId="4" fillId="0" borderId="0" xfId="0" applyFont="1" applyAlignment="1" applyProtection="1">
      <alignment horizontal="center" vertical="center" wrapText="1"/>
    </xf>
    <xf numFmtId="0" fontId="36" fillId="0" borderId="0" xfId="0" applyNumberFormat="1" applyFont="1" applyBorder="1" applyAlignment="1" applyProtection="1">
      <alignment horizontal="center" vertical="center"/>
    </xf>
    <xf numFmtId="0" fontId="2" fillId="0" borderId="9" xfId="0" applyFont="1" applyBorder="1" applyAlignment="1">
      <alignment horizontal="center" vertical="center"/>
    </xf>
    <xf numFmtId="0" fontId="2" fillId="0" borderId="14" xfId="0" applyFont="1" applyBorder="1" applyAlignment="1">
      <alignment horizontal="center" vertical="center"/>
    </xf>
    <xf numFmtId="0" fontId="37" fillId="0" borderId="14" xfId="0" applyNumberFormat="1" applyFont="1" applyBorder="1" applyAlignment="1">
      <alignment horizontal="center" vertical="center"/>
    </xf>
    <xf numFmtId="0" fontId="38" fillId="0" borderId="14" xfId="0" applyNumberFormat="1" applyFont="1" applyBorder="1" applyAlignment="1">
      <alignment horizontal="center" vertical="center"/>
    </xf>
    <xf numFmtId="0" fontId="11" fillId="0" borderId="16" xfId="0" applyFont="1" applyBorder="1" applyAlignment="1" applyProtection="1">
      <alignment horizontal="center" vertical="center"/>
    </xf>
    <xf numFmtId="0" fontId="25" fillId="0" borderId="14" xfId="0" applyNumberFormat="1" applyFont="1" applyBorder="1" applyAlignment="1" applyProtection="1">
      <alignment horizontal="center" vertical="center"/>
    </xf>
    <xf numFmtId="0" fontId="6" fillId="0" borderId="0" xfId="0" applyFont="1" applyBorder="1" applyAlignment="1" applyProtection="1">
      <alignment horizontal="center" vertical="center" textRotation="90"/>
    </xf>
    <xf numFmtId="0" fontId="14" fillId="0" borderId="0" xfId="0" applyFont="1" applyBorder="1" applyAlignment="1" applyProtection="1">
      <alignment horizontal="center" vertical="center"/>
    </xf>
    <xf numFmtId="0" fontId="0" fillId="0" borderId="41" xfId="0" applyBorder="1" applyAlignment="1" applyProtection="1">
      <alignment horizontal="center" vertical="center"/>
    </xf>
    <xf numFmtId="0" fontId="0" fillId="0" borderId="42" xfId="0" applyBorder="1" applyAlignment="1" applyProtection="1">
      <alignment horizontal="center" vertical="center"/>
    </xf>
    <xf numFmtId="0" fontId="0" fillId="0" borderId="43" xfId="0" applyBorder="1" applyAlignment="1" applyProtection="1">
      <alignment horizontal="center" vertical="center"/>
    </xf>
    <xf numFmtId="0" fontId="0" fillId="0" borderId="44" xfId="0" applyBorder="1" applyAlignment="1" applyProtection="1">
      <alignment horizontal="center" vertical="center"/>
    </xf>
    <xf numFmtId="0" fontId="0" fillId="23" borderId="45" xfId="0" applyFill="1" applyBorder="1" applyAlignment="1" applyProtection="1">
      <alignment horizontal="center" vertical="center"/>
    </xf>
    <xf numFmtId="0" fontId="0" fillId="23" borderId="46" xfId="0" applyFill="1" applyBorder="1" applyAlignment="1" applyProtection="1">
      <alignment horizontal="center" vertical="center"/>
    </xf>
    <xf numFmtId="0" fontId="0" fillId="0" borderId="47" xfId="0" applyBorder="1" applyAlignment="1" applyProtection="1">
      <alignment horizontal="center" vertical="center"/>
    </xf>
    <xf numFmtId="0" fontId="0" fillId="0" borderId="48" xfId="0" applyBorder="1" applyAlignment="1" applyProtection="1">
      <alignment horizontal="center" vertical="center"/>
    </xf>
    <xf numFmtId="0" fontId="4" fillId="0" borderId="45" xfId="0" applyNumberFormat="1" applyFont="1" applyBorder="1" applyAlignment="1" applyProtection="1">
      <alignment horizontal="center" vertical="center"/>
    </xf>
    <xf numFmtId="0" fontId="4" fillId="0" borderId="11" xfId="0" applyNumberFormat="1" applyFont="1" applyBorder="1" applyAlignment="1" applyProtection="1">
      <alignment horizontal="center" vertical="center"/>
    </xf>
    <xf numFmtId="0" fontId="4" fillId="0" borderId="49" xfId="0" applyNumberFormat="1" applyFont="1" applyBorder="1" applyAlignment="1" applyProtection="1">
      <alignment horizontal="center" vertical="center"/>
    </xf>
    <xf numFmtId="0" fontId="0" fillId="0" borderId="0" xfId="0" applyNumberFormat="1" applyAlignment="1">
      <alignment horizontal="center" vertical="center"/>
    </xf>
    <xf numFmtId="0" fontId="23" fillId="0" borderId="0" xfId="0" applyNumberFormat="1" applyFont="1" applyAlignment="1">
      <alignment horizontal="center" vertical="center"/>
    </xf>
    <xf numFmtId="0" fontId="6" fillId="0" borderId="0" xfId="0" applyNumberFormat="1" applyFont="1" applyAlignment="1">
      <alignment horizontal="center" vertical="center"/>
    </xf>
    <xf numFmtId="0" fontId="4" fillId="25" borderId="50" xfId="0" applyFont="1" applyFill="1" applyBorder="1" applyAlignment="1" applyProtection="1">
      <alignment horizontal="center" vertical="center"/>
    </xf>
    <xf numFmtId="0" fontId="4" fillId="25" borderId="51" xfId="0" applyFont="1" applyFill="1" applyBorder="1" applyAlignment="1" applyProtection="1">
      <alignment horizontal="center" vertical="center"/>
    </xf>
    <xf numFmtId="0" fontId="4" fillId="25" borderId="52" xfId="0" applyFont="1" applyFill="1" applyBorder="1" applyAlignment="1" applyProtection="1">
      <alignment horizontal="center" vertical="center"/>
    </xf>
    <xf numFmtId="0" fontId="4" fillId="25" borderId="41" xfId="0" applyFont="1" applyFill="1" applyBorder="1" applyAlignment="1" applyProtection="1">
      <alignment horizontal="center" vertical="center"/>
    </xf>
    <xf numFmtId="0" fontId="4" fillId="25" borderId="14" xfId="0" applyFont="1" applyFill="1" applyBorder="1" applyAlignment="1" applyProtection="1">
      <alignment horizontal="center" vertical="center"/>
    </xf>
    <xf numFmtId="0" fontId="4" fillId="25" borderId="42" xfId="0" applyFont="1" applyFill="1" applyBorder="1" applyAlignment="1" applyProtection="1">
      <alignment horizontal="center" vertical="center"/>
    </xf>
    <xf numFmtId="0" fontId="4" fillId="25" borderId="47" xfId="0" applyFont="1" applyFill="1" applyBorder="1" applyAlignment="1" applyProtection="1">
      <alignment horizontal="center" vertical="center"/>
    </xf>
    <xf numFmtId="0" fontId="4" fillId="25" borderId="53" xfId="0" applyFont="1" applyFill="1" applyBorder="1" applyAlignment="1" applyProtection="1">
      <alignment horizontal="center" vertical="center"/>
    </xf>
    <xf numFmtId="0" fontId="4" fillId="25" borderId="48" xfId="0" applyFont="1" applyFill="1" applyBorder="1" applyAlignment="1" applyProtection="1">
      <alignment horizontal="center" vertical="center"/>
    </xf>
    <xf numFmtId="11" fontId="31" fillId="0" borderId="14" xfId="0" applyNumberFormat="1" applyFont="1" applyBorder="1" applyAlignment="1" applyProtection="1">
      <alignment horizontal="center" vertical="center"/>
    </xf>
    <xf numFmtId="0" fontId="41" fillId="0" borderId="9" xfId="0" applyFont="1" applyBorder="1" applyAlignment="1" applyProtection="1">
      <alignment horizontal="center" vertical="center"/>
    </xf>
    <xf numFmtId="0" fontId="42" fillId="0" borderId="41" xfId="0" applyFont="1" applyBorder="1" applyAlignment="1" applyProtection="1">
      <alignment horizontal="center" vertical="center"/>
    </xf>
    <xf numFmtId="0" fontId="42" fillId="0" borderId="14" xfId="0" applyFont="1" applyBorder="1" applyAlignment="1" applyProtection="1">
      <alignment horizontal="center" vertical="center"/>
    </xf>
    <xf numFmtId="0" fontId="42" fillId="0" borderId="43" xfId="0" applyFont="1" applyBorder="1" applyAlignment="1" applyProtection="1">
      <alignment horizontal="center" vertical="center"/>
    </xf>
    <xf numFmtId="0" fontId="42" fillId="0" borderId="37" xfId="0" applyFont="1" applyBorder="1" applyAlignment="1" applyProtection="1">
      <alignment horizontal="center" vertical="center"/>
    </xf>
    <xf numFmtId="0" fontId="42" fillId="23" borderId="45" xfId="0" applyFont="1" applyFill="1" applyBorder="1" applyAlignment="1" applyProtection="1">
      <alignment horizontal="center" vertical="center"/>
    </xf>
    <xf numFmtId="0" fontId="42" fillId="23" borderId="20" xfId="0" applyFont="1" applyFill="1" applyBorder="1" applyAlignment="1" applyProtection="1">
      <alignment horizontal="center" vertical="center"/>
    </xf>
    <xf numFmtId="0" fontId="42" fillId="0" borderId="47" xfId="0" applyFont="1" applyBorder="1" applyAlignment="1" applyProtection="1">
      <alignment horizontal="center" vertical="center"/>
    </xf>
    <xf numFmtId="0" fontId="42" fillId="0" borderId="53" xfId="0" applyFont="1" applyBorder="1" applyAlignment="1" applyProtection="1">
      <alignment horizontal="center" vertical="center"/>
    </xf>
    <xf numFmtId="0" fontId="14" fillId="0" borderId="0" xfId="0" applyNumberFormat="1" applyFont="1" applyAlignment="1">
      <alignment horizontal="center" vertical="center"/>
    </xf>
    <xf numFmtId="0" fontId="42" fillId="0" borderId="50" xfId="0" applyFont="1" applyBorder="1" applyAlignment="1" applyProtection="1">
      <alignment horizontal="center" vertical="center"/>
    </xf>
    <xf numFmtId="0" fontId="42" fillId="0" borderId="51" xfId="0" applyFont="1" applyBorder="1" applyAlignment="1" applyProtection="1">
      <alignment horizontal="center" vertical="center"/>
    </xf>
    <xf numFmtId="0" fontId="0" fillId="0" borderId="52" xfId="0" applyBorder="1" applyAlignment="1" applyProtection="1">
      <alignment horizontal="center" vertical="center"/>
    </xf>
    <xf numFmtId="0" fontId="2" fillId="0" borderId="45" xfId="0" applyFont="1" applyBorder="1" applyAlignment="1" applyProtection="1">
      <alignment horizontal="center" vertical="center" textRotation="90"/>
    </xf>
    <xf numFmtId="0" fontId="2" fillId="0" borderId="39" xfId="0" applyFont="1" applyBorder="1" applyAlignment="1" applyProtection="1">
      <alignment horizontal="center" vertical="center" textRotation="90"/>
    </xf>
    <xf numFmtId="0" fontId="6" fillId="0" borderId="46" xfId="0" applyFont="1" applyBorder="1" applyAlignment="1" applyProtection="1">
      <alignment horizontal="center" vertical="center" textRotation="90"/>
    </xf>
    <xf numFmtId="0" fontId="2" fillId="0" borderId="54" xfId="0" applyFont="1" applyBorder="1" applyAlignment="1" applyProtection="1">
      <alignment horizontal="center" vertical="center" textRotation="90"/>
    </xf>
    <xf numFmtId="0" fontId="27" fillId="0" borderId="0" xfId="0" applyFont="1" applyAlignment="1" applyProtection="1">
      <alignment horizontal="center" vertical="center"/>
    </xf>
    <xf numFmtId="0" fontId="0" fillId="0" borderId="50" xfId="0" applyBorder="1" applyAlignment="1" applyProtection="1">
      <alignment horizontal="center" vertical="center"/>
    </xf>
    <xf numFmtId="0" fontId="43" fillId="0" borderId="0" xfId="0" applyNumberFormat="1" applyFont="1" applyAlignment="1">
      <alignment horizontal="center" vertical="center"/>
    </xf>
    <xf numFmtId="0" fontId="27" fillId="0" borderId="0" xfId="0" applyFont="1" applyAlignment="1" applyProtection="1">
      <alignment horizontal="left" vertical="center"/>
    </xf>
    <xf numFmtId="0" fontId="43" fillId="0" borderId="49" xfId="0" applyFont="1" applyBorder="1" applyAlignment="1" applyProtection="1">
      <alignment horizontal="center" vertical="center" textRotation="90"/>
    </xf>
    <xf numFmtId="0" fontId="6" fillId="24" borderId="0" xfId="42" applyNumberFormat="1" applyFont="1" applyFill="1" applyAlignment="1">
      <alignment horizontal="center"/>
    </xf>
    <xf numFmtId="0" fontId="6" fillId="0" borderId="0" xfId="42" applyNumberFormat="1" applyFont="1" applyAlignment="1">
      <alignment horizontal="center"/>
    </xf>
    <xf numFmtId="0" fontId="39" fillId="0" borderId="0" xfId="42" applyNumberFormat="1" applyAlignment="1">
      <alignment horizontal="center"/>
    </xf>
    <xf numFmtId="0" fontId="6" fillId="0" borderId="0" xfId="42" applyNumberFormat="1" applyFont="1" applyBorder="1" applyAlignment="1">
      <alignment horizontal="center"/>
    </xf>
    <xf numFmtId="0" fontId="14" fillId="0" borderId="0" xfId="42" applyNumberFormat="1" applyFont="1" applyAlignment="1">
      <alignment horizontal="center"/>
    </xf>
    <xf numFmtId="0" fontId="39" fillId="0" borderId="0" xfId="42" applyNumberFormat="1" applyBorder="1" applyAlignment="1">
      <alignment horizontal="center"/>
    </xf>
    <xf numFmtId="0" fontId="2" fillId="0" borderId="0" xfId="42" applyNumberFormat="1" applyFont="1" applyBorder="1" applyAlignment="1">
      <alignment horizontal="center"/>
    </xf>
    <xf numFmtId="0" fontId="2" fillId="0" borderId="0" xfId="42" applyNumberFormat="1" applyFont="1" applyAlignment="1">
      <alignment horizontal="center"/>
    </xf>
    <xf numFmtId="0" fontId="6" fillId="0" borderId="0" xfId="42" applyNumberFormat="1" applyFont="1" applyFill="1" applyBorder="1" applyAlignment="1">
      <alignment horizontal="center"/>
    </xf>
    <xf numFmtId="0" fontId="14" fillId="0" borderId="0" xfId="42" applyNumberFormat="1" applyFont="1" applyBorder="1" applyAlignment="1">
      <alignment horizontal="center"/>
    </xf>
    <xf numFmtId="0" fontId="6" fillId="23" borderId="55" xfId="42" applyNumberFormat="1" applyFont="1" applyFill="1" applyBorder="1" applyAlignment="1">
      <alignment horizontal="center"/>
    </xf>
    <xf numFmtId="0" fontId="44" fillId="0" borderId="0" xfId="42" applyNumberFormat="1" applyFont="1" applyFill="1" applyAlignment="1">
      <alignment horizontal="center"/>
    </xf>
    <xf numFmtId="170" fontId="6" fillId="0" borderId="0" xfId="42" applyFont="1" applyAlignment="1">
      <alignment horizontal="center"/>
    </xf>
    <xf numFmtId="0" fontId="42" fillId="0" borderId="0" xfId="42" applyNumberFormat="1" applyFont="1" applyAlignment="1">
      <alignment horizontal="center"/>
    </xf>
    <xf numFmtId="0" fontId="39" fillId="0" borderId="0" xfId="42" applyNumberFormat="1" applyAlignment="1">
      <alignment horizontal="center" vertical="center"/>
    </xf>
    <xf numFmtId="0" fontId="27" fillId="0" borderId="0" xfId="0" applyFont="1" applyAlignment="1" applyProtection="1">
      <alignment horizontal="center" vertical="center" textRotation="90"/>
    </xf>
    <xf numFmtId="0" fontId="42" fillId="0" borderId="0" xfId="0" applyFont="1" applyAlignment="1" applyProtection="1">
      <alignment horizontal="center" vertical="center"/>
    </xf>
    <xf numFmtId="0" fontId="2" fillId="0" borderId="0" xfId="0" applyFont="1" applyAlignment="1" applyProtection="1">
      <alignment horizontal="center" vertical="center"/>
    </xf>
    <xf numFmtId="0" fontId="45" fillId="0" borderId="0" xfId="0" applyFont="1" applyAlignment="1" applyProtection="1">
      <alignment horizontal="center" vertical="center"/>
    </xf>
    <xf numFmtId="0" fontId="6" fillId="0" borderId="0" xfId="0" applyNumberFormat="1" applyFont="1" applyBorder="1" applyAlignment="1">
      <alignment horizontal="center"/>
    </xf>
    <xf numFmtId="0" fontId="14" fillId="0" borderId="0" xfId="0" applyNumberFormat="1" applyFont="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0" fontId="0" fillId="0" borderId="0" xfId="0" applyNumberFormat="1" applyFill="1" applyBorder="1" applyAlignment="1">
      <alignment horizontal="center"/>
    </xf>
    <xf numFmtId="0" fontId="0" fillId="0" borderId="0" xfId="0" applyNumberFormat="1" applyFont="1" applyAlignment="1">
      <alignment horizontal="center"/>
    </xf>
    <xf numFmtId="0" fontId="6" fillId="0" borderId="0" xfId="0" applyNumberFormat="1" applyFont="1" applyFill="1" applyBorder="1" applyAlignment="1">
      <alignment horizontal="center"/>
    </xf>
    <xf numFmtId="0" fontId="0" fillId="0" borderId="0" xfId="0" applyNumberFormat="1" applyFont="1" applyFill="1" applyAlignment="1">
      <alignment horizontal="center"/>
    </xf>
    <xf numFmtId="0" fontId="0" fillId="0" borderId="0" xfId="0" applyNumberFormat="1" applyFill="1" applyAlignment="1">
      <alignment horizontal="center"/>
    </xf>
    <xf numFmtId="0" fontId="2" fillId="0" borderId="0" xfId="0" applyNumberFormat="1" applyFont="1" applyAlignment="1">
      <alignment horizontal="center"/>
    </xf>
    <xf numFmtId="0" fontId="0" fillId="0" borderId="56" xfId="0" applyBorder="1" applyAlignment="1" applyProtection="1">
      <alignment horizontal="center" vertical="center"/>
    </xf>
    <xf numFmtId="0" fontId="0" fillId="0" borderId="57" xfId="0" applyBorder="1" applyAlignment="1" applyProtection="1">
      <alignment horizontal="center" vertical="center"/>
    </xf>
    <xf numFmtId="0" fontId="0" fillId="0" borderId="58" xfId="0" applyBorder="1" applyAlignment="1" applyProtection="1">
      <alignment horizontal="center" vertical="center"/>
    </xf>
    <xf numFmtId="0" fontId="0" fillId="23" borderId="49" xfId="0" applyFill="1" applyBorder="1" applyAlignment="1" applyProtection="1">
      <alignment horizontal="center" vertical="center"/>
    </xf>
    <xf numFmtId="0" fontId="0" fillId="0" borderId="59" xfId="0" applyBorder="1" applyAlignment="1" applyProtection="1">
      <alignment horizontal="center" vertical="center"/>
    </xf>
    <xf numFmtId="0" fontId="0" fillId="0" borderId="51" xfId="0" applyBorder="1" applyAlignment="1" applyProtection="1">
      <alignment horizontal="center" vertical="center"/>
    </xf>
    <xf numFmtId="0" fontId="0" fillId="0" borderId="53" xfId="0" applyBorder="1" applyAlignment="1" applyProtection="1">
      <alignment horizontal="center" vertical="center"/>
    </xf>
    <xf numFmtId="0" fontId="40" fillId="0" borderId="0" xfId="0" applyFont="1" applyAlignment="1" applyProtection="1">
      <alignment horizontal="center" vertical="center"/>
    </xf>
    <xf numFmtId="0" fontId="40" fillId="0" borderId="0" xfId="0" applyFont="1" applyAlignment="1" applyProtection="1">
      <alignment horizontal="center" vertical="center" wrapText="1"/>
    </xf>
    <xf numFmtId="0" fontId="33" fillId="0" borderId="0" xfId="0" applyFont="1" applyFill="1" applyBorder="1" applyAlignment="1">
      <alignment horizontal="center"/>
    </xf>
    <xf numFmtId="0" fontId="33" fillId="0" borderId="60" xfId="0" applyFont="1" applyFill="1" applyBorder="1" applyAlignment="1">
      <alignment horizontal="center"/>
    </xf>
    <xf numFmtId="0" fontId="33" fillId="0" borderId="61" xfId="0" applyFont="1" applyFill="1" applyBorder="1" applyAlignment="1">
      <alignment horizontal="center"/>
    </xf>
    <xf numFmtId="0" fontId="33" fillId="0" borderId="56" xfId="0" applyFont="1" applyFill="1" applyBorder="1" applyAlignment="1">
      <alignment horizontal="center"/>
    </xf>
    <xf numFmtId="0" fontId="33" fillId="0" borderId="62" xfId="0" applyFont="1" applyFill="1" applyBorder="1" applyAlignment="1">
      <alignment horizontal="center"/>
    </xf>
    <xf numFmtId="0" fontId="33" fillId="0" borderId="57" xfId="0" applyFont="1" applyFill="1" applyBorder="1" applyAlignment="1">
      <alignment horizontal="center"/>
    </xf>
    <xf numFmtId="0" fontId="33" fillId="0" borderId="63" xfId="0" applyFont="1" applyFill="1" applyBorder="1" applyAlignment="1">
      <alignment horizontal="center"/>
    </xf>
    <xf numFmtId="0" fontId="33" fillId="0" borderId="64" xfId="0" applyFont="1" applyFill="1" applyBorder="1" applyAlignment="1">
      <alignment horizontal="center"/>
    </xf>
    <xf numFmtId="0" fontId="33" fillId="0" borderId="59" xfId="0" applyFont="1" applyFill="1" applyBorder="1" applyAlignment="1">
      <alignment horizontal="center"/>
    </xf>
    <xf numFmtId="0" fontId="2" fillId="26" borderId="0" xfId="0" applyNumberFormat="1" applyFont="1" applyFill="1" applyBorder="1" applyAlignment="1">
      <alignment horizontal="center"/>
    </xf>
    <xf numFmtId="0" fontId="2" fillId="26" borderId="9" xfId="0" applyNumberFormat="1" applyFont="1" applyFill="1" applyBorder="1" applyAlignment="1">
      <alignment horizontal="center"/>
    </xf>
    <xf numFmtId="0" fontId="2" fillId="26" borderId="14" xfId="0" applyNumberFormat="1" applyFont="1" applyFill="1" applyBorder="1" applyAlignment="1">
      <alignment horizontal="center"/>
    </xf>
    <xf numFmtId="0" fontId="2" fillId="27" borderId="0" xfId="0" applyNumberFormat="1" applyFont="1" applyFill="1" applyBorder="1" applyAlignment="1">
      <alignment horizontal="center"/>
    </xf>
    <xf numFmtId="0" fontId="2" fillId="27" borderId="0" xfId="0" applyNumberFormat="1" applyFont="1" applyFill="1" applyBorder="1" applyAlignment="1" applyProtection="1">
      <alignment horizontal="center" vertical="center"/>
    </xf>
    <xf numFmtId="0" fontId="2" fillId="27" borderId="9" xfId="0" applyNumberFormat="1" applyFont="1" applyFill="1" applyBorder="1" applyAlignment="1">
      <alignment horizontal="center"/>
    </xf>
    <xf numFmtId="0" fontId="2" fillId="27" borderId="14" xfId="0" applyNumberFormat="1" applyFont="1" applyFill="1" applyBorder="1" applyAlignment="1">
      <alignment horizontal="center"/>
    </xf>
    <xf numFmtId="0" fontId="0" fillId="23" borderId="64" xfId="0" applyNumberFormat="1" applyFill="1" applyBorder="1" applyAlignment="1">
      <alignment horizontal="center"/>
    </xf>
    <xf numFmtId="0" fontId="0" fillId="23" borderId="65" xfId="0" applyNumberFormat="1" applyFill="1" applyBorder="1" applyAlignment="1">
      <alignment horizontal="center"/>
    </xf>
    <xf numFmtId="0" fontId="2" fillId="23" borderId="53" xfId="0" applyNumberFormat="1" applyFont="1" applyFill="1" applyBorder="1" applyAlignment="1">
      <alignment horizontal="center"/>
    </xf>
    <xf numFmtId="0" fontId="0" fillId="0" borderId="0" xfId="0" applyAlignment="1">
      <alignment horizontal="center"/>
    </xf>
    <xf numFmtId="0" fontId="6" fillId="0" borderId="0" xfId="0" applyFont="1" applyBorder="1" applyAlignment="1">
      <alignment horizontal="center" vertical="center"/>
    </xf>
    <xf numFmtId="0" fontId="0" fillId="23" borderId="66" xfId="0" applyNumberFormat="1" applyFill="1" applyBorder="1" applyAlignment="1">
      <alignment horizontal="center"/>
    </xf>
    <xf numFmtId="0" fontId="0" fillId="23" borderId="67" xfId="0" applyNumberFormat="1" applyFill="1" applyBorder="1" applyAlignment="1">
      <alignment horizontal="center"/>
    </xf>
    <xf numFmtId="0" fontId="0" fillId="23" borderId="68" xfId="0" applyNumberFormat="1" applyFill="1" applyBorder="1" applyAlignment="1">
      <alignment horizontal="center"/>
    </xf>
    <xf numFmtId="0" fontId="2" fillId="26" borderId="0" xfId="0" applyNumberFormat="1" applyFont="1" applyFill="1" applyAlignment="1">
      <alignment horizontal="center"/>
    </xf>
    <xf numFmtId="0" fontId="0" fillId="26" borderId="0" xfId="0" applyNumberFormat="1" applyFill="1" applyAlignment="1">
      <alignment horizontal="center"/>
    </xf>
    <xf numFmtId="0" fontId="0" fillId="26" borderId="9" xfId="0" applyNumberFormat="1" applyFill="1" applyBorder="1" applyAlignment="1">
      <alignment horizontal="center"/>
    </xf>
    <xf numFmtId="0" fontId="2" fillId="26" borderId="0" xfId="0" applyFont="1" applyFill="1" applyBorder="1" applyAlignment="1">
      <alignment horizontal="center" vertical="center"/>
    </xf>
    <xf numFmtId="0" fontId="2" fillId="23" borderId="64" xfId="0" applyNumberFormat="1" applyFont="1" applyFill="1" applyBorder="1" applyAlignment="1">
      <alignment horizontal="center"/>
    </xf>
    <xf numFmtId="0" fontId="6" fillId="0" borderId="0" xfId="0" applyNumberFormat="1" applyFont="1" applyAlignment="1">
      <alignment horizontal="center"/>
    </xf>
    <xf numFmtId="0" fontId="6" fillId="26" borderId="57" xfId="0" applyFont="1" applyFill="1" applyBorder="1" applyAlignment="1">
      <alignment horizontal="center" vertical="center"/>
    </xf>
    <xf numFmtId="0" fontId="6" fillId="27" borderId="57" xfId="0" applyFont="1" applyFill="1" applyBorder="1" applyAlignment="1">
      <alignment horizontal="center" vertical="center"/>
    </xf>
    <xf numFmtId="0" fontId="6" fillId="23" borderId="69" xfId="0" applyFont="1" applyFill="1" applyBorder="1" applyAlignment="1">
      <alignment horizontal="center" vertical="center"/>
    </xf>
    <xf numFmtId="0" fontId="60" fillId="26" borderId="57" xfId="0" applyFont="1" applyFill="1" applyBorder="1" applyAlignment="1">
      <alignment horizontal="center" vertical="center"/>
    </xf>
    <xf numFmtId="0" fontId="60" fillId="23" borderId="69" xfId="0" applyFont="1" applyFill="1" applyBorder="1" applyAlignment="1">
      <alignment horizontal="center" vertical="center"/>
    </xf>
    <xf numFmtId="0" fontId="6" fillId="23" borderId="70" xfId="0" applyFont="1" applyFill="1" applyBorder="1" applyAlignment="1">
      <alignment horizontal="center" vertical="center"/>
    </xf>
    <xf numFmtId="0" fontId="6" fillId="0" borderId="64" xfId="0" applyNumberFormat="1" applyFont="1" applyBorder="1" applyAlignment="1">
      <alignment horizontal="center"/>
    </xf>
    <xf numFmtId="0" fontId="14" fillId="0" borderId="64" xfId="0" applyNumberFormat="1" applyFont="1" applyBorder="1" applyAlignment="1">
      <alignment horizontal="center"/>
    </xf>
    <xf numFmtId="0" fontId="0" fillId="0" borderId="64" xfId="0" applyNumberFormat="1" applyBorder="1" applyAlignment="1">
      <alignment horizontal="center"/>
    </xf>
    <xf numFmtId="0" fontId="2" fillId="0" borderId="64" xfId="0" applyNumberFormat="1" applyFont="1" applyBorder="1" applyAlignment="1">
      <alignment horizontal="center"/>
    </xf>
    <xf numFmtId="0" fontId="6" fillId="0" borderId="35" xfId="0" applyNumberFormat="1" applyFont="1" applyBorder="1" applyAlignment="1">
      <alignment horizontal="center"/>
    </xf>
    <xf numFmtId="0" fontId="14" fillId="0" borderId="35" xfId="0" applyNumberFormat="1" applyFont="1" applyBorder="1" applyAlignment="1">
      <alignment horizontal="center"/>
    </xf>
    <xf numFmtId="0" fontId="0" fillId="0" borderId="35" xfId="0" applyNumberFormat="1" applyBorder="1" applyAlignment="1">
      <alignment horizontal="center"/>
    </xf>
    <xf numFmtId="0" fontId="2" fillId="0" borderId="35" xfId="0" applyNumberFormat="1" applyFont="1" applyBorder="1" applyAlignment="1">
      <alignment horizontal="center"/>
    </xf>
    <xf numFmtId="0" fontId="39" fillId="0" borderId="0" xfId="42" applyNumberFormat="1" applyFont="1" applyAlignment="1">
      <alignment horizontal="center"/>
    </xf>
    <xf numFmtId="0" fontId="6" fillId="0" borderId="0" xfId="0" applyFont="1" applyAlignment="1">
      <alignment horizontal="center"/>
    </xf>
    <xf numFmtId="0" fontId="42"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60" fillId="27" borderId="57" xfId="0" applyFont="1" applyFill="1" applyBorder="1" applyAlignment="1">
      <alignment horizontal="center" vertical="center"/>
    </xf>
    <xf numFmtId="0" fontId="39" fillId="0" borderId="0" xfId="0" applyFont="1" applyAlignment="1">
      <alignment horizontal="center"/>
    </xf>
    <xf numFmtId="11" fontId="42" fillId="0" borderId="0" xfId="42" applyNumberFormat="1" applyFont="1" applyAlignment="1">
      <alignment horizontal="center"/>
    </xf>
    <xf numFmtId="11" fontId="39" fillId="0" borderId="0" xfId="42" applyNumberFormat="1" applyFont="1" applyAlignment="1">
      <alignment horizontal="center"/>
    </xf>
    <xf numFmtId="0" fontId="6" fillId="0" borderId="35" xfId="42" applyNumberFormat="1" applyFont="1" applyBorder="1" applyAlignment="1">
      <alignment horizontal="center"/>
    </xf>
    <xf numFmtId="0" fontId="42" fillId="0" borderId="35" xfId="42" applyNumberFormat="1" applyFont="1" applyBorder="1" applyAlignment="1">
      <alignment horizontal="center"/>
    </xf>
    <xf numFmtId="0" fontId="39" fillId="0" borderId="35" xfId="42" applyNumberFormat="1" applyFont="1" applyBorder="1" applyAlignment="1">
      <alignment horizontal="center"/>
    </xf>
    <xf numFmtId="0" fontId="39" fillId="0" borderId="35" xfId="42" applyNumberFormat="1" applyBorder="1" applyAlignment="1">
      <alignment horizontal="center"/>
    </xf>
    <xf numFmtId="11" fontId="6" fillId="0" borderId="35" xfId="42" applyNumberFormat="1" applyFont="1" applyBorder="1" applyAlignment="1">
      <alignment horizontal="center"/>
    </xf>
    <xf numFmtId="0" fontId="62" fillId="0" borderId="0" xfId="42" applyNumberFormat="1" applyFont="1" applyAlignment="1">
      <alignment horizontal="center"/>
    </xf>
    <xf numFmtId="0" fontId="63" fillId="0" borderId="0" xfId="42" applyNumberFormat="1" applyFont="1" applyAlignment="1">
      <alignment horizontal="center"/>
    </xf>
    <xf numFmtId="11" fontId="63" fillId="0" borderId="0" xfId="42" applyNumberFormat="1" applyFont="1" applyAlignment="1">
      <alignment horizontal="center"/>
    </xf>
    <xf numFmtId="0" fontId="62" fillId="0" borderId="35" xfId="42" applyNumberFormat="1" applyFont="1" applyBorder="1" applyAlignment="1">
      <alignment horizontal="center"/>
    </xf>
    <xf numFmtId="11" fontId="63" fillId="0" borderId="35" xfId="42" applyNumberFormat="1" applyFont="1" applyBorder="1" applyAlignment="1">
      <alignment horizontal="center"/>
    </xf>
    <xf numFmtId="0" fontId="63" fillId="0" borderId="35" xfId="42" applyNumberFormat="1" applyFont="1" applyBorder="1" applyAlignment="1">
      <alignment horizontal="center"/>
    </xf>
    <xf numFmtId="0" fontId="6" fillId="0" borderId="61" xfId="0" applyNumberFormat="1" applyFont="1" applyBorder="1" applyAlignment="1">
      <alignment horizontal="center"/>
    </xf>
    <xf numFmtId="0" fontId="39" fillId="0" borderId="61" xfId="42" applyNumberFormat="1" applyFont="1" applyBorder="1" applyAlignment="1">
      <alignment horizontal="center"/>
    </xf>
    <xf numFmtId="0" fontId="39" fillId="0" borderId="64" xfId="42" applyNumberFormat="1" applyBorder="1" applyAlignment="1">
      <alignment horizontal="center"/>
    </xf>
    <xf numFmtId="0" fontId="33" fillId="0" borderId="71" xfId="0" applyFont="1" applyFill="1" applyBorder="1" applyAlignment="1">
      <alignment horizontal="center"/>
    </xf>
    <xf numFmtId="0" fontId="33" fillId="0" borderId="72" xfId="0" applyFont="1" applyFill="1" applyBorder="1" applyAlignment="1">
      <alignment horizontal="center"/>
    </xf>
    <xf numFmtId="0" fontId="33" fillId="0" borderId="69" xfId="0" applyFont="1" applyFill="1" applyBorder="1" applyAlignment="1">
      <alignment horizontal="center"/>
    </xf>
    <xf numFmtId="0" fontId="39" fillId="0" borderId="0" xfId="42" applyNumberFormat="1" applyFont="1" applyBorder="1" applyAlignment="1">
      <alignment horizontal="center"/>
    </xf>
    <xf numFmtId="0" fontId="42" fillId="0" borderId="0" xfId="42" applyNumberFormat="1" applyFont="1" applyBorder="1" applyAlignment="1">
      <alignment horizontal="center"/>
    </xf>
    <xf numFmtId="0" fontId="2" fillId="0" borderId="0" xfId="42" applyNumberFormat="1" applyFont="1" applyFill="1" applyAlignment="1">
      <alignment horizontal="center"/>
    </xf>
    <xf numFmtId="0" fontId="2" fillId="0" borderId="0" xfId="0" applyFont="1" applyAlignment="1">
      <alignment horizontal="center"/>
    </xf>
    <xf numFmtId="0" fontId="66" fillId="0" borderId="35" xfId="42" applyNumberFormat="1" applyFont="1" applyBorder="1" applyAlignment="1">
      <alignment horizontal="center"/>
    </xf>
    <xf numFmtId="0" fontId="39" fillId="0" borderId="0" xfId="0" applyFont="1" applyAlignment="1" applyProtection="1">
      <alignment horizontal="center" vertical="center"/>
    </xf>
    <xf numFmtId="0" fontId="2" fillId="23" borderId="0" xfId="0" applyFont="1" applyFill="1" applyAlignment="1" applyProtection="1">
      <alignment horizontal="center" vertical="center"/>
    </xf>
    <xf numFmtId="0" fontId="10" fillId="0" borderId="9" xfId="0" applyFont="1" applyBorder="1" applyAlignment="1" applyProtection="1">
      <alignment horizontal="center" vertical="center"/>
    </xf>
    <xf numFmtId="11" fontId="10" fillId="0" borderId="14" xfId="0" applyNumberFormat="1" applyFont="1" applyBorder="1" applyAlignment="1" applyProtection="1">
      <alignment horizontal="center" vertical="center"/>
    </xf>
    <xf numFmtId="0" fontId="10" fillId="0" borderId="36" xfId="0" applyFont="1" applyBorder="1" applyAlignment="1" applyProtection="1">
      <alignment horizontal="center" vertical="center"/>
    </xf>
    <xf numFmtId="0" fontId="10" fillId="23" borderId="11" xfId="0" applyFont="1" applyFill="1" applyBorder="1" applyAlignment="1" applyProtection="1">
      <alignment horizontal="center" vertical="center"/>
    </xf>
    <xf numFmtId="0" fontId="10" fillId="0" borderId="13" xfId="0" applyFont="1" applyBorder="1" applyAlignment="1" applyProtection="1">
      <alignment horizontal="center" vertical="center"/>
    </xf>
    <xf numFmtId="0" fontId="2" fillId="0" borderId="45" xfId="0" applyNumberFormat="1" applyFont="1" applyBorder="1" applyAlignment="1" applyProtection="1">
      <alignment horizontal="center" vertical="center"/>
    </xf>
    <xf numFmtId="0" fontId="2" fillId="0" borderId="11" xfId="0" applyNumberFormat="1" applyFont="1" applyBorder="1" applyAlignment="1" applyProtection="1">
      <alignment horizontal="center" vertical="center"/>
    </xf>
    <xf numFmtId="0" fontId="2" fillId="0" borderId="49" xfId="0" applyNumberFormat="1" applyFont="1" applyBorder="1" applyAlignment="1" applyProtection="1">
      <alignment horizontal="center" vertical="center"/>
    </xf>
    <xf numFmtId="0" fontId="2" fillId="0" borderId="0" xfId="0" applyNumberFormat="1" applyFont="1" applyBorder="1" applyAlignment="1" applyProtection="1">
      <alignment horizontal="center" vertical="center"/>
    </xf>
    <xf numFmtId="0" fontId="2" fillId="25" borderId="50" xfId="0" applyFont="1" applyFill="1" applyBorder="1" applyAlignment="1" applyProtection="1">
      <alignment horizontal="center" vertical="center"/>
    </xf>
    <xf numFmtId="0" fontId="2" fillId="25" borderId="51" xfId="0" applyFont="1" applyFill="1" applyBorder="1" applyAlignment="1" applyProtection="1">
      <alignment horizontal="center" vertical="center"/>
    </xf>
    <xf numFmtId="0" fontId="2" fillId="25" borderId="52" xfId="0" applyFont="1" applyFill="1" applyBorder="1" applyAlignment="1" applyProtection="1">
      <alignment horizontal="center" vertical="center"/>
    </xf>
    <xf numFmtId="0" fontId="2" fillId="25" borderId="41" xfId="0" applyFont="1" applyFill="1" applyBorder="1" applyAlignment="1" applyProtection="1">
      <alignment horizontal="center" vertical="center"/>
    </xf>
    <xf numFmtId="0" fontId="2" fillId="25" borderId="14" xfId="0" applyFont="1" applyFill="1" applyBorder="1" applyAlignment="1" applyProtection="1">
      <alignment horizontal="center" vertical="center"/>
    </xf>
    <xf numFmtId="0" fontId="2" fillId="25" borderId="42" xfId="0" applyFont="1" applyFill="1" applyBorder="1" applyAlignment="1" applyProtection="1">
      <alignment horizontal="center" vertical="center"/>
    </xf>
    <xf numFmtId="0" fontId="2" fillId="25" borderId="47" xfId="0" applyFont="1" applyFill="1" applyBorder="1" applyAlignment="1" applyProtection="1">
      <alignment horizontal="center" vertical="center"/>
    </xf>
    <xf numFmtId="0" fontId="2" fillId="25" borderId="53" xfId="0" applyFont="1" applyFill="1" applyBorder="1" applyAlignment="1" applyProtection="1">
      <alignment horizontal="center" vertical="center"/>
    </xf>
    <xf numFmtId="0" fontId="2" fillId="25" borderId="48" xfId="0" applyFont="1" applyFill="1" applyBorder="1" applyAlignment="1" applyProtection="1">
      <alignment horizontal="center" vertical="center"/>
    </xf>
    <xf numFmtId="0" fontId="37" fillId="0" borderId="52" xfId="0" applyFont="1" applyBorder="1" applyAlignment="1" applyProtection="1">
      <alignment horizontal="center" vertical="center"/>
    </xf>
    <xf numFmtId="0" fontId="37" fillId="0" borderId="42" xfId="0" applyFont="1" applyBorder="1" applyAlignment="1" applyProtection="1">
      <alignment horizontal="center" vertical="center"/>
    </xf>
    <xf numFmtId="0" fontId="37" fillId="0" borderId="44" xfId="0" applyFont="1" applyBorder="1" applyAlignment="1" applyProtection="1">
      <alignment horizontal="center" vertical="center"/>
    </xf>
    <xf numFmtId="0" fontId="37" fillId="23" borderId="46" xfId="0" applyFont="1" applyFill="1" applyBorder="1" applyAlignment="1" applyProtection="1">
      <alignment horizontal="center" vertical="center"/>
    </xf>
    <xf numFmtId="0" fontId="37" fillId="0" borderId="48" xfId="0" applyFont="1" applyBorder="1" applyAlignment="1" applyProtection="1">
      <alignment horizontal="center" vertical="center"/>
    </xf>
    <xf numFmtId="0" fontId="37" fillId="0" borderId="0" xfId="42" applyNumberFormat="1" applyFont="1" applyAlignment="1">
      <alignment horizontal="center"/>
    </xf>
    <xf numFmtId="0" fontId="2" fillId="0" borderId="61" xfId="42" applyNumberFormat="1" applyFont="1" applyBorder="1" applyAlignment="1">
      <alignment horizontal="center"/>
    </xf>
    <xf numFmtId="0" fontId="2" fillId="0" borderId="64" xfId="42" applyNumberFormat="1" applyFont="1" applyBorder="1" applyAlignment="1">
      <alignment horizontal="center"/>
    </xf>
    <xf numFmtId="0" fontId="6" fillId="0" borderId="71" xfId="42" applyNumberFormat="1" applyFont="1" applyBorder="1" applyAlignment="1">
      <alignment horizontal="center"/>
    </xf>
    <xf numFmtId="0" fontId="6" fillId="0" borderId="72" xfId="42" applyNumberFormat="1" applyFont="1" applyBorder="1" applyAlignment="1">
      <alignment horizontal="center"/>
    </xf>
    <xf numFmtId="0" fontId="6" fillId="0" borderId="69" xfId="42" applyNumberFormat="1" applyFont="1" applyBorder="1" applyAlignment="1">
      <alignment horizontal="center"/>
    </xf>
    <xf numFmtId="0" fontId="6" fillId="0" borderId="73" xfId="42" applyNumberFormat="1" applyFont="1" applyBorder="1" applyAlignment="1">
      <alignment horizontal="center"/>
    </xf>
    <xf numFmtId="0" fontId="16" fillId="0" borderId="0" xfId="0" applyNumberFormat="1" applyFont="1" applyAlignment="1">
      <alignment horizontal="center" vertical="center"/>
    </xf>
    <xf numFmtId="0" fontId="0" fillId="23" borderId="14" xfId="0" applyFill="1" applyBorder="1" applyAlignment="1" applyProtection="1">
      <alignment horizontal="center" vertical="center"/>
    </xf>
    <xf numFmtId="0" fontId="0" fillId="23" borderId="0" xfId="0" applyFill="1" applyBorder="1" applyAlignment="1" applyProtection="1">
      <alignment horizontal="center" vertical="center"/>
    </xf>
    <xf numFmtId="0" fontId="2" fillId="23" borderId="14" xfId="0" applyFont="1" applyFill="1" applyBorder="1" applyAlignment="1" applyProtection="1">
      <alignment horizontal="center" vertical="center"/>
    </xf>
    <xf numFmtId="0" fontId="42" fillId="23" borderId="47" xfId="0" applyFont="1" applyFill="1" applyBorder="1" applyAlignment="1" applyProtection="1">
      <alignment horizontal="center" vertical="center"/>
    </xf>
    <xf numFmtId="0" fontId="42" fillId="23" borderId="53" xfId="0" applyFont="1" applyFill="1" applyBorder="1" applyAlignment="1" applyProtection="1">
      <alignment horizontal="center" vertical="center"/>
    </xf>
    <xf numFmtId="0" fontId="0" fillId="23" borderId="48" xfId="0" applyFill="1" applyBorder="1" applyAlignment="1" applyProtection="1">
      <alignment horizontal="center" vertical="center"/>
    </xf>
    <xf numFmtId="0" fontId="0" fillId="23" borderId="47" xfId="0" applyFill="1" applyBorder="1" applyAlignment="1" applyProtection="1">
      <alignment horizontal="center" vertical="center"/>
    </xf>
    <xf numFmtId="0" fontId="37" fillId="23" borderId="48" xfId="0" applyFont="1" applyFill="1" applyBorder="1" applyAlignment="1" applyProtection="1">
      <alignment horizontal="center" vertical="center"/>
    </xf>
    <xf numFmtId="11" fontId="37" fillId="0" borderId="0" xfId="42" applyNumberFormat="1" applyFont="1" applyAlignment="1">
      <alignment horizontal="center"/>
    </xf>
    <xf numFmtId="0" fontId="37" fillId="0" borderId="35" xfId="42" applyNumberFormat="1" applyFont="1" applyBorder="1" applyAlignment="1">
      <alignment horizontal="center"/>
    </xf>
    <xf numFmtId="0" fontId="67" fillId="0" borderId="0" xfId="0" applyNumberFormat="1" applyFont="1" applyAlignment="1">
      <alignment horizontal="center" vertical="center"/>
    </xf>
    <xf numFmtId="0" fontId="10" fillId="0" borderId="0" xfId="0" applyFont="1" applyAlignment="1" applyProtection="1">
      <alignment horizontal="center" vertical="center"/>
    </xf>
    <xf numFmtId="0" fontId="68" fillId="24" borderId="17" xfId="0" applyFont="1" applyFill="1" applyBorder="1" applyAlignment="1" applyProtection="1">
      <alignment horizontal="center" vertical="center" wrapText="1"/>
    </xf>
    <xf numFmtId="0" fontId="68" fillId="24" borderId="17" xfId="0" applyFont="1" applyFill="1" applyBorder="1" applyAlignment="1" applyProtection="1">
      <alignment horizontal="center" vertical="center"/>
    </xf>
    <xf numFmtId="0" fontId="68" fillId="24" borderId="17" xfId="0" applyFont="1" applyFill="1" applyBorder="1" applyAlignment="1" applyProtection="1">
      <alignment horizontal="center" vertical="center" textRotation="90" wrapText="1"/>
    </xf>
    <xf numFmtId="0" fontId="68" fillId="0" borderId="17" xfId="0" applyFont="1" applyBorder="1" applyAlignment="1" applyProtection="1">
      <alignment horizontal="center" vertical="center"/>
    </xf>
    <xf numFmtId="0" fontId="10" fillId="0" borderId="15" xfId="0" applyFont="1" applyBorder="1" applyAlignment="1" applyProtection="1">
      <alignment horizontal="center" vertical="center"/>
    </xf>
    <xf numFmtId="0" fontId="10" fillId="0" borderId="0" xfId="0" applyFont="1" applyBorder="1" applyAlignment="1" applyProtection="1">
      <alignment horizontal="center" vertical="center"/>
    </xf>
    <xf numFmtId="0" fontId="10" fillId="0" borderId="38" xfId="0" applyFont="1" applyBorder="1" applyAlignment="1" applyProtection="1">
      <alignment horizontal="center" vertical="center"/>
    </xf>
    <xf numFmtId="0" fontId="10" fillId="0" borderId="35" xfId="0" applyFont="1" applyBorder="1" applyAlignment="1" applyProtection="1">
      <alignment horizontal="center" vertical="center"/>
    </xf>
    <xf numFmtId="0" fontId="10" fillId="0" borderId="37" xfId="0" applyFont="1" applyBorder="1" applyAlignment="1" applyProtection="1">
      <alignment horizontal="center" vertical="center"/>
    </xf>
    <xf numFmtId="0" fontId="10" fillId="0" borderId="40" xfId="0" applyFont="1" applyBorder="1" applyAlignment="1" applyProtection="1">
      <alignment horizontal="center" vertical="center"/>
    </xf>
    <xf numFmtId="0" fontId="10" fillId="0" borderId="12" xfId="0" applyFont="1" applyBorder="1" applyAlignment="1" applyProtection="1">
      <alignment horizontal="center" vertical="center"/>
    </xf>
    <xf numFmtId="0" fontId="69" fillId="0" borderId="21" xfId="0" applyFont="1" applyBorder="1" applyAlignment="1" applyProtection="1">
      <alignment horizontal="center"/>
    </xf>
    <xf numFmtId="0" fontId="70" fillId="0" borderId="21" xfId="0" applyFont="1" applyBorder="1" applyAlignment="1" applyProtection="1">
      <alignment horizontal="center"/>
    </xf>
    <xf numFmtId="0" fontId="70" fillId="0" borderId="22" xfId="0" applyFont="1" applyBorder="1" applyAlignment="1" applyProtection="1">
      <alignment horizontal="center"/>
    </xf>
    <xf numFmtId="0" fontId="10" fillId="0" borderId="22" xfId="0" applyFont="1" applyBorder="1" applyAlignment="1" applyProtection="1">
      <alignment horizontal="center" vertical="center"/>
    </xf>
    <xf numFmtId="0" fontId="10" fillId="0" borderId="23" xfId="0" applyFont="1" applyBorder="1" applyAlignment="1" applyProtection="1">
      <alignment horizontal="center"/>
    </xf>
    <xf numFmtId="0" fontId="69" fillId="0" borderId="24" xfId="0" applyFont="1" applyBorder="1" applyAlignment="1" applyProtection="1">
      <alignment horizontal="center"/>
    </xf>
    <xf numFmtId="0" fontId="70" fillId="0" borderId="24" xfId="0" applyFont="1" applyBorder="1" applyAlignment="1" applyProtection="1">
      <alignment horizontal="center"/>
    </xf>
    <xf numFmtId="0" fontId="70" fillId="0" borderId="25" xfId="0" applyFont="1" applyBorder="1" applyAlignment="1" applyProtection="1">
      <alignment horizontal="center"/>
    </xf>
    <xf numFmtId="0" fontId="10" fillId="0" borderId="25" xfId="0" applyFont="1" applyBorder="1" applyAlignment="1" applyProtection="1">
      <alignment horizontal="center" vertical="center"/>
    </xf>
    <xf numFmtId="0" fontId="10" fillId="0" borderId="26" xfId="0" applyFont="1" applyBorder="1" applyAlignment="1" applyProtection="1">
      <alignment horizontal="center"/>
    </xf>
    <xf numFmtId="0" fontId="10" fillId="0" borderId="0" xfId="0" applyNumberFormat="1" applyFont="1" applyAlignment="1" applyProtection="1">
      <alignment horizontal="center" vertical="center"/>
    </xf>
    <xf numFmtId="0" fontId="68" fillId="0" borderId="0" xfId="0" applyFont="1" applyBorder="1" applyAlignment="1" applyProtection="1">
      <alignment horizontal="center" vertical="center"/>
    </xf>
    <xf numFmtId="0" fontId="68" fillId="0" borderId="0" xfId="0" applyFont="1" applyBorder="1" applyAlignment="1" applyProtection="1">
      <alignment horizontal="center" vertical="center" wrapText="1"/>
    </xf>
    <xf numFmtId="0" fontId="68" fillId="0" borderId="0" xfId="0" applyNumberFormat="1" applyFont="1" applyBorder="1" applyAlignment="1" applyProtection="1">
      <alignment horizontal="center" vertical="center" wrapText="1"/>
    </xf>
    <xf numFmtId="0" fontId="8" fillId="28" borderId="28" xfId="0" applyNumberFormat="1" applyFont="1" applyFill="1" applyBorder="1" applyAlignment="1" applyProtection="1">
      <alignment horizontal="center" vertical="center" wrapText="1"/>
    </xf>
    <xf numFmtId="11" fontId="14" fillId="0" borderId="0" xfId="0" applyNumberFormat="1" applyFont="1" applyAlignment="1">
      <alignment horizontal="center"/>
    </xf>
    <xf numFmtId="0" fontId="71" fillId="26" borderId="0" xfId="0" applyNumberFormat="1" applyFont="1" applyFill="1" applyBorder="1" applyAlignment="1">
      <alignment horizontal="center"/>
    </xf>
    <xf numFmtId="11" fontId="11" fillId="0" borderId="0" xfId="0" applyNumberFormat="1" applyFont="1" applyAlignment="1">
      <alignment horizontal="center"/>
    </xf>
    <xf numFmtId="11" fontId="2" fillId="0" borderId="0" xfId="0" applyNumberFormat="1" applyFont="1" applyAlignment="1">
      <alignment horizontal="center"/>
    </xf>
    <xf numFmtId="0" fontId="14" fillId="0" borderId="35" xfId="42" applyNumberFormat="1" applyFont="1" applyBorder="1" applyAlignment="1">
      <alignment horizontal="center"/>
    </xf>
    <xf numFmtId="0" fontId="2" fillId="0" borderId="35" xfId="42" applyNumberFormat="1" applyFont="1" applyBorder="1" applyAlignment="1">
      <alignment horizontal="center"/>
    </xf>
    <xf numFmtId="0" fontId="72" fillId="0" borderId="0" xfId="42" applyNumberFormat="1" applyFont="1" applyAlignment="1">
      <alignment horizontal="center"/>
    </xf>
    <xf numFmtId="0" fontId="6" fillId="0" borderId="0" xfId="42" applyNumberFormat="1" applyFont="1" applyAlignment="1">
      <alignment horizontal="center" vertical="center"/>
    </xf>
    <xf numFmtId="0" fontId="11" fillId="0" borderId="0" xfId="42" applyNumberFormat="1" applyFont="1" applyAlignment="1">
      <alignment horizontal="center"/>
    </xf>
    <xf numFmtId="0" fontId="39" fillId="0" borderId="0" xfId="42" applyNumberFormat="1" applyFont="1" applyAlignment="1">
      <alignment horizontal="center" vertical="center"/>
    </xf>
    <xf numFmtId="0" fontId="42" fillId="0" borderId="0" xfId="42" applyNumberFormat="1" applyFont="1" applyAlignment="1">
      <alignment horizontal="center" vertical="center"/>
    </xf>
    <xf numFmtId="0" fontId="42" fillId="0" borderId="35" xfId="42" applyNumberFormat="1" applyFont="1" applyBorder="1" applyAlignment="1">
      <alignment horizontal="center" vertical="center"/>
    </xf>
    <xf numFmtId="0" fontId="39" fillId="0" borderId="35" xfId="42" applyNumberFormat="1" applyBorder="1" applyAlignment="1">
      <alignment horizontal="center" vertical="center"/>
    </xf>
    <xf numFmtId="0" fontId="65" fillId="0" borderId="0" xfId="42" applyNumberFormat="1" applyFont="1" applyAlignment="1">
      <alignment horizontal="center" vertical="center"/>
    </xf>
    <xf numFmtId="0" fontId="65" fillId="0" borderId="35" xfId="42" applyNumberFormat="1" applyFont="1" applyBorder="1" applyAlignment="1">
      <alignment horizontal="center" vertical="center"/>
    </xf>
    <xf numFmtId="0" fontId="68" fillId="0" borderId="0" xfId="42" applyNumberFormat="1" applyFont="1" applyAlignment="1">
      <alignment horizontal="center" vertical="center"/>
    </xf>
    <xf numFmtId="0" fontId="68" fillId="0" borderId="35" xfId="42" applyNumberFormat="1" applyFont="1" applyBorder="1" applyAlignment="1">
      <alignment horizontal="center" vertical="center"/>
    </xf>
    <xf numFmtId="0" fontId="39" fillId="0" borderId="35" xfId="42" applyNumberFormat="1" applyFont="1" applyBorder="1" applyAlignment="1">
      <alignment horizontal="center" vertical="center"/>
    </xf>
    <xf numFmtId="0" fontId="6" fillId="0" borderId="35" xfId="42" applyNumberFormat="1" applyFont="1" applyBorder="1" applyAlignment="1">
      <alignment horizontal="center" vertical="center"/>
    </xf>
    <xf numFmtId="0" fontId="73" fillId="0" borderId="0" xfId="0" applyNumberFormat="1" applyFont="1" applyAlignment="1" applyProtection="1">
      <alignment horizontal="center" vertical="center"/>
    </xf>
    <xf numFmtId="171" fontId="33" fillId="0" borderId="0" xfId="0" applyNumberFormat="1" applyFont="1" applyFill="1" applyBorder="1" applyAlignment="1">
      <alignment horizontal="center"/>
    </xf>
    <xf numFmtId="0" fontId="6" fillId="0" borderId="54" xfId="42" applyNumberFormat="1" applyFont="1" applyBorder="1" applyAlignment="1">
      <alignment horizontal="center"/>
    </xf>
    <xf numFmtId="0" fontId="4" fillId="0" borderId="10" xfId="0" applyNumberFormat="1" applyFont="1" applyBorder="1" applyAlignment="1" applyProtection="1">
      <alignment horizontal="center" vertical="center"/>
    </xf>
    <xf numFmtId="0" fontId="4" fillId="0" borderId="73" xfId="0" applyNumberFormat="1" applyFont="1" applyBorder="1" applyAlignment="1" applyProtection="1">
      <alignment horizontal="center" vertical="center"/>
    </xf>
    <xf numFmtId="172" fontId="4" fillId="0" borderId="54" xfId="0" applyNumberFormat="1" applyFont="1" applyBorder="1" applyAlignment="1" applyProtection="1">
      <alignment horizontal="center" vertical="center"/>
    </xf>
    <xf numFmtId="172" fontId="4" fillId="0" borderId="10" xfId="0" applyNumberFormat="1" applyFont="1" applyBorder="1" applyAlignment="1" applyProtection="1">
      <alignment horizontal="center" vertical="center"/>
    </xf>
    <xf numFmtId="172" fontId="4" fillId="0" borderId="49" xfId="0" applyNumberFormat="1" applyFont="1" applyBorder="1" applyAlignment="1" applyProtection="1">
      <alignment horizontal="center" vertical="center"/>
    </xf>
    <xf numFmtId="0" fontId="33" fillId="0" borderId="73" xfId="0" applyFont="1" applyFill="1" applyBorder="1" applyAlignment="1">
      <alignment horizontal="center"/>
    </xf>
    <xf numFmtId="0" fontId="6" fillId="0" borderId="62" xfId="42" applyNumberFormat="1" applyFont="1" applyBorder="1" applyAlignment="1">
      <alignment horizontal="center"/>
    </xf>
    <xf numFmtId="0" fontId="6" fillId="0" borderId="63" xfId="42" applyNumberFormat="1" applyFont="1" applyBorder="1" applyAlignment="1">
      <alignment horizontal="center"/>
    </xf>
    <xf numFmtId="0" fontId="33" fillId="0" borderId="54" xfId="0" applyFont="1" applyFill="1" applyBorder="1" applyAlignment="1">
      <alignment horizontal="center"/>
    </xf>
    <xf numFmtId="0" fontId="33" fillId="0" borderId="10" xfId="0" applyFont="1" applyFill="1" applyBorder="1" applyAlignment="1">
      <alignment horizontal="center"/>
    </xf>
    <xf numFmtId="0" fontId="33" fillId="0" borderId="49" xfId="0" applyFont="1" applyFill="1" applyBorder="1" applyAlignment="1">
      <alignment horizontal="center"/>
    </xf>
    <xf numFmtId="0" fontId="2" fillId="0" borderId="0" xfId="0" applyFont="1" applyAlignment="1">
      <alignment horizontal="center" vertical="center"/>
    </xf>
    <xf numFmtId="173" fontId="0" fillId="0" borderId="0" xfId="0" applyNumberFormat="1" applyAlignment="1">
      <alignment horizontal="center" vertical="center"/>
    </xf>
    <xf numFmtId="0" fontId="6" fillId="30" borderId="72" xfId="0" applyFont="1" applyFill="1" applyBorder="1" applyAlignment="1">
      <alignment horizontal="center" vertical="center"/>
    </xf>
    <xf numFmtId="0" fontId="0" fillId="30" borderId="0" xfId="0" applyNumberFormat="1" applyFill="1" applyAlignment="1">
      <alignment horizontal="center"/>
    </xf>
    <xf numFmtId="0" fontId="0" fillId="30" borderId="0" xfId="0" applyNumberFormat="1" applyFill="1" applyBorder="1" applyAlignment="1">
      <alignment horizontal="center"/>
    </xf>
    <xf numFmtId="0" fontId="6" fillId="30" borderId="0" xfId="0" applyFont="1" applyFill="1" applyBorder="1" applyAlignment="1">
      <alignment horizontal="center" vertical="center"/>
    </xf>
    <xf numFmtId="0" fontId="2" fillId="30" borderId="72" xfId="0" applyFont="1" applyFill="1" applyBorder="1" applyAlignment="1">
      <alignment horizontal="center" vertical="center"/>
    </xf>
    <xf numFmtId="0" fontId="6" fillId="26" borderId="58" xfId="0" applyFont="1" applyFill="1" applyBorder="1" applyAlignment="1">
      <alignment horizontal="center" vertical="center"/>
    </xf>
    <xf numFmtId="0" fontId="2" fillId="26" borderId="35" xfId="0" applyNumberFormat="1" applyFont="1" applyFill="1" applyBorder="1" applyAlignment="1">
      <alignment horizontal="center"/>
    </xf>
    <xf numFmtId="0" fontId="0" fillId="26" borderId="35" xfId="0" applyNumberFormat="1" applyFill="1" applyBorder="1" applyAlignment="1">
      <alignment horizontal="center"/>
    </xf>
    <xf numFmtId="0" fontId="0" fillId="26" borderId="36" xfId="0" applyNumberFormat="1" applyFill="1" applyBorder="1" applyAlignment="1">
      <alignment horizontal="center"/>
    </xf>
    <xf numFmtId="0" fontId="2" fillId="26" borderId="37" xfId="0" applyNumberFormat="1" applyFont="1" applyFill="1" applyBorder="1" applyAlignment="1">
      <alignment horizontal="center"/>
    </xf>
    <xf numFmtId="0" fontId="6" fillId="29" borderId="0" xfId="42" applyNumberFormat="1" applyFont="1" applyFill="1" applyAlignment="1">
      <alignment horizontal="center"/>
    </xf>
    <xf numFmtId="171" fontId="14" fillId="0" borderId="0" xfId="42" applyNumberFormat="1" applyFont="1" applyAlignment="1">
      <alignment horizontal="center"/>
    </xf>
    <xf numFmtId="0" fontId="6" fillId="0" borderId="0" xfId="0" applyFont="1"/>
    <xf numFmtId="0" fontId="6" fillId="0" borderId="74" xfId="0" applyFont="1" applyBorder="1"/>
    <xf numFmtId="0" fontId="0" fillId="0" borderId="74" xfId="0" applyBorder="1" applyAlignment="1">
      <alignment horizontal="center" vertical="center"/>
    </xf>
    <xf numFmtId="0" fontId="2" fillId="0" borderId="74" xfId="0" applyFont="1" applyBorder="1" applyAlignment="1">
      <alignment horizontal="center" vertical="center"/>
    </xf>
    <xf numFmtId="0" fontId="14" fillId="0" borderId="0" xfId="42" applyNumberFormat="1" applyFont="1" applyAlignment="1">
      <alignment horizontal="center" vertical="center"/>
    </xf>
    <xf numFmtId="0" fontId="11" fillId="29" borderId="0" xfId="42" applyNumberFormat="1" applyFont="1" applyFill="1" applyAlignment="1">
      <alignment horizontal="center"/>
    </xf>
    <xf numFmtId="0" fontId="40" fillId="0" borderId="54" xfId="0" applyNumberFormat="1" applyFont="1" applyBorder="1" applyAlignment="1">
      <alignment horizontal="center" vertical="center"/>
    </xf>
    <xf numFmtId="0" fontId="40" fillId="0" borderId="10" xfId="0" applyNumberFormat="1" applyFont="1" applyBorder="1" applyAlignment="1">
      <alignment horizontal="center" vertical="center"/>
    </xf>
    <xf numFmtId="0" fontId="40" fillId="0" borderId="49" xfId="0" applyNumberFormat="1" applyFont="1" applyBorder="1" applyAlignment="1">
      <alignment horizontal="center" vertical="center"/>
    </xf>
    <xf numFmtId="0" fontId="73" fillId="0" borderId="0" xfId="42" applyNumberFormat="1" applyFont="1" applyAlignment="1">
      <alignment horizontal="center"/>
    </xf>
    <xf numFmtId="0" fontId="73" fillId="0" borderId="71" xfId="0" applyFont="1" applyFill="1" applyBorder="1" applyAlignment="1">
      <alignment horizontal="center"/>
    </xf>
    <xf numFmtId="0" fontId="73" fillId="0" borderId="72" xfId="0" applyFont="1" applyFill="1" applyBorder="1" applyAlignment="1">
      <alignment horizontal="center"/>
    </xf>
    <xf numFmtId="0" fontId="73" fillId="0" borderId="73" xfId="0" applyFont="1" applyFill="1" applyBorder="1" applyAlignment="1">
      <alignment horizontal="center"/>
    </xf>
    <xf numFmtId="0" fontId="73" fillId="0" borderId="60" xfId="0" applyFont="1" applyFill="1" applyBorder="1" applyAlignment="1">
      <alignment horizontal="center"/>
    </xf>
    <xf numFmtId="0" fontId="73" fillId="0" borderId="61" xfId="0" applyFont="1" applyFill="1" applyBorder="1" applyAlignment="1">
      <alignment horizontal="center"/>
    </xf>
    <xf numFmtId="0" fontId="73" fillId="0" borderId="56" xfId="0" applyFont="1" applyFill="1" applyBorder="1" applyAlignment="1">
      <alignment horizontal="center"/>
    </xf>
    <xf numFmtId="0" fontId="73" fillId="0" borderId="62" xfId="0" applyFont="1" applyFill="1" applyBorder="1" applyAlignment="1">
      <alignment horizontal="center"/>
    </xf>
    <xf numFmtId="0" fontId="73" fillId="0" borderId="0" xfId="0" applyFont="1" applyFill="1" applyBorder="1" applyAlignment="1">
      <alignment horizontal="center"/>
    </xf>
    <xf numFmtId="0" fontId="73" fillId="0" borderId="57" xfId="0" applyFont="1" applyFill="1" applyBorder="1" applyAlignment="1">
      <alignment horizontal="center"/>
    </xf>
    <xf numFmtId="0" fontId="73" fillId="0" borderId="63" xfId="0" applyFont="1" applyFill="1" applyBorder="1" applyAlignment="1">
      <alignment horizontal="center"/>
    </xf>
    <xf numFmtId="0" fontId="73" fillId="0" borderId="64" xfId="0" applyFont="1" applyFill="1" applyBorder="1" applyAlignment="1">
      <alignment horizontal="center"/>
    </xf>
    <xf numFmtId="0" fontId="73" fillId="0" borderId="59" xfId="0" applyFont="1" applyFill="1" applyBorder="1" applyAlignment="1">
      <alignment horizontal="center"/>
    </xf>
    <xf numFmtId="0" fontId="73" fillId="0" borderId="0" xfId="0" applyFont="1" applyAlignment="1">
      <alignment horizontal="center"/>
    </xf>
    <xf numFmtId="172" fontId="73" fillId="0" borderId="0" xfId="0" applyNumberFormat="1" applyFont="1" applyAlignment="1">
      <alignment horizontal="center"/>
    </xf>
  </cellXfs>
  <cellStyles count="4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uro" xfId="28" xr:uid="{00000000-0005-0000-0000-00001B000000}"/>
    <cellStyle name="Explanatory Text" xfId="29" xr:uid="{00000000-0005-0000-0000-00001C000000}"/>
    <cellStyle name="Good" xfId="30" xr:uid="{00000000-0005-0000-0000-00001D000000}"/>
    <cellStyle name="Heading 1" xfId="31" xr:uid="{00000000-0005-0000-0000-00001E000000}"/>
    <cellStyle name="Heading 2" xfId="32" xr:uid="{00000000-0005-0000-0000-00001F000000}"/>
    <cellStyle name="Heading 3" xfId="33" xr:uid="{00000000-0005-0000-0000-000020000000}"/>
    <cellStyle name="Heading 4" xfId="34" xr:uid="{00000000-0005-0000-0000-000021000000}"/>
    <cellStyle name="Input" xfId="35" xr:uid="{00000000-0005-0000-0000-000022000000}"/>
    <cellStyle name="Linked Cell" xfId="36" xr:uid="{00000000-0005-0000-0000-000023000000}"/>
    <cellStyle name="Milliers [0]_Nitrification model" xfId="37" xr:uid="{00000000-0005-0000-0000-000024000000}"/>
    <cellStyle name="Milliers_Nitrification model" xfId="38" xr:uid="{00000000-0005-0000-0000-000025000000}"/>
    <cellStyle name="Monétaire [0]_Nitrification model" xfId="39" xr:uid="{00000000-0005-0000-0000-000026000000}"/>
    <cellStyle name="Monétaire_Nitrification model" xfId="40" xr:uid="{00000000-0005-0000-0000-000027000000}"/>
    <cellStyle name="Normal" xfId="0" builtinId="0"/>
    <cellStyle name="Normal 2" xfId="41" xr:uid="{00000000-0005-0000-0000-000029000000}"/>
    <cellStyle name="Normal_MyModelStructure" xfId="42" xr:uid="{00000000-0005-0000-0000-00002A000000}"/>
    <cellStyle name="Note" xfId="43" xr:uid="{00000000-0005-0000-0000-00002B000000}"/>
    <cellStyle name="Output" xfId="44" xr:uid="{00000000-0005-0000-0000-00002C000000}"/>
    <cellStyle name="Title" xfId="45" xr:uid="{00000000-0005-0000-0000-00002D000000}"/>
    <cellStyle name="Warning Text" xfId="46" xr:uid="{00000000-0005-0000-0000-00002E000000}"/>
  </cellStyles>
  <dxfs count="60">
    <dxf>
      <font>
        <condense val="0"/>
        <extend val="0"/>
        <color indexed="22"/>
      </font>
    </dxf>
    <dxf>
      <font>
        <condense val="0"/>
        <extend val="0"/>
        <color indexed="22"/>
      </font>
    </dxf>
    <dxf>
      <font>
        <condense val="0"/>
        <extend val="0"/>
        <color indexed="9"/>
      </font>
    </dxf>
    <dxf>
      <font>
        <condense val="0"/>
        <extend val="0"/>
        <color indexed="9"/>
      </font>
    </dxf>
    <dxf>
      <font>
        <b/>
        <i val="0"/>
        <condense val="0"/>
        <extend val="0"/>
        <color indexed="47"/>
      </font>
      <fill>
        <patternFill patternType="none">
          <bgColor indexed="65"/>
        </patternFill>
      </fill>
    </dxf>
    <dxf>
      <font>
        <b/>
        <i val="0"/>
        <condense val="0"/>
        <extend val="0"/>
        <color indexed="10"/>
      </font>
    </dxf>
    <dxf>
      <font>
        <b/>
        <i val="0"/>
        <condense val="0"/>
        <extend val="0"/>
        <color indexed="17"/>
      </font>
    </dxf>
    <dxf>
      <fill>
        <patternFill>
          <bgColor indexed="10"/>
        </patternFill>
      </fill>
    </dxf>
    <dxf>
      <fill>
        <patternFill>
          <bgColor indexed="42"/>
        </patternFill>
      </fill>
    </dxf>
    <dxf>
      <font>
        <condense val="0"/>
        <extend val="0"/>
        <color indexed="29"/>
      </font>
    </dxf>
    <dxf>
      <font>
        <condense val="0"/>
        <extend val="0"/>
        <color indexed="22"/>
      </font>
    </dxf>
    <dxf>
      <font>
        <b/>
        <i val="0"/>
        <condense val="0"/>
        <extend val="0"/>
        <color auto="1"/>
      </font>
      <fill>
        <patternFill>
          <bgColor indexed="10"/>
        </patternFill>
      </fill>
    </dxf>
    <dxf>
      <font>
        <b/>
        <i val="0"/>
        <condense val="0"/>
        <extend val="0"/>
        <color indexed="47"/>
      </font>
      <fill>
        <patternFill patternType="none">
          <bgColor indexed="65"/>
        </patternFill>
      </fill>
    </dxf>
    <dxf>
      <font>
        <b/>
        <i val="0"/>
        <condense val="0"/>
        <extend val="0"/>
        <color indexed="10"/>
      </font>
    </dxf>
    <dxf>
      <font>
        <b/>
        <i val="0"/>
        <condense val="0"/>
        <extend val="0"/>
        <color indexed="17"/>
      </font>
    </dxf>
    <dxf>
      <font>
        <condense val="0"/>
        <extend val="0"/>
        <color indexed="22"/>
      </font>
    </dxf>
    <dxf>
      <font>
        <condense val="0"/>
        <extend val="0"/>
        <color indexed="22"/>
      </font>
    </dxf>
    <dxf>
      <font>
        <condense val="0"/>
        <extend val="0"/>
        <color indexed="22"/>
      </font>
    </dxf>
    <dxf>
      <fill>
        <patternFill>
          <bgColor indexed="10"/>
        </patternFill>
      </fill>
    </dxf>
    <dxf>
      <fill>
        <patternFill>
          <bgColor indexed="42"/>
        </patternFill>
      </fill>
    </dxf>
    <dxf>
      <font>
        <b/>
        <i val="0"/>
        <condense val="0"/>
        <extend val="0"/>
        <color indexed="47"/>
      </font>
      <fill>
        <patternFill patternType="none">
          <bgColor indexed="65"/>
        </patternFill>
      </fill>
    </dxf>
    <dxf>
      <font>
        <b/>
        <i val="0"/>
        <condense val="0"/>
        <extend val="0"/>
        <color indexed="10"/>
      </font>
    </dxf>
    <dxf>
      <font>
        <b/>
        <i val="0"/>
        <condense val="0"/>
        <extend val="0"/>
        <color indexed="17"/>
      </font>
    </dxf>
    <dxf>
      <font>
        <condense val="0"/>
        <extend val="0"/>
        <color indexed="29"/>
      </font>
    </dxf>
    <dxf>
      <font>
        <condense val="0"/>
        <extend val="0"/>
        <color indexed="22"/>
      </font>
    </dxf>
    <dxf>
      <font>
        <b/>
        <i val="0"/>
        <condense val="0"/>
        <extend val="0"/>
        <color auto="1"/>
      </font>
      <fill>
        <patternFill>
          <bgColor indexed="10"/>
        </patternFill>
      </fill>
    </dxf>
    <dxf>
      <font>
        <b/>
        <i val="0"/>
        <condense val="0"/>
        <extend val="0"/>
        <color indexed="47"/>
      </font>
      <fill>
        <patternFill patternType="none">
          <bgColor indexed="65"/>
        </patternFill>
      </fill>
    </dxf>
    <dxf>
      <font>
        <b/>
        <i val="0"/>
        <condense val="0"/>
        <extend val="0"/>
        <color indexed="10"/>
      </font>
    </dxf>
    <dxf>
      <font>
        <b/>
        <i val="0"/>
        <condense val="0"/>
        <extend val="0"/>
        <color indexed="17"/>
      </font>
    </dxf>
    <dxf>
      <font>
        <condense val="0"/>
        <extend val="0"/>
        <color indexed="9"/>
      </font>
    </dxf>
    <dxf>
      <font>
        <condense val="0"/>
        <extend val="0"/>
        <color indexed="22"/>
      </font>
    </dxf>
    <dxf>
      <font>
        <color indexed="22"/>
      </font>
    </dxf>
    <dxf>
      <font>
        <color indexed="22"/>
      </font>
    </dxf>
    <dxf>
      <font>
        <color indexed="22"/>
      </font>
    </dxf>
    <dxf>
      <font>
        <color indexed="22"/>
      </font>
    </dxf>
    <dxf>
      <font>
        <color indexed="22"/>
      </font>
    </dxf>
    <dxf>
      <font>
        <color indexed="22"/>
      </font>
    </dxf>
    <dxf>
      <font>
        <color indexed="22"/>
      </font>
    </dxf>
    <dxf>
      <font>
        <b/>
        <i val="0"/>
        <color theme="0"/>
      </font>
      <fill>
        <patternFill>
          <bgColor theme="1" tint="4.9989318521683403E-2"/>
        </patternFill>
      </fill>
    </dxf>
    <dxf>
      <font>
        <b/>
        <i val="0"/>
        <color theme="0"/>
      </font>
      <fill>
        <patternFill>
          <bgColor theme="1" tint="4.9989318521683403E-2"/>
        </patternFill>
      </fill>
    </dxf>
    <dxf>
      <font>
        <b/>
        <i val="0"/>
        <condense val="0"/>
        <extend val="0"/>
        <color indexed="47"/>
      </font>
      <fill>
        <patternFill patternType="none">
          <bgColor indexed="65"/>
        </patternFill>
      </fill>
    </dxf>
    <dxf>
      <font>
        <b/>
        <i val="0"/>
        <condense val="0"/>
        <extend val="0"/>
        <color indexed="10"/>
      </font>
    </dxf>
    <dxf>
      <font>
        <b/>
        <i val="0"/>
        <condense val="0"/>
        <extend val="0"/>
        <color indexed="17"/>
      </font>
    </dxf>
    <dxf>
      <font>
        <condense val="0"/>
        <extend val="0"/>
        <color indexed="8"/>
      </font>
      <fill>
        <patternFill>
          <bgColor theme="6" tint="0.39994506668294322"/>
        </patternFill>
      </fill>
    </dxf>
    <dxf>
      <font>
        <condense val="0"/>
        <extend val="0"/>
        <color auto="1"/>
      </font>
      <fill>
        <patternFill>
          <bgColor theme="5" tint="0.39994506668294322"/>
        </patternFill>
      </fill>
    </dxf>
    <dxf>
      <font>
        <condense val="0"/>
        <extend val="0"/>
        <color indexed="8"/>
      </font>
      <fill>
        <patternFill>
          <bgColor theme="6" tint="0.39994506668294322"/>
        </patternFill>
      </fill>
    </dxf>
    <dxf>
      <font>
        <condense val="0"/>
        <extend val="0"/>
        <color auto="1"/>
      </font>
      <fill>
        <patternFill>
          <bgColor theme="5" tint="0.39994506668294322"/>
        </patternFill>
      </fill>
    </dxf>
    <dxf>
      <font>
        <b/>
        <i val="0"/>
        <color theme="0"/>
      </font>
      <fill>
        <patternFill>
          <bgColor theme="1" tint="4.9989318521683403E-2"/>
        </patternFill>
      </fill>
    </dxf>
    <dxf>
      <font>
        <b/>
        <i val="0"/>
        <color theme="0"/>
      </font>
      <fill>
        <patternFill>
          <bgColor theme="1" tint="4.9989318521683403E-2"/>
        </patternFill>
      </fill>
    </dxf>
    <dxf>
      <font>
        <condense val="0"/>
        <extend val="0"/>
        <color indexed="8"/>
      </font>
      <fill>
        <patternFill>
          <bgColor theme="6" tint="0.39994506668294322"/>
        </patternFill>
      </fill>
    </dxf>
    <dxf>
      <font>
        <condense val="0"/>
        <extend val="0"/>
        <color auto="1"/>
      </font>
      <fill>
        <patternFill>
          <bgColor theme="5" tint="0.39994506668294322"/>
        </patternFill>
      </fill>
    </dxf>
    <dxf>
      <font>
        <condense val="0"/>
        <extend val="0"/>
        <color indexed="8"/>
      </font>
      <fill>
        <patternFill>
          <bgColor theme="6" tint="0.39994506668294322"/>
        </patternFill>
      </fill>
    </dxf>
    <dxf>
      <font>
        <condense val="0"/>
        <extend val="0"/>
        <color auto="1"/>
      </font>
      <fill>
        <patternFill>
          <bgColor theme="5" tint="0.39994506668294322"/>
        </patternFill>
      </fill>
    </dxf>
    <dxf>
      <font>
        <color auto="1"/>
      </font>
      <fill>
        <patternFill>
          <bgColor indexed="22"/>
        </patternFill>
      </fill>
    </dxf>
    <dxf>
      <font>
        <b/>
        <i val="0"/>
        <color theme="0"/>
      </font>
      <fill>
        <patternFill>
          <bgColor theme="1" tint="4.9989318521683403E-2"/>
        </patternFill>
      </fill>
    </dxf>
    <dxf>
      <font>
        <b/>
        <i val="0"/>
        <color theme="0"/>
      </font>
      <fill>
        <patternFill>
          <bgColor theme="1" tint="4.9989318521683403E-2"/>
        </patternFill>
      </fill>
    </dxf>
    <dxf>
      <font>
        <b/>
        <i val="0"/>
        <color theme="0"/>
      </font>
      <fill>
        <patternFill>
          <bgColor theme="1" tint="4.9989318521683403E-2"/>
        </patternFill>
      </fill>
    </dxf>
    <dxf>
      <font>
        <color auto="1"/>
      </font>
      <fill>
        <patternFill>
          <bgColor indexed="22"/>
        </patternFill>
      </fill>
    </dxf>
    <dxf>
      <font>
        <condense val="0"/>
        <extend val="0"/>
        <color indexed="22"/>
      </font>
    </dxf>
    <dxf>
      <font>
        <color indexed="2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00" b="0" i="0" u="none" strike="noStrike" baseline="0">
              <a:solidFill>
                <a:srgbClr val="000000"/>
              </a:solidFill>
              <a:latin typeface="Arial"/>
              <a:ea typeface="Arial"/>
              <a:cs typeface="Arial"/>
            </a:defRPr>
          </a:pPr>
          <a:endParaRPr lang="en-US"/>
        </a:p>
      </c:txPr>
    </c:title>
    <c:autoTitleDeleted val="0"/>
    <c:plotArea>
      <c:layout/>
      <c:scatterChart>
        <c:scatterStyle val="lineMarker"/>
        <c:varyColors val="0"/>
        <c:ser>
          <c:idx val="0"/>
          <c:order val="0"/>
          <c:tx>
            <c:v>KinetParam!#REF!</c:v>
          </c:tx>
          <c:spPr>
            <a:ln w="12700">
              <a:solidFill>
                <a:srgbClr val="000080"/>
              </a:solidFill>
              <a:prstDash val="solid"/>
            </a:ln>
          </c:spPr>
          <c:marker>
            <c:symbol val="diamond"/>
            <c:size val="5"/>
            <c:spPr>
              <a:solidFill>
                <a:srgbClr val="000080"/>
              </a:solidFill>
              <a:ln>
                <a:solidFill>
                  <a:srgbClr val="000080"/>
                </a:solidFill>
                <a:prstDash val="solid"/>
              </a:ln>
            </c:spPr>
          </c:marker>
          <c:xVal>
            <c:numRef>
              <c:f>KinetParam!#REF!</c:f>
              <c:numCache>
                <c:formatCode>General</c:formatCode>
                <c:ptCount val="1"/>
                <c:pt idx="0">
                  <c:v>1</c:v>
                </c:pt>
              </c:numCache>
            </c:numRef>
          </c:xVal>
          <c:yVal>
            <c:numRef>
              <c:f>KinetParam!#REF!</c:f>
              <c:numCache>
                <c:formatCode>General</c:formatCode>
                <c:ptCount val="1"/>
                <c:pt idx="0">
                  <c:v>1</c:v>
                </c:pt>
              </c:numCache>
            </c:numRef>
          </c:yVal>
          <c:smooth val="0"/>
          <c:extLst>
            <c:ext xmlns:c16="http://schemas.microsoft.com/office/drawing/2014/chart" uri="{C3380CC4-5D6E-409C-BE32-E72D297353CC}">
              <c16:uniqueId val="{00000000-0BC6-4600-8E0B-ED87BA6FDA69}"/>
            </c:ext>
          </c:extLst>
        </c:ser>
        <c:dLbls>
          <c:showLegendKey val="0"/>
          <c:showVal val="0"/>
          <c:showCatName val="0"/>
          <c:showSerName val="0"/>
          <c:showPercent val="0"/>
          <c:showBubbleSize val="0"/>
        </c:dLbls>
        <c:axId val="402212864"/>
        <c:axId val="1"/>
      </c:scatterChart>
      <c:valAx>
        <c:axId val="4022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402212864"/>
        <c:crosses val="autoZero"/>
        <c:crossBetween val="midCat"/>
      </c:valAx>
      <c:spPr>
        <a:noFill/>
        <a:ln w="38100">
          <a:solidFill>
            <a:srgbClr val="00000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78</xdr:row>
      <xdr:rowOff>114300</xdr:rowOff>
    </xdr:from>
    <xdr:to>
      <xdr:col>3</xdr:col>
      <xdr:colOff>0</xdr:colOff>
      <xdr:row>96</xdr:row>
      <xdr:rowOff>152400</xdr:rowOff>
    </xdr:to>
    <xdr:graphicFrame macro="">
      <xdr:nvGraphicFramePr>
        <xdr:cNvPr id="6152" name="Gráfico 2">
          <a:extLst>
            <a:ext uri="{FF2B5EF4-FFF2-40B4-BE49-F238E27FC236}">
              <a16:creationId xmlns:a16="http://schemas.microsoft.com/office/drawing/2014/main" id="{00000000-0008-0000-0900-000008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rrentWork/Modelos/Planta%20Virtual_110215/simID/MyModelStructure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Stoichiometry"/>
      <sheetName val="StoichMatrix"/>
      <sheetName val="States"/>
      <sheetName val="AlgParam"/>
      <sheetName val="OperatParam"/>
      <sheetName val="ThParam"/>
      <sheetName val="KinetParam"/>
      <sheetName val="FeedProgram"/>
      <sheetName val="FeedComposition"/>
      <sheetName val="Mezcla entrante"/>
      <sheetName val="Xcs1"/>
      <sheetName val="Xcs2"/>
      <sheetName val="Xcs3"/>
      <sheetName val="Xcs4"/>
      <sheetName val="Xcs5"/>
      <sheetName val="Biomass"/>
    </sheetNames>
    <sheetDataSet>
      <sheetData sheetId="0">
        <row r="22">
          <cell r="O22">
            <v>64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dimension ref="A1:C19"/>
  <sheetViews>
    <sheetView workbookViewId="0">
      <selection activeCell="I17" sqref="I17"/>
    </sheetView>
  </sheetViews>
  <sheetFormatPr defaultColWidth="11.44140625" defaultRowHeight="13.2"/>
  <cols>
    <col min="1" max="1" width="11.44140625" style="192"/>
    <col min="2" max="2" width="12.44140625" style="192" bestFit="1" customWidth="1"/>
    <col min="3" max="16384" width="11.44140625" style="192"/>
  </cols>
  <sheetData>
    <row r="1" spans="1:3">
      <c r="A1" s="195" t="s">
        <v>358</v>
      </c>
      <c r="B1" s="192">
        <v>8.3140000000000002E-3</v>
      </c>
      <c r="C1" s="192" t="s">
        <v>359</v>
      </c>
    </row>
    <row r="2" spans="1:3">
      <c r="A2" s="195" t="s">
        <v>360</v>
      </c>
      <c r="B2" s="192">
        <v>8.3140000000000006E-2</v>
      </c>
      <c r="C2" s="192" t="s">
        <v>361</v>
      </c>
    </row>
    <row r="3" spans="1:3">
      <c r="A3" s="186" t="s">
        <v>362</v>
      </c>
      <c r="B3" s="189">
        <v>1.01325</v>
      </c>
      <c r="C3" s="192" t="s">
        <v>352</v>
      </c>
    </row>
    <row r="4" spans="1:3">
      <c r="A4" s="186" t="s">
        <v>700</v>
      </c>
      <c r="B4" s="189">
        <v>1.9999999999999999E-6</v>
      </c>
      <c r="C4" s="192" t="s">
        <v>352</v>
      </c>
    </row>
    <row r="5" spans="1:3">
      <c r="A5" s="186" t="s">
        <v>701</v>
      </c>
      <c r="B5" s="189">
        <v>3.9500000000000001E-4</v>
      </c>
      <c r="C5" s="192" t="s">
        <v>352</v>
      </c>
    </row>
    <row r="6" spans="1:3">
      <c r="A6" s="186" t="s">
        <v>708</v>
      </c>
      <c r="B6" s="189">
        <v>4.9999999999999998E-7</v>
      </c>
      <c r="C6" s="192" t="s">
        <v>352</v>
      </c>
    </row>
    <row r="7" spans="1:3">
      <c r="A7" s="186" t="s">
        <v>706</v>
      </c>
      <c r="B7" s="192">
        <f>+$B$3-SUM(B4:B6)-SUM(B8:B9)</f>
        <v>0.80285249999999997</v>
      </c>
      <c r="C7" s="192" t="s">
        <v>352</v>
      </c>
    </row>
    <row r="8" spans="1:3">
      <c r="A8" s="186" t="s">
        <v>702</v>
      </c>
      <c r="B8" s="189">
        <v>0</v>
      </c>
      <c r="C8" s="192" t="s">
        <v>352</v>
      </c>
    </row>
    <row r="9" spans="1:3">
      <c r="A9" s="186" t="s">
        <v>703</v>
      </c>
      <c r="B9" s="189">
        <v>0.21</v>
      </c>
      <c r="C9" s="192" t="s">
        <v>352</v>
      </c>
    </row>
    <row r="10" spans="1:3">
      <c r="A10" s="186" t="s">
        <v>831</v>
      </c>
      <c r="B10" s="416">
        <f>0.0313*EXP(5290*(1/298.15-1/PhysParam!$B$5))</f>
        <v>3.0317472039508762E-2</v>
      </c>
      <c r="C10" s="192" t="s">
        <v>352</v>
      </c>
    </row>
    <row r="11" spans="1:3">
      <c r="A11" s="277" t="s">
        <v>739</v>
      </c>
      <c r="B11" s="374">
        <v>0.01</v>
      </c>
      <c r="C11" s="375" t="s">
        <v>738</v>
      </c>
    </row>
    <row r="12" spans="1:3">
      <c r="A12" s="186" t="s">
        <v>808</v>
      </c>
      <c r="B12" s="422">
        <f>35*10000</f>
        <v>350000</v>
      </c>
      <c r="C12" s="192" t="s">
        <v>809</v>
      </c>
    </row>
    <row r="13" spans="1:3">
      <c r="A13" s="186" t="s">
        <v>830</v>
      </c>
      <c r="B13" s="378">
        <v>5400000</v>
      </c>
      <c r="C13" s="192" t="s">
        <v>811</v>
      </c>
    </row>
    <row r="14" spans="1:3">
      <c r="A14" s="186" t="s">
        <v>810</v>
      </c>
      <c r="B14" s="376">
        <f>0.78*3600</f>
        <v>2808</v>
      </c>
      <c r="C14" s="192" t="s">
        <v>815</v>
      </c>
    </row>
    <row r="15" spans="1:3">
      <c r="A15" s="186" t="s">
        <v>812</v>
      </c>
      <c r="B15" s="192">
        <f>+($B$13/$B$14)</f>
        <v>1923.0769230769231</v>
      </c>
      <c r="C15" s="192" t="s">
        <v>814</v>
      </c>
    </row>
    <row r="16" spans="1:3">
      <c r="A16" s="186" t="s">
        <v>813</v>
      </c>
      <c r="B16" s="192">
        <f>+($B$13/PhysParam!$W$1)^0.5/OperatParam!$B$15</f>
        <v>0.2606039497103817</v>
      </c>
      <c r="C16" s="192" t="s">
        <v>698</v>
      </c>
    </row>
    <row r="17" spans="1:3">
      <c r="A17" s="186" t="s">
        <v>829</v>
      </c>
      <c r="B17" s="192">
        <v>-1</v>
      </c>
      <c r="C17" s="192" t="s">
        <v>814</v>
      </c>
    </row>
    <row r="18" spans="1:3">
      <c r="A18" s="186" t="s">
        <v>833</v>
      </c>
      <c r="B18" s="192">
        <v>0</v>
      </c>
      <c r="C18" s="192" t="s">
        <v>353</v>
      </c>
    </row>
    <row r="19" spans="1:3">
      <c r="A19" s="186" t="s">
        <v>832</v>
      </c>
      <c r="B19" s="192">
        <v>0</v>
      </c>
      <c r="C19" s="192" t="s">
        <v>353</v>
      </c>
    </row>
  </sheetData>
  <phoneticPr fontId="3" type="noConversion"/>
  <pageMargins left="0.75" right="0.75" top="1" bottom="1" header="0" footer="0"/>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7"/>
  <dimension ref="A1:Y42"/>
  <sheetViews>
    <sheetView workbookViewId="0">
      <selection activeCell="C42" sqref="C42"/>
    </sheetView>
  </sheetViews>
  <sheetFormatPr defaultColWidth="11.44140625" defaultRowHeight="13.2"/>
  <cols>
    <col min="1" max="1" width="7.6640625" style="199" customWidth="1"/>
    <col min="2" max="2" width="7.44140625" style="199" customWidth="1"/>
    <col min="3" max="24" width="7.6640625" style="199" customWidth="1"/>
    <col min="25" max="25" width="2.33203125" style="199" bestFit="1" customWidth="1"/>
    <col min="26" max="16384" width="11.44140625" style="199"/>
  </cols>
  <sheetData>
    <row r="1" spans="1:25">
      <c r="A1" s="388" t="s">
        <v>820</v>
      </c>
      <c r="B1" s="382">
        <f>(1/OperatParam!$B$15)*PhysParam!B$4/AVERAGE(PhysParam!$B$4:$W$4)</f>
        <v>5.1999999999999995E-4</v>
      </c>
      <c r="C1" s="382">
        <f>(1/OperatParam!$B$15)*PhysParam!C$4/AVERAGE(PhysParam!$B$4:$W$4)</f>
        <v>5.1999999999999995E-4</v>
      </c>
      <c r="D1" s="382">
        <f>(1/OperatParam!$B$15)*PhysParam!D$4/AVERAGE(PhysParam!$B$4:$W$4)</f>
        <v>5.1999999999999995E-4</v>
      </c>
      <c r="E1" s="382">
        <f>(1/OperatParam!$B$15)*PhysParam!E$4/AVERAGE(PhysParam!$B$4:$W$4)</f>
        <v>5.1999999999999995E-4</v>
      </c>
      <c r="F1" s="382">
        <f>(1/OperatParam!$B$15)*PhysParam!F$4/AVERAGE(PhysParam!$B$4:$W$4)</f>
        <v>5.1999999999999995E-4</v>
      </c>
      <c r="G1" s="382">
        <f>(1/OperatParam!$B$15)*PhysParam!G$4/AVERAGE(PhysParam!$B$4:$W$4)</f>
        <v>5.1999999999999995E-4</v>
      </c>
      <c r="H1" s="382">
        <f>(1/OperatParam!$B$15)*PhysParam!H$4/AVERAGE(PhysParam!$B$4:$W$4)</f>
        <v>5.1999999999999995E-4</v>
      </c>
      <c r="I1" s="382">
        <f>(1/OperatParam!$B$15)*PhysParam!I$4/AVERAGE(PhysParam!$B$4:$W$4)</f>
        <v>5.1999999999999995E-4</v>
      </c>
      <c r="J1" s="382">
        <f>(1/OperatParam!$B$15)*PhysParam!J$4/AVERAGE(PhysParam!$B$4:$W$4)</f>
        <v>5.1999999999999995E-4</v>
      </c>
      <c r="K1" s="382">
        <f>(1/OperatParam!$B$15)*PhysParam!K$4/AVERAGE(PhysParam!$B$4:$W$4)</f>
        <v>5.1999999999999995E-4</v>
      </c>
      <c r="L1" s="382">
        <f>(1/OperatParam!$B$15)*PhysParam!L$4/AVERAGE(PhysParam!$B$4:$W$4)</f>
        <v>5.1999999999999995E-4</v>
      </c>
      <c r="M1" s="382">
        <f>(1/OperatParam!$B$15)*PhysParam!M$4/AVERAGE(PhysParam!$B$4:$W$4)</f>
        <v>5.1999999999999995E-4</v>
      </c>
      <c r="N1" s="382">
        <f>(1/OperatParam!$B$15)*PhysParam!N$4/AVERAGE(PhysParam!$B$4:$W$4)</f>
        <v>5.1999999999999995E-4</v>
      </c>
      <c r="O1" s="382">
        <f>(1/OperatParam!$B$15)*PhysParam!O$4/AVERAGE(PhysParam!$B$4:$W$4)</f>
        <v>5.1999999999999995E-4</v>
      </c>
      <c r="P1" s="382">
        <f>(1/OperatParam!$B$15)*PhysParam!P$4/AVERAGE(PhysParam!$B$4:$W$4)</f>
        <v>5.1999999999999995E-4</v>
      </c>
      <c r="Q1" s="382">
        <f>(1/OperatParam!$B$15)*PhysParam!Q$4/AVERAGE(PhysParam!$B$4:$W$4)</f>
        <v>5.1999999999999995E-4</v>
      </c>
      <c r="R1" s="382">
        <f>(1/OperatParam!$B$15)*PhysParam!R$4/AVERAGE(PhysParam!$B$4:$W$4)</f>
        <v>5.1999999999999995E-4</v>
      </c>
      <c r="S1" s="382">
        <f>(1/OperatParam!$B$15)*PhysParam!S$4/AVERAGE(PhysParam!$B$4:$W$4)</f>
        <v>5.1999999999999995E-4</v>
      </c>
      <c r="T1" s="382">
        <f>(1/OperatParam!$B$15)*PhysParam!T$4/AVERAGE(PhysParam!$B$4:$W$4)</f>
        <v>5.1999999999999995E-4</v>
      </c>
      <c r="U1" s="382">
        <f>(1/OperatParam!$B$15)*PhysParam!U$4/AVERAGE(PhysParam!$B$4:$W$4)</f>
        <v>5.1999999999999995E-4</v>
      </c>
      <c r="V1" s="382">
        <f>(1/OperatParam!$B$15)*PhysParam!V$4/AVERAGE(PhysParam!$B$4:$W$4)</f>
        <v>5.1999999999999995E-4</v>
      </c>
      <c r="W1" s="382">
        <f>(1/OperatParam!$B$15)*PhysParam!W$4/AVERAGE(PhysParam!$B$4:$W$4)</f>
        <v>5.1999999999999995E-4</v>
      </c>
      <c r="X1" s="387" t="s">
        <v>363</v>
      </c>
      <c r="Y1" s="382"/>
    </row>
    <row r="2" spans="1:25">
      <c r="A2" s="385" t="str">
        <f>+States!A1</f>
        <v>Sglu</v>
      </c>
      <c r="B2" s="380">
        <v>0</v>
      </c>
      <c r="C2" s="199">
        <f t="shared" ref="C2:C18" si="0">+$B2</f>
        <v>0</v>
      </c>
      <c r="D2" s="199">
        <f t="shared" ref="D2:S17" si="1">+$B2</f>
        <v>0</v>
      </c>
      <c r="E2" s="199">
        <f t="shared" si="1"/>
        <v>0</v>
      </c>
      <c r="F2" s="199">
        <f t="shared" si="1"/>
        <v>0</v>
      </c>
      <c r="G2" s="199">
        <f t="shared" si="1"/>
        <v>0</v>
      </c>
      <c r="H2" s="199">
        <f t="shared" si="1"/>
        <v>0</v>
      </c>
      <c r="I2" s="199">
        <f t="shared" si="1"/>
        <v>0</v>
      </c>
      <c r="J2" s="199">
        <f t="shared" si="1"/>
        <v>0</v>
      </c>
      <c r="K2" s="199">
        <f t="shared" si="1"/>
        <v>0</v>
      </c>
      <c r="L2" s="199">
        <f t="shared" si="1"/>
        <v>0</v>
      </c>
      <c r="M2" s="199">
        <f t="shared" si="1"/>
        <v>0</v>
      </c>
      <c r="N2" s="199">
        <f t="shared" si="1"/>
        <v>0</v>
      </c>
      <c r="O2" s="199">
        <f t="shared" si="1"/>
        <v>0</v>
      </c>
      <c r="P2" s="199">
        <f t="shared" si="1"/>
        <v>0</v>
      </c>
      <c r="Q2" s="199">
        <f t="shared" si="1"/>
        <v>0</v>
      </c>
      <c r="R2" s="199">
        <f t="shared" si="1"/>
        <v>0</v>
      </c>
      <c r="S2" s="199">
        <f t="shared" si="1"/>
        <v>0</v>
      </c>
      <c r="T2" s="199">
        <f t="shared" ref="T2:W21" si="2">+$B2</f>
        <v>0</v>
      </c>
      <c r="U2" s="199">
        <f t="shared" si="2"/>
        <v>0</v>
      </c>
      <c r="V2" s="199">
        <f t="shared" si="2"/>
        <v>0</v>
      </c>
      <c r="W2" s="199">
        <f t="shared" si="2"/>
        <v>0</v>
      </c>
      <c r="X2" s="383" t="str">
        <f>+States!X1</f>
        <v>mol/L</v>
      </c>
    </row>
    <row r="3" spans="1:25">
      <c r="A3" s="385" t="str">
        <f>+States!A2</f>
        <v>Sac</v>
      </c>
      <c r="B3" s="380">
        <v>0</v>
      </c>
      <c r="C3" s="199">
        <f t="shared" si="0"/>
        <v>0</v>
      </c>
      <c r="D3" s="199">
        <f t="shared" si="1"/>
        <v>0</v>
      </c>
      <c r="E3" s="199">
        <f t="shared" si="1"/>
        <v>0</v>
      </c>
      <c r="F3" s="199">
        <f t="shared" si="1"/>
        <v>0</v>
      </c>
      <c r="G3" s="199">
        <f t="shared" si="1"/>
        <v>0</v>
      </c>
      <c r="H3" s="199">
        <f t="shared" si="1"/>
        <v>0</v>
      </c>
      <c r="I3" s="199">
        <f t="shared" si="1"/>
        <v>0</v>
      </c>
      <c r="J3" s="199">
        <f t="shared" si="1"/>
        <v>0</v>
      </c>
      <c r="K3" s="199">
        <f t="shared" si="1"/>
        <v>0</v>
      </c>
      <c r="L3" s="199">
        <f t="shared" si="1"/>
        <v>0</v>
      </c>
      <c r="M3" s="199">
        <f t="shared" si="1"/>
        <v>0</v>
      </c>
      <c r="N3" s="199">
        <f t="shared" si="1"/>
        <v>0</v>
      </c>
      <c r="O3" s="199">
        <f t="shared" si="1"/>
        <v>0</v>
      </c>
      <c r="P3" s="199">
        <f t="shared" si="1"/>
        <v>0</v>
      </c>
      <c r="Q3" s="199">
        <f t="shared" si="1"/>
        <v>0</v>
      </c>
      <c r="R3" s="199">
        <f t="shared" si="1"/>
        <v>0</v>
      </c>
      <c r="S3" s="199">
        <f t="shared" si="1"/>
        <v>0</v>
      </c>
      <c r="T3" s="199">
        <f t="shared" si="2"/>
        <v>0</v>
      </c>
      <c r="U3" s="199">
        <f t="shared" si="2"/>
        <v>0</v>
      </c>
      <c r="V3" s="199">
        <f t="shared" si="2"/>
        <v>0</v>
      </c>
      <c r="W3" s="199">
        <f t="shared" si="2"/>
        <v>0</v>
      </c>
      <c r="X3" s="383" t="str">
        <f>+States!X2</f>
        <v>mol/L</v>
      </c>
    </row>
    <row r="4" spans="1:25">
      <c r="A4" s="385" t="str">
        <f>+States!A3</f>
        <v>Sch4</v>
      </c>
      <c r="B4" s="380">
        <v>0</v>
      </c>
      <c r="C4" s="199">
        <f t="shared" si="0"/>
        <v>0</v>
      </c>
      <c r="D4" s="199">
        <f t="shared" si="1"/>
        <v>0</v>
      </c>
      <c r="E4" s="199">
        <f t="shared" si="1"/>
        <v>0</v>
      </c>
      <c r="F4" s="199">
        <f t="shared" si="1"/>
        <v>0</v>
      </c>
      <c r="G4" s="199">
        <f t="shared" si="1"/>
        <v>0</v>
      </c>
      <c r="H4" s="199">
        <f t="shared" si="1"/>
        <v>0</v>
      </c>
      <c r="I4" s="199">
        <f t="shared" si="1"/>
        <v>0</v>
      </c>
      <c r="J4" s="199">
        <f t="shared" si="1"/>
        <v>0</v>
      </c>
      <c r="K4" s="199">
        <f t="shared" si="1"/>
        <v>0</v>
      </c>
      <c r="L4" s="199">
        <f t="shared" si="1"/>
        <v>0</v>
      </c>
      <c r="M4" s="199">
        <f t="shared" si="1"/>
        <v>0</v>
      </c>
      <c r="N4" s="199">
        <f t="shared" si="1"/>
        <v>0</v>
      </c>
      <c r="O4" s="199">
        <f t="shared" si="1"/>
        <v>0</v>
      </c>
      <c r="P4" s="199">
        <f t="shared" si="1"/>
        <v>0</v>
      </c>
      <c r="Q4" s="199">
        <f t="shared" si="1"/>
        <v>0</v>
      </c>
      <c r="R4" s="199">
        <f t="shared" si="1"/>
        <v>0</v>
      </c>
      <c r="S4" s="199">
        <f t="shared" si="1"/>
        <v>0</v>
      </c>
      <c r="T4" s="199">
        <f t="shared" si="2"/>
        <v>0</v>
      </c>
      <c r="U4" s="199">
        <f t="shared" si="2"/>
        <v>0</v>
      </c>
      <c r="V4" s="199">
        <f t="shared" si="2"/>
        <v>0</v>
      </c>
      <c r="W4" s="199">
        <f t="shared" si="2"/>
        <v>0</v>
      </c>
      <c r="X4" s="383" t="str">
        <f>+States!X3</f>
        <v>mol/L</v>
      </c>
    </row>
    <row r="5" spans="1:25">
      <c r="A5" s="385" t="str">
        <f>+States!A4</f>
        <v>Sic</v>
      </c>
      <c r="B5" s="421">
        <v>4.5799999999999997E-4</v>
      </c>
      <c r="C5" s="199">
        <f t="shared" si="0"/>
        <v>4.5799999999999997E-4</v>
      </c>
      <c r="D5" s="199">
        <f t="shared" si="1"/>
        <v>4.5799999999999997E-4</v>
      </c>
      <c r="E5" s="199">
        <f t="shared" si="1"/>
        <v>4.5799999999999997E-4</v>
      </c>
      <c r="F5" s="199">
        <f t="shared" si="1"/>
        <v>4.5799999999999997E-4</v>
      </c>
      <c r="G5" s="199">
        <f t="shared" si="1"/>
        <v>4.5799999999999997E-4</v>
      </c>
      <c r="H5" s="199">
        <f t="shared" si="1"/>
        <v>4.5799999999999997E-4</v>
      </c>
      <c r="I5" s="199">
        <f t="shared" si="1"/>
        <v>4.5799999999999997E-4</v>
      </c>
      <c r="J5" s="199">
        <f t="shared" si="1"/>
        <v>4.5799999999999997E-4</v>
      </c>
      <c r="K5" s="199">
        <f t="shared" si="1"/>
        <v>4.5799999999999997E-4</v>
      </c>
      <c r="L5" s="199">
        <f t="shared" si="1"/>
        <v>4.5799999999999997E-4</v>
      </c>
      <c r="M5" s="199">
        <f t="shared" si="1"/>
        <v>4.5799999999999997E-4</v>
      </c>
      <c r="N5" s="199">
        <f t="shared" si="1"/>
        <v>4.5799999999999997E-4</v>
      </c>
      <c r="O5" s="199">
        <f t="shared" si="1"/>
        <v>4.5799999999999997E-4</v>
      </c>
      <c r="P5" s="199">
        <f t="shared" si="1"/>
        <v>4.5799999999999997E-4</v>
      </c>
      <c r="Q5" s="199">
        <f t="shared" si="1"/>
        <v>4.5799999999999997E-4</v>
      </c>
      <c r="R5" s="199">
        <f t="shared" si="1"/>
        <v>4.5799999999999997E-4</v>
      </c>
      <c r="S5" s="199">
        <f t="shared" si="1"/>
        <v>4.5799999999999997E-4</v>
      </c>
      <c r="T5" s="199">
        <f t="shared" si="2"/>
        <v>4.5799999999999997E-4</v>
      </c>
      <c r="U5" s="199">
        <f t="shared" si="2"/>
        <v>4.5799999999999997E-4</v>
      </c>
      <c r="V5" s="199">
        <f t="shared" si="2"/>
        <v>4.5799999999999997E-4</v>
      </c>
      <c r="W5" s="199">
        <f t="shared" si="2"/>
        <v>4.5799999999999997E-4</v>
      </c>
      <c r="X5" s="383" t="str">
        <f>+States!X4</f>
        <v>mol/L</v>
      </c>
    </row>
    <row r="6" spans="1:25">
      <c r="A6" s="385" t="str">
        <f>+States!A5</f>
        <v>Sh2</v>
      </c>
      <c r="B6" s="380">
        <v>0</v>
      </c>
      <c r="C6" s="199">
        <f t="shared" si="0"/>
        <v>0</v>
      </c>
      <c r="D6" s="199">
        <f t="shared" si="1"/>
        <v>0</v>
      </c>
      <c r="E6" s="199">
        <f t="shared" si="1"/>
        <v>0</v>
      </c>
      <c r="F6" s="199">
        <f t="shared" si="1"/>
        <v>0</v>
      </c>
      <c r="G6" s="199">
        <f t="shared" si="1"/>
        <v>0</v>
      </c>
      <c r="H6" s="199">
        <f t="shared" si="1"/>
        <v>0</v>
      </c>
      <c r="I6" s="199">
        <f t="shared" si="1"/>
        <v>0</v>
      </c>
      <c r="J6" s="199">
        <f t="shared" si="1"/>
        <v>0</v>
      </c>
      <c r="K6" s="199">
        <f t="shared" si="1"/>
        <v>0</v>
      </c>
      <c r="L6" s="199">
        <f t="shared" si="1"/>
        <v>0</v>
      </c>
      <c r="M6" s="199">
        <f t="shared" si="1"/>
        <v>0</v>
      </c>
      <c r="N6" s="199">
        <f t="shared" si="1"/>
        <v>0</v>
      </c>
      <c r="O6" s="199">
        <f t="shared" si="1"/>
        <v>0</v>
      </c>
      <c r="P6" s="199">
        <f t="shared" si="1"/>
        <v>0</v>
      </c>
      <c r="Q6" s="199">
        <f t="shared" si="1"/>
        <v>0</v>
      </c>
      <c r="R6" s="199">
        <f t="shared" si="1"/>
        <v>0</v>
      </c>
      <c r="S6" s="199">
        <f t="shared" si="1"/>
        <v>0</v>
      </c>
      <c r="T6" s="199">
        <f t="shared" si="2"/>
        <v>0</v>
      </c>
      <c r="U6" s="199">
        <f t="shared" si="2"/>
        <v>0</v>
      </c>
      <c r="V6" s="199">
        <f t="shared" si="2"/>
        <v>0</v>
      </c>
      <c r="W6" s="199">
        <f t="shared" si="2"/>
        <v>0</v>
      </c>
      <c r="X6" s="383" t="str">
        <f>+States!X5</f>
        <v>mol/L</v>
      </c>
    </row>
    <row r="7" spans="1:25">
      <c r="A7" s="385" t="str">
        <f>+States!A6</f>
        <v>Samn</v>
      </c>
      <c r="B7" s="380">
        <v>0</v>
      </c>
      <c r="C7" s="199">
        <f t="shared" si="0"/>
        <v>0</v>
      </c>
      <c r="D7" s="199">
        <f t="shared" si="1"/>
        <v>0</v>
      </c>
      <c r="E7" s="199">
        <f t="shared" si="1"/>
        <v>0</v>
      </c>
      <c r="F7" s="199">
        <f t="shared" si="1"/>
        <v>0</v>
      </c>
      <c r="G7" s="199">
        <f t="shared" si="1"/>
        <v>0</v>
      </c>
      <c r="H7" s="199">
        <f t="shared" si="1"/>
        <v>0</v>
      </c>
      <c r="I7" s="199">
        <f t="shared" si="1"/>
        <v>0</v>
      </c>
      <c r="J7" s="199">
        <f t="shared" si="1"/>
        <v>0</v>
      </c>
      <c r="K7" s="199">
        <f t="shared" si="1"/>
        <v>0</v>
      </c>
      <c r="L7" s="199">
        <f t="shared" si="1"/>
        <v>0</v>
      </c>
      <c r="M7" s="199">
        <f t="shared" si="1"/>
        <v>0</v>
      </c>
      <c r="N7" s="199">
        <f t="shared" si="1"/>
        <v>0</v>
      </c>
      <c r="O7" s="199">
        <f t="shared" si="1"/>
        <v>0</v>
      </c>
      <c r="P7" s="199">
        <f t="shared" si="1"/>
        <v>0</v>
      </c>
      <c r="Q7" s="199">
        <f t="shared" si="1"/>
        <v>0</v>
      </c>
      <c r="R7" s="199">
        <f t="shared" si="1"/>
        <v>0</v>
      </c>
      <c r="S7" s="199">
        <f t="shared" si="1"/>
        <v>0</v>
      </c>
      <c r="T7" s="199">
        <f t="shared" si="2"/>
        <v>0</v>
      </c>
      <c r="U7" s="199">
        <f t="shared" si="2"/>
        <v>0</v>
      </c>
      <c r="V7" s="199">
        <f t="shared" si="2"/>
        <v>0</v>
      </c>
      <c r="W7" s="199">
        <f t="shared" si="2"/>
        <v>0</v>
      </c>
      <c r="X7" s="383" t="str">
        <f>+States!X6</f>
        <v>mol/L</v>
      </c>
    </row>
    <row r="8" spans="1:25">
      <c r="A8" s="385" t="str">
        <f>+States!A7</f>
        <v>Sno2</v>
      </c>
      <c r="B8" s="380">
        <v>0</v>
      </c>
      <c r="C8" s="199">
        <f t="shared" si="0"/>
        <v>0</v>
      </c>
      <c r="D8" s="199">
        <f t="shared" si="1"/>
        <v>0</v>
      </c>
      <c r="E8" s="199">
        <f t="shared" si="1"/>
        <v>0</v>
      </c>
      <c r="F8" s="199">
        <f t="shared" si="1"/>
        <v>0</v>
      </c>
      <c r="G8" s="199">
        <f t="shared" si="1"/>
        <v>0</v>
      </c>
      <c r="H8" s="199">
        <f t="shared" si="1"/>
        <v>0</v>
      </c>
      <c r="I8" s="199">
        <f t="shared" si="1"/>
        <v>0</v>
      </c>
      <c r="J8" s="199">
        <f t="shared" si="1"/>
        <v>0</v>
      </c>
      <c r="K8" s="199">
        <f t="shared" si="1"/>
        <v>0</v>
      </c>
      <c r="L8" s="199">
        <f t="shared" si="1"/>
        <v>0</v>
      </c>
      <c r="M8" s="199">
        <f t="shared" si="1"/>
        <v>0</v>
      </c>
      <c r="N8" s="199">
        <f t="shared" si="1"/>
        <v>0</v>
      </c>
      <c r="O8" s="199">
        <f t="shared" si="1"/>
        <v>0</v>
      </c>
      <c r="P8" s="199">
        <f t="shared" si="1"/>
        <v>0</v>
      </c>
      <c r="Q8" s="199">
        <f t="shared" si="1"/>
        <v>0</v>
      </c>
      <c r="R8" s="199">
        <f t="shared" si="1"/>
        <v>0</v>
      </c>
      <c r="S8" s="199">
        <f t="shared" si="1"/>
        <v>0</v>
      </c>
      <c r="T8" s="199">
        <f t="shared" si="2"/>
        <v>0</v>
      </c>
      <c r="U8" s="199">
        <f t="shared" si="2"/>
        <v>0</v>
      </c>
      <c r="V8" s="199">
        <f t="shared" si="2"/>
        <v>0</v>
      </c>
      <c r="W8" s="199">
        <f t="shared" si="2"/>
        <v>0</v>
      </c>
      <c r="X8" s="383" t="str">
        <f>+States!X7</f>
        <v>mol/L</v>
      </c>
    </row>
    <row r="9" spans="1:25">
      <c r="A9" s="385" t="str">
        <f>+States!A8</f>
        <v>Sno3</v>
      </c>
      <c r="B9" s="380">
        <f>1.183/14000</f>
        <v>8.4500000000000008E-5</v>
      </c>
      <c r="C9" s="199">
        <f t="shared" si="0"/>
        <v>8.4500000000000008E-5</v>
      </c>
      <c r="D9" s="199">
        <f t="shared" si="1"/>
        <v>8.4500000000000008E-5</v>
      </c>
      <c r="E9" s="199">
        <f t="shared" si="1"/>
        <v>8.4500000000000008E-5</v>
      </c>
      <c r="F9" s="199">
        <f t="shared" si="1"/>
        <v>8.4500000000000008E-5</v>
      </c>
      <c r="G9" s="199">
        <f t="shared" si="1"/>
        <v>8.4500000000000008E-5</v>
      </c>
      <c r="H9" s="199">
        <f t="shared" si="1"/>
        <v>8.4500000000000008E-5</v>
      </c>
      <c r="I9" s="199">
        <f t="shared" si="1"/>
        <v>8.4500000000000008E-5</v>
      </c>
      <c r="J9" s="199">
        <f t="shared" si="1"/>
        <v>8.4500000000000008E-5</v>
      </c>
      <c r="K9" s="199">
        <f t="shared" si="1"/>
        <v>8.4500000000000008E-5</v>
      </c>
      <c r="L9" s="199">
        <f t="shared" si="1"/>
        <v>8.4500000000000008E-5</v>
      </c>
      <c r="M9" s="199">
        <f t="shared" si="1"/>
        <v>8.4500000000000008E-5</v>
      </c>
      <c r="N9" s="199">
        <f t="shared" si="1"/>
        <v>8.4500000000000008E-5</v>
      </c>
      <c r="O9" s="199">
        <f t="shared" si="1"/>
        <v>8.4500000000000008E-5</v>
      </c>
      <c r="P9" s="199">
        <f t="shared" si="1"/>
        <v>8.4500000000000008E-5</v>
      </c>
      <c r="Q9" s="199">
        <f t="shared" si="1"/>
        <v>8.4500000000000008E-5</v>
      </c>
      <c r="R9" s="199">
        <f t="shared" si="1"/>
        <v>8.4500000000000008E-5</v>
      </c>
      <c r="S9" s="199">
        <f t="shared" si="1"/>
        <v>8.4500000000000008E-5</v>
      </c>
      <c r="T9" s="199">
        <f t="shared" si="2"/>
        <v>8.4500000000000008E-5</v>
      </c>
      <c r="U9" s="199">
        <f t="shared" si="2"/>
        <v>8.4500000000000008E-5</v>
      </c>
      <c r="V9" s="199">
        <f t="shared" si="2"/>
        <v>8.4500000000000008E-5</v>
      </c>
      <c r="W9" s="199">
        <f t="shared" si="2"/>
        <v>8.4500000000000008E-5</v>
      </c>
      <c r="X9" s="383" t="str">
        <f>+States!X8</f>
        <v>mol/L</v>
      </c>
    </row>
    <row r="10" spans="1:25">
      <c r="A10" s="385" t="str">
        <f>+States!A9</f>
        <v>Sn2</v>
      </c>
      <c r="B10" s="380">
        <v>0</v>
      </c>
      <c r="C10" s="199">
        <f t="shared" si="0"/>
        <v>0</v>
      </c>
      <c r="D10" s="199">
        <f t="shared" si="1"/>
        <v>0</v>
      </c>
      <c r="E10" s="199">
        <f t="shared" si="1"/>
        <v>0</v>
      </c>
      <c r="F10" s="199">
        <f t="shared" si="1"/>
        <v>0</v>
      </c>
      <c r="G10" s="199">
        <f t="shared" si="1"/>
        <v>0</v>
      </c>
      <c r="H10" s="199">
        <f t="shared" si="1"/>
        <v>0</v>
      </c>
      <c r="I10" s="199">
        <f t="shared" si="1"/>
        <v>0</v>
      </c>
      <c r="J10" s="199">
        <f t="shared" si="1"/>
        <v>0</v>
      </c>
      <c r="K10" s="199">
        <f t="shared" si="1"/>
        <v>0</v>
      </c>
      <c r="L10" s="199">
        <f t="shared" si="1"/>
        <v>0</v>
      </c>
      <c r="M10" s="199">
        <f t="shared" si="1"/>
        <v>0</v>
      </c>
      <c r="N10" s="199">
        <f t="shared" si="1"/>
        <v>0</v>
      </c>
      <c r="O10" s="199">
        <f t="shared" si="1"/>
        <v>0</v>
      </c>
      <c r="P10" s="199">
        <f t="shared" si="1"/>
        <v>0</v>
      </c>
      <c r="Q10" s="199">
        <f t="shared" si="1"/>
        <v>0</v>
      </c>
      <c r="R10" s="199">
        <f t="shared" si="1"/>
        <v>0</v>
      </c>
      <c r="S10" s="199">
        <f t="shared" si="1"/>
        <v>0</v>
      </c>
      <c r="T10" s="199">
        <f t="shared" si="2"/>
        <v>0</v>
      </c>
      <c r="U10" s="199">
        <f t="shared" si="2"/>
        <v>0</v>
      </c>
      <c r="V10" s="199">
        <f t="shared" si="2"/>
        <v>0</v>
      </c>
      <c r="W10" s="199">
        <f t="shared" si="2"/>
        <v>0</v>
      </c>
      <c r="X10" s="383" t="str">
        <f>+States!X9</f>
        <v>mol/L</v>
      </c>
    </row>
    <row r="11" spans="1:25">
      <c r="A11" s="385" t="str">
        <f>+States!A10</f>
        <v>Sh2s</v>
      </c>
      <c r="B11" s="380">
        <v>0</v>
      </c>
      <c r="C11" s="199">
        <f t="shared" si="0"/>
        <v>0</v>
      </c>
      <c r="D11" s="199">
        <f t="shared" si="1"/>
        <v>0</v>
      </c>
      <c r="E11" s="199">
        <f t="shared" si="1"/>
        <v>0</v>
      </c>
      <c r="F11" s="199">
        <f t="shared" si="1"/>
        <v>0</v>
      </c>
      <c r="G11" s="199">
        <f t="shared" si="1"/>
        <v>0</v>
      </c>
      <c r="H11" s="199">
        <f t="shared" si="1"/>
        <v>0</v>
      </c>
      <c r="I11" s="199">
        <f t="shared" si="1"/>
        <v>0</v>
      </c>
      <c r="J11" s="199">
        <f t="shared" si="1"/>
        <v>0</v>
      </c>
      <c r="K11" s="199">
        <f t="shared" si="1"/>
        <v>0</v>
      </c>
      <c r="L11" s="199">
        <f t="shared" si="1"/>
        <v>0</v>
      </c>
      <c r="M11" s="199">
        <f t="shared" si="1"/>
        <v>0</v>
      </c>
      <c r="N11" s="199">
        <f t="shared" si="1"/>
        <v>0</v>
      </c>
      <c r="O11" s="199">
        <f t="shared" si="1"/>
        <v>0</v>
      </c>
      <c r="P11" s="199">
        <f t="shared" si="1"/>
        <v>0</v>
      </c>
      <c r="Q11" s="199">
        <f t="shared" si="1"/>
        <v>0</v>
      </c>
      <c r="R11" s="199">
        <f t="shared" si="1"/>
        <v>0</v>
      </c>
      <c r="S11" s="199">
        <f t="shared" si="1"/>
        <v>0</v>
      </c>
      <c r="T11" s="199">
        <f t="shared" si="2"/>
        <v>0</v>
      </c>
      <c r="U11" s="199">
        <f t="shared" si="2"/>
        <v>0</v>
      </c>
      <c r="V11" s="199">
        <f t="shared" si="2"/>
        <v>0</v>
      </c>
      <c r="W11" s="199">
        <f t="shared" si="2"/>
        <v>0</v>
      </c>
      <c r="X11" s="383" t="str">
        <f>+States!X10</f>
        <v>mol/L</v>
      </c>
    </row>
    <row r="12" spans="1:25">
      <c r="A12" s="385" t="str">
        <f>+States!A11</f>
        <v>Sso4</v>
      </c>
      <c r="B12" s="380">
        <v>2.1718437500000001E-4</v>
      </c>
      <c r="C12" s="199">
        <f t="shared" si="0"/>
        <v>2.1718437500000001E-4</v>
      </c>
      <c r="D12" s="199">
        <f t="shared" si="1"/>
        <v>2.1718437500000001E-4</v>
      </c>
      <c r="E12" s="199">
        <f t="shared" si="1"/>
        <v>2.1718437500000001E-4</v>
      </c>
      <c r="F12" s="199">
        <f t="shared" si="1"/>
        <v>2.1718437500000001E-4</v>
      </c>
      <c r="G12" s="199">
        <f t="shared" si="1"/>
        <v>2.1718437500000001E-4</v>
      </c>
      <c r="H12" s="199">
        <f t="shared" si="1"/>
        <v>2.1718437500000001E-4</v>
      </c>
      <c r="I12" s="199">
        <f t="shared" si="1"/>
        <v>2.1718437500000001E-4</v>
      </c>
      <c r="J12" s="199">
        <f t="shared" si="1"/>
        <v>2.1718437500000001E-4</v>
      </c>
      <c r="K12" s="199">
        <f t="shared" si="1"/>
        <v>2.1718437500000001E-4</v>
      </c>
      <c r="L12" s="199">
        <f t="shared" si="1"/>
        <v>2.1718437500000001E-4</v>
      </c>
      <c r="M12" s="199">
        <f t="shared" si="1"/>
        <v>2.1718437500000001E-4</v>
      </c>
      <c r="N12" s="199">
        <f t="shared" si="1"/>
        <v>2.1718437500000001E-4</v>
      </c>
      <c r="O12" s="199">
        <f t="shared" si="1"/>
        <v>2.1718437500000001E-4</v>
      </c>
      <c r="P12" s="199">
        <f t="shared" si="1"/>
        <v>2.1718437500000001E-4</v>
      </c>
      <c r="Q12" s="199">
        <f t="shared" si="1"/>
        <v>2.1718437500000001E-4</v>
      </c>
      <c r="R12" s="199">
        <f t="shared" si="1"/>
        <v>2.1718437500000001E-4</v>
      </c>
      <c r="S12" s="199">
        <f t="shared" si="1"/>
        <v>2.1718437500000001E-4</v>
      </c>
      <c r="T12" s="199">
        <f t="shared" si="2"/>
        <v>2.1718437500000001E-4</v>
      </c>
      <c r="U12" s="199">
        <f t="shared" si="2"/>
        <v>2.1718437500000001E-4</v>
      </c>
      <c r="V12" s="199">
        <f t="shared" si="2"/>
        <v>2.1718437500000001E-4</v>
      </c>
      <c r="W12" s="199">
        <f t="shared" si="2"/>
        <v>2.1718437500000001E-4</v>
      </c>
      <c r="X12" s="383" t="str">
        <f>+States!X11</f>
        <v>mol/L</v>
      </c>
    </row>
    <row r="13" spans="1:25">
      <c r="A13" s="385" t="str">
        <f>+States!A12</f>
        <v>Sfe2</v>
      </c>
      <c r="B13" s="380">
        <v>0</v>
      </c>
      <c r="C13" s="199">
        <f t="shared" si="0"/>
        <v>0</v>
      </c>
      <c r="D13" s="199">
        <f t="shared" si="1"/>
        <v>0</v>
      </c>
      <c r="E13" s="199">
        <f t="shared" si="1"/>
        <v>0</v>
      </c>
      <c r="F13" s="199">
        <f t="shared" si="1"/>
        <v>0</v>
      </c>
      <c r="G13" s="199">
        <f t="shared" si="1"/>
        <v>0</v>
      </c>
      <c r="H13" s="199">
        <f t="shared" si="1"/>
        <v>0</v>
      </c>
      <c r="I13" s="199">
        <f t="shared" si="1"/>
        <v>0</v>
      </c>
      <c r="J13" s="199">
        <f t="shared" si="1"/>
        <v>0</v>
      </c>
      <c r="K13" s="199">
        <f t="shared" si="1"/>
        <v>0</v>
      </c>
      <c r="L13" s="199">
        <f t="shared" si="1"/>
        <v>0</v>
      </c>
      <c r="M13" s="199">
        <f t="shared" si="1"/>
        <v>0</v>
      </c>
      <c r="N13" s="199">
        <f t="shared" si="1"/>
        <v>0</v>
      </c>
      <c r="O13" s="199">
        <f t="shared" si="1"/>
        <v>0</v>
      </c>
      <c r="P13" s="199">
        <f t="shared" si="1"/>
        <v>0</v>
      </c>
      <c r="Q13" s="199">
        <f t="shared" si="1"/>
        <v>0</v>
      </c>
      <c r="R13" s="199">
        <f t="shared" si="1"/>
        <v>0</v>
      </c>
      <c r="S13" s="199">
        <f t="shared" si="1"/>
        <v>0</v>
      </c>
      <c r="T13" s="199">
        <f t="shared" si="2"/>
        <v>0</v>
      </c>
      <c r="U13" s="199">
        <f t="shared" si="2"/>
        <v>0</v>
      </c>
      <c r="V13" s="199">
        <f t="shared" si="2"/>
        <v>0</v>
      </c>
      <c r="W13" s="199">
        <f t="shared" si="2"/>
        <v>0</v>
      </c>
      <c r="X13" s="383" t="str">
        <f>+States!X12</f>
        <v>mol/L</v>
      </c>
    </row>
    <row r="14" spans="1:25">
      <c r="A14" s="385" t="str">
        <f>+States!A13</f>
        <v>Sfe3</v>
      </c>
      <c r="B14" s="380">
        <v>0</v>
      </c>
      <c r="C14" s="199">
        <f t="shared" si="0"/>
        <v>0</v>
      </c>
      <c r="D14" s="199">
        <f t="shared" si="1"/>
        <v>0</v>
      </c>
      <c r="E14" s="199">
        <f t="shared" si="1"/>
        <v>0</v>
      </c>
      <c r="F14" s="199">
        <f t="shared" si="1"/>
        <v>0</v>
      </c>
      <c r="G14" s="199">
        <f t="shared" si="1"/>
        <v>0</v>
      </c>
      <c r="H14" s="199">
        <f t="shared" si="1"/>
        <v>0</v>
      </c>
      <c r="I14" s="199">
        <f t="shared" si="1"/>
        <v>0</v>
      </c>
      <c r="J14" s="199">
        <f t="shared" si="1"/>
        <v>0</v>
      </c>
      <c r="K14" s="199">
        <f t="shared" si="1"/>
        <v>0</v>
      </c>
      <c r="L14" s="199">
        <f t="shared" si="1"/>
        <v>0</v>
      </c>
      <c r="M14" s="199">
        <f t="shared" si="1"/>
        <v>0</v>
      </c>
      <c r="N14" s="199">
        <f t="shared" si="1"/>
        <v>0</v>
      </c>
      <c r="O14" s="199">
        <f t="shared" si="1"/>
        <v>0</v>
      </c>
      <c r="P14" s="199">
        <f t="shared" si="1"/>
        <v>0</v>
      </c>
      <c r="Q14" s="199">
        <f t="shared" si="1"/>
        <v>0</v>
      </c>
      <c r="R14" s="199">
        <f t="shared" si="1"/>
        <v>0</v>
      </c>
      <c r="S14" s="199">
        <f t="shared" si="1"/>
        <v>0</v>
      </c>
      <c r="T14" s="199">
        <f t="shared" si="2"/>
        <v>0</v>
      </c>
      <c r="U14" s="199">
        <f t="shared" si="2"/>
        <v>0</v>
      </c>
      <c r="V14" s="199">
        <f t="shared" si="2"/>
        <v>0</v>
      </c>
      <c r="W14" s="199">
        <f t="shared" si="2"/>
        <v>0</v>
      </c>
      <c r="X14" s="383" t="str">
        <f>+States!X13</f>
        <v>mol/L</v>
      </c>
    </row>
    <row r="15" spans="1:25">
      <c r="A15" s="385" t="str">
        <f>+States!A14</f>
        <v>So2</v>
      </c>
      <c r="B15" s="380">
        <v>0</v>
      </c>
      <c r="C15" s="199">
        <f t="shared" si="0"/>
        <v>0</v>
      </c>
      <c r="D15" s="199">
        <f t="shared" si="1"/>
        <v>0</v>
      </c>
      <c r="E15" s="199">
        <f t="shared" si="1"/>
        <v>0</v>
      </c>
      <c r="F15" s="199">
        <f t="shared" si="1"/>
        <v>0</v>
      </c>
      <c r="G15" s="199">
        <f t="shared" si="1"/>
        <v>0</v>
      </c>
      <c r="H15" s="199">
        <f t="shared" si="1"/>
        <v>0</v>
      </c>
      <c r="I15" s="199">
        <f t="shared" si="1"/>
        <v>0</v>
      </c>
      <c r="J15" s="199">
        <f t="shared" si="1"/>
        <v>0</v>
      </c>
      <c r="K15" s="199">
        <f t="shared" si="1"/>
        <v>0</v>
      </c>
      <c r="L15" s="199">
        <f t="shared" si="1"/>
        <v>0</v>
      </c>
      <c r="M15" s="199">
        <f t="shared" si="1"/>
        <v>0</v>
      </c>
      <c r="N15" s="199">
        <f t="shared" si="1"/>
        <v>0</v>
      </c>
      <c r="O15" s="199">
        <f t="shared" si="1"/>
        <v>0</v>
      </c>
      <c r="P15" s="199">
        <f t="shared" si="1"/>
        <v>0</v>
      </c>
      <c r="Q15" s="199">
        <f t="shared" si="1"/>
        <v>0</v>
      </c>
      <c r="R15" s="199">
        <f t="shared" si="1"/>
        <v>0</v>
      </c>
      <c r="S15" s="199">
        <f t="shared" si="1"/>
        <v>0</v>
      </c>
      <c r="T15" s="199">
        <f t="shared" si="2"/>
        <v>0</v>
      </c>
      <c r="U15" s="199">
        <f t="shared" si="2"/>
        <v>0</v>
      </c>
      <c r="V15" s="199">
        <f t="shared" si="2"/>
        <v>0</v>
      </c>
      <c r="W15" s="199">
        <f t="shared" si="2"/>
        <v>0</v>
      </c>
      <c r="X15" s="383" t="str">
        <f>+States!X14</f>
        <v>mol/L</v>
      </c>
    </row>
    <row r="16" spans="1:25">
      <c r="A16" s="385" t="str">
        <f>+States!A15</f>
        <v>Scat</v>
      </c>
      <c r="B16" s="379">
        <f>+B5+B9+B12</f>
        <v>7.5968437500000007E-4</v>
      </c>
      <c r="C16" s="199">
        <f t="shared" si="0"/>
        <v>7.5968437500000007E-4</v>
      </c>
      <c r="D16" s="199">
        <f t="shared" si="1"/>
        <v>7.5968437500000007E-4</v>
      </c>
      <c r="E16" s="199">
        <f t="shared" si="1"/>
        <v>7.5968437500000007E-4</v>
      </c>
      <c r="F16" s="199">
        <f t="shared" si="1"/>
        <v>7.5968437500000007E-4</v>
      </c>
      <c r="G16" s="199">
        <f t="shared" si="1"/>
        <v>7.5968437500000007E-4</v>
      </c>
      <c r="H16" s="199">
        <f t="shared" si="1"/>
        <v>7.5968437500000007E-4</v>
      </c>
      <c r="I16" s="199">
        <f t="shared" si="1"/>
        <v>7.5968437500000007E-4</v>
      </c>
      <c r="J16" s="199">
        <f t="shared" si="1"/>
        <v>7.5968437500000007E-4</v>
      </c>
      <c r="K16" s="199">
        <f t="shared" si="1"/>
        <v>7.5968437500000007E-4</v>
      </c>
      <c r="L16" s="199">
        <f t="shared" si="1"/>
        <v>7.5968437500000007E-4</v>
      </c>
      <c r="M16" s="199">
        <f t="shared" si="1"/>
        <v>7.5968437500000007E-4</v>
      </c>
      <c r="N16" s="199">
        <f t="shared" si="1"/>
        <v>7.5968437500000007E-4</v>
      </c>
      <c r="O16" s="199">
        <f t="shared" si="1"/>
        <v>7.5968437500000007E-4</v>
      </c>
      <c r="P16" s="199">
        <f t="shared" si="1"/>
        <v>7.5968437500000007E-4</v>
      </c>
      <c r="Q16" s="199">
        <f t="shared" si="1"/>
        <v>7.5968437500000007E-4</v>
      </c>
      <c r="R16" s="199">
        <f t="shared" si="1"/>
        <v>7.5968437500000007E-4</v>
      </c>
      <c r="S16" s="199">
        <f t="shared" si="1"/>
        <v>7.5968437500000007E-4</v>
      </c>
      <c r="T16" s="199">
        <f t="shared" si="2"/>
        <v>7.5968437500000007E-4</v>
      </c>
      <c r="U16" s="199">
        <f t="shared" si="2"/>
        <v>7.5968437500000007E-4</v>
      </c>
      <c r="V16" s="199">
        <f t="shared" si="2"/>
        <v>7.5968437500000007E-4</v>
      </c>
      <c r="W16" s="199">
        <f t="shared" si="2"/>
        <v>7.5968437500000007E-4</v>
      </c>
      <c r="X16" s="383" t="str">
        <f>+States!X15</f>
        <v>mol/L</v>
      </c>
    </row>
    <row r="17" spans="1:24">
      <c r="A17" s="386" t="str">
        <f>+States!A16</f>
        <v>San</v>
      </c>
      <c r="B17" s="381">
        <v>0</v>
      </c>
      <c r="C17" s="382">
        <f t="shared" si="0"/>
        <v>0</v>
      </c>
      <c r="D17" s="382">
        <f t="shared" si="1"/>
        <v>0</v>
      </c>
      <c r="E17" s="382">
        <f t="shared" si="1"/>
        <v>0</v>
      </c>
      <c r="F17" s="382">
        <f t="shared" si="1"/>
        <v>0</v>
      </c>
      <c r="G17" s="382">
        <f t="shared" si="1"/>
        <v>0</v>
      </c>
      <c r="H17" s="382">
        <f t="shared" si="1"/>
        <v>0</v>
      </c>
      <c r="I17" s="382">
        <f t="shared" si="1"/>
        <v>0</v>
      </c>
      <c r="J17" s="382">
        <f t="shared" si="1"/>
        <v>0</v>
      </c>
      <c r="K17" s="382">
        <f t="shared" si="1"/>
        <v>0</v>
      </c>
      <c r="L17" s="382">
        <f t="shared" si="1"/>
        <v>0</v>
      </c>
      <c r="M17" s="382">
        <f t="shared" si="1"/>
        <v>0</v>
      </c>
      <c r="N17" s="382">
        <f t="shared" si="1"/>
        <v>0</v>
      </c>
      <c r="O17" s="382">
        <f t="shared" si="1"/>
        <v>0</v>
      </c>
      <c r="P17" s="382">
        <f t="shared" si="1"/>
        <v>0</v>
      </c>
      <c r="Q17" s="382">
        <f t="shared" si="1"/>
        <v>0</v>
      </c>
      <c r="R17" s="382">
        <f t="shared" si="1"/>
        <v>0</v>
      </c>
      <c r="S17" s="382">
        <f t="shared" ref="S17:W32" si="3">+$B17</f>
        <v>0</v>
      </c>
      <c r="T17" s="382">
        <f t="shared" si="2"/>
        <v>0</v>
      </c>
      <c r="U17" s="382">
        <f t="shared" si="2"/>
        <v>0</v>
      </c>
      <c r="V17" s="382">
        <f t="shared" si="2"/>
        <v>0</v>
      </c>
      <c r="W17" s="382">
        <f t="shared" si="2"/>
        <v>0</v>
      </c>
      <c r="X17" s="384" t="str">
        <f>+States!X16</f>
        <v>mol/L</v>
      </c>
    </row>
    <row r="18" spans="1:24">
      <c r="A18" s="385" t="str">
        <f>+States!A17</f>
        <v>Xcyb</v>
      </c>
      <c r="B18" s="380">
        <v>0</v>
      </c>
      <c r="C18" s="199">
        <f t="shared" si="0"/>
        <v>0</v>
      </c>
      <c r="D18" s="199">
        <f t="shared" ref="D18:R18" si="4">+$B18</f>
        <v>0</v>
      </c>
      <c r="E18" s="199">
        <f t="shared" si="4"/>
        <v>0</v>
      </c>
      <c r="F18" s="199">
        <f t="shared" si="4"/>
        <v>0</v>
      </c>
      <c r="G18" s="199">
        <f t="shared" si="4"/>
        <v>0</v>
      </c>
      <c r="H18" s="199">
        <f t="shared" si="4"/>
        <v>0</v>
      </c>
      <c r="I18" s="199">
        <f t="shared" si="4"/>
        <v>0</v>
      </c>
      <c r="J18" s="199">
        <f t="shared" si="4"/>
        <v>0</v>
      </c>
      <c r="K18" s="199">
        <f t="shared" si="4"/>
        <v>0</v>
      </c>
      <c r="L18" s="199">
        <f t="shared" si="4"/>
        <v>0</v>
      </c>
      <c r="M18" s="199">
        <f t="shared" si="4"/>
        <v>0</v>
      </c>
      <c r="N18" s="199">
        <f t="shared" si="4"/>
        <v>0</v>
      </c>
      <c r="O18" s="199">
        <f t="shared" si="4"/>
        <v>0</v>
      </c>
      <c r="P18" s="199">
        <f t="shared" si="4"/>
        <v>0</v>
      </c>
      <c r="Q18" s="199">
        <f t="shared" si="4"/>
        <v>0</v>
      </c>
      <c r="R18" s="199">
        <f t="shared" si="4"/>
        <v>0</v>
      </c>
      <c r="S18" s="199">
        <f t="shared" si="3"/>
        <v>0</v>
      </c>
      <c r="T18" s="199">
        <f t="shared" si="2"/>
        <v>0</v>
      </c>
      <c r="U18" s="199">
        <f t="shared" si="2"/>
        <v>0</v>
      </c>
      <c r="V18" s="199">
        <f t="shared" si="2"/>
        <v>0</v>
      </c>
      <c r="W18" s="199">
        <f t="shared" si="2"/>
        <v>0</v>
      </c>
      <c r="X18" s="383" t="str">
        <f>+States!X17</f>
        <v>molCx/L</v>
      </c>
    </row>
    <row r="19" spans="1:24">
      <c r="A19" s="385" t="str">
        <f>+States!A18</f>
        <v>Xfer</v>
      </c>
      <c r="B19" s="380">
        <v>0</v>
      </c>
      <c r="C19" s="199">
        <f t="shared" ref="C19:R34" si="5">+$B19</f>
        <v>0</v>
      </c>
      <c r="D19" s="199">
        <f t="shared" si="5"/>
        <v>0</v>
      </c>
      <c r="E19" s="199">
        <f t="shared" si="5"/>
        <v>0</v>
      </c>
      <c r="F19" s="199">
        <f t="shared" si="5"/>
        <v>0</v>
      </c>
      <c r="G19" s="199">
        <f t="shared" si="5"/>
        <v>0</v>
      </c>
      <c r="H19" s="199">
        <f t="shared" si="5"/>
        <v>0</v>
      </c>
      <c r="I19" s="199">
        <f t="shared" si="5"/>
        <v>0</v>
      </c>
      <c r="J19" s="199">
        <f t="shared" si="5"/>
        <v>0</v>
      </c>
      <c r="K19" s="199">
        <f t="shared" si="5"/>
        <v>0</v>
      </c>
      <c r="L19" s="199">
        <f t="shared" si="5"/>
        <v>0</v>
      </c>
      <c r="M19" s="199">
        <f t="shared" si="5"/>
        <v>0</v>
      </c>
      <c r="N19" s="199">
        <f t="shared" si="5"/>
        <v>0</v>
      </c>
      <c r="O19" s="199">
        <f t="shared" si="5"/>
        <v>0</v>
      </c>
      <c r="P19" s="199">
        <f t="shared" si="5"/>
        <v>0</v>
      </c>
      <c r="Q19" s="199">
        <f t="shared" si="5"/>
        <v>0</v>
      </c>
      <c r="R19" s="199">
        <f t="shared" si="5"/>
        <v>0</v>
      </c>
      <c r="S19" s="199">
        <f t="shared" si="3"/>
        <v>0</v>
      </c>
      <c r="T19" s="199">
        <f t="shared" si="2"/>
        <v>0</v>
      </c>
      <c r="U19" s="199">
        <f t="shared" si="2"/>
        <v>0</v>
      </c>
      <c r="V19" s="199">
        <f t="shared" si="2"/>
        <v>0</v>
      </c>
      <c r="W19" s="199">
        <f t="shared" si="2"/>
        <v>0</v>
      </c>
      <c r="X19" s="383" t="str">
        <f>+States!X18</f>
        <v>molCx/L</v>
      </c>
    </row>
    <row r="20" spans="1:24">
      <c r="A20" s="385" t="str">
        <f>+States!A19</f>
        <v>Xhet</v>
      </c>
      <c r="B20" s="380">
        <v>0</v>
      </c>
      <c r="C20" s="199">
        <f t="shared" si="5"/>
        <v>0</v>
      </c>
      <c r="D20" s="199">
        <f t="shared" si="5"/>
        <v>0</v>
      </c>
      <c r="E20" s="199">
        <f t="shared" si="5"/>
        <v>0</v>
      </c>
      <c r="F20" s="199">
        <f t="shared" si="5"/>
        <v>0</v>
      </c>
      <c r="G20" s="199">
        <f t="shared" si="5"/>
        <v>0</v>
      </c>
      <c r="H20" s="199">
        <f t="shared" si="5"/>
        <v>0</v>
      </c>
      <c r="I20" s="199">
        <f t="shared" si="5"/>
        <v>0</v>
      </c>
      <c r="J20" s="199">
        <f t="shared" si="5"/>
        <v>0</v>
      </c>
      <c r="K20" s="199">
        <f t="shared" si="5"/>
        <v>0</v>
      </c>
      <c r="L20" s="199">
        <f t="shared" si="5"/>
        <v>0</v>
      </c>
      <c r="M20" s="199">
        <f t="shared" si="5"/>
        <v>0</v>
      </c>
      <c r="N20" s="199">
        <f t="shared" si="5"/>
        <v>0</v>
      </c>
      <c r="O20" s="199">
        <f t="shared" si="5"/>
        <v>0</v>
      </c>
      <c r="P20" s="199">
        <f t="shared" si="5"/>
        <v>0</v>
      </c>
      <c r="Q20" s="199">
        <f t="shared" si="5"/>
        <v>0</v>
      </c>
      <c r="R20" s="199">
        <f t="shared" si="5"/>
        <v>0</v>
      </c>
      <c r="S20" s="199">
        <f t="shared" si="3"/>
        <v>0</v>
      </c>
      <c r="T20" s="199">
        <f t="shared" si="2"/>
        <v>0</v>
      </c>
      <c r="U20" s="199">
        <f t="shared" si="2"/>
        <v>0</v>
      </c>
      <c r="V20" s="199">
        <f t="shared" si="2"/>
        <v>0</v>
      </c>
      <c r="W20" s="199">
        <f t="shared" si="2"/>
        <v>0</v>
      </c>
      <c r="X20" s="383" t="str">
        <f>+States!X19</f>
        <v>molCx/L</v>
      </c>
    </row>
    <row r="21" spans="1:24">
      <c r="A21" s="385" t="str">
        <f>+States!A20</f>
        <v>Xaob</v>
      </c>
      <c r="B21" s="380">
        <v>0</v>
      </c>
      <c r="C21" s="199">
        <f t="shared" si="5"/>
        <v>0</v>
      </c>
      <c r="D21" s="199">
        <f t="shared" si="5"/>
        <v>0</v>
      </c>
      <c r="E21" s="199">
        <f t="shared" si="5"/>
        <v>0</v>
      </c>
      <c r="F21" s="199">
        <f t="shared" si="5"/>
        <v>0</v>
      </c>
      <c r="G21" s="199">
        <f t="shared" si="5"/>
        <v>0</v>
      </c>
      <c r="H21" s="199">
        <f t="shared" si="5"/>
        <v>0</v>
      </c>
      <c r="I21" s="199">
        <f t="shared" si="5"/>
        <v>0</v>
      </c>
      <c r="J21" s="199">
        <f t="shared" si="5"/>
        <v>0</v>
      </c>
      <c r="K21" s="199">
        <f t="shared" si="5"/>
        <v>0</v>
      </c>
      <c r="L21" s="199">
        <f t="shared" si="5"/>
        <v>0</v>
      </c>
      <c r="M21" s="199">
        <f t="shared" si="5"/>
        <v>0</v>
      </c>
      <c r="N21" s="199">
        <f t="shared" si="5"/>
        <v>0</v>
      </c>
      <c r="O21" s="199">
        <f t="shared" si="5"/>
        <v>0</v>
      </c>
      <c r="P21" s="199">
        <f t="shared" si="5"/>
        <v>0</v>
      </c>
      <c r="Q21" s="199">
        <f t="shared" si="5"/>
        <v>0</v>
      </c>
      <c r="R21" s="199">
        <f t="shared" si="5"/>
        <v>0</v>
      </c>
      <c r="S21" s="199">
        <f t="shared" si="3"/>
        <v>0</v>
      </c>
      <c r="T21" s="199">
        <f t="shared" si="2"/>
        <v>0</v>
      </c>
      <c r="U21" s="199">
        <f t="shared" si="2"/>
        <v>0</v>
      </c>
      <c r="V21" s="199">
        <f t="shared" si="2"/>
        <v>0</v>
      </c>
      <c r="W21" s="199">
        <f t="shared" si="2"/>
        <v>0</v>
      </c>
      <c r="X21" s="383" t="str">
        <f>+States!X20</f>
        <v>molCx/L</v>
      </c>
    </row>
    <row r="22" spans="1:24">
      <c r="A22" s="385" t="str">
        <f>+States!A21</f>
        <v>Xnob</v>
      </c>
      <c r="B22" s="380">
        <v>0</v>
      </c>
      <c r="C22" s="199">
        <f t="shared" si="5"/>
        <v>0</v>
      </c>
      <c r="D22" s="199">
        <f t="shared" si="5"/>
        <v>0</v>
      </c>
      <c r="E22" s="199">
        <f t="shared" si="5"/>
        <v>0</v>
      </c>
      <c r="F22" s="199">
        <f t="shared" si="5"/>
        <v>0</v>
      </c>
      <c r="G22" s="199">
        <f t="shared" si="5"/>
        <v>0</v>
      </c>
      <c r="H22" s="199">
        <f t="shared" si="5"/>
        <v>0</v>
      </c>
      <c r="I22" s="199">
        <f t="shared" si="5"/>
        <v>0</v>
      </c>
      <c r="J22" s="199">
        <f t="shared" si="5"/>
        <v>0</v>
      </c>
      <c r="K22" s="199">
        <f t="shared" si="5"/>
        <v>0</v>
      </c>
      <c r="L22" s="199">
        <f t="shared" si="5"/>
        <v>0</v>
      </c>
      <c r="M22" s="199">
        <f t="shared" si="5"/>
        <v>0</v>
      </c>
      <c r="N22" s="199">
        <f t="shared" si="5"/>
        <v>0</v>
      </c>
      <c r="O22" s="199">
        <f t="shared" si="5"/>
        <v>0</v>
      </c>
      <c r="P22" s="199">
        <f t="shared" si="5"/>
        <v>0</v>
      </c>
      <c r="Q22" s="199">
        <f t="shared" si="5"/>
        <v>0</v>
      </c>
      <c r="R22" s="199">
        <f t="shared" si="5"/>
        <v>0</v>
      </c>
      <c r="S22" s="199">
        <f t="shared" si="3"/>
        <v>0</v>
      </c>
      <c r="T22" s="199">
        <f t="shared" si="3"/>
        <v>0</v>
      </c>
      <c r="U22" s="199">
        <f t="shared" si="3"/>
        <v>0</v>
      </c>
      <c r="V22" s="199">
        <f t="shared" si="3"/>
        <v>0</v>
      </c>
      <c r="W22" s="199">
        <f t="shared" si="3"/>
        <v>0</v>
      </c>
      <c r="X22" s="383" t="str">
        <f>+States!X21</f>
        <v>molCx/L</v>
      </c>
    </row>
    <row r="23" spans="1:24">
      <c r="A23" s="385" t="str">
        <f>+States!A22</f>
        <v>Xdn</v>
      </c>
      <c r="B23" s="380">
        <v>0</v>
      </c>
      <c r="C23" s="199">
        <f t="shared" si="5"/>
        <v>0</v>
      </c>
      <c r="D23" s="199">
        <f t="shared" si="5"/>
        <v>0</v>
      </c>
      <c r="E23" s="199">
        <f t="shared" si="5"/>
        <v>0</v>
      </c>
      <c r="F23" s="199">
        <f t="shared" si="5"/>
        <v>0</v>
      </c>
      <c r="G23" s="199">
        <f t="shared" si="5"/>
        <v>0</v>
      </c>
      <c r="H23" s="199">
        <f t="shared" si="5"/>
        <v>0</v>
      </c>
      <c r="I23" s="199">
        <f t="shared" si="5"/>
        <v>0</v>
      </c>
      <c r="J23" s="199">
        <f t="shared" si="5"/>
        <v>0</v>
      </c>
      <c r="K23" s="199">
        <f t="shared" si="5"/>
        <v>0</v>
      </c>
      <c r="L23" s="199">
        <f t="shared" si="5"/>
        <v>0</v>
      </c>
      <c r="M23" s="199">
        <f t="shared" si="5"/>
        <v>0</v>
      </c>
      <c r="N23" s="199">
        <f t="shared" si="5"/>
        <v>0</v>
      </c>
      <c r="O23" s="199">
        <f t="shared" si="5"/>
        <v>0</v>
      </c>
      <c r="P23" s="199">
        <f t="shared" si="5"/>
        <v>0</v>
      </c>
      <c r="Q23" s="199">
        <f t="shared" si="5"/>
        <v>0</v>
      </c>
      <c r="R23" s="199">
        <f t="shared" si="5"/>
        <v>0</v>
      </c>
      <c r="S23" s="199">
        <f t="shared" si="3"/>
        <v>0</v>
      </c>
      <c r="T23" s="199">
        <f t="shared" si="3"/>
        <v>0</v>
      </c>
      <c r="U23" s="199">
        <f t="shared" si="3"/>
        <v>0</v>
      </c>
      <c r="V23" s="199">
        <f t="shared" si="3"/>
        <v>0</v>
      </c>
      <c r="W23" s="199">
        <f t="shared" si="3"/>
        <v>0</v>
      </c>
      <c r="X23" s="383" t="str">
        <f>+States!X22</f>
        <v>molCx/L</v>
      </c>
    </row>
    <row r="24" spans="1:24">
      <c r="A24" s="385" t="str">
        <f>+States!A23</f>
        <v>Xsrd</v>
      </c>
      <c r="B24" s="380">
        <v>0</v>
      </c>
      <c r="C24" s="199">
        <f t="shared" si="5"/>
        <v>0</v>
      </c>
      <c r="D24" s="199">
        <f t="shared" si="5"/>
        <v>0</v>
      </c>
      <c r="E24" s="199">
        <f t="shared" si="5"/>
        <v>0</v>
      </c>
      <c r="F24" s="199">
        <f t="shared" si="5"/>
        <v>0</v>
      </c>
      <c r="G24" s="199">
        <f t="shared" si="5"/>
        <v>0</v>
      </c>
      <c r="H24" s="199">
        <f t="shared" si="5"/>
        <v>0</v>
      </c>
      <c r="I24" s="199">
        <f t="shared" si="5"/>
        <v>0</v>
      </c>
      <c r="J24" s="199">
        <f t="shared" si="5"/>
        <v>0</v>
      </c>
      <c r="K24" s="199">
        <f t="shared" si="5"/>
        <v>0</v>
      </c>
      <c r="L24" s="199">
        <f t="shared" si="5"/>
        <v>0</v>
      </c>
      <c r="M24" s="199">
        <f t="shared" si="5"/>
        <v>0</v>
      </c>
      <c r="N24" s="199">
        <f t="shared" si="5"/>
        <v>0</v>
      </c>
      <c r="O24" s="199">
        <f t="shared" si="5"/>
        <v>0</v>
      </c>
      <c r="P24" s="199">
        <f t="shared" si="5"/>
        <v>0</v>
      </c>
      <c r="Q24" s="199">
        <f t="shared" si="5"/>
        <v>0</v>
      </c>
      <c r="R24" s="199">
        <f t="shared" si="5"/>
        <v>0</v>
      </c>
      <c r="S24" s="199">
        <f t="shared" si="3"/>
        <v>0</v>
      </c>
      <c r="T24" s="199">
        <f t="shared" si="3"/>
        <v>0</v>
      </c>
      <c r="U24" s="199">
        <f t="shared" si="3"/>
        <v>0</v>
      </c>
      <c r="V24" s="199">
        <f t="shared" si="3"/>
        <v>0</v>
      </c>
      <c r="W24" s="199">
        <f t="shared" si="3"/>
        <v>0</v>
      </c>
      <c r="X24" s="383" t="str">
        <f>+States!X23</f>
        <v>molCx/L</v>
      </c>
    </row>
    <row r="25" spans="1:24">
      <c r="A25" s="385" t="str">
        <f>+States!A24</f>
        <v>Xsox</v>
      </c>
      <c r="B25" s="380">
        <v>0</v>
      </c>
      <c r="C25" s="199">
        <f t="shared" si="5"/>
        <v>0</v>
      </c>
      <c r="D25" s="199">
        <f t="shared" si="5"/>
        <v>0</v>
      </c>
      <c r="E25" s="199">
        <f t="shared" si="5"/>
        <v>0</v>
      </c>
      <c r="F25" s="199">
        <f t="shared" si="5"/>
        <v>0</v>
      </c>
      <c r="G25" s="199">
        <f t="shared" si="5"/>
        <v>0</v>
      </c>
      <c r="H25" s="199">
        <f t="shared" si="5"/>
        <v>0</v>
      </c>
      <c r="I25" s="199">
        <f t="shared" si="5"/>
        <v>0</v>
      </c>
      <c r="J25" s="199">
        <f t="shared" si="5"/>
        <v>0</v>
      </c>
      <c r="K25" s="199">
        <f t="shared" si="5"/>
        <v>0</v>
      </c>
      <c r="L25" s="199">
        <f t="shared" si="5"/>
        <v>0</v>
      </c>
      <c r="M25" s="199">
        <f t="shared" si="5"/>
        <v>0</v>
      </c>
      <c r="N25" s="199">
        <f t="shared" si="5"/>
        <v>0</v>
      </c>
      <c r="O25" s="199">
        <f t="shared" si="5"/>
        <v>0</v>
      </c>
      <c r="P25" s="199">
        <f t="shared" si="5"/>
        <v>0</v>
      </c>
      <c r="Q25" s="199">
        <f t="shared" si="5"/>
        <v>0</v>
      </c>
      <c r="R25" s="199">
        <f t="shared" si="5"/>
        <v>0</v>
      </c>
      <c r="S25" s="199">
        <f t="shared" si="3"/>
        <v>0</v>
      </c>
      <c r="T25" s="199">
        <f t="shared" si="3"/>
        <v>0</v>
      </c>
      <c r="U25" s="199">
        <f t="shared" si="3"/>
        <v>0</v>
      </c>
      <c r="V25" s="199">
        <f t="shared" si="3"/>
        <v>0</v>
      </c>
      <c r="W25" s="199">
        <f t="shared" si="3"/>
        <v>0</v>
      </c>
      <c r="X25" s="383" t="str">
        <f>+States!X24</f>
        <v>molCx/L</v>
      </c>
    </row>
    <row r="26" spans="1:24">
      <c r="A26" s="385" t="str">
        <f>+States!A25</f>
        <v>Xson</v>
      </c>
      <c r="B26" s="380">
        <v>0</v>
      </c>
      <c r="C26" s="199">
        <f t="shared" si="5"/>
        <v>0</v>
      </c>
      <c r="D26" s="199">
        <f t="shared" si="5"/>
        <v>0</v>
      </c>
      <c r="E26" s="199">
        <f t="shared" si="5"/>
        <v>0</v>
      </c>
      <c r="F26" s="199">
        <f t="shared" si="5"/>
        <v>0</v>
      </c>
      <c r="G26" s="199">
        <f t="shared" si="5"/>
        <v>0</v>
      </c>
      <c r="H26" s="199">
        <f t="shared" si="5"/>
        <v>0</v>
      </c>
      <c r="I26" s="199">
        <f t="shared" si="5"/>
        <v>0</v>
      </c>
      <c r="J26" s="199">
        <f t="shared" si="5"/>
        <v>0</v>
      </c>
      <c r="K26" s="199">
        <f t="shared" si="5"/>
        <v>0</v>
      </c>
      <c r="L26" s="199">
        <f t="shared" si="5"/>
        <v>0</v>
      </c>
      <c r="M26" s="199">
        <f t="shared" si="5"/>
        <v>0</v>
      </c>
      <c r="N26" s="199">
        <f t="shared" si="5"/>
        <v>0</v>
      </c>
      <c r="O26" s="199">
        <f t="shared" si="5"/>
        <v>0</v>
      </c>
      <c r="P26" s="199">
        <f t="shared" si="5"/>
        <v>0</v>
      </c>
      <c r="Q26" s="199">
        <f t="shared" si="5"/>
        <v>0</v>
      </c>
      <c r="R26" s="199">
        <f t="shared" si="5"/>
        <v>0</v>
      </c>
      <c r="S26" s="199">
        <f t="shared" si="3"/>
        <v>0</v>
      </c>
      <c r="T26" s="199">
        <f t="shared" si="3"/>
        <v>0</v>
      </c>
      <c r="U26" s="199">
        <f t="shared" si="3"/>
        <v>0</v>
      </c>
      <c r="V26" s="199">
        <f t="shared" si="3"/>
        <v>0</v>
      </c>
      <c r="W26" s="199">
        <f t="shared" si="3"/>
        <v>0</v>
      </c>
      <c r="X26" s="383" t="str">
        <f>+States!X25</f>
        <v>molCx/L</v>
      </c>
    </row>
    <row r="27" spans="1:24">
      <c r="A27" s="385" t="str">
        <f>+States!A26</f>
        <v>Xfeox</v>
      </c>
      <c r="B27" s="380">
        <v>0</v>
      </c>
      <c r="C27" s="199">
        <f t="shared" si="5"/>
        <v>0</v>
      </c>
      <c r="D27" s="199">
        <f t="shared" si="5"/>
        <v>0</v>
      </c>
      <c r="E27" s="199">
        <f t="shared" si="5"/>
        <v>0</v>
      </c>
      <c r="F27" s="199">
        <f t="shared" si="5"/>
        <v>0</v>
      </c>
      <c r="G27" s="199">
        <f t="shared" si="5"/>
        <v>0</v>
      </c>
      <c r="H27" s="199">
        <f t="shared" si="5"/>
        <v>0</v>
      </c>
      <c r="I27" s="199">
        <f t="shared" si="5"/>
        <v>0</v>
      </c>
      <c r="J27" s="199">
        <f t="shared" si="5"/>
        <v>0</v>
      </c>
      <c r="K27" s="199">
        <f t="shared" si="5"/>
        <v>0</v>
      </c>
      <c r="L27" s="199">
        <f t="shared" si="5"/>
        <v>0</v>
      </c>
      <c r="M27" s="199">
        <f t="shared" si="5"/>
        <v>0</v>
      </c>
      <c r="N27" s="199">
        <f t="shared" si="5"/>
        <v>0</v>
      </c>
      <c r="O27" s="199">
        <f t="shared" si="5"/>
        <v>0</v>
      </c>
      <c r="P27" s="199">
        <f t="shared" si="5"/>
        <v>0</v>
      </c>
      <c r="Q27" s="199">
        <f t="shared" si="5"/>
        <v>0</v>
      </c>
      <c r="R27" s="199">
        <f t="shared" si="5"/>
        <v>0</v>
      </c>
      <c r="S27" s="199">
        <f t="shared" si="3"/>
        <v>0</v>
      </c>
      <c r="T27" s="199">
        <f t="shared" si="3"/>
        <v>0</v>
      </c>
      <c r="U27" s="199">
        <f t="shared" si="3"/>
        <v>0</v>
      </c>
      <c r="V27" s="199">
        <f t="shared" si="3"/>
        <v>0</v>
      </c>
      <c r="W27" s="199">
        <f t="shared" si="3"/>
        <v>0</v>
      </c>
      <c r="X27" s="383" t="str">
        <f>+States!X26</f>
        <v>molCx/L</v>
      </c>
    </row>
    <row r="28" spans="1:24">
      <c r="A28" s="385" t="str">
        <f>+States!A27</f>
        <v>Xfeon</v>
      </c>
      <c r="B28" s="380">
        <v>0</v>
      </c>
      <c r="C28" s="199">
        <f t="shared" si="5"/>
        <v>0</v>
      </c>
      <c r="D28" s="199">
        <f t="shared" si="5"/>
        <v>0</v>
      </c>
      <c r="E28" s="199">
        <f t="shared" si="5"/>
        <v>0</v>
      </c>
      <c r="F28" s="199">
        <f t="shared" si="5"/>
        <v>0</v>
      </c>
      <c r="G28" s="199">
        <f t="shared" si="5"/>
        <v>0</v>
      </c>
      <c r="H28" s="199">
        <f t="shared" si="5"/>
        <v>0</v>
      </c>
      <c r="I28" s="199">
        <f t="shared" si="5"/>
        <v>0</v>
      </c>
      <c r="J28" s="199">
        <f t="shared" si="5"/>
        <v>0</v>
      </c>
      <c r="K28" s="199">
        <f t="shared" si="5"/>
        <v>0</v>
      </c>
      <c r="L28" s="199">
        <f t="shared" si="5"/>
        <v>0</v>
      </c>
      <c r="M28" s="199">
        <f t="shared" si="5"/>
        <v>0</v>
      </c>
      <c r="N28" s="199">
        <f t="shared" si="5"/>
        <v>0</v>
      </c>
      <c r="O28" s="199">
        <f t="shared" si="5"/>
        <v>0</v>
      </c>
      <c r="P28" s="199">
        <f t="shared" si="5"/>
        <v>0</v>
      </c>
      <c r="Q28" s="199">
        <f t="shared" si="5"/>
        <v>0</v>
      </c>
      <c r="R28" s="199">
        <f t="shared" si="5"/>
        <v>0</v>
      </c>
      <c r="S28" s="199">
        <f t="shared" si="3"/>
        <v>0</v>
      </c>
      <c r="T28" s="199">
        <f t="shared" si="3"/>
        <v>0</v>
      </c>
      <c r="U28" s="199">
        <f t="shared" si="3"/>
        <v>0</v>
      </c>
      <c r="V28" s="199">
        <f t="shared" si="3"/>
        <v>0</v>
      </c>
      <c r="W28" s="199">
        <f t="shared" si="3"/>
        <v>0</v>
      </c>
      <c r="X28" s="383" t="str">
        <f>+States!X27</f>
        <v>molCx/L</v>
      </c>
    </row>
    <row r="29" spans="1:24">
      <c r="A29" s="385" t="str">
        <f>+States!A28</f>
        <v>Xferd</v>
      </c>
      <c r="B29" s="380">
        <v>0</v>
      </c>
      <c r="C29" s="199">
        <f t="shared" si="5"/>
        <v>0</v>
      </c>
      <c r="D29" s="199">
        <f t="shared" si="5"/>
        <v>0</v>
      </c>
      <c r="E29" s="199">
        <f t="shared" si="5"/>
        <v>0</v>
      </c>
      <c r="F29" s="199">
        <f t="shared" si="5"/>
        <v>0</v>
      </c>
      <c r="G29" s="199">
        <f t="shared" si="5"/>
        <v>0</v>
      </c>
      <c r="H29" s="199">
        <f t="shared" si="5"/>
        <v>0</v>
      </c>
      <c r="I29" s="199">
        <f t="shared" si="5"/>
        <v>0</v>
      </c>
      <c r="J29" s="199">
        <f t="shared" si="5"/>
        <v>0</v>
      </c>
      <c r="K29" s="199">
        <f t="shared" si="5"/>
        <v>0</v>
      </c>
      <c r="L29" s="199">
        <f t="shared" si="5"/>
        <v>0</v>
      </c>
      <c r="M29" s="199">
        <f t="shared" si="5"/>
        <v>0</v>
      </c>
      <c r="N29" s="199">
        <f t="shared" si="5"/>
        <v>0</v>
      </c>
      <c r="O29" s="199">
        <f t="shared" si="5"/>
        <v>0</v>
      </c>
      <c r="P29" s="199">
        <f t="shared" si="5"/>
        <v>0</v>
      </c>
      <c r="Q29" s="199">
        <f t="shared" si="5"/>
        <v>0</v>
      </c>
      <c r="R29" s="199">
        <f t="shared" si="5"/>
        <v>0</v>
      </c>
      <c r="S29" s="199">
        <f t="shared" si="3"/>
        <v>0</v>
      </c>
      <c r="T29" s="199">
        <f t="shared" si="3"/>
        <v>0</v>
      </c>
      <c r="U29" s="199">
        <f t="shared" si="3"/>
        <v>0</v>
      </c>
      <c r="V29" s="199">
        <f t="shared" si="3"/>
        <v>0</v>
      </c>
      <c r="W29" s="199">
        <f t="shared" si="3"/>
        <v>0</v>
      </c>
      <c r="X29" s="383" t="str">
        <f>+States!X28</f>
        <v>molCx/L</v>
      </c>
    </row>
    <row r="30" spans="1:24">
      <c r="A30" s="385" t="str">
        <f>+States!A29</f>
        <v>Xacm</v>
      </c>
      <c r="B30" s="380">
        <v>0</v>
      </c>
      <c r="C30" s="199">
        <f t="shared" si="5"/>
        <v>0</v>
      </c>
      <c r="D30" s="199">
        <f t="shared" si="5"/>
        <v>0</v>
      </c>
      <c r="E30" s="199">
        <f t="shared" si="5"/>
        <v>0</v>
      </c>
      <c r="F30" s="199">
        <f t="shared" si="5"/>
        <v>0</v>
      </c>
      <c r="G30" s="199">
        <f t="shared" si="5"/>
        <v>0</v>
      </c>
      <c r="H30" s="199">
        <f t="shared" si="5"/>
        <v>0</v>
      </c>
      <c r="I30" s="199">
        <f t="shared" si="5"/>
        <v>0</v>
      </c>
      <c r="J30" s="199">
        <f t="shared" si="5"/>
        <v>0</v>
      </c>
      <c r="K30" s="199">
        <f t="shared" si="5"/>
        <v>0</v>
      </c>
      <c r="L30" s="199">
        <f t="shared" si="5"/>
        <v>0</v>
      </c>
      <c r="M30" s="199">
        <f t="shared" si="5"/>
        <v>0</v>
      </c>
      <c r="N30" s="199">
        <f t="shared" si="5"/>
        <v>0</v>
      </c>
      <c r="O30" s="199">
        <f t="shared" si="5"/>
        <v>0</v>
      </c>
      <c r="P30" s="199">
        <f t="shared" si="5"/>
        <v>0</v>
      </c>
      <c r="Q30" s="199">
        <f t="shared" si="5"/>
        <v>0</v>
      </c>
      <c r="R30" s="199">
        <f t="shared" si="5"/>
        <v>0</v>
      </c>
      <c r="S30" s="199">
        <f t="shared" si="3"/>
        <v>0</v>
      </c>
      <c r="T30" s="199">
        <f t="shared" si="3"/>
        <v>0</v>
      </c>
      <c r="U30" s="199">
        <f t="shared" si="3"/>
        <v>0</v>
      </c>
      <c r="V30" s="199">
        <f t="shared" si="3"/>
        <v>0</v>
      </c>
      <c r="W30" s="199">
        <f t="shared" si="3"/>
        <v>0</v>
      </c>
      <c r="X30" s="383" t="str">
        <f>+States!X29</f>
        <v>molCx/L</v>
      </c>
    </row>
    <row r="31" spans="1:24">
      <c r="A31" s="385" t="str">
        <f>+States!A30</f>
        <v>Xh2m</v>
      </c>
      <c r="B31" s="380">
        <v>0</v>
      </c>
      <c r="C31" s="199">
        <f t="shared" si="5"/>
        <v>0</v>
      </c>
      <c r="D31" s="199">
        <f t="shared" si="5"/>
        <v>0</v>
      </c>
      <c r="E31" s="199">
        <f t="shared" si="5"/>
        <v>0</v>
      </c>
      <c r="F31" s="199">
        <f t="shared" si="5"/>
        <v>0</v>
      </c>
      <c r="G31" s="199">
        <f t="shared" si="5"/>
        <v>0</v>
      </c>
      <c r="H31" s="199">
        <f t="shared" si="5"/>
        <v>0</v>
      </c>
      <c r="I31" s="199">
        <f t="shared" si="5"/>
        <v>0</v>
      </c>
      <c r="J31" s="199">
        <f t="shared" si="5"/>
        <v>0</v>
      </c>
      <c r="K31" s="199">
        <f t="shared" si="5"/>
        <v>0</v>
      </c>
      <c r="L31" s="199">
        <f t="shared" si="5"/>
        <v>0</v>
      </c>
      <c r="M31" s="199">
        <f t="shared" si="5"/>
        <v>0</v>
      </c>
      <c r="N31" s="199">
        <f t="shared" si="5"/>
        <v>0</v>
      </c>
      <c r="O31" s="199">
        <f t="shared" si="5"/>
        <v>0</v>
      </c>
      <c r="P31" s="199">
        <f t="shared" si="5"/>
        <v>0</v>
      </c>
      <c r="Q31" s="199">
        <f t="shared" si="5"/>
        <v>0</v>
      </c>
      <c r="R31" s="199">
        <f t="shared" si="5"/>
        <v>0</v>
      </c>
      <c r="S31" s="199">
        <f t="shared" si="3"/>
        <v>0</v>
      </c>
      <c r="T31" s="199">
        <f t="shared" si="3"/>
        <v>0</v>
      </c>
      <c r="U31" s="199">
        <f t="shared" si="3"/>
        <v>0</v>
      </c>
      <c r="V31" s="199">
        <f t="shared" si="3"/>
        <v>0</v>
      </c>
      <c r="W31" s="199">
        <f t="shared" si="3"/>
        <v>0</v>
      </c>
      <c r="X31" s="383" t="str">
        <f>+States!X30</f>
        <v>molCx/L</v>
      </c>
    </row>
    <row r="32" spans="1:24">
      <c r="A32" s="385" t="str">
        <f>+States!A31</f>
        <v>Xmto</v>
      </c>
      <c r="B32" s="380">
        <v>0</v>
      </c>
      <c r="C32" s="199">
        <f t="shared" si="5"/>
        <v>0</v>
      </c>
      <c r="D32" s="199">
        <f t="shared" si="5"/>
        <v>0</v>
      </c>
      <c r="E32" s="199">
        <f t="shared" si="5"/>
        <v>0</v>
      </c>
      <c r="F32" s="199">
        <f t="shared" si="5"/>
        <v>0</v>
      </c>
      <c r="G32" s="199">
        <f t="shared" si="5"/>
        <v>0</v>
      </c>
      <c r="H32" s="199">
        <f t="shared" si="5"/>
        <v>0</v>
      </c>
      <c r="I32" s="199">
        <f t="shared" si="5"/>
        <v>0</v>
      </c>
      <c r="J32" s="199">
        <f t="shared" si="5"/>
        <v>0</v>
      </c>
      <c r="K32" s="199">
        <f t="shared" si="5"/>
        <v>0</v>
      </c>
      <c r="L32" s="199">
        <f t="shared" si="5"/>
        <v>0</v>
      </c>
      <c r="M32" s="199">
        <f t="shared" si="5"/>
        <v>0</v>
      </c>
      <c r="N32" s="199">
        <f t="shared" si="5"/>
        <v>0</v>
      </c>
      <c r="O32" s="199">
        <f t="shared" si="5"/>
        <v>0</v>
      </c>
      <c r="P32" s="199">
        <f t="shared" si="5"/>
        <v>0</v>
      </c>
      <c r="Q32" s="199">
        <f t="shared" si="5"/>
        <v>0</v>
      </c>
      <c r="R32" s="199">
        <f t="shared" si="5"/>
        <v>0</v>
      </c>
      <c r="S32" s="199">
        <f t="shared" si="3"/>
        <v>0</v>
      </c>
      <c r="T32" s="199">
        <f t="shared" si="3"/>
        <v>0</v>
      </c>
      <c r="U32" s="199">
        <f t="shared" si="3"/>
        <v>0</v>
      </c>
      <c r="V32" s="199">
        <f t="shared" si="3"/>
        <v>0</v>
      </c>
      <c r="W32" s="199">
        <f t="shared" si="3"/>
        <v>0</v>
      </c>
      <c r="X32" s="383" t="str">
        <f>+States!X31</f>
        <v>molCx/L</v>
      </c>
    </row>
    <row r="33" spans="1:24">
      <c r="A33" s="386" t="str">
        <f>+States!A32</f>
        <v>Xmts</v>
      </c>
      <c r="B33" s="381">
        <v>0</v>
      </c>
      <c r="C33" s="382">
        <f t="shared" si="5"/>
        <v>0</v>
      </c>
      <c r="D33" s="382">
        <f t="shared" si="5"/>
        <v>0</v>
      </c>
      <c r="E33" s="382">
        <f t="shared" si="5"/>
        <v>0</v>
      </c>
      <c r="F33" s="382">
        <f t="shared" si="5"/>
        <v>0</v>
      </c>
      <c r="G33" s="382">
        <f t="shared" si="5"/>
        <v>0</v>
      </c>
      <c r="H33" s="382">
        <f t="shared" si="5"/>
        <v>0</v>
      </c>
      <c r="I33" s="382">
        <f t="shared" si="5"/>
        <v>0</v>
      </c>
      <c r="J33" s="382">
        <f t="shared" si="5"/>
        <v>0</v>
      </c>
      <c r="K33" s="382">
        <f t="shared" si="5"/>
        <v>0</v>
      </c>
      <c r="L33" s="382">
        <f t="shared" si="5"/>
        <v>0</v>
      </c>
      <c r="M33" s="382">
        <f t="shared" si="5"/>
        <v>0</v>
      </c>
      <c r="N33" s="382">
        <f t="shared" si="5"/>
        <v>0</v>
      </c>
      <c r="O33" s="382">
        <f t="shared" si="5"/>
        <v>0</v>
      </c>
      <c r="P33" s="382">
        <f t="shared" si="5"/>
        <v>0</v>
      </c>
      <c r="Q33" s="382">
        <f t="shared" si="5"/>
        <v>0</v>
      </c>
      <c r="R33" s="382">
        <f t="shared" si="5"/>
        <v>0</v>
      </c>
      <c r="S33" s="382">
        <f t="shared" ref="S33:W42" si="6">+$B33</f>
        <v>0</v>
      </c>
      <c r="T33" s="382">
        <f t="shared" si="6"/>
        <v>0</v>
      </c>
      <c r="U33" s="382">
        <f t="shared" si="6"/>
        <v>0</v>
      </c>
      <c r="V33" s="382">
        <f t="shared" si="6"/>
        <v>0</v>
      </c>
      <c r="W33" s="382">
        <f t="shared" si="6"/>
        <v>0</v>
      </c>
      <c r="X33" s="384" t="str">
        <f>+States!X32</f>
        <v>molCx/L</v>
      </c>
    </row>
    <row r="34" spans="1:24">
      <c r="A34" s="385" t="str">
        <f>+States!A33</f>
        <v>Xd</v>
      </c>
      <c r="B34" s="380">
        <v>0</v>
      </c>
      <c r="C34" s="199">
        <f t="shared" si="5"/>
        <v>0</v>
      </c>
      <c r="D34" s="199">
        <f t="shared" si="5"/>
        <v>0</v>
      </c>
      <c r="E34" s="199">
        <f t="shared" si="5"/>
        <v>0</v>
      </c>
      <c r="F34" s="199">
        <f t="shared" si="5"/>
        <v>0</v>
      </c>
      <c r="G34" s="199">
        <f t="shared" si="5"/>
        <v>0</v>
      </c>
      <c r="H34" s="199">
        <f t="shared" si="5"/>
        <v>0</v>
      </c>
      <c r="I34" s="199">
        <f t="shared" si="5"/>
        <v>0</v>
      </c>
      <c r="J34" s="199">
        <f t="shared" si="5"/>
        <v>0</v>
      </c>
      <c r="K34" s="199">
        <f t="shared" si="5"/>
        <v>0</v>
      </c>
      <c r="L34" s="199">
        <f t="shared" si="5"/>
        <v>0</v>
      </c>
      <c r="M34" s="199">
        <f t="shared" si="5"/>
        <v>0</v>
      </c>
      <c r="N34" s="199">
        <f t="shared" si="5"/>
        <v>0</v>
      </c>
      <c r="O34" s="199">
        <f t="shared" si="5"/>
        <v>0</v>
      </c>
      <c r="P34" s="199">
        <f t="shared" si="5"/>
        <v>0</v>
      </c>
      <c r="Q34" s="199">
        <f t="shared" si="5"/>
        <v>0</v>
      </c>
      <c r="R34" s="199">
        <f t="shared" ref="R34:R42" si="7">+$B34</f>
        <v>0</v>
      </c>
      <c r="S34" s="199">
        <f t="shared" si="6"/>
        <v>0</v>
      </c>
      <c r="T34" s="199">
        <f t="shared" si="6"/>
        <v>0</v>
      </c>
      <c r="U34" s="199">
        <f t="shared" si="6"/>
        <v>0</v>
      </c>
      <c r="V34" s="199">
        <f t="shared" si="6"/>
        <v>0</v>
      </c>
      <c r="W34" s="199">
        <f t="shared" si="6"/>
        <v>0</v>
      </c>
      <c r="X34" s="383" t="str">
        <f>+States!X33</f>
        <v>molCx/L</v>
      </c>
    </row>
    <row r="35" spans="1:24">
      <c r="A35" s="385" t="str">
        <f>+States!A34</f>
        <v>Xfeoh</v>
      </c>
      <c r="B35" s="380">
        <v>0</v>
      </c>
      <c r="C35" s="199">
        <f t="shared" ref="C35:Q42" si="8">+$B35</f>
        <v>0</v>
      </c>
      <c r="D35" s="199">
        <f t="shared" si="8"/>
        <v>0</v>
      </c>
      <c r="E35" s="199">
        <f t="shared" si="8"/>
        <v>0</v>
      </c>
      <c r="F35" s="199">
        <f t="shared" si="8"/>
        <v>0</v>
      </c>
      <c r="G35" s="199">
        <f t="shared" si="8"/>
        <v>0</v>
      </c>
      <c r="H35" s="199">
        <f t="shared" si="8"/>
        <v>0</v>
      </c>
      <c r="I35" s="199">
        <f t="shared" si="8"/>
        <v>0</v>
      </c>
      <c r="J35" s="199">
        <f t="shared" si="8"/>
        <v>0</v>
      </c>
      <c r="K35" s="199">
        <f t="shared" si="8"/>
        <v>0</v>
      </c>
      <c r="L35" s="199">
        <f t="shared" si="8"/>
        <v>0</v>
      </c>
      <c r="M35" s="199">
        <f t="shared" si="8"/>
        <v>0</v>
      </c>
      <c r="N35" s="199">
        <f t="shared" si="8"/>
        <v>0</v>
      </c>
      <c r="O35" s="199">
        <f t="shared" si="8"/>
        <v>0</v>
      </c>
      <c r="P35" s="199">
        <f t="shared" si="8"/>
        <v>0</v>
      </c>
      <c r="Q35" s="199">
        <f t="shared" si="8"/>
        <v>0</v>
      </c>
      <c r="R35" s="199">
        <f t="shared" si="7"/>
        <v>0</v>
      </c>
      <c r="S35" s="199">
        <f t="shared" si="6"/>
        <v>0</v>
      </c>
      <c r="T35" s="199">
        <f t="shared" si="6"/>
        <v>0</v>
      </c>
      <c r="U35" s="199">
        <f t="shared" si="6"/>
        <v>0</v>
      </c>
      <c r="V35" s="199">
        <f t="shared" si="6"/>
        <v>0</v>
      </c>
      <c r="W35" s="199">
        <f t="shared" si="6"/>
        <v>0</v>
      </c>
      <c r="X35" s="383" t="str">
        <f>+States!X34</f>
        <v>mol/L</v>
      </c>
    </row>
    <row r="36" spans="1:24">
      <c r="A36" s="386" t="str">
        <f>+States!A35</f>
        <v>Xi</v>
      </c>
      <c r="B36" s="381">
        <v>0</v>
      </c>
      <c r="C36" s="382">
        <f t="shared" si="8"/>
        <v>0</v>
      </c>
      <c r="D36" s="382">
        <f t="shared" si="8"/>
        <v>0</v>
      </c>
      <c r="E36" s="382">
        <f t="shared" si="8"/>
        <v>0</v>
      </c>
      <c r="F36" s="382">
        <f t="shared" si="8"/>
        <v>0</v>
      </c>
      <c r="G36" s="382">
        <f t="shared" si="8"/>
        <v>0</v>
      </c>
      <c r="H36" s="382">
        <f t="shared" si="8"/>
        <v>0</v>
      </c>
      <c r="I36" s="382">
        <f t="shared" si="8"/>
        <v>0</v>
      </c>
      <c r="J36" s="382">
        <f t="shared" si="8"/>
        <v>0</v>
      </c>
      <c r="K36" s="382">
        <f t="shared" si="8"/>
        <v>0</v>
      </c>
      <c r="L36" s="382">
        <f t="shared" si="8"/>
        <v>0</v>
      </c>
      <c r="M36" s="382">
        <f t="shared" si="8"/>
        <v>0</v>
      </c>
      <c r="N36" s="382">
        <f t="shared" si="8"/>
        <v>0</v>
      </c>
      <c r="O36" s="382">
        <f t="shared" si="8"/>
        <v>0</v>
      </c>
      <c r="P36" s="382">
        <f t="shared" si="8"/>
        <v>0</v>
      </c>
      <c r="Q36" s="382">
        <f t="shared" si="8"/>
        <v>0</v>
      </c>
      <c r="R36" s="382">
        <f t="shared" si="7"/>
        <v>0</v>
      </c>
      <c r="S36" s="382">
        <f t="shared" si="6"/>
        <v>0</v>
      </c>
      <c r="T36" s="382">
        <f t="shared" si="6"/>
        <v>0</v>
      </c>
      <c r="U36" s="382">
        <f t="shared" si="6"/>
        <v>0</v>
      </c>
      <c r="V36" s="382">
        <f t="shared" si="6"/>
        <v>0</v>
      </c>
      <c r="W36" s="382">
        <f t="shared" si="6"/>
        <v>0</v>
      </c>
      <c r="X36" s="384" t="str">
        <f>+States!X35</f>
        <v>molCx/L</v>
      </c>
    </row>
    <row r="37" spans="1:24">
      <c r="A37" s="385" t="str">
        <f>+States!A36</f>
        <v>Gch4</v>
      </c>
      <c r="B37" s="380">
        <v>0</v>
      </c>
      <c r="C37" s="199">
        <f t="shared" si="8"/>
        <v>0</v>
      </c>
      <c r="D37" s="199">
        <f t="shared" si="8"/>
        <v>0</v>
      </c>
      <c r="E37" s="199">
        <f t="shared" si="8"/>
        <v>0</v>
      </c>
      <c r="F37" s="199">
        <f t="shared" si="8"/>
        <v>0</v>
      </c>
      <c r="G37" s="199">
        <f t="shared" si="8"/>
        <v>0</v>
      </c>
      <c r="H37" s="199">
        <f t="shared" si="8"/>
        <v>0</v>
      </c>
      <c r="I37" s="199">
        <f t="shared" si="8"/>
        <v>0</v>
      </c>
      <c r="J37" s="199">
        <f t="shared" si="8"/>
        <v>0</v>
      </c>
      <c r="K37" s="199">
        <f t="shared" si="8"/>
        <v>0</v>
      </c>
      <c r="L37" s="199">
        <f t="shared" si="8"/>
        <v>0</v>
      </c>
      <c r="M37" s="199">
        <f t="shared" si="8"/>
        <v>0</v>
      </c>
      <c r="N37" s="199">
        <f t="shared" si="8"/>
        <v>0</v>
      </c>
      <c r="O37" s="199">
        <f t="shared" si="8"/>
        <v>0</v>
      </c>
      <c r="P37" s="199">
        <f t="shared" si="8"/>
        <v>0</v>
      </c>
      <c r="Q37" s="199">
        <f t="shared" si="8"/>
        <v>0</v>
      </c>
      <c r="R37" s="199">
        <f t="shared" si="7"/>
        <v>0</v>
      </c>
      <c r="S37" s="199">
        <f t="shared" si="6"/>
        <v>0</v>
      </c>
      <c r="T37" s="199">
        <f t="shared" si="6"/>
        <v>0</v>
      </c>
      <c r="U37" s="199">
        <f t="shared" si="6"/>
        <v>0</v>
      </c>
      <c r="V37" s="199">
        <f t="shared" si="6"/>
        <v>0</v>
      </c>
      <c r="W37" s="199">
        <f t="shared" si="6"/>
        <v>0</v>
      </c>
      <c r="X37" s="383" t="str">
        <f>+States!X36</f>
        <v>molG/L</v>
      </c>
    </row>
    <row r="38" spans="1:24">
      <c r="A38" s="385" t="str">
        <f>+States!A37</f>
        <v>Gco2</v>
      </c>
      <c r="B38" s="380">
        <v>0</v>
      </c>
      <c r="C38" s="199">
        <f t="shared" si="8"/>
        <v>0</v>
      </c>
      <c r="D38" s="199">
        <f t="shared" si="8"/>
        <v>0</v>
      </c>
      <c r="E38" s="199">
        <f t="shared" si="8"/>
        <v>0</v>
      </c>
      <c r="F38" s="199">
        <f t="shared" si="8"/>
        <v>0</v>
      </c>
      <c r="G38" s="199">
        <f t="shared" si="8"/>
        <v>0</v>
      </c>
      <c r="H38" s="199">
        <f t="shared" si="8"/>
        <v>0</v>
      </c>
      <c r="I38" s="199">
        <f t="shared" si="8"/>
        <v>0</v>
      </c>
      <c r="J38" s="199">
        <f t="shared" si="8"/>
        <v>0</v>
      </c>
      <c r="K38" s="199">
        <f t="shared" si="8"/>
        <v>0</v>
      </c>
      <c r="L38" s="199">
        <f t="shared" si="8"/>
        <v>0</v>
      </c>
      <c r="M38" s="199">
        <f t="shared" si="8"/>
        <v>0</v>
      </c>
      <c r="N38" s="199">
        <f t="shared" si="8"/>
        <v>0</v>
      </c>
      <c r="O38" s="199">
        <f t="shared" si="8"/>
        <v>0</v>
      </c>
      <c r="P38" s="199">
        <f t="shared" si="8"/>
        <v>0</v>
      </c>
      <c r="Q38" s="199">
        <f t="shared" si="8"/>
        <v>0</v>
      </c>
      <c r="R38" s="199">
        <f t="shared" si="7"/>
        <v>0</v>
      </c>
      <c r="S38" s="199">
        <f t="shared" si="6"/>
        <v>0</v>
      </c>
      <c r="T38" s="199">
        <f t="shared" si="6"/>
        <v>0</v>
      </c>
      <c r="U38" s="199">
        <f t="shared" si="6"/>
        <v>0</v>
      </c>
      <c r="V38" s="199">
        <f t="shared" si="6"/>
        <v>0</v>
      </c>
      <c r="W38" s="199">
        <f t="shared" si="6"/>
        <v>0</v>
      </c>
      <c r="X38" s="383" t="str">
        <f>+States!X37</f>
        <v>molG/L</v>
      </c>
    </row>
    <row r="39" spans="1:24">
      <c r="A39" s="385" t="str">
        <f>+States!A38</f>
        <v>Gh2</v>
      </c>
      <c r="B39" s="380">
        <v>0</v>
      </c>
      <c r="C39" s="199">
        <f t="shared" si="8"/>
        <v>0</v>
      </c>
      <c r="D39" s="199">
        <f t="shared" si="8"/>
        <v>0</v>
      </c>
      <c r="E39" s="199">
        <f t="shared" si="8"/>
        <v>0</v>
      </c>
      <c r="F39" s="199">
        <f t="shared" si="8"/>
        <v>0</v>
      </c>
      <c r="G39" s="199">
        <f t="shared" si="8"/>
        <v>0</v>
      </c>
      <c r="H39" s="199">
        <f t="shared" si="8"/>
        <v>0</v>
      </c>
      <c r="I39" s="199">
        <f t="shared" si="8"/>
        <v>0</v>
      </c>
      <c r="J39" s="199">
        <f t="shared" si="8"/>
        <v>0</v>
      </c>
      <c r="K39" s="199">
        <f t="shared" si="8"/>
        <v>0</v>
      </c>
      <c r="L39" s="199">
        <f t="shared" si="8"/>
        <v>0</v>
      </c>
      <c r="M39" s="199">
        <f t="shared" si="8"/>
        <v>0</v>
      </c>
      <c r="N39" s="199">
        <f t="shared" si="8"/>
        <v>0</v>
      </c>
      <c r="O39" s="199">
        <f t="shared" si="8"/>
        <v>0</v>
      </c>
      <c r="P39" s="199">
        <f t="shared" si="8"/>
        <v>0</v>
      </c>
      <c r="Q39" s="199">
        <f t="shared" si="8"/>
        <v>0</v>
      </c>
      <c r="R39" s="199">
        <f t="shared" si="7"/>
        <v>0</v>
      </c>
      <c r="S39" s="199">
        <f t="shared" si="6"/>
        <v>0</v>
      </c>
      <c r="T39" s="199">
        <f t="shared" si="6"/>
        <v>0</v>
      </c>
      <c r="U39" s="199">
        <f t="shared" si="6"/>
        <v>0</v>
      </c>
      <c r="V39" s="199">
        <f t="shared" si="6"/>
        <v>0</v>
      </c>
      <c r="W39" s="199">
        <f t="shared" si="6"/>
        <v>0</v>
      </c>
      <c r="X39" s="383" t="str">
        <f>+States!X38</f>
        <v>molG/L</v>
      </c>
    </row>
    <row r="40" spans="1:24">
      <c r="A40" s="385" t="str">
        <f>+States!A39</f>
        <v>Gn2</v>
      </c>
      <c r="B40" s="380">
        <v>0</v>
      </c>
      <c r="C40" s="199">
        <f t="shared" si="8"/>
        <v>0</v>
      </c>
      <c r="D40" s="199">
        <f t="shared" si="8"/>
        <v>0</v>
      </c>
      <c r="E40" s="199">
        <f t="shared" si="8"/>
        <v>0</v>
      </c>
      <c r="F40" s="199">
        <f t="shared" si="8"/>
        <v>0</v>
      </c>
      <c r="G40" s="199">
        <f t="shared" si="8"/>
        <v>0</v>
      </c>
      <c r="H40" s="199">
        <f t="shared" si="8"/>
        <v>0</v>
      </c>
      <c r="I40" s="199">
        <f t="shared" si="8"/>
        <v>0</v>
      </c>
      <c r="J40" s="199">
        <f t="shared" si="8"/>
        <v>0</v>
      </c>
      <c r="K40" s="199">
        <f t="shared" si="8"/>
        <v>0</v>
      </c>
      <c r="L40" s="199">
        <f t="shared" si="8"/>
        <v>0</v>
      </c>
      <c r="M40" s="199">
        <f t="shared" si="8"/>
        <v>0</v>
      </c>
      <c r="N40" s="199">
        <f t="shared" si="8"/>
        <v>0</v>
      </c>
      <c r="O40" s="199">
        <f t="shared" si="8"/>
        <v>0</v>
      </c>
      <c r="P40" s="199">
        <f t="shared" si="8"/>
        <v>0</v>
      </c>
      <c r="Q40" s="199">
        <f t="shared" si="8"/>
        <v>0</v>
      </c>
      <c r="R40" s="199">
        <f t="shared" si="7"/>
        <v>0</v>
      </c>
      <c r="S40" s="199">
        <f t="shared" si="6"/>
        <v>0</v>
      </c>
      <c r="T40" s="199">
        <f t="shared" si="6"/>
        <v>0</v>
      </c>
      <c r="U40" s="199">
        <f t="shared" si="6"/>
        <v>0</v>
      </c>
      <c r="V40" s="199">
        <f t="shared" si="6"/>
        <v>0</v>
      </c>
      <c r="W40" s="199">
        <f t="shared" si="6"/>
        <v>0</v>
      </c>
      <c r="X40" s="383" t="str">
        <f>+States!X39</f>
        <v>molG/L</v>
      </c>
    </row>
    <row r="41" spans="1:24">
      <c r="A41" s="385" t="str">
        <f>+States!A40</f>
        <v>Gsh2</v>
      </c>
      <c r="B41" s="380">
        <v>0</v>
      </c>
      <c r="C41" s="199">
        <f t="shared" si="8"/>
        <v>0</v>
      </c>
      <c r="D41" s="199">
        <f t="shared" si="8"/>
        <v>0</v>
      </c>
      <c r="E41" s="199">
        <f t="shared" si="8"/>
        <v>0</v>
      </c>
      <c r="F41" s="199">
        <f t="shared" si="8"/>
        <v>0</v>
      </c>
      <c r="G41" s="199">
        <f t="shared" si="8"/>
        <v>0</v>
      </c>
      <c r="H41" s="199">
        <f t="shared" si="8"/>
        <v>0</v>
      </c>
      <c r="I41" s="199">
        <f t="shared" si="8"/>
        <v>0</v>
      </c>
      <c r="J41" s="199">
        <f t="shared" si="8"/>
        <v>0</v>
      </c>
      <c r="K41" s="199">
        <f t="shared" si="8"/>
        <v>0</v>
      </c>
      <c r="L41" s="199">
        <f t="shared" si="8"/>
        <v>0</v>
      </c>
      <c r="M41" s="199">
        <f t="shared" si="8"/>
        <v>0</v>
      </c>
      <c r="N41" s="199">
        <f t="shared" si="8"/>
        <v>0</v>
      </c>
      <c r="O41" s="199">
        <f t="shared" si="8"/>
        <v>0</v>
      </c>
      <c r="P41" s="199">
        <f t="shared" si="8"/>
        <v>0</v>
      </c>
      <c r="Q41" s="199">
        <f t="shared" si="8"/>
        <v>0</v>
      </c>
      <c r="R41" s="199">
        <f t="shared" si="7"/>
        <v>0</v>
      </c>
      <c r="S41" s="199">
        <f t="shared" si="6"/>
        <v>0</v>
      </c>
      <c r="T41" s="199">
        <f t="shared" si="6"/>
        <v>0</v>
      </c>
      <c r="U41" s="199">
        <f t="shared" si="6"/>
        <v>0</v>
      </c>
      <c r="V41" s="199">
        <f t="shared" si="6"/>
        <v>0</v>
      </c>
      <c r="W41" s="199">
        <f t="shared" si="6"/>
        <v>0</v>
      </c>
      <c r="X41" s="383" t="str">
        <f>+States!X40</f>
        <v>molG/L</v>
      </c>
    </row>
    <row r="42" spans="1:24">
      <c r="A42" s="386" t="str">
        <f>+States!A41</f>
        <v>Go2</v>
      </c>
      <c r="B42" s="381">
        <v>0</v>
      </c>
      <c r="C42" s="382">
        <f t="shared" si="8"/>
        <v>0</v>
      </c>
      <c r="D42" s="382">
        <f t="shared" si="8"/>
        <v>0</v>
      </c>
      <c r="E42" s="382">
        <f t="shared" si="8"/>
        <v>0</v>
      </c>
      <c r="F42" s="382">
        <f t="shared" si="8"/>
        <v>0</v>
      </c>
      <c r="G42" s="382">
        <f t="shared" si="8"/>
        <v>0</v>
      </c>
      <c r="H42" s="382">
        <f t="shared" si="8"/>
        <v>0</v>
      </c>
      <c r="I42" s="382">
        <f t="shared" si="8"/>
        <v>0</v>
      </c>
      <c r="J42" s="382">
        <f t="shared" si="8"/>
        <v>0</v>
      </c>
      <c r="K42" s="382">
        <f t="shared" si="8"/>
        <v>0</v>
      </c>
      <c r="L42" s="382">
        <f t="shared" si="8"/>
        <v>0</v>
      </c>
      <c r="M42" s="382">
        <f t="shared" si="8"/>
        <v>0</v>
      </c>
      <c r="N42" s="382">
        <f t="shared" si="8"/>
        <v>0</v>
      </c>
      <c r="O42" s="382">
        <f t="shared" si="8"/>
        <v>0</v>
      </c>
      <c r="P42" s="382">
        <f t="shared" si="8"/>
        <v>0</v>
      </c>
      <c r="Q42" s="382">
        <f t="shared" si="8"/>
        <v>0</v>
      </c>
      <c r="R42" s="382">
        <f t="shared" si="7"/>
        <v>0</v>
      </c>
      <c r="S42" s="382">
        <f t="shared" si="6"/>
        <v>0</v>
      </c>
      <c r="T42" s="382">
        <f t="shared" si="6"/>
        <v>0</v>
      </c>
      <c r="U42" s="382">
        <f t="shared" si="6"/>
        <v>0</v>
      </c>
      <c r="V42" s="382">
        <f t="shared" si="6"/>
        <v>0</v>
      </c>
      <c r="W42" s="382">
        <f t="shared" si="6"/>
        <v>0</v>
      </c>
      <c r="X42" s="384" t="str">
        <f>+States!X41</f>
        <v>molG/L</v>
      </c>
    </row>
  </sheetData>
  <phoneticPr fontId="3" type="noConversion"/>
  <pageMargins left="0.75" right="0.75" top="1" bottom="1"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8">
    <tabColor indexed="8"/>
    <pageSetUpPr fitToPage="1"/>
  </sheetPr>
  <dimension ref="A1:IV48"/>
  <sheetViews>
    <sheetView tabSelected="1" workbookViewId="0">
      <pane xSplit="8" ySplit="3" topLeftCell="I4" activePane="bottomRight" state="frozen"/>
      <selection pane="topRight" activeCell="I1" sqref="I1"/>
      <selection pane="bottomLeft" activeCell="A4" sqref="A4"/>
      <selection pane="bottomRight" activeCell="ID29" sqref="ID29"/>
    </sheetView>
  </sheetViews>
  <sheetFormatPr defaultColWidth="4.44140625" defaultRowHeight="13.2"/>
  <cols>
    <col min="1" max="1" width="4.88671875" style="14" customWidth="1"/>
    <col min="2" max="2" width="4.109375" style="14" customWidth="1"/>
    <col min="3" max="3" width="12.109375" style="14" customWidth="1"/>
    <col min="4" max="4" width="9.33203125" style="14" bestFit="1" customWidth="1"/>
    <col min="5" max="5" width="3.33203125" style="14" bestFit="1" customWidth="1"/>
    <col min="6" max="6" width="8.109375" style="14" bestFit="1" customWidth="1"/>
    <col min="7" max="7" width="9" style="14" bestFit="1" customWidth="1"/>
    <col min="8" max="8" width="6.6640625" style="14" customWidth="1"/>
    <col min="9" max="9" width="3" style="14" customWidth="1"/>
    <col min="10" max="10" width="6.33203125" style="14" customWidth="1"/>
    <col min="11" max="11" width="9.44140625" style="14" customWidth="1"/>
    <col min="12" max="12" width="8.6640625" style="14" customWidth="1"/>
    <col min="13" max="13" width="4.109375" style="14" bestFit="1" customWidth="1"/>
    <col min="14" max="14" width="9.88671875" style="14" customWidth="1"/>
    <col min="15" max="15" width="2.88671875" style="14" customWidth="1"/>
    <col min="16" max="16" width="4" style="14" bestFit="1" customWidth="1"/>
    <col min="17" max="18" width="3.44140625" style="14" customWidth="1"/>
    <col min="19" max="26" width="7.6640625" style="14" customWidth="1"/>
    <col min="27" max="27" width="4" style="14" bestFit="1" customWidth="1"/>
    <col min="28" max="29" width="3.44140625" style="14" customWidth="1"/>
    <col min="30" max="37" width="7.6640625" style="14" customWidth="1"/>
    <col min="38" max="38" width="5.88671875" style="14" bestFit="1" customWidth="1"/>
    <col min="39" max="40" width="3.44140625" style="14" customWidth="1"/>
    <col min="41" max="48" width="7.6640625" style="14" customWidth="1"/>
    <col min="49" max="49" width="4" style="14" bestFit="1" customWidth="1"/>
    <col min="50" max="51" width="3.44140625" style="14" customWidth="1"/>
    <col min="52" max="59" width="7.6640625" style="14" customWidth="1"/>
    <col min="60" max="60" width="4" style="14" bestFit="1" customWidth="1"/>
    <col min="61" max="62" width="3.44140625" style="14" customWidth="1"/>
    <col min="63" max="70" width="7.6640625" style="14" customWidth="1"/>
    <col min="71" max="71" width="4" style="14" bestFit="1" customWidth="1"/>
    <col min="72" max="73" width="3.44140625" style="14" customWidth="1"/>
    <col min="74" max="81" width="7.6640625" style="14" customWidth="1"/>
    <col min="82" max="82" width="4" style="14" bestFit="1" customWidth="1"/>
    <col min="83" max="84" width="3.44140625" style="14" customWidth="1"/>
    <col min="85" max="92" width="7.6640625" style="14" customWidth="1"/>
    <col min="93" max="93" width="4" style="14" bestFit="1" customWidth="1"/>
    <col min="94" max="95" width="3.44140625" style="14" customWidth="1"/>
    <col min="96" max="103" width="7.6640625" style="14" customWidth="1"/>
    <col min="104" max="104" width="4" style="14" bestFit="1" customWidth="1"/>
    <col min="105" max="106" width="3.44140625" style="14" customWidth="1"/>
    <col min="107" max="114" width="7.6640625" style="14" customWidth="1"/>
    <col min="115" max="115" width="4" style="14" bestFit="1" customWidth="1"/>
    <col min="116" max="117" width="3.44140625" style="14" customWidth="1"/>
    <col min="118" max="125" width="7.6640625" style="14" customWidth="1"/>
    <col min="126" max="126" width="4" style="14" bestFit="1" customWidth="1"/>
    <col min="127" max="128" width="3.44140625" style="14" customWidth="1"/>
    <col min="129" max="136" width="7.6640625" style="14" customWidth="1"/>
    <col min="137" max="137" width="4" style="14" bestFit="1" customWidth="1"/>
    <col min="138" max="139" width="3.44140625" style="14" customWidth="1"/>
    <col min="140" max="147" width="7.6640625" style="14" customWidth="1"/>
    <col min="148" max="148" width="4" style="14" bestFit="1" customWidth="1"/>
    <col min="149" max="150" width="3.44140625" style="14" customWidth="1"/>
    <col min="151" max="158" width="7.6640625" style="14" customWidth="1"/>
    <col min="159" max="159" width="4" style="14" bestFit="1" customWidth="1"/>
    <col min="160" max="161" width="3.44140625" style="14" customWidth="1"/>
    <col min="162" max="169" width="7.6640625" style="14" customWidth="1"/>
    <col min="170" max="170" width="4" style="14" bestFit="1" customWidth="1"/>
    <col min="171" max="172" width="3.44140625" style="14" customWidth="1"/>
    <col min="173" max="180" width="7.6640625" style="14" customWidth="1"/>
    <col min="181" max="181" width="4" style="14" bestFit="1" customWidth="1"/>
    <col min="182" max="183" width="3.44140625" style="14" customWidth="1"/>
    <col min="184" max="191" width="7.6640625" style="14" customWidth="1"/>
    <col min="192" max="192" width="4" style="14" bestFit="1" customWidth="1"/>
    <col min="193" max="194" width="3.44140625" style="14" customWidth="1"/>
    <col min="195" max="202" width="7.6640625" style="14" customWidth="1"/>
    <col min="203" max="203" width="4" style="14" bestFit="1" customWidth="1"/>
    <col min="204" max="205" width="3.44140625" style="14" customWidth="1"/>
    <col min="206" max="213" width="7.6640625" style="14" customWidth="1"/>
    <col min="214" max="214" width="4" style="14" bestFit="1" customWidth="1"/>
    <col min="215" max="216" width="3.44140625" style="14" customWidth="1"/>
    <col min="217" max="224" width="7.6640625" style="14" customWidth="1"/>
    <col min="225" max="225" width="4" style="14" bestFit="1" customWidth="1"/>
    <col min="226" max="226" width="3.5546875" style="14" customWidth="1"/>
    <col min="227" max="227" width="3.44140625" style="14" customWidth="1"/>
    <col min="228" max="235" width="7.6640625" style="14" customWidth="1"/>
    <col min="236" max="236" width="4" style="14" bestFit="1" customWidth="1"/>
    <col min="237" max="237" width="3.5546875" style="14" customWidth="1"/>
    <col min="238" max="238" width="16" style="14" customWidth="1"/>
    <col min="239" max="239" width="3.5546875" style="14" customWidth="1"/>
    <col min="240" max="242" width="13.33203125" style="14" customWidth="1"/>
    <col min="243" max="243" width="3.5546875" style="14" customWidth="1"/>
    <col min="244" max="244" width="13.33203125" style="14" customWidth="1"/>
    <col min="245" max="245" width="3.5546875" style="14" customWidth="1"/>
    <col min="246" max="246" width="11.44140625" style="14" customWidth="1"/>
    <col min="247" max="247" width="21.33203125" style="14" customWidth="1"/>
    <col min="248" max="248" width="9.33203125" style="14" customWidth="1"/>
    <col min="249" max="249" width="14.44140625" style="14" bestFit="1" customWidth="1"/>
    <col min="250" max="250" width="9.88671875" style="14" customWidth="1"/>
    <col min="251" max="251" width="11.33203125" style="14" bestFit="1" customWidth="1"/>
    <col min="252" max="252" width="12.6640625" style="14" bestFit="1" customWidth="1"/>
    <col min="253" max="16384" width="4.44140625" style="14"/>
  </cols>
  <sheetData>
    <row r="1" spans="1:245" s="15" customFormat="1" ht="13.8" thickBot="1">
      <c r="A1" s="14"/>
      <c r="B1" s="14"/>
      <c r="D1" s="16"/>
      <c r="I1" s="14"/>
      <c r="J1" s="14"/>
      <c r="K1" s="14"/>
      <c r="L1" s="14"/>
      <c r="M1" s="14"/>
      <c r="N1" s="14"/>
      <c r="O1" s="105"/>
      <c r="Q1" s="107"/>
      <c r="R1" s="14"/>
      <c r="AB1" s="107"/>
      <c r="AC1" s="14"/>
      <c r="AM1" s="107"/>
      <c r="AN1" s="14"/>
      <c r="AX1" s="107"/>
      <c r="AY1" s="14"/>
      <c r="BI1" s="107"/>
      <c r="BJ1" s="14"/>
      <c r="BT1" s="107"/>
      <c r="BU1" s="14"/>
      <c r="CE1" s="107"/>
      <c r="CF1" s="14"/>
      <c r="CP1" s="107"/>
      <c r="CQ1" s="14"/>
      <c r="DA1" s="107"/>
      <c r="DB1" s="14"/>
      <c r="DL1" s="107"/>
      <c r="DM1" s="14"/>
      <c r="DW1" s="107"/>
      <c r="DX1" s="14"/>
      <c r="EH1" s="107"/>
      <c r="EI1" s="14"/>
      <c r="ES1" s="107"/>
      <c r="ET1" s="14"/>
      <c r="FD1" s="107"/>
      <c r="FE1" s="14"/>
      <c r="FO1" s="107"/>
      <c r="FP1" s="14"/>
      <c r="FZ1" s="107"/>
      <c r="GA1" s="14"/>
      <c r="GK1" s="107"/>
      <c r="GL1" s="14"/>
      <c r="GV1" s="107"/>
      <c r="GW1" s="14"/>
      <c r="HG1" s="107"/>
      <c r="HH1" s="14"/>
      <c r="HR1" s="107"/>
      <c r="HS1" s="14"/>
      <c r="IC1" s="107"/>
      <c r="IE1" s="107"/>
      <c r="II1" s="107"/>
      <c r="IK1" s="107"/>
    </row>
    <row r="2" spans="1:245" s="15" customFormat="1" ht="16.2" thickBot="1">
      <c r="A2" s="14"/>
      <c r="B2" s="14"/>
      <c r="D2" s="16"/>
      <c r="I2" s="14"/>
      <c r="J2" s="14"/>
      <c r="K2" s="14"/>
      <c r="L2" s="14"/>
      <c r="M2" s="14"/>
      <c r="N2" s="14"/>
      <c r="O2" s="105"/>
      <c r="Q2" s="107"/>
      <c r="R2" s="14"/>
      <c r="S2" s="423" t="s">
        <v>412</v>
      </c>
      <c r="T2" s="424"/>
      <c r="U2" s="424"/>
      <c r="V2" s="424"/>
      <c r="W2" s="424"/>
      <c r="X2" s="424"/>
      <c r="Y2" s="424"/>
      <c r="Z2" s="425"/>
      <c r="AB2" s="107"/>
      <c r="AC2" s="14"/>
      <c r="AD2" s="423" t="s">
        <v>416</v>
      </c>
      <c r="AE2" s="424"/>
      <c r="AF2" s="424"/>
      <c r="AG2" s="424"/>
      <c r="AH2" s="424"/>
      <c r="AI2" s="424"/>
      <c r="AJ2" s="424"/>
      <c r="AK2" s="425"/>
      <c r="AM2" s="107"/>
      <c r="AN2" s="14"/>
      <c r="AO2" s="423" t="s">
        <v>417</v>
      </c>
      <c r="AP2" s="424"/>
      <c r="AQ2" s="424"/>
      <c r="AR2" s="424"/>
      <c r="AS2" s="424"/>
      <c r="AT2" s="424"/>
      <c r="AU2" s="424"/>
      <c r="AV2" s="425"/>
      <c r="AX2" s="107"/>
      <c r="AY2" s="14"/>
      <c r="AZ2" s="423" t="s">
        <v>339</v>
      </c>
      <c r="BA2" s="424"/>
      <c r="BB2" s="424"/>
      <c r="BC2" s="424"/>
      <c r="BD2" s="424"/>
      <c r="BE2" s="424"/>
      <c r="BF2" s="424"/>
      <c r="BG2" s="425"/>
      <c r="BI2" s="107"/>
      <c r="BJ2" s="14"/>
      <c r="BK2" s="423" t="s">
        <v>340</v>
      </c>
      <c r="BL2" s="424"/>
      <c r="BM2" s="424"/>
      <c r="BN2" s="424"/>
      <c r="BO2" s="424"/>
      <c r="BP2" s="424"/>
      <c r="BQ2" s="424"/>
      <c r="BR2" s="425"/>
      <c r="BT2" s="107"/>
      <c r="BU2" s="14"/>
      <c r="BV2" s="423" t="s">
        <v>420</v>
      </c>
      <c r="BW2" s="424"/>
      <c r="BX2" s="424"/>
      <c r="BY2" s="424"/>
      <c r="BZ2" s="424"/>
      <c r="CA2" s="424"/>
      <c r="CB2" s="424"/>
      <c r="CC2" s="425"/>
      <c r="CE2" s="107"/>
      <c r="CF2" s="14"/>
      <c r="CG2" s="423" t="s">
        <v>421</v>
      </c>
      <c r="CH2" s="424"/>
      <c r="CI2" s="424"/>
      <c r="CJ2" s="424"/>
      <c r="CK2" s="424"/>
      <c r="CL2" s="424"/>
      <c r="CM2" s="424"/>
      <c r="CN2" s="425"/>
      <c r="CP2" s="107"/>
      <c r="CQ2" s="14"/>
      <c r="CR2" s="423" t="s">
        <v>776</v>
      </c>
      <c r="CS2" s="424"/>
      <c r="CT2" s="424"/>
      <c r="CU2" s="424"/>
      <c r="CV2" s="424"/>
      <c r="CW2" s="424"/>
      <c r="CX2" s="424"/>
      <c r="CY2" s="425"/>
      <c r="DA2" s="107"/>
      <c r="DB2" s="14"/>
      <c r="DC2" s="423" t="s">
        <v>422</v>
      </c>
      <c r="DD2" s="424"/>
      <c r="DE2" s="424"/>
      <c r="DF2" s="424"/>
      <c r="DG2" s="424"/>
      <c r="DH2" s="424"/>
      <c r="DI2" s="424"/>
      <c r="DJ2" s="425"/>
      <c r="DL2" s="107"/>
      <c r="DM2" s="14"/>
      <c r="DN2" s="423" t="s">
        <v>778</v>
      </c>
      <c r="DO2" s="424"/>
      <c r="DP2" s="424"/>
      <c r="DQ2" s="424"/>
      <c r="DR2" s="424"/>
      <c r="DS2" s="424"/>
      <c r="DT2" s="424"/>
      <c r="DU2" s="425"/>
      <c r="DW2" s="107"/>
      <c r="DX2" s="14"/>
      <c r="DY2" s="423" t="s">
        <v>424</v>
      </c>
      <c r="DZ2" s="424"/>
      <c r="EA2" s="424"/>
      <c r="EB2" s="424"/>
      <c r="EC2" s="424"/>
      <c r="ED2" s="424"/>
      <c r="EE2" s="424"/>
      <c r="EF2" s="425"/>
      <c r="EH2" s="107"/>
      <c r="EI2" s="14"/>
      <c r="EJ2" s="423" t="s">
        <v>426</v>
      </c>
      <c r="EK2" s="424"/>
      <c r="EL2" s="424"/>
      <c r="EM2" s="424"/>
      <c r="EN2" s="424"/>
      <c r="EO2" s="424"/>
      <c r="EP2" s="424"/>
      <c r="EQ2" s="425"/>
      <c r="ES2" s="107"/>
      <c r="ET2" s="14"/>
      <c r="EU2" s="423" t="s">
        <v>451</v>
      </c>
      <c r="EV2" s="424"/>
      <c r="EW2" s="424"/>
      <c r="EX2" s="424"/>
      <c r="EY2" s="424"/>
      <c r="EZ2" s="424"/>
      <c r="FA2" s="424"/>
      <c r="FB2" s="425"/>
      <c r="FD2" s="107"/>
      <c r="FE2" s="14"/>
      <c r="FF2" s="423" t="s">
        <v>452</v>
      </c>
      <c r="FG2" s="424"/>
      <c r="FH2" s="424"/>
      <c r="FI2" s="424"/>
      <c r="FJ2" s="424"/>
      <c r="FK2" s="424"/>
      <c r="FL2" s="424"/>
      <c r="FM2" s="425"/>
      <c r="FO2" s="107"/>
      <c r="FP2" s="14"/>
      <c r="FQ2" s="423" t="s">
        <v>398</v>
      </c>
      <c r="FR2" s="424"/>
      <c r="FS2" s="424"/>
      <c r="FT2" s="424"/>
      <c r="FU2" s="424"/>
      <c r="FV2" s="424"/>
      <c r="FW2" s="424"/>
      <c r="FX2" s="425"/>
      <c r="FZ2" s="107"/>
      <c r="GA2" s="14"/>
      <c r="GB2" s="423" t="s">
        <v>780</v>
      </c>
      <c r="GC2" s="424"/>
      <c r="GD2" s="424"/>
      <c r="GE2" s="424"/>
      <c r="GF2" s="424"/>
      <c r="GG2" s="424"/>
      <c r="GH2" s="424"/>
      <c r="GI2" s="425"/>
      <c r="GK2" s="107"/>
      <c r="GL2" s="14"/>
      <c r="GM2" s="423" t="s">
        <v>341</v>
      </c>
      <c r="GN2" s="424"/>
      <c r="GO2" s="424"/>
      <c r="GP2" s="424"/>
      <c r="GQ2" s="424"/>
      <c r="GR2" s="424"/>
      <c r="GS2" s="424"/>
      <c r="GT2" s="425"/>
      <c r="GV2" s="107"/>
      <c r="GW2" s="14"/>
      <c r="GX2" s="423" t="s">
        <v>384</v>
      </c>
      <c r="GY2" s="424"/>
      <c r="GZ2" s="424"/>
      <c r="HA2" s="424"/>
      <c r="HB2" s="424"/>
      <c r="HC2" s="424"/>
      <c r="HD2" s="424"/>
      <c r="HE2" s="425"/>
      <c r="HG2" s="107"/>
      <c r="HH2" s="14"/>
      <c r="HI2" s="423" t="s">
        <v>342</v>
      </c>
      <c r="HJ2" s="424"/>
      <c r="HK2" s="424"/>
      <c r="HL2" s="424"/>
      <c r="HM2" s="424"/>
      <c r="HN2" s="424"/>
      <c r="HO2" s="424"/>
      <c r="HP2" s="425"/>
      <c r="HR2" s="107"/>
      <c r="HS2" s="14"/>
      <c r="HT2" s="423" t="s">
        <v>454</v>
      </c>
      <c r="HU2" s="424"/>
      <c r="HV2" s="424"/>
      <c r="HW2" s="424"/>
      <c r="HX2" s="424"/>
      <c r="HY2" s="424"/>
      <c r="HZ2" s="424"/>
      <c r="IA2" s="425"/>
      <c r="IC2" s="107"/>
      <c r="ID2" s="221"/>
      <c r="IE2" s="107"/>
      <c r="IF2" s="221"/>
      <c r="IG2" s="221"/>
      <c r="IH2" s="221"/>
      <c r="II2" s="107"/>
      <c r="IJ2" s="221"/>
      <c r="IK2" s="107"/>
    </row>
    <row r="3" spans="1:245" ht="97.8" thickTop="1" thickBot="1">
      <c r="A3" s="95" t="s">
        <v>238</v>
      </c>
      <c r="B3" s="95" t="s">
        <v>240</v>
      </c>
      <c r="C3" s="18" t="str">
        <f>MicroModelComponents!C3</f>
        <v>Abbrev. Name</v>
      </c>
      <c r="D3" s="18" t="str">
        <f>MicroModelComponents!E3</f>
        <v>DGºf
(kJ/mol)</v>
      </c>
      <c r="E3" s="102" t="str">
        <f>MicroModelComponents!U3</f>
        <v>Charge</v>
      </c>
      <c r="F3" s="18" t="str">
        <f>MicroModelComponents!V3</f>
        <v>Mmol
(g/mol)</v>
      </c>
      <c r="G3" s="102" t="str">
        <f>MicroModelComponents!W3</f>
        <v>Electrons per mole</v>
      </c>
      <c r="H3" s="102" t="str">
        <f>MicroModelComponents!X3</f>
        <v>Electrons
per C-mole/
or per mole</v>
      </c>
      <c r="J3" s="19" t="s">
        <v>236</v>
      </c>
      <c r="K3" s="19" t="s">
        <v>237</v>
      </c>
      <c r="L3" s="103" t="s">
        <v>397</v>
      </c>
      <c r="M3" s="20" t="s">
        <v>199</v>
      </c>
      <c r="N3" s="21" t="s">
        <v>198</v>
      </c>
      <c r="O3" s="106"/>
      <c r="P3" s="137"/>
      <c r="Q3" s="108"/>
      <c r="R3" s="200" t="s">
        <v>386</v>
      </c>
      <c r="S3" s="176" t="s">
        <v>318</v>
      </c>
      <c r="T3" s="177" t="s">
        <v>319</v>
      </c>
      <c r="U3" s="178" t="s">
        <v>320</v>
      </c>
      <c r="V3" s="179" t="s">
        <v>334</v>
      </c>
      <c r="W3" s="177" t="s">
        <v>335</v>
      </c>
      <c r="X3" s="178" t="s">
        <v>188</v>
      </c>
      <c r="Y3" s="179" t="s">
        <v>321</v>
      </c>
      <c r="Z3" s="184" t="s">
        <v>321</v>
      </c>
      <c r="AA3" s="137"/>
      <c r="AB3" s="108"/>
      <c r="AC3" s="200" t="s">
        <v>386</v>
      </c>
      <c r="AD3" s="176" t="s">
        <v>318</v>
      </c>
      <c r="AE3" s="177" t="s">
        <v>319</v>
      </c>
      <c r="AF3" s="178" t="s">
        <v>320</v>
      </c>
      <c r="AG3" s="179" t="s">
        <v>334</v>
      </c>
      <c r="AH3" s="177" t="s">
        <v>335</v>
      </c>
      <c r="AI3" s="178" t="s">
        <v>188</v>
      </c>
      <c r="AJ3" s="179" t="s">
        <v>321</v>
      </c>
      <c r="AK3" s="184" t="s">
        <v>321</v>
      </c>
      <c r="AL3" s="137"/>
      <c r="AM3" s="108"/>
      <c r="AN3" s="200" t="s">
        <v>386</v>
      </c>
      <c r="AO3" s="176" t="s">
        <v>318</v>
      </c>
      <c r="AP3" s="177" t="s">
        <v>319</v>
      </c>
      <c r="AQ3" s="178" t="s">
        <v>320</v>
      </c>
      <c r="AR3" s="179" t="s">
        <v>334</v>
      </c>
      <c r="AS3" s="177" t="s">
        <v>335</v>
      </c>
      <c r="AT3" s="178" t="s">
        <v>188</v>
      </c>
      <c r="AU3" s="179" t="s">
        <v>321</v>
      </c>
      <c r="AV3" s="184" t="s">
        <v>321</v>
      </c>
      <c r="AW3" s="137"/>
      <c r="AX3" s="108"/>
      <c r="AY3" s="200" t="s">
        <v>386</v>
      </c>
      <c r="AZ3" s="176" t="s">
        <v>318</v>
      </c>
      <c r="BA3" s="177" t="s">
        <v>319</v>
      </c>
      <c r="BB3" s="178" t="s">
        <v>320</v>
      </c>
      <c r="BC3" s="179" t="s">
        <v>334</v>
      </c>
      <c r="BD3" s="177" t="s">
        <v>335</v>
      </c>
      <c r="BE3" s="178" t="s">
        <v>188</v>
      </c>
      <c r="BF3" s="179" t="s">
        <v>321</v>
      </c>
      <c r="BG3" s="184" t="s">
        <v>321</v>
      </c>
      <c r="BH3" s="137"/>
      <c r="BI3" s="108"/>
      <c r="BJ3" s="200" t="s">
        <v>386</v>
      </c>
      <c r="BK3" s="176" t="s">
        <v>318</v>
      </c>
      <c r="BL3" s="177" t="s">
        <v>319</v>
      </c>
      <c r="BM3" s="178" t="s">
        <v>320</v>
      </c>
      <c r="BN3" s="179" t="s">
        <v>334</v>
      </c>
      <c r="BO3" s="177" t="s">
        <v>335</v>
      </c>
      <c r="BP3" s="178" t="s">
        <v>188</v>
      </c>
      <c r="BQ3" s="179" t="s">
        <v>321</v>
      </c>
      <c r="BR3" s="184" t="s">
        <v>321</v>
      </c>
      <c r="BS3" s="137"/>
      <c r="BT3" s="108"/>
      <c r="BU3" s="200" t="s">
        <v>386</v>
      </c>
      <c r="BV3" s="176" t="s">
        <v>318</v>
      </c>
      <c r="BW3" s="177" t="s">
        <v>319</v>
      </c>
      <c r="BX3" s="178" t="s">
        <v>320</v>
      </c>
      <c r="BY3" s="179" t="s">
        <v>334</v>
      </c>
      <c r="BZ3" s="177" t="s">
        <v>335</v>
      </c>
      <c r="CA3" s="178" t="s">
        <v>188</v>
      </c>
      <c r="CB3" s="179" t="s">
        <v>321</v>
      </c>
      <c r="CC3" s="184" t="s">
        <v>321</v>
      </c>
      <c r="CD3" s="137"/>
      <c r="CE3" s="108"/>
      <c r="CF3" s="200" t="s">
        <v>386</v>
      </c>
      <c r="CG3" s="176" t="s">
        <v>318</v>
      </c>
      <c r="CH3" s="177" t="s">
        <v>319</v>
      </c>
      <c r="CI3" s="178" t="s">
        <v>320</v>
      </c>
      <c r="CJ3" s="179" t="s">
        <v>334</v>
      </c>
      <c r="CK3" s="177" t="s">
        <v>335</v>
      </c>
      <c r="CL3" s="178" t="s">
        <v>188</v>
      </c>
      <c r="CM3" s="179" t="s">
        <v>321</v>
      </c>
      <c r="CN3" s="184" t="s">
        <v>321</v>
      </c>
      <c r="CO3" s="137"/>
      <c r="CP3" s="108"/>
      <c r="CQ3" s="200" t="s">
        <v>386</v>
      </c>
      <c r="CR3" s="176" t="s">
        <v>318</v>
      </c>
      <c r="CS3" s="177" t="s">
        <v>319</v>
      </c>
      <c r="CT3" s="178" t="s">
        <v>320</v>
      </c>
      <c r="CU3" s="179" t="s">
        <v>334</v>
      </c>
      <c r="CV3" s="177" t="s">
        <v>335</v>
      </c>
      <c r="CW3" s="178" t="s">
        <v>188</v>
      </c>
      <c r="CX3" s="179" t="s">
        <v>321</v>
      </c>
      <c r="CY3" s="184" t="s">
        <v>321</v>
      </c>
      <c r="CZ3" s="137"/>
      <c r="DA3" s="108"/>
      <c r="DB3" s="200" t="s">
        <v>386</v>
      </c>
      <c r="DC3" s="176" t="s">
        <v>318</v>
      </c>
      <c r="DD3" s="177" t="s">
        <v>319</v>
      </c>
      <c r="DE3" s="178" t="s">
        <v>320</v>
      </c>
      <c r="DF3" s="179" t="s">
        <v>334</v>
      </c>
      <c r="DG3" s="177" t="s">
        <v>335</v>
      </c>
      <c r="DH3" s="178" t="s">
        <v>188</v>
      </c>
      <c r="DI3" s="179" t="s">
        <v>321</v>
      </c>
      <c r="DJ3" s="184" t="s">
        <v>321</v>
      </c>
      <c r="DK3" s="137"/>
      <c r="DL3" s="108"/>
      <c r="DM3" s="200" t="s">
        <v>386</v>
      </c>
      <c r="DN3" s="176" t="s">
        <v>318</v>
      </c>
      <c r="DO3" s="177" t="s">
        <v>319</v>
      </c>
      <c r="DP3" s="178" t="s">
        <v>320</v>
      </c>
      <c r="DQ3" s="179" t="s">
        <v>334</v>
      </c>
      <c r="DR3" s="177" t="s">
        <v>335</v>
      </c>
      <c r="DS3" s="178" t="s">
        <v>188</v>
      </c>
      <c r="DT3" s="179" t="s">
        <v>321</v>
      </c>
      <c r="DU3" s="184" t="s">
        <v>321</v>
      </c>
      <c r="DV3" s="137"/>
      <c r="DW3" s="108"/>
      <c r="DX3" s="200" t="s">
        <v>386</v>
      </c>
      <c r="DY3" s="176" t="s">
        <v>318</v>
      </c>
      <c r="DZ3" s="177" t="s">
        <v>319</v>
      </c>
      <c r="EA3" s="178" t="s">
        <v>320</v>
      </c>
      <c r="EB3" s="179" t="s">
        <v>334</v>
      </c>
      <c r="EC3" s="177" t="s">
        <v>335</v>
      </c>
      <c r="ED3" s="178" t="s">
        <v>188</v>
      </c>
      <c r="EE3" s="179" t="s">
        <v>321</v>
      </c>
      <c r="EF3" s="184" t="s">
        <v>321</v>
      </c>
      <c r="EG3" s="137"/>
      <c r="EH3" s="108"/>
      <c r="EI3" s="200" t="s">
        <v>386</v>
      </c>
      <c r="EJ3" s="176" t="s">
        <v>318</v>
      </c>
      <c r="EK3" s="177" t="s">
        <v>319</v>
      </c>
      <c r="EL3" s="178" t="s">
        <v>320</v>
      </c>
      <c r="EM3" s="179" t="s">
        <v>334</v>
      </c>
      <c r="EN3" s="177" t="s">
        <v>335</v>
      </c>
      <c r="EO3" s="178" t="s">
        <v>188</v>
      </c>
      <c r="EP3" s="179" t="s">
        <v>321</v>
      </c>
      <c r="EQ3" s="184" t="s">
        <v>321</v>
      </c>
      <c r="ER3" s="137"/>
      <c r="ES3" s="108"/>
      <c r="ET3" s="200" t="s">
        <v>386</v>
      </c>
      <c r="EU3" s="176" t="s">
        <v>318</v>
      </c>
      <c r="EV3" s="177" t="s">
        <v>319</v>
      </c>
      <c r="EW3" s="178" t="s">
        <v>320</v>
      </c>
      <c r="EX3" s="179" t="s">
        <v>334</v>
      </c>
      <c r="EY3" s="177" t="s">
        <v>335</v>
      </c>
      <c r="EZ3" s="178" t="s">
        <v>188</v>
      </c>
      <c r="FA3" s="179" t="s">
        <v>321</v>
      </c>
      <c r="FB3" s="184" t="s">
        <v>321</v>
      </c>
      <c r="FC3" s="137"/>
      <c r="FD3" s="108"/>
      <c r="FE3" s="200" t="s">
        <v>386</v>
      </c>
      <c r="FF3" s="176" t="s">
        <v>318</v>
      </c>
      <c r="FG3" s="177" t="s">
        <v>319</v>
      </c>
      <c r="FH3" s="178" t="s">
        <v>320</v>
      </c>
      <c r="FI3" s="179" t="s">
        <v>334</v>
      </c>
      <c r="FJ3" s="177" t="s">
        <v>335</v>
      </c>
      <c r="FK3" s="178" t="s">
        <v>188</v>
      </c>
      <c r="FL3" s="179" t="s">
        <v>321</v>
      </c>
      <c r="FM3" s="184" t="s">
        <v>321</v>
      </c>
      <c r="FN3" s="137"/>
      <c r="FO3" s="108"/>
      <c r="FP3" s="200" t="s">
        <v>386</v>
      </c>
      <c r="FQ3" s="176" t="s">
        <v>318</v>
      </c>
      <c r="FR3" s="177" t="s">
        <v>319</v>
      </c>
      <c r="FS3" s="178" t="s">
        <v>320</v>
      </c>
      <c r="FT3" s="179" t="s">
        <v>334</v>
      </c>
      <c r="FU3" s="177" t="s">
        <v>335</v>
      </c>
      <c r="FV3" s="178" t="s">
        <v>188</v>
      </c>
      <c r="FW3" s="179" t="s">
        <v>321</v>
      </c>
      <c r="FX3" s="184" t="s">
        <v>321</v>
      </c>
      <c r="FY3" s="137"/>
      <c r="FZ3" s="108"/>
      <c r="GA3" s="200" t="s">
        <v>386</v>
      </c>
      <c r="GB3" s="176" t="s">
        <v>318</v>
      </c>
      <c r="GC3" s="177" t="s">
        <v>319</v>
      </c>
      <c r="GD3" s="178" t="s">
        <v>320</v>
      </c>
      <c r="GE3" s="179" t="s">
        <v>334</v>
      </c>
      <c r="GF3" s="177" t="s">
        <v>335</v>
      </c>
      <c r="GG3" s="178" t="s">
        <v>188</v>
      </c>
      <c r="GH3" s="179" t="s">
        <v>321</v>
      </c>
      <c r="GI3" s="184" t="s">
        <v>321</v>
      </c>
      <c r="GJ3" s="137"/>
      <c r="GK3" s="108"/>
      <c r="GL3" s="200" t="s">
        <v>386</v>
      </c>
      <c r="GM3" s="176" t="s">
        <v>318</v>
      </c>
      <c r="GN3" s="177" t="s">
        <v>319</v>
      </c>
      <c r="GO3" s="178" t="s">
        <v>320</v>
      </c>
      <c r="GP3" s="179" t="s">
        <v>334</v>
      </c>
      <c r="GQ3" s="177" t="s">
        <v>335</v>
      </c>
      <c r="GR3" s="178" t="s">
        <v>188</v>
      </c>
      <c r="GS3" s="179" t="s">
        <v>321</v>
      </c>
      <c r="GT3" s="184" t="s">
        <v>321</v>
      </c>
      <c r="GU3" s="137"/>
      <c r="GV3" s="108"/>
      <c r="GW3" s="200" t="s">
        <v>386</v>
      </c>
      <c r="GX3" s="176" t="s">
        <v>318</v>
      </c>
      <c r="GY3" s="177" t="s">
        <v>319</v>
      </c>
      <c r="GZ3" s="178" t="s">
        <v>320</v>
      </c>
      <c r="HA3" s="179" t="s">
        <v>334</v>
      </c>
      <c r="HB3" s="177" t="s">
        <v>335</v>
      </c>
      <c r="HC3" s="178" t="s">
        <v>188</v>
      </c>
      <c r="HD3" s="179" t="s">
        <v>321</v>
      </c>
      <c r="HE3" s="184" t="s">
        <v>321</v>
      </c>
      <c r="HF3" s="137"/>
      <c r="HG3" s="108"/>
      <c r="HH3" s="200" t="s">
        <v>386</v>
      </c>
      <c r="HI3" s="176" t="s">
        <v>318</v>
      </c>
      <c r="HJ3" s="177" t="s">
        <v>319</v>
      </c>
      <c r="HK3" s="178" t="s">
        <v>320</v>
      </c>
      <c r="HL3" s="179" t="s">
        <v>334</v>
      </c>
      <c r="HM3" s="177" t="s">
        <v>335</v>
      </c>
      <c r="HN3" s="178" t="s">
        <v>188</v>
      </c>
      <c r="HO3" s="179" t="s">
        <v>321</v>
      </c>
      <c r="HP3" s="184" t="s">
        <v>321</v>
      </c>
      <c r="HQ3" s="137"/>
      <c r="HR3" s="108"/>
      <c r="HS3" s="200" t="s">
        <v>386</v>
      </c>
      <c r="HT3" s="176" t="s">
        <v>318</v>
      </c>
      <c r="HU3" s="177" t="s">
        <v>319</v>
      </c>
      <c r="HV3" s="178" t="s">
        <v>320</v>
      </c>
      <c r="HW3" s="179" t="s">
        <v>334</v>
      </c>
      <c r="HX3" s="177" t="s">
        <v>335</v>
      </c>
      <c r="HY3" s="178" t="s">
        <v>188</v>
      </c>
      <c r="HZ3" s="179" t="s">
        <v>321</v>
      </c>
      <c r="IA3" s="184" t="s">
        <v>321</v>
      </c>
      <c r="IB3" s="137"/>
      <c r="IC3" s="108"/>
      <c r="ID3" s="222" t="s">
        <v>770</v>
      </c>
      <c r="IE3" s="108"/>
      <c r="IF3" s="222" t="s">
        <v>751</v>
      </c>
      <c r="IG3" s="222" t="s">
        <v>751</v>
      </c>
      <c r="IH3" s="222" t="s">
        <v>751</v>
      </c>
      <c r="II3" s="108"/>
      <c r="IJ3" s="222" t="s">
        <v>443</v>
      </c>
      <c r="IK3" s="108"/>
    </row>
    <row r="4" spans="1:245" ht="15" customHeight="1" thickTop="1">
      <c r="A4" s="91" t="s">
        <v>239</v>
      </c>
      <c r="B4" s="91" t="s">
        <v>241</v>
      </c>
      <c r="C4" s="1" t="str">
        <f>MicroModelComponents!C4</f>
        <v>Glu</v>
      </c>
      <c r="D4" s="1">
        <f>MicroModelComponents!E4</f>
        <v>-917.22</v>
      </c>
      <c r="E4" s="1">
        <f>MicroModelComponents!U4</f>
        <v>0</v>
      </c>
      <c r="F4" s="1">
        <f>MicroModelComponents!V4</f>
        <v>180</v>
      </c>
      <c r="G4" s="1">
        <f>MicroModelComponents!W4</f>
        <v>24</v>
      </c>
      <c r="H4" s="2">
        <f>MicroModelComponents!X4</f>
        <v>4</v>
      </c>
      <c r="J4" s="87" t="s">
        <v>189</v>
      </c>
      <c r="K4" s="87" t="s">
        <v>189</v>
      </c>
      <c r="L4" s="43">
        <v>1E-3</v>
      </c>
      <c r="M4" s="13">
        <v>0</v>
      </c>
      <c r="N4" s="13">
        <f t="shared" ref="N4:N24" si="0">D4+$C$27*$C$28*LN($L4)+E4*$C$26*M4</f>
        <v>-934.33446106205838</v>
      </c>
      <c r="O4" s="105"/>
      <c r="P4" s="28"/>
      <c r="Q4" s="108"/>
      <c r="R4" s="14">
        <f t="shared" ref="R4:R24" si="1">+IF(AA4="eD",1,0)</f>
        <v>1</v>
      </c>
      <c r="S4" s="173">
        <v>-1</v>
      </c>
      <c r="T4" s="174">
        <v>0</v>
      </c>
      <c r="U4" s="175">
        <f t="shared" ref="U4:U24" si="2">+S4*S$25+T4*T$25</f>
        <v>-1</v>
      </c>
      <c r="V4" s="173">
        <f>-1/6</f>
        <v>-0.16666666666666666</v>
      </c>
      <c r="W4" s="219">
        <f t="shared" ref="W4:W21" si="3">+IF(V$24&lt;=0,S4,T4)</f>
        <v>-1</v>
      </c>
      <c r="X4" s="175">
        <f t="shared" ref="X4:X24" si="4">+V4*V$25+W4*W$25</f>
        <v>-0.19166666666666665</v>
      </c>
      <c r="Y4" s="181">
        <f t="shared" ref="Y4:Y24" si="5">+U$25*U4+X$25*X4</f>
        <v>-1.6666666666666667</v>
      </c>
      <c r="Z4" s="175">
        <f t="shared" ref="Z4:Z24" si="6">+Y4/-SUMPRODUCT(R$4:R$24,Y$4:Y$24)</f>
        <v>-1</v>
      </c>
      <c r="AA4" s="180" t="s">
        <v>336</v>
      </c>
      <c r="AB4" s="108"/>
      <c r="AC4" s="14">
        <f>+IF(AL4="eD",1,0)</f>
        <v>1</v>
      </c>
      <c r="AD4" s="173">
        <v>-1</v>
      </c>
      <c r="AE4" s="174">
        <v>0</v>
      </c>
      <c r="AF4" s="175">
        <f t="shared" ref="AF4:AF24" si="7">+AD4*AD$25+AE4*AE$25</f>
        <v>-1</v>
      </c>
      <c r="AG4" s="173">
        <f>-1/6</f>
        <v>-0.16666666666666666</v>
      </c>
      <c r="AH4" s="219">
        <f t="shared" ref="AH4:AH21" si="8">+IF(AG$24&lt;=0,AD4,AE4)</f>
        <v>-1</v>
      </c>
      <c r="AI4" s="214">
        <f t="shared" ref="AI4:AI24" si="9">+AG4*AG$25+AH4*AH$25</f>
        <v>-0.17499999999999999</v>
      </c>
      <c r="AJ4" s="181">
        <f t="shared" ref="AJ4:AJ24" si="10">+AF$25*AF4+AI$25*AI4</f>
        <v>-0.25597558599483061</v>
      </c>
      <c r="AK4" s="175">
        <f t="shared" ref="AK4:AK24" si="11">+AJ4/-SUMPRODUCT(AC$4:AC$24,AJ$4:AJ$24)</f>
        <v>-1</v>
      </c>
      <c r="AL4" s="180" t="s">
        <v>336</v>
      </c>
      <c r="AM4" s="108"/>
      <c r="AN4" s="14">
        <f>+IF(AW4="eD",1,0)</f>
        <v>0</v>
      </c>
      <c r="AO4" s="173">
        <v>0</v>
      </c>
      <c r="AP4" s="174">
        <v>0</v>
      </c>
      <c r="AQ4" s="175">
        <f t="shared" ref="AQ4:AQ24" si="12">+AO4*AO$25+AP4*AP$25</f>
        <v>0</v>
      </c>
      <c r="AR4" s="173">
        <v>0</v>
      </c>
      <c r="AS4" s="219">
        <f t="shared" ref="AS4:AS21" si="13">+IF(AR$24&lt;=0,AO4,AP4)</f>
        <v>0</v>
      </c>
      <c r="AT4" s="214">
        <f t="shared" ref="AT4:AT24" si="14">+AR4*AR$25+AS4*AS$25</f>
        <v>0</v>
      </c>
      <c r="AU4" s="181">
        <f t="shared" ref="AU4:AU24" si="15">+AQ$25*AQ4+AT$25*AT4</f>
        <v>0</v>
      </c>
      <c r="AV4" s="175">
        <f t="shared" ref="AV4:AV24" si="16">+AU4/-SUMPRODUCT(AN$4:AN$24,AU$4:AU$24)</f>
        <v>0</v>
      </c>
      <c r="AX4" s="108"/>
      <c r="AY4" s="14">
        <f>+IF(BH4="eD",1,0)</f>
        <v>0</v>
      </c>
      <c r="AZ4" s="173">
        <v>0</v>
      </c>
      <c r="BA4" s="174">
        <v>0</v>
      </c>
      <c r="BB4" s="175">
        <f t="shared" ref="BB4:BB24" si="17">+AZ4*AZ$25+BA4*BA$25</f>
        <v>0</v>
      </c>
      <c r="BC4" s="173">
        <v>0</v>
      </c>
      <c r="BD4" s="219">
        <f t="shared" ref="BD4:BD21" si="18">+IF(BC$24&lt;=0,AZ4,BA4)</f>
        <v>0</v>
      </c>
      <c r="BE4" s="175">
        <f t="shared" ref="BE4:BE24" si="19">+BC4*BC$25+BD4*BD$25</f>
        <v>0</v>
      </c>
      <c r="BF4" s="181">
        <f t="shared" ref="BF4:BF24" si="20">+BB$25*BB4+BE$25*BE4</f>
        <v>0</v>
      </c>
      <c r="BG4" s="175">
        <f t="shared" ref="BG4:BG24" si="21">+BF4/-SUMPRODUCT(AY$4:AY$24,BF$4:BF$24)</f>
        <v>0</v>
      </c>
      <c r="BH4" s="28"/>
      <c r="BI4" s="108"/>
      <c r="BJ4" s="14">
        <f>+IF(BS4="eD",1,0)</f>
        <v>0</v>
      </c>
      <c r="BK4" s="173">
        <v>0</v>
      </c>
      <c r="BL4" s="174">
        <v>0</v>
      </c>
      <c r="BM4" s="175">
        <f t="shared" ref="BM4:BM24" si="22">+BK4*BK$25+BL4*BL$25</f>
        <v>0</v>
      </c>
      <c r="BN4" s="173">
        <v>0</v>
      </c>
      <c r="BO4" s="219">
        <f t="shared" ref="BO4:BO21" si="23">+IF(BN$24&lt;=0,BK4,BL4)</f>
        <v>0</v>
      </c>
      <c r="BP4" s="175">
        <f t="shared" ref="BP4:BP24" si="24">+BN4*BN$25+BO4*BO$25</f>
        <v>0</v>
      </c>
      <c r="BQ4" s="181">
        <f t="shared" ref="BQ4:BQ24" si="25">+BM$25*BM4+BP$25*BP4</f>
        <v>0</v>
      </c>
      <c r="BR4" s="175">
        <f t="shared" ref="BR4:BR24" si="26">+BQ4/-SUMPRODUCT(BJ$4:BJ$24,BQ$4:BQ$24)</f>
        <v>0</v>
      </c>
      <c r="BS4" s="28"/>
      <c r="BT4" s="108"/>
      <c r="BU4" s="14">
        <f>+IF(CD4="eD",1,0)</f>
        <v>1</v>
      </c>
      <c r="BV4" s="173">
        <v>-1</v>
      </c>
      <c r="BW4" s="174">
        <v>0</v>
      </c>
      <c r="BX4" s="175">
        <f t="shared" ref="BX4:BX24" si="27">+BV4*BV$25+BW4*BW$25</f>
        <v>-1</v>
      </c>
      <c r="BY4" s="173">
        <v>-0.16666666666666666</v>
      </c>
      <c r="BZ4" s="219">
        <f t="shared" ref="BZ4:BZ21" si="28">+IF(BY$24&lt;=0,BV4,BW4)</f>
        <v>-1</v>
      </c>
      <c r="CA4" s="175">
        <f t="shared" ref="CA4:CA24" si="29">+BY4*BY$25+BZ4*BZ$25</f>
        <v>-0.24166666666666664</v>
      </c>
      <c r="CB4" s="181">
        <f t="shared" ref="CB4:CB24" si="30">+BX$25*BX4+CA$25*CA4</f>
        <v>-0.28599468425621649</v>
      </c>
      <c r="CC4" s="175">
        <f t="shared" ref="CC4:CC24" si="31">+CB4/-SUMPRODUCT(BU$4:BU$24,CB$4:CB$24)</f>
        <v>-1</v>
      </c>
      <c r="CD4" s="22" t="s">
        <v>336</v>
      </c>
      <c r="CE4" s="108"/>
      <c r="CF4" s="14">
        <f>+IF(CO4="eD",1,0)</f>
        <v>0</v>
      </c>
      <c r="CG4" s="173">
        <v>0</v>
      </c>
      <c r="CH4" s="174">
        <v>0</v>
      </c>
      <c r="CI4" s="175">
        <f t="shared" ref="CI4:CI24" si="32">+CG4*CG$25+CH4*CH$25</f>
        <v>0</v>
      </c>
      <c r="CJ4" s="173">
        <v>0</v>
      </c>
      <c r="CK4" s="219">
        <f t="shared" ref="CK4:CK21" si="33">+IF(CJ$24&lt;=0,CG4,CH4)</f>
        <v>0</v>
      </c>
      <c r="CL4" s="175">
        <f t="shared" ref="CL4:CL24" si="34">+CJ4*CJ$25+CK4*CK$25</f>
        <v>0</v>
      </c>
      <c r="CM4" s="181">
        <f t="shared" ref="CM4:CM24" si="35">+CI$25*CI4+CL$25*CL4</f>
        <v>0</v>
      </c>
      <c r="CN4" s="175">
        <f t="shared" ref="CN4:CN24" si="36">+CM4/-SUMPRODUCT(CF$4:CF$24,CM$4:CM$24)</f>
        <v>0</v>
      </c>
      <c r="CO4" s="28"/>
      <c r="CP4" s="108"/>
      <c r="CQ4" s="14">
        <f>+IF(CZ4="eD",1,0)</f>
        <v>0</v>
      </c>
      <c r="CR4" s="173">
        <v>0</v>
      </c>
      <c r="CS4" s="174">
        <v>0</v>
      </c>
      <c r="CT4" s="175">
        <f t="shared" ref="CT4:CT24" si="37">+CR4*CR$25+CS4*CS$25</f>
        <v>0</v>
      </c>
      <c r="CU4" s="173">
        <v>0</v>
      </c>
      <c r="CV4" s="219">
        <f t="shared" ref="CV4:CV21" si="38">+IF(CU$24&lt;=0,CR4,CS4)</f>
        <v>0</v>
      </c>
      <c r="CW4" s="175">
        <f t="shared" ref="CW4:CW24" si="39">+CU4*CU$25+CV4*CV$25</f>
        <v>0</v>
      </c>
      <c r="CX4" s="181">
        <f t="shared" ref="CX4:CX24" si="40">+CT$25*CT4+CW$25*CW4</f>
        <v>0</v>
      </c>
      <c r="CY4" s="175">
        <f t="shared" ref="CY4:CY24" si="41">+CX4/-SUMPRODUCT(CQ$4:CQ$24,CX$4:CX$24)</f>
        <v>0</v>
      </c>
      <c r="CZ4" s="28"/>
      <c r="DA4" s="108"/>
      <c r="DB4" s="14">
        <f>+IF(DK4="eD",1,0)</f>
        <v>0</v>
      </c>
      <c r="DC4" s="173">
        <v>0</v>
      </c>
      <c r="DD4" s="174">
        <v>0</v>
      </c>
      <c r="DE4" s="175">
        <f t="shared" ref="DE4:DE24" si="42">+DC4*DC$25+DD4*DD$25</f>
        <v>0</v>
      </c>
      <c r="DF4" s="173">
        <v>0</v>
      </c>
      <c r="DG4" s="219">
        <f t="shared" ref="DG4:DG21" si="43">+IF(DF$24&lt;=0,DC4,DD4)</f>
        <v>0</v>
      </c>
      <c r="DH4" s="175">
        <f t="shared" ref="DH4:DH24" si="44">+DF4*DF$25+DG4*DG$25</f>
        <v>0</v>
      </c>
      <c r="DI4" s="181">
        <f t="shared" ref="DI4:DI24" si="45">+DE$25*DE4+DH$25*DH4</f>
        <v>0</v>
      </c>
      <c r="DJ4" s="175">
        <f t="shared" ref="DJ4:DJ24" si="46">+DI4/-SUMPRODUCT(DB$4:DB$24,DI$4:DI$24)</f>
        <v>0</v>
      </c>
      <c r="DK4" s="28"/>
      <c r="DL4" s="108"/>
      <c r="DM4" s="14">
        <f>+IF(DV4="eD",1,0)</f>
        <v>0</v>
      </c>
      <c r="DN4" s="173">
        <v>0</v>
      </c>
      <c r="DO4" s="174">
        <v>0</v>
      </c>
      <c r="DP4" s="175">
        <f t="shared" ref="DP4:DP24" si="47">+DN4*DN$25+DO4*DO$25</f>
        <v>0</v>
      </c>
      <c r="DQ4" s="173">
        <v>0</v>
      </c>
      <c r="DR4" s="219">
        <f t="shared" ref="DR4:DR21" si="48">+IF(DQ$24&lt;=0,DN4,DO4)</f>
        <v>0</v>
      </c>
      <c r="DS4" s="175">
        <f t="shared" ref="DS4:DS24" si="49">+DQ4*DQ$25+DR4*DR$25</f>
        <v>0</v>
      </c>
      <c r="DT4" s="181">
        <f t="shared" ref="DT4:DT24" si="50">+DP$25*DP4+DS$25*DS4</f>
        <v>0</v>
      </c>
      <c r="DU4" s="175">
        <f t="shared" ref="DU4:DU24" si="51">+DT4/-SUMPRODUCT(DM$4:DM$24,DT$4:DT$24)</f>
        <v>0</v>
      </c>
      <c r="DV4" s="28"/>
      <c r="DW4" s="108"/>
      <c r="DX4" s="14">
        <f>+IF(EG4="eD",1,0)</f>
        <v>0</v>
      </c>
      <c r="DY4" s="173">
        <v>0</v>
      </c>
      <c r="DZ4" s="174">
        <v>0</v>
      </c>
      <c r="EA4" s="175">
        <f t="shared" ref="EA4:EA24" si="52">+DY4*DY$25+DZ4*DZ$25</f>
        <v>0</v>
      </c>
      <c r="EB4" s="173">
        <v>0</v>
      </c>
      <c r="EC4" s="219">
        <f t="shared" ref="EC4:EC21" si="53">+IF(EB$24&lt;=0,DY4,DZ4)</f>
        <v>0</v>
      </c>
      <c r="ED4" s="175">
        <f t="shared" ref="ED4:ED24" si="54">+EB4*EB$25+EC4*EC$25</f>
        <v>0</v>
      </c>
      <c r="EE4" s="181">
        <f t="shared" ref="EE4:EE24" si="55">+EA$25*EA4+ED$25*ED4</f>
        <v>0</v>
      </c>
      <c r="EF4" s="175">
        <f t="shared" ref="EF4:EF24" si="56">+EE4/-SUMPRODUCT(DX$4:DX$24,EE$4:EE$24)</f>
        <v>0</v>
      </c>
      <c r="EG4" s="28"/>
      <c r="EH4" s="108"/>
      <c r="EI4" s="14">
        <f>+IF(ER4="eD",1,0)</f>
        <v>0</v>
      </c>
      <c r="EJ4" s="173">
        <v>0</v>
      </c>
      <c r="EK4" s="174">
        <v>0</v>
      </c>
      <c r="EL4" s="175">
        <f t="shared" ref="EL4:EL24" si="57">+EJ4*EJ$25+EK4*EK$25</f>
        <v>0</v>
      </c>
      <c r="EM4" s="173">
        <v>0</v>
      </c>
      <c r="EN4" s="219">
        <f t="shared" ref="EN4:EN21" si="58">+IF(EM$24&lt;=0,EJ4,EK4)</f>
        <v>0</v>
      </c>
      <c r="EO4" s="175">
        <f t="shared" ref="EO4:EO24" si="59">+EM4*EM$25+EN4*EN$25</f>
        <v>0</v>
      </c>
      <c r="EP4" s="181">
        <f t="shared" ref="EP4:EP24" si="60">+EL$25*EL4+EO$25*EO4</f>
        <v>0</v>
      </c>
      <c r="EQ4" s="175">
        <f t="shared" ref="EQ4:EQ24" si="61">+EP4/-SUMPRODUCT(EI$4:EI$24,EP$4:EP$24)</f>
        <v>0</v>
      </c>
      <c r="ER4" s="28"/>
      <c r="ES4" s="108"/>
      <c r="ET4" s="14">
        <f>+IF(FC4="eD",1,0)</f>
        <v>0</v>
      </c>
      <c r="EU4" s="173">
        <v>0</v>
      </c>
      <c r="EV4" s="174">
        <v>0</v>
      </c>
      <c r="EW4" s="175">
        <f t="shared" ref="EW4:EW24" si="62">+EU4*EU$25+EV4*EV$25</f>
        <v>0</v>
      </c>
      <c r="EX4" s="173">
        <v>0</v>
      </c>
      <c r="EY4" s="219">
        <f t="shared" ref="EY4:EY21" si="63">+IF(EX$24&lt;=0,EU4,EV4)</f>
        <v>0</v>
      </c>
      <c r="EZ4" s="175">
        <f t="shared" ref="EZ4:EZ24" si="64">+EX4*EX$25+EY4*EY$25</f>
        <v>0</v>
      </c>
      <c r="FA4" s="181">
        <f t="shared" ref="FA4:FA24" si="65">+EW$25*EW4+EZ$25*EZ4</f>
        <v>0</v>
      </c>
      <c r="FB4" s="175">
        <f t="shared" ref="FB4:FB24" si="66">+FA4/-SUMPRODUCT(ET$4:ET$24,FA$4:FA$24)</f>
        <v>0</v>
      </c>
      <c r="FC4" s="28"/>
      <c r="FD4" s="108"/>
      <c r="FE4" s="14">
        <f>+IF(FN4="eD",1,0)</f>
        <v>0</v>
      </c>
      <c r="FF4" s="173">
        <v>0</v>
      </c>
      <c r="FG4" s="174">
        <v>0</v>
      </c>
      <c r="FH4" s="175">
        <f t="shared" ref="FH4:FH24" si="67">+FF4*FF$25+FG4*FG$25</f>
        <v>0</v>
      </c>
      <c r="FI4" s="173">
        <v>0</v>
      </c>
      <c r="FJ4" s="219">
        <f t="shared" ref="FJ4:FJ21" si="68">+IF(FI$24&lt;=0,FF4,FG4)</f>
        <v>0</v>
      </c>
      <c r="FK4" s="175">
        <f t="shared" ref="FK4:FK24" si="69">+FI4*FI$25+FJ4*FJ$25</f>
        <v>0</v>
      </c>
      <c r="FL4" s="181">
        <f t="shared" ref="FL4:FL24" si="70">+FH$25*FH4+FK$25*FK4</f>
        <v>0</v>
      </c>
      <c r="FM4" s="175">
        <f t="shared" ref="FM4:FM24" si="71">+FL4/-SUMPRODUCT(FE$4:FE$24,FL$4:FL$24)</f>
        <v>0</v>
      </c>
      <c r="FN4" s="28"/>
      <c r="FO4" s="108"/>
      <c r="FP4" s="14">
        <f>+IF(FY4="eD",1,0)</f>
        <v>0</v>
      </c>
      <c r="FQ4" s="173">
        <v>0</v>
      </c>
      <c r="FR4" s="174">
        <v>0</v>
      </c>
      <c r="FS4" s="175">
        <f t="shared" ref="FS4:FS24" si="72">+FQ4*FQ$25+FR4*FR$25</f>
        <v>0</v>
      </c>
      <c r="FT4" s="173">
        <v>0</v>
      </c>
      <c r="FU4" s="219">
        <f t="shared" ref="FU4:FU21" si="73">+IF(FT$24&lt;=0,FQ4,FR4)</f>
        <v>0</v>
      </c>
      <c r="FV4" s="175">
        <f t="shared" ref="FV4:FV24" si="74">+FT4*FT$25+FU4*FU$25</f>
        <v>0</v>
      </c>
      <c r="FW4" s="181">
        <f t="shared" ref="FW4:FW24" si="75">+FS$25*FS4+FV$25*FV4</f>
        <v>0</v>
      </c>
      <c r="FX4" s="175">
        <f t="shared" ref="FX4:FX24" si="76">+FW4/-SUMPRODUCT(FP$4:FP$24,FW$4:FW$24)</f>
        <v>0</v>
      </c>
      <c r="FY4" s="28"/>
      <c r="FZ4" s="108"/>
      <c r="GA4" s="14">
        <f>+IF(GJ4="eD",1,0)</f>
        <v>0</v>
      </c>
      <c r="GB4" s="173">
        <v>0</v>
      </c>
      <c r="GC4" s="174">
        <v>0</v>
      </c>
      <c r="GD4" s="175">
        <f t="shared" ref="GD4:GD24" si="77">+GB4*GB$25+GC4*GC$25</f>
        <v>0</v>
      </c>
      <c r="GE4" s="173">
        <v>0</v>
      </c>
      <c r="GF4" s="219">
        <f t="shared" ref="GF4:GF21" si="78">+IF(GE$24&lt;=0,GB4,GC4)</f>
        <v>0</v>
      </c>
      <c r="GG4" s="175">
        <f t="shared" ref="GG4:GG24" si="79">+GE4*GE$25+GF4*GF$25</f>
        <v>0</v>
      </c>
      <c r="GH4" s="181">
        <f t="shared" ref="GH4:GH24" si="80">+GD$25*GD4+GG$25*GG4</f>
        <v>0</v>
      </c>
      <c r="GI4" s="175">
        <f t="shared" ref="GI4:GI24" si="81">+GH4/-SUMPRODUCT(GA$4:GA$24,GH$4:GH$24)</f>
        <v>0</v>
      </c>
      <c r="GJ4" s="28"/>
      <c r="GK4" s="108"/>
      <c r="GL4" s="14">
        <f>+IF(GU4="eD",1,0)</f>
        <v>0</v>
      </c>
      <c r="GM4" s="173">
        <v>0</v>
      </c>
      <c r="GN4" s="174">
        <v>0</v>
      </c>
      <c r="GO4" s="175">
        <f t="shared" ref="GO4:GO24" si="82">+GM4*GM$25+GN4*GN$25</f>
        <v>0</v>
      </c>
      <c r="GP4" s="173">
        <v>0</v>
      </c>
      <c r="GQ4" s="219">
        <f t="shared" ref="GQ4:GQ21" si="83">+IF(GP$24&lt;=0,GM4,GN4)</f>
        <v>0</v>
      </c>
      <c r="GR4" s="175">
        <f t="shared" ref="GR4:GR24" si="84">+GP4*GP$25+GQ4*GQ$25</f>
        <v>0</v>
      </c>
      <c r="GS4" s="181">
        <f t="shared" ref="GS4:GS24" si="85">+GO$25*GO4+GR$25*GR4</f>
        <v>0</v>
      </c>
      <c r="GT4" s="175">
        <f t="shared" ref="GT4:GT24" si="86">+GS4/-SUMPRODUCT(GL$4:GL$24,GS$4:GS$24)</f>
        <v>0</v>
      </c>
      <c r="GU4" s="28"/>
      <c r="GV4" s="108"/>
      <c r="GW4" s="14">
        <f>+IF(HF4="eD",1,0)</f>
        <v>0</v>
      </c>
      <c r="GX4" s="173">
        <v>0</v>
      </c>
      <c r="GY4" s="174">
        <v>0</v>
      </c>
      <c r="GZ4" s="175">
        <f t="shared" ref="GZ4:GZ24" si="87">+GX4*GX$25+GY4*GY$25</f>
        <v>0</v>
      </c>
      <c r="HA4" s="173">
        <v>0</v>
      </c>
      <c r="HB4" s="219">
        <f t="shared" ref="HB4:HB21" si="88">+IF(HA$24&lt;=0,GX4,GY4)</f>
        <v>0</v>
      </c>
      <c r="HC4" s="175">
        <f t="shared" ref="HC4:HC24" si="89">+HA4*HA$25+HB4*HB$25</f>
        <v>0</v>
      </c>
      <c r="HD4" s="181">
        <f t="shared" ref="HD4:HD24" si="90">+GZ$25*GZ4+HC$25*HC4</f>
        <v>0</v>
      </c>
      <c r="HE4" s="175">
        <f t="shared" ref="HE4:HE24" si="91">+HD4/-SUMPRODUCT(GW$4:GW$24,HD$4:HD$24)</f>
        <v>0</v>
      </c>
      <c r="HF4" s="28"/>
      <c r="HG4" s="108"/>
      <c r="HH4" s="14">
        <f>+IF(HQ4="eD",1,0)</f>
        <v>0</v>
      </c>
      <c r="HI4" s="173">
        <v>0</v>
      </c>
      <c r="HJ4" s="174">
        <v>0</v>
      </c>
      <c r="HK4" s="175">
        <f t="shared" ref="HK4:HK24" si="92">+HI4*HI$25+HJ4*HJ$25</f>
        <v>0</v>
      </c>
      <c r="HL4" s="173">
        <v>0</v>
      </c>
      <c r="HM4" s="219">
        <f t="shared" ref="HM4:HM21" si="93">+IF(HL$24&lt;=0,HI4,HJ4)</f>
        <v>0</v>
      </c>
      <c r="HN4" s="175">
        <f t="shared" ref="HN4:HN24" si="94">+HL4*HL$25+HM4*HM$25</f>
        <v>0</v>
      </c>
      <c r="HO4" s="181">
        <f t="shared" ref="HO4:HO24" si="95">+HK$25*HK4+HN$25*HN4</f>
        <v>0</v>
      </c>
      <c r="HP4" s="175">
        <f t="shared" ref="HP4:HP24" si="96">+HO4/-SUMPRODUCT(HH$4:HH$24,HO$4:HO$24)</f>
        <v>0</v>
      </c>
      <c r="HQ4" s="28"/>
      <c r="HR4" s="108"/>
      <c r="HS4" s="14">
        <f>+IF(IB4="eD",1,0)</f>
        <v>0</v>
      </c>
      <c r="HT4" s="173">
        <v>0</v>
      </c>
      <c r="HU4" s="174">
        <v>0</v>
      </c>
      <c r="HV4" s="175">
        <f t="shared" ref="HV4:HV24" si="97">+HT4*HT$25+HU4*HU$25</f>
        <v>0</v>
      </c>
      <c r="HW4" s="173">
        <v>0</v>
      </c>
      <c r="HX4" s="219">
        <f t="shared" ref="HX4:HX21" si="98">+IF(HW$24&lt;=0,HT4,HU4)</f>
        <v>0</v>
      </c>
      <c r="HY4" s="175">
        <f t="shared" ref="HY4:HY24" si="99">+HW4*HW$25+HX4*HX$25</f>
        <v>0</v>
      </c>
      <c r="HZ4" s="181">
        <f t="shared" ref="HZ4:HZ24" si="100">+HV$25*HV4+HY$25*HY4</f>
        <v>0</v>
      </c>
      <c r="IA4" s="175">
        <f t="shared" ref="IA4:IA24" si="101">+HZ4/-SUMPRODUCT(HS$4:HS$24,HZ$4:HZ$24)</f>
        <v>0</v>
      </c>
      <c r="IB4" s="28"/>
      <c r="IC4" s="108"/>
      <c r="ID4" s="173">
        <v>0</v>
      </c>
      <c r="IE4" s="108"/>
      <c r="IF4" s="173">
        <f>1/6</f>
        <v>0.16666666666666666</v>
      </c>
      <c r="IG4" s="173">
        <v>0</v>
      </c>
      <c r="IH4" s="173">
        <f t="shared" ref="IH4:IH24" si="102">+$IF$27*IF4+$IG$27*IG4</f>
        <v>3.9166666666666662E-2</v>
      </c>
      <c r="II4" s="108"/>
      <c r="IJ4" s="173">
        <f>1/6</f>
        <v>0.16666666666666666</v>
      </c>
      <c r="IK4" s="108"/>
    </row>
    <row r="5" spans="1:245" ht="15" customHeight="1">
      <c r="A5" s="91" t="s">
        <v>239</v>
      </c>
      <c r="B5" s="91" t="s">
        <v>241</v>
      </c>
      <c r="C5" s="1" t="str">
        <f>MicroModelComponents!C5</f>
        <v>Ac-</v>
      </c>
      <c r="D5" s="1">
        <f>MicroModelComponents!E5</f>
        <v>-369.41</v>
      </c>
      <c r="E5" s="1">
        <f>MicroModelComponents!U5</f>
        <v>-1</v>
      </c>
      <c r="F5" s="1">
        <f>MicroModelComponents!V5</f>
        <v>59</v>
      </c>
      <c r="G5" s="1">
        <f>MicroModelComponents!W5</f>
        <v>8</v>
      </c>
      <c r="H5" s="2">
        <f>MicroModelComponents!X5</f>
        <v>4</v>
      </c>
      <c r="J5" s="87" t="s">
        <v>189</v>
      </c>
      <c r="K5" s="43">
        <v>0.01</v>
      </c>
      <c r="L5" s="104">
        <f>MicroModelComponents!AE5*K5/(MicroModelComponents!AE5+$L$21)</f>
        <v>9.941974689009021E-3</v>
      </c>
      <c r="M5" s="13">
        <v>0</v>
      </c>
      <c r="N5" s="13">
        <f t="shared" si="0"/>
        <v>-380.83405876781097</v>
      </c>
      <c r="O5" s="105"/>
      <c r="P5" s="28"/>
      <c r="Q5" s="108"/>
      <c r="R5" s="14">
        <f t="shared" si="1"/>
        <v>0</v>
      </c>
      <c r="S5" s="164">
        <v>2</v>
      </c>
      <c r="T5" s="165">
        <v>0</v>
      </c>
      <c r="U5" s="140">
        <f t="shared" si="2"/>
        <v>2</v>
      </c>
      <c r="V5" s="164">
        <v>0</v>
      </c>
      <c r="W5" s="12">
        <f t="shared" si="3"/>
        <v>2</v>
      </c>
      <c r="X5" s="140">
        <f t="shared" si="4"/>
        <v>0.05</v>
      </c>
      <c r="Y5" s="139">
        <f t="shared" si="5"/>
        <v>3</v>
      </c>
      <c r="Z5" s="140">
        <f t="shared" si="6"/>
        <v>1.7999999999999998</v>
      </c>
      <c r="AA5" s="28"/>
      <c r="AB5" s="108"/>
      <c r="AC5" s="14">
        <f>+IF(AL5="eD",1,0)</f>
        <v>0</v>
      </c>
      <c r="AD5" s="164">
        <v>0</v>
      </c>
      <c r="AE5" s="165">
        <v>0</v>
      </c>
      <c r="AF5" s="140">
        <f t="shared" si="7"/>
        <v>0</v>
      </c>
      <c r="AG5" s="164">
        <v>0</v>
      </c>
      <c r="AH5" s="12">
        <f t="shared" si="8"/>
        <v>0</v>
      </c>
      <c r="AI5" s="215">
        <f t="shared" si="9"/>
        <v>0</v>
      </c>
      <c r="AJ5" s="139">
        <f t="shared" si="10"/>
        <v>0</v>
      </c>
      <c r="AK5" s="140">
        <f t="shared" si="11"/>
        <v>0</v>
      </c>
      <c r="AL5" s="28"/>
      <c r="AM5" s="108"/>
      <c r="AN5" s="14">
        <f>+IF(AW5="eD",1,0)</f>
        <v>1</v>
      </c>
      <c r="AO5" s="164">
        <v>-1</v>
      </c>
      <c r="AP5" s="165">
        <v>0</v>
      </c>
      <c r="AQ5" s="140">
        <f t="shared" si="12"/>
        <v>-1</v>
      </c>
      <c r="AR5" s="164">
        <v>-0.5</v>
      </c>
      <c r="AS5" s="12">
        <f t="shared" si="13"/>
        <v>-1</v>
      </c>
      <c r="AT5" s="215">
        <f t="shared" si="14"/>
        <v>-0.52500000000000002</v>
      </c>
      <c r="AU5" s="139">
        <f t="shared" si="15"/>
        <v>-1.0847303471442946</v>
      </c>
      <c r="AV5" s="140">
        <f t="shared" si="16"/>
        <v>-1</v>
      </c>
      <c r="AW5" s="180" t="s">
        <v>336</v>
      </c>
      <c r="AX5" s="108"/>
      <c r="AY5" s="14">
        <f t="shared" ref="AY5:AY24" si="103">+IF(BH5="eD",1,0)</f>
        <v>0</v>
      </c>
      <c r="AZ5" s="164">
        <v>0</v>
      </c>
      <c r="BA5" s="165">
        <v>0</v>
      </c>
      <c r="BB5" s="140">
        <f t="shared" si="17"/>
        <v>0</v>
      </c>
      <c r="BC5" s="164">
        <v>0</v>
      </c>
      <c r="BD5" s="12">
        <f t="shared" si="18"/>
        <v>0</v>
      </c>
      <c r="BE5" s="140">
        <f t="shared" si="19"/>
        <v>0</v>
      </c>
      <c r="BF5" s="139">
        <f t="shared" si="20"/>
        <v>0</v>
      </c>
      <c r="BG5" s="140">
        <f t="shared" si="21"/>
        <v>0</v>
      </c>
      <c r="BH5" s="28"/>
      <c r="BI5" s="108"/>
      <c r="BJ5" s="14">
        <f t="shared" ref="BJ5:BJ24" si="104">+IF(BS5="eD",1,0)</f>
        <v>0</v>
      </c>
      <c r="BK5" s="164">
        <v>0</v>
      </c>
      <c r="BL5" s="165">
        <v>0</v>
      </c>
      <c r="BM5" s="140">
        <f t="shared" si="22"/>
        <v>0</v>
      </c>
      <c r="BN5" s="164">
        <v>0</v>
      </c>
      <c r="BO5" s="12">
        <f t="shared" si="23"/>
        <v>0</v>
      </c>
      <c r="BP5" s="140">
        <f t="shared" si="24"/>
        <v>0</v>
      </c>
      <c r="BQ5" s="139">
        <f t="shared" si="25"/>
        <v>0</v>
      </c>
      <c r="BR5" s="140">
        <f t="shared" si="26"/>
        <v>0</v>
      </c>
      <c r="BS5" s="28"/>
      <c r="BT5" s="108"/>
      <c r="BU5" s="14">
        <f>+IF(CD5="eD",1,0)</f>
        <v>0</v>
      </c>
      <c r="BV5" s="164">
        <v>0</v>
      </c>
      <c r="BW5" s="165">
        <v>0</v>
      </c>
      <c r="BX5" s="140">
        <f t="shared" si="27"/>
        <v>0</v>
      </c>
      <c r="BY5" s="164">
        <v>0</v>
      </c>
      <c r="BZ5" s="12">
        <f t="shared" si="28"/>
        <v>0</v>
      </c>
      <c r="CA5" s="140">
        <f t="shared" si="29"/>
        <v>0</v>
      </c>
      <c r="CB5" s="139">
        <f t="shared" si="30"/>
        <v>0</v>
      </c>
      <c r="CC5" s="140">
        <f t="shared" si="31"/>
        <v>0</v>
      </c>
      <c r="CD5" s="22"/>
      <c r="CE5" s="108"/>
      <c r="CF5" s="14">
        <f t="shared" ref="CF5:CF24" si="105">+IF(CO5="eD",1,0)</f>
        <v>1</v>
      </c>
      <c r="CG5" s="164">
        <v>-1</v>
      </c>
      <c r="CH5" s="165">
        <v>0</v>
      </c>
      <c r="CI5" s="140">
        <f t="shared" si="32"/>
        <v>-1</v>
      </c>
      <c r="CJ5" s="164">
        <v>-0.5</v>
      </c>
      <c r="CK5" s="12">
        <f t="shared" si="33"/>
        <v>-1</v>
      </c>
      <c r="CL5" s="140">
        <f t="shared" si="34"/>
        <v>-0.72499999999999998</v>
      </c>
      <c r="CM5" s="139">
        <f t="shared" si="35"/>
        <v>-1.2209999868696535</v>
      </c>
      <c r="CN5" s="140">
        <f t="shared" si="36"/>
        <v>-1</v>
      </c>
      <c r="CO5" s="22" t="s">
        <v>336</v>
      </c>
      <c r="CP5" s="108"/>
      <c r="CQ5" s="14">
        <f t="shared" ref="CQ5:CQ15" si="106">+IF(CZ5="eD",1,0)</f>
        <v>0</v>
      </c>
      <c r="CR5" s="164">
        <v>0</v>
      </c>
      <c r="CS5" s="165">
        <v>0</v>
      </c>
      <c r="CT5" s="140">
        <f t="shared" si="37"/>
        <v>0</v>
      </c>
      <c r="CU5" s="164">
        <v>-0.5</v>
      </c>
      <c r="CV5" s="12">
        <f t="shared" si="38"/>
        <v>0</v>
      </c>
      <c r="CW5" s="140">
        <f t="shared" si="39"/>
        <v>-0.5</v>
      </c>
      <c r="CX5" s="139">
        <f t="shared" si="40"/>
        <v>-0.5</v>
      </c>
      <c r="CY5" s="140">
        <f t="shared" si="41"/>
        <v>-0.10237510347602015</v>
      </c>
      <c r="CZ5" s="22"/>
      <c r="DA5" s="108"/>
      <c r="DB5" s="14">
        <f t="shared" ref="DB5:DB24" si="107">+IF(DK5="eD",1,0)</f>
        <v>1</v>
      </c>
      <c r="DC5" s="164">
        <v>-1</v>
      </c>
      <c r="DD5" s="165">
        <v>0</v>
      </c>
      <c r="DE5" s="140">
        <f t="shared" si="42"/>
        <v>-1</v>
      </c>
      <c r="DF5" s="164">
        <v>-0.5</v>
      </c>
      <c r="DG5" s="12">
        <f t="shared" si="43"/>
        <v>-1</v>
      </c>
      <c r="DH5" s="140">
        <f t="shared" si="44"/>
        <v>-0.52500000000000002</v>
      </c>
      <c r="DI5" s="139">
        <f t="shared" si="45"/>
        <v>-12.581249438843102</v>
      </c>
      <c r="DJ5" s="140">
        <f t="shared" si="46"/>
        <v>-1</v>
      </c>
      <c r="DK5" s="22" t="s">
        <v>336</v>
      </c>
      <c r="DL5" s="108"/>
      <c r="DM5" s="14">
        <f t="shared" ref="DM5:DM15" si="108">+IF(DV5="eD",1,0)</f>
        <v>0</v>
      </c>
      <c r="DN5" s="164">
        <v>0</v>
      </c>
      <c r="DO5" s="165">
        <v>0</v>
      </c>
      <c r="DP5" s="140">
        <f t="shared" si="47"/>
        <v>0</v>
      </c>
      <c r="DQ5" s="164">
        <v>-0.5</v>
      </c>
      <c r="DR5" s="12">
        <f t="shared" si="48"/>
        <v>0</v>
      </c>
      <c r="DS5" s="140">
        <f t="shared" si="49"/>
        <v>-0.5</v>
      </c>
      <c r="DT5" s="139">
        <f t="shared" si="50"/>
        <v>-0.5</v>
      </c>
      <c r="DU5" s="140">
        <f t="shared" si="51"/>
        <v>-9.9354202146312645E-3</v>
      </c>
      <c r="DV5" s="22"/>
      <c r="DW5" s="108"/>
      <c r="DX5" s="14">
        <f t="shared" ref="DX5:DX24" si="109">+IF(EG5="eD",1,0)</f>
        <v>0</v>
      </c>
      <c r="DY5" s="164">
        <v>0</v>
      </c>
      <c r="DZ5" s="165">
        <v>0</v>
      </c>
      <c r="EA5" s="140">
        <f t="shared" si="52"/>
        <v>0</v>
      </c>
      <c r="EB5" s="164">
        <v>0</v>
      </c>
      <c r="EC5" s="12">
        <f t="shared" si="53"/>
        <v>0</v>
      </c>
      <c r="ED5" s="140">
        <f t="shared" si="54"/>
        <v>0</v>
      </c>
      <c r="EE5" s="139">
        <f t="shared" si="55"/>
        <v>0</v>
      </c>
      <c r="EF5" s="140">
        <f t="shared" si="56"/>
        <v>0</v>
      </c>
      <c r="EG5" s="183"/>
      <c r="EH5" s="108"/>
      <c r="EI5" s="14">
        <f t="shared" ref="EI5:EI24" si="110">+IF(ER5="eD",1,0)</f>
        <v>0</v>
      </c>
      <c r="EJ5" s="164">
        <v>0</v>
      </c>
      <c r="EK5" s="165">
        <v>0</v>
      </c>
      <c r="EL5" s="140">
        <f t="shared" si="57"/>
        <v>0</v>
      </c>
      <c r="EM5" s="164">
        <v>0</v>
      </c>
      <c r="EN5" s="12">
        <f t="shared" si="58"/>
        <v>0</v>
      </c>
      <c r="EO5" s="140">
        <f t="shared" si="59"/>
        <v>0</v>
      </c>
      <c r="EP5" s="139">
        <f t="shared" si="60"/>
        <v>0</v>
      </c>
      <c r="EQ5" s="140">
        <f t="shared" si="61"/>
        <v>0</v>
      </c>
      <c r="ER5" s="183"/>
      <c r="ES5" s="108"/>
      <c r="ET5" s="14">
        <f t="shared" ref="ET5:ET24" si="111">+IF(FC5="eD",1,0)</f>
        <v>0</v>
      </c>
      <c r="EU5" s="164">
        <v>0</v>
      </c>
      <c r="EV5" s="165">
        <v>0</v>
      </c>
      <c r="EW5" s="140">
        <f t="shared" si="62"/>
        <v>0</v>
      </c>
      <c r="EX5" s="164">
        <v>-0.5</v>
      </c>
      <c r="EY5" s="12">
        <f t="shared" si="63"/>
        <v>0</v>
      </c>
      <c r="EZ5" s="140">
        <f t="shared" si="64"/>
        <v>-0.5</v>
      </c>
      <c r="FA5" s="139">
        <f t="shared" si="65"/>
        <v>-0.5</v>
      </c>
      <c r="FB5" s="140">
        <f t="shared" si="66"/>
        <v>-1.2127764435424975E-2</v>
      </c>
      <c r="FC5" s="183"/>
      <c r="FD5" s="108"/>
      <c r="FE5" s="14">
        <f t="shared" ref="FE5:FE18" si="112">+IF(FN5="eD",1,0)</f>
        <v>0</v>
      </c>
      <c r="FF5" s="164">
        <v>0</v>
      </c>
      <c r="FG5" s="165">
        <v>0</v>
      </c>
      <c r="FH5" s="140">
        <f t="shared" si="67"/>
        <v>0</v>
      </c>
      <c r="FI5" s="164">
        <v>-0.5</v>
      </c>
      <c r="FJ5" s="12">
        <f t="shared" si="68"/>
        <v>0</v>
      </c>
      <c r="FK5" s="140">
        <f t="shared" si="69"/>
        <v>-0.5</v>
      </c>
      <c r="FL5" s="139">
        <f t="shared" si="70"/>
        <v>-0.5</v>
      </c>
      <c r="FM5" s="140">
        <f t="shared" si="71"/>
        <v>-5.259045981321063E-3</v>
      </c>
      <c r="FN5" s="183"/>
      <c r="FO5" s="108"/>
      <c r="FP5" s="14">
        <f t="shared" ref="FP5:FP24" si="113">+IF(FY5="eD",1,0)</f>
        <v>1</v>
      </c>
      <c r="FQ5" s="164">
        <v>-1</v>
      </c>
      <c r="FR5" s="165">
        <v>0</v>
      </c>
      <c r="FS5" s="140">
        <f t="shared" si="72"/>
        <v>-1</v>
      </c>
      <c r="FT5" s="164">
        <v>-0.5</v>
      </c>
      <c r="FU5" s="12">
        <f t="shared" si="73"/>
        <v>-1</v>
      </c>
      <c r="FV5" s="140">
        <f t="shared" si="74"/>
        <v>-0.52500000000000002</v>
      </c>
      <c r="FW5" s="139">
        <f t="shared" si="75"/>
        <v>-1.2016423549915778</v>
      </c>
      <c r="FX5" s="140">
        <f t="shared" si="76"/>
        <v>-1</v>
      </c>
      <c r="FY5" s="22" t="s">
        <v>336</v>
      </c>
      <c r="FZ5" s="108"/>
      <c r="GA5" s="14">
        <f t="shared" ref="GA5:GA15" si="114">+IF(GJ5="eD",1,0)</f>
        <v>0</v>
      </c>
      <c r="GB5" s="164">
        <v>0</v>
      </c>
      <c r="GC5" s="165">
        <v>0</v>
      </c>
      <c r="GD5" s="140">
        <f t="shared" si="77"/>
        <v>0</v>
      </c>
      <c r="GE5" s="164">
        <v>-0.5</v>
      </c>
      <c r="GF5" s="12">
        <f t="shared" si="78"/>
        <v>0</v>
      </c>
      <c r="GG5" s="140">
        <f t="shared" si="79"/>
        <v>-0.5</v>
      </c>
      <c r="GH5" s="139">
        <f t="shared" si="80"/>
        <v>-0.5</v>
      </c>
      <c r="GI5" s="140">
        <f t="shared" si="81"/>
        <v>-0.104024295981874</v>
      </c>
      <c r="GJ5" s="22"/>
      <c r="GK5" s="108"/>
      <c r="GL5" s="201">
        <v>1</v>
      </c>
      <c r="GM5" s="164">
        <v>-1</v>
      </c>
      <c r="GN5" s="165">
        <v>-1</v>
      </c>
      <c r="GO5" s="140">
        <f t="shared" si="82"/>
        <v>-2</v>
      </c>
      <c r="GP5" s="164">
        <v>-0.5</v>
      </c>
      <c r="GQ5" s="12">
        <f t="shared" si="83"/>
        <v>-1</v>
      </c>
      <c r="GR5" s="140">
        <f t="shared" si="84"/>
        <v>-0.52500000000000002</v>
      </c>
      <c r="GS5" s="139">
        <f t="shared" si="85"/>
        <v>-10</v>
      </c>
      <c r="GT5" s="140">
        <f t="shared" si="86"/>
        <v>-1</v>
      </c>
      <c r="GU5" s="183" t="s">
        <v>391</v>
      </c>
      <c r="GV5" s="108"/>
      <c r="GW5" s="14">
        <f t="shared" ref="GW5:GW24" si="115">+IF(HF5="eD",1,0)</f>
        <v>0</v>
      </c>
      <c r="GX5" s="164">
        <v>0</v>
      </c>
      <c r="GY5" s="165">
        <v>0</v>
      </c>
      <c r="GZ5" s="140">
        <f t="shared" si="87"/>
        <v>0</v>
      </c>
      <c r="HA5" s="164">
        <v>0</v>
      </c>
      <c r="HB5" s="12">
        <f t="shared" si="88"/>
        <v>0</v>
      </c>
      <c r="HC5" s="140">
        <f t="shared" si="89"/>
        <v>0</v>
      </c>
      <c r="HD5" s="139">
        <f t="shared" si="90"/>
        <v>0</v>
      </c>
      <c r="HE5" s="140">
        <f t="shared" si="91"/>
        <v>0</v>
      </c>
      <c r="HG5" s="108"/>
      <c r="HH5" s="14">
        <f t="shared" ref="HH5:HH18" si="116">+IF(HQ5="eD",1,0)</f>
        <v>0</v>
      </c>
      <c r="HI5" s="164">
        <v>0</v>
      </c>
      <c r="HJ5" s="165">
        <v>0</v>
      </c>
      <c r="HK5" s="140">
        <f t="shared" si="92"/>
        <v>0</v>
      </c>
      <c r="HL5" s="164">
        <v>0</v>
      </c>
      <c r="HM5" s="12">
        <f t="shared" si="93"/>
        <v>0</v>
      </c>
      <c r="HN5" s="140">
        <f t="shared" si="94"/>
        <v>0</v>
      </c>
      <c r="HO5" s="139">
        <f t="shared" si="95"/>
        <v>0</v>
      </c>
      <c r="HP5" s="140">
        <f t="shared" si="96"/>
        <v>0</v>
      </c>
      <c r="HQ5" s="183"/>
      <c r="HR5" s="108"/>
      <c r="HS5" s="14">
        <f t="shared" ref="HS5:HS24" si="117">+IF(IB5="eD",1,0)</f>
        <v>0</v>
      </c>
      <c r="HT5" s="164">
        <v>0</v>
      </c>
      <c r="HU5" s="165">
        <v>0</v>
      </c>
      <c r="HV5" s="140">
        <f t="shared" si="97"/>
        <v>0</v>
      </c>
      <c r="HW5" s="164">
        <v>0</v>
      </c>
      <c r="HX5" s="12">
        <f t="shared" si="98"/>
        <v>0</v>
      </c>
      <c r="HY5" s="140">
        <f t="shared" si="99"/>
        <v>0</v>
      </c>
      <c r="HZ5" s="139">
        <f t="shared" si="100"/>
        <v>0</v>
      </c>
      <c r="IA5" s="140">
        <f t="shared" si="101"/>
        <v>0</v>
      </c>
      <c r="IB5" s="183"/>
      <c r="IC5" s="108"/>
      <c r="ID5" s="164">
        <v>0</v>
      </c>
      <c r="IE5" s="108"/>
      <c r="IF5" s="164">
        <v>0</v>
      </c>
      <c r="IG5" s="164">
        <v>0</v>
      </c>
      <c r="IH5" s="164">
        <f t="shared" si="102"/>
        <v>0</v>
      </c>
      <c r="II5" s="108"/>
      <c r="IJ5" s="164">
        <v>0</v>
      </c>
      <c r="IK5" s="108"/>
    </row>
    <row r="6" spans="1:245" ht="15" customHeight="1">
      <c r="A6" s="91" t="s">
        <v>239</v>
      </c>
      <c r="B6" s="91" t="s">
        <v>241</v>
      </c>
      <c r="C6" s="1" t="str">
        <f>MicroModelComponents!C6</f>
        <v>CH4</v>
      </c>
      <c r="D6" s="1">
        <f>MicroModelComponents!E6</f>
        <v>-34.4</v>
      </c>
      <c r="E6" s="1">
        <f>MicroModelComponents!U6</f>
        <v>0</v>
      </c>
      <c r="F6" s="1">
        <f>MicroModelComponents!V6</f>
        <v>16</v>
      </c>
      <c r="G6" s="1">
        <f>MicroModelComponents!W6</f>
        <v>8</v>
      </c>
      <c r="H6" s="2">
        <f>MicroModelComponents!X6</f>
        <v>8</v>
      </c>
      <c r="I6" s="138"/>
      <c r="J6" s="87" t="s">
        <v>189</v>
      </c>
      <c r="K6" s="87" t="s">
        <v>189</v>
      </c>
      <c r="L6" s="43">
        <v>1E-3</v>
      </c>
      <c r="M6" s="13">
        <v>0</v>
      </c>
      <c r="N6" s="13">
        <f t="shared" si="0"/>
        <v>-51.514461062058331</v>
      </c>
      <c r="O6" s="105"/>
      <c r="P6" s="28"/>
      <c r="Q6" s="108"/>
      <c r="R6" s="14">
        <f t="shared" si="1"/>
        <v>0</v>
      </c>
      <c r="S6" s="164">
        <v>0</v>
      </c>
      <c r="T6" s="165">
        <v>0</v>
      </c>
      <c r="U6" s="140">
        <f t="shared" si="2"/>
        <v>0</v>
      </c>
      <c r="V6" s="164">
        <v>0</v>
      </c>
      <c r="W6" s="12">
        <f t="shared" si="3"/>
        <v>0</v>
      </c>
      <c r="X6" s="140">
        <f t="shared" si="4"/>
        <v>0</v>
      </c>
      <c r="Y6" s="139">
        <f t="shared" si="5"/>
        <v>0</v>
      </c>
      <c r="Z6" s="140">
        <f t="shared" si="6"/>
        <v>0</v>
      </c>
      <c r="AA6" s="28"/>
      <c r="AB6" s="108"/>
      <c r="AC6" s="14">
        <f>+IF(AL6="eD",1,0)</f>
        <v>0</v>
      </c>
      <c r="AD6" s="164">
        <v>0</v>
      </c>
      <c r="AE6" s="165">
        <v>0</v>
      </c>
      <c r="AF6" s="140">
        <f t="shared" si="7"/>
        <v>0</v>
      </c>
      <c r="AG6" s="164">
        <v>0</v>
      </c>
      <c r="AH6" s="12">
        <f t="shared" si="8"/>
        <v>0</v>
      </c>
      <c r="AI6" s="215">
        <f t="shared" si="9"/>
        <v>0</v>
      </c>
      <c r="AJ6" s="139">
        <f t="shared" si="10"/>
        <v>0</v>
      </c>
      <c r="AK6" s="140">
        <f t="shared" si="11"/>
        <v>0</v>
      </c>
      <c r="AL6" s="28"/>
      <c r="AM6" s="108"/>
      <c r="AN6" s="14">
        <f>+IF(AW6="eD",1,0)</f>
        <v>0</v>
      </c>
      <c r="AO6" s="164">
        <v>0</v>
      </c>
      <c r="AP6" s="165">
        <v>0</v>
      </c>
      <c r="AQ6" s="140">
        <f t="shared" si="12"/>
        <v>0</v>
      </c>
      <c r="AR6" s="164">
        <v>0</v>
      </c>
      <c r="AS6" s="12">
        <f t="shared" si="13"/>
        <v>0</v>
      </c>
      <c r="AT6" s="215">
        <f t="shared" si="14"/>
        <v>0</v>
      </c>
      <c r="AU6" s="139">
        <f t="shared" si="15"/>
        <v>0</v>
      </c>
      <c r="AV6" s="140">
        <f t="shared" si="16"/>
        <v>0</v>
      </c>
      <c r="AW6" s="28"/>
      <c r="AX6" s="108"/>
      <c r="AY6" s="14">
        <f t="shared" si="103"/>
        <v>0</v>
      </c>
      <c r="AZ6" s="164">
        <v>0</v>
      </c>
      <c r="BA6" s="165">
        <v>0</v>
      </c>
      <c r="BB6" s="140">
        <f t="shared" si="17"/>
        <v>0</v>
      </c>
      <c r="BC6" s="164">
        <v>0</v>
      </c>
      <c r="BD6" s="12">
        <f t="shared" si="18"/>
        <v>0</v>
      </c>
      <c r="BE6" s="140">
        <f t="shared" si="19"/>
        <v>0</v>
      </c>
      <c r="BF6" s="139">
        <f t="shared" si="20"/>
        <v>0</v>
      </c>
      <c r="BG6" s="140">
        <f t="shared" si="21"/>
        <v>0</v>
      </c>
      <c r="BH6" s="28"/>
      <c r="BI6" s="108"/>
      <c r="BJ6" s="14">
        <f t="shared" si="104"/>
        <v>0</v>
      </c>
      <c r="BK6" s="164">
        <v>0</v>
      </c>
      <c r="BL6" s="165">
        <v>0</v>
      </c>
      <c r="BM6" s="140">
        <f t="shared" si="22"/>
        <v>0</v>
      </c>
      <c r="BN6" s="164">
        <v>0</v>
      </c>
      <c r="BO6" s="12">
        <f t="shared" si="23"/>
        <v>0</v>
      </c>
      <c r="BP6" s="140">
        <f t="shared" si="24"/>
        <v>0</v>
      </c>
      <c r="BQ6" s="139">
        <f t="shared" si="25"/>
        <v>0</v>
      </c>
      <c r="BR6" s="140">
        <f t="shared" si="26"/>
        <v>0</v>
      </c>
      <c r="BS6" s="28"/>
      <c r="BT6" s="108"/>
      <c r="BU6" s="14">
        <f t="shared" ref="BU6:BU24" si="118">+IF(CD6="eD",1,0)</f>
        <v>0</v>
      </c>
      <c r="BV6" s="164">
        <v>0</v>
      </c>
      <c r="BW6" s="165">
        <v>0</v>
      </c>
      <c r="BX6" s="140">
        <f t="shared" si="27"/>
        <v>0</v>
      </c>
      <c r="BY6" s="164">
        <v>0</v>
      </c>
      <c r="BZ6" s="12">
        <f t="shared" si="28"/>
        <v>0</v>
      </c>
      <c r="CA6" s="140">
        <f t="shared" si="29"/>
        <v>0</v>
      </c>
      <c r="CB6" s="139">
        <f t="shared" si="30"/>
        <v>0</v>
      </c>
      <c r="CC6" s="140">
        <f t="shared" si="31"/>
        <v>0</v>
      </c>
      <c r="CD6" s="28"/>
      <c r="CE6" s="108"/>
      <c r="CF6" s="14">
        <f t="shared" si="105"/>
        <v>0</v>
      </c>
      <c r="CG6" s="164">
        <v>0</v>
      </c>
      <c r="CH6" s="165">
        <v>0</v>
      </c>
      <c r="CI6" s="140">
        <f t="shared" si="32"/>
        <v>0</v>
      </c>
      <c r="CJ6" s="164">
        <v>0</v>
      </c>
      <c r="CK6" s="12">
        <f t="shared" si="33"/>
        <v>0</v>
      </c>
      <c r="CL6" s="140">
        <f t="shared" si="34"/>
        <v>0</v>
      </c>
      <c r="CM6" s="139">
        <f t="shared" si="35"/>
        <v>0</v>
      </c>
      <c r="CN6" s="140">
        <f t="shared" si="36"/>
        <v>0</v>
      </c>
      <c r="CO6" s="28"/>
      <c r="CP6" s="108"/>
      <c r="CQ6" s="14">
        <f t="shared" si="106"/>
        <v>0</v>
      </c>
      <c r="CR6" s="164">
        <v>0</v>
      </c>
      <c r="CS6" s="165">
        <v>0</v>
      </c>
      <c r="CT6" s="140">
        <f t="shared" si="37"/>
        <v>0</v>
      </c>
      <c r="CU6" s="164">
        <v>0</v>
      </c>
      <c r="CV6" s="12">
        <f t="shared" si="38"/>
        <v>0</v>
      </c>
      <c r="CW6" s="140">
        <f t="shared" si="39"/>
        <v>0</v>
      </c>
      <c r="CX6" s="139">
        <f t="shared" si="40"/>
        <v>0</v>
      </c>
      <c r="CY6" s="140">
        <f t="shared" si="41"/>
        <v>0</v>
      </c>
      <c r="CZ6" s="28"/>
      <c r="DA6" s="108"/>
      <c r="DB6" s="14">
        <f t="shared" si="107"/>
        <v>0</v>
      </c>
      <c r="DC6" s="164">
        <v>0</v>
      </c>
      <c r="DD6" s="165">
        <v>0</v>
      </c>
      <c r="DE6" s="140">
        <f t="shared" si="42"/>
        <v>0</v>
      </c>
      <c r="DF6" s="164">
        <v>0</v>
      </c>
      <c r="DG6" s="12">
        <f t="shared" si="43"/>
        <v>0</v>
      </c>
      <c r="DH6" s="140">
        <f t="shared" si="44"/>
        <v>0</v>
      </c>
      <c r="DI6" s="139">
        <f t="shared" si="45"/>
        <v>0</v>
      </c>
      <c r="DJ6" s="140">
        <f t="shared" si="46"/>
        <v>0</v>
      </c>
      <c r="DL6" s="108"/>
      <c r="DM6" s="14">
        <f t="shared" si="108"/>
        <v>0</v>
      </c>
      <c r="DN6" s="164">
        <v>0</v>
      </c>
      <c r="DO6" s="165">
        <v>0</v>
      </c>
      <c r="DP6" s="140">
        <f t="shared" si="47"/>
        <v>0</v>
      </c>
      <c r="DQ6" s="164">
        <v>0</v>
      </c>
      <c r="DR6" s="12">
        <f t="shared" si="48"/>
        <v>0</v>
      </c>
      <c r="DS6" s="140">
        <f t="shared" si="49"/>
        <v>0</v>
      </c>
      <c r="DT6" s="139">
        <f t="shared" si="50"/>
        <v>0</v>
      </c>
      <c r="DU6" s="140">
        <f t="shared" si="51"/>
        <v>0</v>
      </c>
      <c r="DW6" s="108"/>
      <c r="DX6" s="14">
        <f t="shared" si="109"/>
        <v>0</v>
      </c>
      <c r="DY6" s="164">
        <v>0</v>
      </c>
      <c r="DZ6" s="165">
        <v>0</v>
      </c>
      <c r="EA6" s="140">
        <f t="shared" si="52"/>
        <v>0</v>
      </c>
      <c r="EB6" s="164">
        <v>0</v>
      </c>
      <c r="EC6" s="12">
        <f t="shared" si="53"/>
        <v>0</v>
      </c>
      <c r="ED6" s="140">
        <f t="shared" si="54"/>
        <v>0</v>
      </c>
      <c r="EE6" s="139">
        <f t="shared" si="55"/>
        <v>0</v>
      </c>
      <c r="EF6" s="140">
        <f t="shared" si="56"/>
        <v>0</v>
      </c>
      <c r="EH6" s="108"/>
      <c r="EI6" s="14">
        <f t="shared" si="110"/>
        <v>0</v>
      </c>
      <c r="EJ6" s="164">
        <v>0</v>
      </c>
      <c r="EK6" s="165">
        <v>0</v>
      </c>
      <c r="EL6" s="140">
        <f t="shared" si="57"/>
        <v>0</v>
      </c>
      <c r="EM6" s="164">
        <v>0</v>
      </c>
      <c r="EN6" s="12">
        <f t="shared" si="58"/>
        <v>0</v>
      </c>
      <c r="EO6" s="140">
        <f t="shared" si="59"/>
        <v>0</v>
      </c>
      <c r="EP6" s="139">
        <f t="shared" si="60"/>
        <v>0</v>
      </c>
      <c r="EQ6" s="140">
        <f t="shared" si="61"/>
        <v>0</v>
      </c>
      <c r="ES6" s="108"/>
      <c r="ET6" s="14">
        <f t="shared" si="111"/>
        <v>0</v>
      </c>
      <c r="EU6" s="164">
        <v>0</v>
      </c>
      <c r="EV6" s="165">
        <v>0</v>
      </c>
      <c r="EW6" s="140">
        <f t="shared" si="62"/>
        <v>0</v>
      </c>
      <c r="EX6" s="164">
        <v>0</v>
      </c>
      <c r="EY6" s="12">
        <f t="shared" si="63"/>
        <v>0</v>
      </c>
      <c r="EZ6" s="140">
        <f t="shared" si="64"/>
        <v>0</v>
      </c>
      <c r="FA6" s="139">
        <f t="shared" si="65"/>
        <v>0</v>
      </c>
      <c r="FB6" s="140">
        <f t="shared" si="66"/>
        <v>0</v>
      </c>
      <c r="FD6" s="108"/>
      <c r="FE6" s="14">
        <f t="shared" si="112"/>
        <v>0</v>
      </c>
      <c r="FF6" s="164">
        <v>0</v>
      </c>
      <c r="FG6" s="165">
        <v>0</v>
      </c>
      <c r="FH6" s="140">
        <f t="shared" si="67"/>
        <v>0</v>
      </c>
      <c r="FI6" s="164">
        <v>0</v>
      </c>
      <c r="FJ6" s="12">
        <f t="shared" si="68"/>
        <v>0</v>
      </c>
      <c r="FK6" s="140">
        <f t="shared" si="69"/>
        <v>0</v>
      </c>
      <c r="FL6" s="139">
        <f t="shared" si="70"/>
        <v>0</v>
      </c>
      <c r="FM6" s="140">
        <f t="shared" si="71"/>
        <v>0</v>
      </c>
      <c r="FO6" s="108"/>
      <c r="FP6" s="14">
        <f t="shared" si="113"/>
        <v>0</v>
      </c>
      <c r="FQ6" s="164">
        <v>0</v>
      </c>
      <c r="FR6" s="165">
        <v>0</v>
      </c>
      <c r="FS6" s="140">
        <f t="shared" si="72"/>
        <v>0</v>
      </c>
      <c r="FT6" s="164">
        <v>0</v>
      </c>
      <c r="FU6" s="12">
        <f t="shared" si="73"/>
        <v>0</v>
      </c>
      <c r="FV6" s="140">
        <f t="shared" si="74"/>
        <v>0</v>
      </c>
      <c r="FW6" s="139">
        <f t="shared" si="75"/>
        <v>0</v>
      </c>
      <c r="FX6" s="140">
        <f t="shared" si="76"/>
        <v>0</v>
      </c>
      <c r="FZ6" s="108"/>
      <c r="GA6" s="14">
        <f t="shared" si="114"/>
        <v>0</v>
      </c>
      <c r="GB6" s="164">
        <v>0</v>
      </c>
      <c r="GC6" s="165">
        <v>0</v>
      </c>
      <c r="GD6" s="140">
        <f t="shared" si="77"/>
        <v>0</v>
      </c>
      <c r="GE6" s="164">
        <v>0</v>
      </c>
      <c r="GF6" s="12">
        <f t="shared" si="78"/>
        <v>0</v>
      </c>
      <c r="GG6" s="140">
        <f t="shared" si="79"/>
        <v>0</v>
      </c>
      <c r="GH6" s="139">
        <f t="shared" si="80"/>
        <v>0</v>
      </c>
      <c r="GI6" s="140">
        <f t="shared" si="81"/>
        <v>0</v>
      </c>
      <c r="GK6" s="108"/>
      <c r="GL6" s="14">
        <f t="shared" ref="GL6:GL24" si="119">+IF(GU6="eD",1,0)</f>
        <v>0</v>
      </c>
      <c r="GM6" s="164">
        <v>0</v>
      </c>
      <c r="GN6" s="165">
        <v>2</v>
      </c>
      <c r="GO6" s="140">
        <f t="shared" si="82"/>
        <v>2</v>
      </c>
      <c r="GP6" s="164">
        <v>0</v>
      </c>
      <c r="GQ6" s="12">
        <f t="shared" si="83"/>
        <v>0</v>
      </c>
      <c r="GR6" s="140">
        <f t="shared" si="84"/>
        <v>0</v>
      </c>
      <c r="GS6" s="139">
        <f t="shared" si="85"/>
        <v>9.4749999999999996</v>
      </c>
      <c r="GT6" s="140">
        <f t="shared" si="86"/>
        <v>0.94750000000000001</v>
      </c>
      <c r="GU6" s="28"/>
      <c r="GV6" s="108"/>
      <c r="GW6" s="14">
        <f t="shared" si="115"/>
        <v>0</v>
      </c>
      <c r="GX6" s="164">
        <v>0</v>
      </c>
      <c r="GY6" s="165">
        <v>1</v>
      </c>
      <c r="GZ6" s="140">
        <f t="shared" si="87"/>
        <v>0.25</v>
      </c>
      <c r="HA6" s="164">
        <v>0</v>
      </c>
      <c r="HB6" s="12">
        <f t="shared" si="88"/>
        <v>0</v>
      </c>
      <c r="HC6" s="140">
        <f t="shared" si="89"/>
        <v>0</v>
      </c>
      <c r="HD6" s="139">
        <f t="shared" si="90"/>
        <v>7.8083333333333345</v>
      </c>
      <c r="HE6" s="140">
        <f t="shared" si="91"/>
        <v>0.23425000000000001</v>
      </c>
      <c r="HF6" s="28"/>
      <c r="HG6" s="108"/>
      <c r="HH6" s="14">
        <f t="shared" si="116"/>
        <v>1</v>
      </c>
      <c r="HI6" s="164">
        <v>-1</v>
      </c>
      <c r="HJ6" s="165">
        <v>0</v>
      </c>
      <c r="HK6" s="140">
        <f t="shared" si="92"/>
        <v>-1</v>
      </c>
      <c r="HL6" s="164">
        <v>-1</v>
      </c>
      <c r="HM6" s="12">
        <f t="shared" si="93"/>
        <v>0</v>
      </c>
      <c r="HN6" s="140">
        <f t="shared" si="94"/>
        <v>-1</v>
      </c>
      <c r="HO6" s="139">
        <f t="shared" si="95"/>
        <v>-1.8625870589358837</v>
      </c>
      <c r="HP6" s="140">
        <f t="shared" si="96"/>
        <v>-1</v>
      </c>
      <c r="HQ6" s="22" t="s">
        <v>336</v>
      </c>
      <c r="HR6" s="108"/>
      <c r="HS6" s="14">
        <f t="shared" si="117"/>
        <v>1</v>
      </c>
      <c r="HT6" s="164">
        <v>-1</v>
      </c>
      <c r="HU6" s="165">
        <v>0</v>
      </c>
      <c r="HV6" s="140">
        <f t="shared" si="97"/>
        <v>-1</v>
      </c>
      <c r="HW6" s="164">
        <v>-1</v>
      </c>
      <c r="HX6" s="12">
        <f t="shared" si="98"/>
        <v>0</v>
      </c>
      <c r="HY6" s="140">
        <f t="shared" si="99"/>
        <v>-1</v>
      </c>
      <c r="HZ6" s="139">
        <f t="shared" si="100"/>
        <v>-39.69352503167984</v>
      </c>
      <c r="IA6" s="140">
        <f t="shared" si="101"/>
        <v>-1</v>
      </c>
      <c r="IB6" s="22" t="s">
        <v>336</v>
      </c>
      <c r="IC6" s="108"/>
      <c r="ID6" s="164">
        <v>0</v>
      </c>
      <c r="IE6" s="108"/>
      <c r="IF6" s="164">
        <v>0</v>
      </c>
      <c r="IG6" s="164">
        <v>0</v>
      </c>
      <c r="IH6" s="164">
        <f t="shared" si="102"/>
        <v>0</v>
      </c>
      <c r="II6" s="108"/>
      <c r="IJ6" s="164">
        <v>0</v>
      </c>
      <c r="IK6" s="108"/>
    </row>
    <row r="7" spans="1:245" ht="15" customHeight="1">
      <c r="A7" s="91" t="s">
        <v>239</v>
      </c>
      <c r="B7" s="91" t="s">
        <v>241</v>
      </c>
      <c r="C7" s="14" t="str">
        <f>MicroModelComponents!C7</f>
        <v>CO2</v>
      </c>
      <c r="D7" s="1">
        <f>MicroModelComponents!E7</f>
        <v>-386</v>
      </c>
      <c r="E7" s="1">
        <f>MicroModelComponents!U7</f>
        <v>0</v>
      </c>
      <c r="F7" s="1">
        <f>MicroModelComponents!V7</f>
        <v>44</v>
      </c>
      <c r="G7" s="1">
        <f>MicroModelComponents!W7</f>
        <v>0</v>
      </c>
      <c r="H7" s="2">
        <f>MicroModelComponents!X7</f>
        <v>0</v>
      </c>
      <c r="J7" s="87" t="s">
        <v>189</v>
      </c>
      <c r="K7" s="43">
        <v>0.01</v>
      </c>
      <c r="L7" s="104">
        <f>K7*$L$21^2/(MicroModelComponents!AE7*MicroModelComponents!AD7+MicroModelComponents!AE7*$L$21+$L$21^2)</f>
        <v>1.8615628172918292E-3</v>
      </c>
      <c r="M7" s="13">
        <v>0</v>
      </c>
      <c r="N7" s="13">
        <f t="shared" si="0"/>
        <v>-401.57485728995266</v>
      </c>
      <c r="O7" s="105"/>
      <c r="P7" s="203" t="s">
        <v>336</v>
      </c>
      <c r="Q7" s="108"/>
      <c r="R7" s="14">
        <f t="shared" si="1"/>
        <v>0</v>
      </c>
      <c r="S7" s="164">
        <v>2</v>
      </c>
      <c r="T7" s="165">
        <v>0</v>
      </c>
      <c r="U7" s="140">
        <f t="shared" si="2"/>
        <v>2</v>
      </c>
      <c r="V7" s="164">
        <v>0</v>
      </c>
      <c r="W7" s="12">
        <f t="shared" si="3"/>
        <v>2</v>
      </c>
      <c r="X7" s="140">
        <f t="shared" si="4"/>
        <v>0.05</v>
      </c>
      <c r="Y7" s="139">
        <f t="shared" si="5"/>
        <v>3</v>
      </c>
      <c r="Z7" s="140">
        <f t="shared" si="6"/>
        <v>1.7999999999999998</v>
      </c>
      <c r="AB7" s="108"/>
      <c r="AC7" s="14">
        <f>+IF(AL7="eD",1,0)</f>
        <v>0</v>
      </c>
      <c r="AD7" s="164">
        <v>6</v>
      </c>
      <c r="AE7" s="165">
        <v>0</v>
      </c>
      <c r="AF7" s="140">
        <f t="shared" si="7"/>
        <v>6</v>
      </c>
      <c r="AG7" s="164">
        <v>0</v>
      </c>
      <c r="AH7" s="12">
        <f t="shared" si="8"/>
        <v>6</v>
      </c>
      <c r="AI7" s="215">
        <f t="shared" si="9"/>
        <v>0.05</v>
      </c>
      <c r="AJ7" s="139">
        <f t="shared" si="10"/>
        <v>0.53585351596898356</v>
      </c>
      <c r="AK7" s="140">
        <f t="shared" si="11"/>
        <v>2.0933774363145909</v>
      </c>
      <c r="AM7" s="108"/>
      <c r="AN7" s="14">
        <f>+IF(AW7="eD",1,0)</f>
        <v>0</v>
      </c>
      <c r="AO7" s="164">
        <v>2</v>
      </c>
      <c r="AP7" s="165">
        <v>0</v>
      </c>
      <c r="AQ7" s="140">
        <f t="shared" si="12"/>
        <v>2</v>
      </c>
      <c r="AR7" s="164">
        <v>0</v>
      </c>
      <c r="AS7" s="12">
        <f t="shared" si="13"/>
        <v>2</v>
      </c>
      <c r="AT7" s="215">
        <f t="shared" si="14"/>
        <v>0.05</v>
      </c>
      <c r="AU7" s="139">
        <f t="shared" si="15"/>
        <v>1.169460694288589</v>
      </c>
      <c r="AV7" s="140">
        <f t="shared" si="16"/>
        <v>1.0781118988395217</v>
      </c>
      <c r="AX7" s="108"/>
      <c r="AY7" s="14">
        <f t="shared" si="103"/>
        <v>0</v>
      </c>
      <c r="AZ7" s="164">
        <v>0</v>
      </c>
      <c r="BA7" s="165">
        <v>0</v>
      </c>
      <c r="BB7" s="140">
        <f t="shared" si="17"/>
        <v>0</v>
      </c>
      <c r="BC7" s="164">
        <v>-1</v>
      </c>
      <c r="BD7" s="12">
        <f t="shared" si="18"/>
        <v>0</v>
      </c>
      <c r="BE7" s="140">
        <f t="shared" si="19"/>
        <v>-1</v>
      </c>
      <c r="BF7" s="139">
        <f t="shared" si="20"/>
        <v>-1</v>
      </c>
      <c r="BG7" s="140">
        <f t="shared" si="21"/>
        <v>-7.2794774775357188E-2</v>
      </c>
      <c r="BI7" s="108"/>
      <c r="BJ7" s="14">
        <f t="shared" si="104"/>
        <v>0</v>
      </c>
      <c r="BK7" s="164">
        <v>0</v>
      </c>
      <c r="BL7" s="165">
        <v>0</v>
      </c>
      <c r="BM7" s="140">
        <f t="shared" si="22"/>
        <v>0</v>
      </c>
      <c r="BN7" s="164">
        <v>-1</v>
      </c>
      <c r="BO7" s="12">
        <f t="shared" si="23"/>
        <v>0</v>
      </c>
      <c r="BP7" s="140">
        <f t="shared" si="24"/>
        <v>-1</v>
      </c>
      <c r="BQ7" s="139">
        <f t="shared" si="25"/>
        <v>-1</v>
      </c>
      <c r="BR7" s="140">
        <f t="shared" si="26"/>
        <v>-2.1487798659852262E-2</v>
      </c>
      <c r="BT7" s="108"/>
      <c r="BU7" s="14">
        <f t="shared" si="118"/>
        <v>0</v>
      </c>
      <c r="BV7" s="164">
        <v>6</v>
      </c>
      <c r="BW7" s="165">
        <v>0</v>
      </c>
      <c r="BX7" s="140">
        <f t="shared" si="27"/>
        <v>6</v>
      </c>
      <c r="BY7" s="164">
        <v>0</v>
      </c>
      <c r="BZ7" s="12">
        <f t="shared" si="28"/>
        <v>6</v>
      </c>
      <c r="CA7" s="140">
        <f t="shared" si="29"/>
        <v>0.44999999999999996</v>
      </c>
      <c r="CB7" s="139">
        <f t="shared" si="30"/>
        <v>0.71596810553729906</v>
      </c>
      <c r="CC7" s="140">
        <f t="shared" si="31"/>
        <v>2.5034315144678656</v>
      </c>
      <c r="CE7" s="108"/>
      <c r="CF7" s="14">
        <f t="shared" si="105"/>
        <v>0</v>
      </c>
      <c r="CG7" s="164">
        <v>2</v>
      </c>
      <c r="CH7" s="165">
        <v>0</v>
      </c>
      <c r="CI7" s="140">
        <f t="shared" si="32"/>
        <v>2</v>
      </c>
      <c r="CJ7" s="164">
        <v>0</v>
      </c>
      <c r="CK7" s="12">
        <f t="shared" si="33"/>
        <v>2</v>
      </c>
      <c r="CL7" s="140">
        <f t="shared" si="34"/>
        <v>0.45</v>
      </c>
      <c r="CM7" s="139">
        <f t="shared" si="35"/>
        <v>1.4419999737393068</v>
      </c>
      <c r="CN7" s="140">
        <f t="shared" si="36"/>
        <v>1.1809991721918387</v>
      </c>
      <c r="CP7" s="108"/>
      <c r="CQ7" s="14">
        <f t="shared" si="106"/>
        <v>0</v>
      </c>
      <c r="CR7" s="164">
        <v>0</v>
      </c>
      <c r="CS7" s="165">
        <v>0</v>
      </c>
      <c r="CT7" s="140">
        <f t="shared" si="37"/>
        <v>0</v>
      </c>
      <c r="CU7" s="164">
        <v>0</v>
      </c>
      <c r="CV7" s="12">
        <f t="shared" si="38"/>
        <v>0</v>
      </c>
      <c r="CW7" s="140">
        <f t="shared" si="39"/>
        <v>0</v>
      </c>
      <c r="CX7" s="139">
        <f t="shared" si="40"/>
        <v>0</v>
      </c>
      <c r="CY7" s="140">
        <f t="shared" si="41"/>
        <v>0</v>
      </c>
      <c r="DA7" s="108"/>
      <c r="DB7" s="14">
        <f t="shared" si="107"/>
        <v>0</v>
      </c>
      <c r="DC7" s="164">
        <v>2</v>
      </c>
      <c r="DD7" s="165">
        <v>0</v>
      </c>
      <c r="DE7" s="140">
        <f t="shared" si="42"/>
        <v>2</v>
      </c>
      <c r="DF7" s="164">
        <v>0</v>
      </c>
      <c r="DG7" s="12">
        <f t="shared" si="43"/>
        <v>2</v>
      </c>
      <c r="DH7" s="140">
        <f t="shared" si="44"/>
        <v>0.05</v>
      </c>
      <c r="DI7" s="139">
        <f t="shared" si="45"/>
        <v>24.162498877686204</v>
      </c>
      <c r="DJ7" s="140">
        <f t="shared" si="46"/>
        <v>1.9205166382829499</v>
      </c>
      <c r="DL7" s="108"/>
      <c r="DM7" s="14">
        <f t="shared" si="108"/>
        <v>0</v>
      </c>
      <c r="DN7" s="164">
        <v>0</v>
      </c>
      <c r="DO7" s="165">
        <v>0</v>
      </c>
      <c r="DP7" s="140">
        <f t="shared" si="47"/>
        <v>0</v>
      </c>
      <c r="DQ7" s="164">
        <v>0</v>
      </c>
      <c r="DR7" s="12">
        <f t="shared" si="48"/>
        <v>0</v>
      </c>
      <c r="DS7" s="140">
        <f t="shared" si="49"/>
        <v>0</v>
      </c>
      <c r="DT7" s="139">
        <f t="shared" si="50"/>
        <v>0</v>
      </c>
      <c r="DU7" s="140">
        <f t="shared" si="51"/>
        <v>0</v>
      </c>
      <c r="DW7" s="108"/>
      <c r="DX7" s="14">
        <f t="shared" si="109"/>
        <v>0</v>
      </c>
      <c r="DY7" s="164">
        <v>0</v>
      </c>
      <c r="DZ7" s="165">
        <v>0</v>
      </c>
      <c r="EA7" s="140">
        <f t="shared" si="52"/>
        <v>0</v>
      </c>
      <c r="EB7" s="164">
        <v>-1</v>
      </c>
      <c r="EC7" s="12">
        <f t="shared" si="53"/>
        <v>0</v>
      </c>
      <c r="ED7" s="140">
        <f t="shared" si="54"/>
        <v>-1</v>
      </c>
      <c r="EE7" s="139">
        <f t="shared" si="55"/>
        <v>-1</v>
      </c>
      <c r="EF7" s="140">
        <f t="shared" si="56"/>
        <v>-0.56331509802276736</v>
      </c>
      <c r="EH7" s="108"/>
      <c r="EI7" s="14">
        <f t="shared" si="110"/>
        <v>0</v>
      </c>
      <c r="EJ7" s="164">
        <v>0</v>
      </c>
      <c r="EK7" s="165">
        <v>0</v>
      </c>
      <c r="EL7" s="140">
        <f t="shared" si="57"/>
        <v>0</v>
      </c>
      <c r="EM7" s="164">
        <v>-1</v>
      </c>
      <c r="EN7" s="12">
        <f t="shared" si="58"/>
        <v>0</v>
      </c>
      <c r="EO7" s="140">
        <f t="shared" si="59"/>
        <v>-1</v>
      </c>
      <c r="EP7" s="139">
        <f t="shared" si="60"/>
        <v>-1</v>
      </c>
      <c r="EQ7" s="140">
        <f t="shared" si="61"/>
        <v>-0.50056602170578135</v>
      </c>
      <c r="ES7" s="108"/>
      <c r="ET7" s="14">
        <f t="shared" si="111"/>
        <v>0</v>
      </c>
      <c r="EU7" s="164">
        <v>0</v>
      </c>
      <c r="EV7" s="165">
        <v>0</v>
      </c>
      <c r="EW7" s="140">
        <f t="shared" si="62"/>
        <v>0</v>
      </c>
      <c r="EX7" s="164">
        <v>0</v>
      </c>
      <c r="EY7" s="12">
        <f t="shared" si="63"/>
        <v>0</v>
      </c>
      <c r="EZ7" s="140">
        <f t="shared" si="64"/>
        <v>0</v>
      </c>
      <c r="FA7" s="139">
        <f t="shared" si="65"/>
        <v>0</v>
      </c>
      <c r="FB7" s="140">
        <f t="shared" si="66"/>
        <v>0</v>
      </c>
      <c r="FD7" s="108"/>
      <c r="FE7" s="14">
        <f t="shared" si="112"/>
        <v>0</v>
      </c>
      <c r="FF7" s="164">
        <v>0</v>
      </c>
      <c r="FG7" s="165">
        <v>0</v>
      </c>
      <c r="FH7" s="140">
        <f t="shared" si="67"/>
        <v>0</v>
      </c>
      <c r="FI7" s="164">
        <v>0</v>
      </c>
      <c r="FJ7" s="12">
        <f t="shared" si="68"/>
        <v>0</v>
      </c>
      <c r="FK7" s="140">
        <f t="shared" si="69"/>
        <v>0</v>
      </c>
      <c r="FL7" s="139">
        <f t="shared" si="70"/>
        <v>0</v>
      </c>
      <c r="FM7" s="140">
        <f t="shared" si="71"/>
        <v>0</v>
      </c>
      <c r="FO7" s="108"/>
      <c r="FP7" s="14">
        <f t="shared" si="113"/>
        <v>0</v>
      </c>
      <c r="FQ7" s="164">
        <v>2</v>
      </c>
      <c r="FR7" s="165">
        <v>0</v>
      </c>
      <c r="FS7" s="140">
        <f t="shared" si="72"/>
        <v>2</v>
      </c>
      <c r="FT7" s="164">
        <v>0</v>
      </c>
      <c r="FU7" s="12">
        <f t="shared" si="73"/>
        <v>2</v>
      </c>
      <c r="FV7" s="140">
        <f t="shared" si="74"/>
        <v>0.05</v>
      </c>
      <c r="FW7" s="139">
        <f t="shared" si="75"/>
        <v>1.4032847099831556</v>
      </c>
      <c r="FX7" s="140">
        <f t="shared" si="76"/>
        <v>1.1678056321450079</v>
      </c>
      <c r="FZ7" s="108"/>
      <c r="GA7" s="14">
        <f t="shared" si="114"/>
        <v>0</v>
      </c>
      <c r="GB7" s="164">
        <v>0</v>
      </c>
      <c r="GC7" s="165">
        <v>0</v>
      </c>
      <c r="GD7" s="140">
        <f t="shared" si="77"/>
        <v>0</v>
      </c>
      <c r="GE7" s="164">
        <v>0</v>
      </c>
      <c r="GF7" s="12">
        <f t="shared" si="78"/>
        <v>0</v>
      </c>
      <c r="GG7" s="140">
        <f t="shared" si="79"/>
        <v>0</v>
      </c>
      <c r="GH7" s="139">
        <f t="shared" si="80"/>
        <v>0</v>
      </c>
      <c r="GI7" s="140">
        <f t="shared" si="81"/>
        <v>0</v>
      </c>
      <c r="GK7" s="108"/>
      <c r="GL7" s="14">
        <f t="shared" si="119"/>
        <v>0</v>
      </c>
      <c r="GM7" s="164">
        <v>2</v>
      </c>
      <c r="GN7" s="165">
        <v>0</v>
      </c>
      <c r="GO7" s="140">
        <f t="shared" si="82"/>
        <v>2</v>
      </c>
      <c r="GP7" s="164">
        <v>0</v>
      </c>
      <c r="GQ7" s="12">
        <f t="shared" si="83"/>
        <v>2</v>
      </c>
      <c r="GR7" s="140">
        <f t="shared" si="84"/>
        <v>0.05</v>
      </c>
      <c r="GS7" s="139">
        <f t="shared" si="85"/>
        <v>9.5250000000000004</v>
      </c>
      <c r="GT7" s="140">
        <f t="shared" si="86"/>
        <v>0.95250000000000001</v>
      </c>
      <c r="GV7" s="108"/>
      <c r="GW7" s="14">
        <f t="shared" si="115"/>
        <v>0</v>
      </c>
      <c r="GX7" s="164">
        <v>0</v>
      </c>
      <c r="GY7" s="165">
        <v>-1</v>
      </c>
      <c r="GZ7" s="140">
        <f t="shared" si="87"/>
        <v>-0.25</v>
      </c>
      <c r="HA7" s="164">
        <v>-1</v>
      </c>
      <c r="HB7" s="12">
        <f t="shared" si="88"/>
        <v>0</v>
      </c>
      <c r="HC7" s="140">
        <f t="shared" si="89"/>
        <v>-1</v>
      </c>
      <c r="HD7" s="139">
        <f t="shared" si="90"/>
        <v>-8.8083333333333336</v>
      </c>
      <c r="HE7" s="140">
        <f t="shared" si="91"/>
        <v>-0.26424999999999998</v>
      </c>
      <c r="HF7" s="180" t="s">
        <v>338</v>
      </c>
      <c r="HG7" s="108"/>
      <c r="HH7" s="14">
        <f t="shared" si="116"/>
        <v>0</v>
      </c>
      <c r="HI7" s="164">
        <v>1</v>
      </c>
      <c r="HJ7" s="165">
        <v>0</v>
      </c>
      <c r="HK7" s="140">
        <f t="shared" si="92"/>
        <v>1</v>
      </c>
      <c r="HL7" s="164">
        <v>0</v>
      </c>
      <c r="HM7" s="12">
        <f t="shared" si="93"/>
        <v>0</v>
      </c>
      <c r="HN7" s="140">
        <f t="shared" si="94"/>
        <v>0</v>
      </c>
      <c r="HO7" s="139">
        <f t="shared" si="95"/>
        <v>0.86258705893588361</v>
      </c>
      <c r="HP7" s="140">
        <f t="shared" si="96"/>
        <v>0.46311234409020807</v>
      </c>
      <c r="HR7" s="108"/>
      <c r="HS7" s="14">
        <f t="shared" si="117"/>
        <v>0</v>
      </c>
      <c r="HT7" s="164">
        <v>1</v>
      </c>
      <c r="HU7" s="165">
        <v>0</v>
      </c>
      <c r="HV7" s="140">
        <f t="shared" si="97"/>
        <v>1</v>
      </c>
      <c r="HW7" s="164">
        <v>0</v>
      </c>
      <c r="HX7" s="12">
        <f t="shared" si="98"/>
        <v>0</v>
      </c>
      <c r="HY7" s="140">
        <f t="shared" si="99"/>
        <v>0</v>
      </c>
      <c r="HZ7" s="139">
        <f t="shared" si="100"/>
        <v>38.69352503167984</v>
      </c>
      <c r="IA7" s="140">
        <f t="shared" si="101"/>
        <v>0.97480697420544316</v>
      </c>
      <c r="IC7" s="108"/>
      <c r="ID7" s="164">
        <v>0</v>
      </c>
      <c r="IE7" s="108"/>
      <c r="IF7" s="164">
        <v>0</v>
      </c>
      <c r="IG7" s="164">
        <v>0</v>
      </c>
      <c r="IH7" s="164">
        <f t="shared" si="102"/>
        <v>0</v>
      </c>
      <c r="II7" s="108"/>
      <c r="IJ7" s="164">
        <v>0</v>
      </c>
      <c r="IK7" s="108"/>
    </row>
    <row r="8" spans="1:245" ht="15" customHeight="1">
      <c r="A8" s="91" t="s">
        <v>239</v>
      </c>
      <c r="B8" s="91" t="s">
        <v>241</v>
      </c>
      <c r="C8" s="1" t="str">
        <f>MicroModelComponents!C8</f>
        <v>H2</v>
      </c>
      <c r="D8" s="1">
        <f>MicroModelComponents!E8</f>
        <v>17.55</v>
      </c>
      <c r="E8" s="1">
        <f>MicroModelComponents!U8</f>
        <v>0</v>
      </c>
      <c r="F8" s="1">
        <f>MicroModelComponents!V8</f>
        <v>2</v>
      </c>
      <c r="G8" s="1">
        <f>MicroModelComponents!W8</f>
        <v>2</v>
      </c>
      <c r="H8" s="2">
        <f>MicroModelComponents!X8</f>
        <v>2</v>
      </c>
      <c r="J8" s="43">
        <v>0.01</v>
      </c>
      <c r="K8" s="87" t="s">
        <v>189</v>
      </c>
      <c r="L8" s="104">
        <f>EXP(-D8/($C$27*$C$28))*J8</f>
        <v>8.3879189202260627E-6</v>
      </c>
      <c r="M8" s="13">
        <v>0</v>
      </c>
      <c r="N8" s="13">
        <f t="shared" si="0"/>
        <v>-11.409640708038889</v>
      </c>
      <c r="O8" s="105"/>
      <c r="P8" s="28"/>
      <c r="Q8" s="108"/>
      <c r="R8" s="14">
        <f t="shared" si="1"/>
        <v>0</v>
      </c>
      <c r="S8" s="164">
        <v>0</v>
      </c>
      <c r="T8" s="165">
        <v>4</v>
      </c>
      <c r="U8" s="140">
        <f t="shared" si="2"/>
        <v>4</v>
      </c>
      <c r="V8" s="164">
        <v>0</v>
      </c>
      <c r="W8" s="12">
        <f t="shared" si="3"/>
        <v>0</v>
      </c>
      <c r="X8" s="140">
        <f t="shared" si="4"/>
        <v>0</v>
      </c>
      <c r="Y8" s="139">
        <f t="shared" si="5"/>
        <v>5.9</v>
      </c>
      <c r="Z8" s="140">
        <f t="shared" si="6"/>
        <v>3.54</v>
      </c>
      <c r="AA8" s="28"/>
      <c r="AB8" s="108"/>
      <c r="AC8" s="14">
        <f>+IF(AL8="eD",1,0)</f>
        <v>0</v>
      </c>
      <c r="AD8" s="164">
        <v>0</v>
      </c>
      <c r="AE8" s="165">
        <v>0</v>
      </c>
      <c r="AF8" s="140">
        <f t="shared" si="7"/>
        <v>0</v>
      </c>
      <c r="AG8" s="164">
        <v>0</v>
      </c>
      <c r="AH8" s="12">
        <f t="shared" si="8"/>
        <v>0</v>
      </c>
      <c r="AI8" s="215">
        <f t="shared" si="9"/>
        <v>0</v>
      </c>
      <c r="AJ8" s="139">
        <f t="shared" si="10"/>
        <v>0</v>
      </c>
      <c r="AK8" s="140">
        <f t="shared" si="11"/>
        <v>0</v>
      </c>
      <c r="AL8" s="28"/>
      <c r="AM8" s="108"/>
      <c r="AN8" s="14">
        <f>+IF(AW8="eD",1,0)</f>
        <v>0</v>
      </c>
      <c r="AO8" s="164">
        <v>0</v>
      </c>
      <c r="AP8" s="165">
        <v>0</v>
      </c>
      <c r="AQ8" s="140">
        <f t="shared" si="12"/>
        <v>0</v>
      </c>
      <c r="AR8" s="164">
        <v>0</v>
      </c>
      <c r="AS8" s="12">
        <f t="shared" si="13"/>
        <v>0</v>
      </c>
      <c r="AT8" s="215">
        <f t="shared" si="14"/>
        <v>0</v>
      </c>
      <c r="AU8" s="139">
        <f t="shared" si="15"/>
        <v>0</v>
      </c>
      <c r="AV8" s="140">
        <f t="shared" si="16"/>
        <v>0</v>
      </c>
      <c r="AW8" s="28"/>
      <c r="AX8" s="108"/>
      <c r="AY8" s="14">
        <f t="shared" si="103"/>
        <v>0</v>
      </c>
      <c r="AZ8" s="164">
        <v>0</v>
      </c>
      <c r="BA8" s="165">
        <v>0</v>
      </c>
      <c r="BB8" s="140">
        <f t="shared" si="17"/>
        <v>0</v>
      </c>
      <c r="BC8" s="164">
        <v>0</v>
      </c>
      <c r="BD8" s="12">
        <f t="shared" si="18"/>
        <v>0</v>
      </c>
      <c r="BE8" s="140">
        <f t="shared" si="19"/>
        <v>0</v>
      </c>
      <c r="BF8" s="139">
        <f t="shared" si="20"/>
        <v>0</v>
      </c>
      <c r="BG8" s="140">
        <f t="shared" si="21"/>
        <v>0</v>
      </c>
      <c r="BH8" s="28"/>
      <c r="BI8" s="108"/>
      <c r="BJ8" s="14">
        <f t="shared" si="104"/>
        <v>0</v>
      </c>
      <c r="BK8" s="164">
        <v>0</v>
      </c>
      <c r="BL8" s="165">
        <v>0</v>
      </c>
      <c r="BM8" s="140">
        <f t="shared" si="22"/>
        <v>0</v>
      </c>
      <c r="BN8" s="164">
        <v>0</v>
      </c>
      <c r="BO8" s="12">
        <f t="shared" si="23"/>
        <v>0</v>
      </c>
      <c r="BP8" s="140">
        <f t="shared" si="24"/>
        <v>0</v>
      </c>
      <c r="BQ8" s="139">
        <f t="shared" si="25"/>
        <v>0</v>
      </c>
      <c r="BR8" s="140">
        <f t="shared" si="26"/>
        <v>0</v>
      </c>
      <c r="BS8" s="28"/>
      <c r="BT8" s="108"/>
      <c r="BU8" s="14">
        <f t="shared" si="118"/>
        <v>0</v>
      </c>
      <c r="BV8" s="164">
        <v>0</v>
      </c>
      <c r="BW8" s="165">
        <v>0</v>
      </c>
      <c r="BX8" s="140">
        <f t="shared" si="27"/>
        <v>0</v>
      </c>
      <c r="BY8" s="164">
        <v>0</v>
      </c>
      <c r="BZ8" s="12">
        <f t="shared" si="28"/>
        <v>0</v>
      </c>
      <c r="CA8" s="140">
        <f t="shared" si="29"/>
        <v>0</v>
      </c>
      <c r="CB8" s="139">
        <f t="shared" si="30"/>
        <v>0</v>
      </c>
      <c r="CC8" s="140">
        <f t="shared" si="31"/>
        <v>0</v>
      </c>
      <c r="CD8" s="28"/>
      <c r="CE8" s="108"/>
      <c r="CF8" s="14">
        <f t="shared" si="105"/>
        <v>0</v>
      </c>
      <c r="CG8" s="164">
        <v>0</v>
      </c>
      <c r="CH8" s="165">
        <v>0</v>
      </c>
      <c r="CI8" s="140">
        <f t="shared" si="32"/>
        <v>0</v>
      </c>
      <c r="CJ8" s="164">
        <v>0</v>
      </c>
      <c r="CK8" s="12">
        <f t="shared" si="33"/>
        <v>0</v>
      </c>
      <c r="CL8" s="140">
        <f t="shared" si="34"/>
        <v>0</v>
      </c>
      <c r="CM8" s="139">
        <f t="shared" si="35"/>
        <v>0</v>
      </c>
      <c r="CN8" s="140">
        <f t="shared" si="36"/>
        <v>0</v>
      </c>
      <c r="CO8" s="28"/>
      <c r="CP8" s="108"/>
      <c r="CQ8" s="14">
        <f t="shared" si="106"/>
        <v>1</v>
      </c>
      <c r="CR8" s="164">
        <v>-1</v>
      </c>
      <c r="CS8" s="165">
        <v>0</v>
      </c>
      <c r="CT8" s="140">
        <f t="shared" si="37"/>
        <v>-1</v>
      </c>
      <c r="CU8" s="164">
        <v>0</v>
      </c>
      <c r="CV8" s="12">
        <f t="shared" si="38"/>
        <v>-1</v>
      </c>
      <c r="CW8" s="140">
        <f t="shared" si="39"/>
        <v>-0.9</v>
      </c>
      <c r="CX8" s="139">
        <f t="shared" si="40"/>
        <v>-4.8839999474786131</v>
      </c>
      <c r="CY8" s="140">
        <f t="shared" si="41"/>
        <v>-1</v>
      </c>
      <c r="CZ8" s="22" t="s">
        <v>336</v>
      </c>
      <c r="DA8" s="108"/>
      <c r="DB8" s="14">
        <f t="shared" si="107"/>
        <v>0</v>
      </c>
      <c r="DC8" s="164">
        <v>0</v>
      </c>
      <c r="DD8" s="165">
        <v>0</v>
      </c>
      <c r="DE8" s="140">
        <f t="shared" si="42"/>
        <v>0</v>
      </c>
      <c r="DF8" s="164">
        <v>0</v>
      </c>
      <c r="DG8" s="12">
        <f t="shared" si="43"/>
        <v>0</v>
      </c>
      <c r="DH8" s="140">
        <f t="shared" si="44"/>
        <v>0</v>
      </c>
      <c r="DI8" s="139">
        <f t="shared" si="45"/>
        <v>0</v>
      </c>
      <c r="DJ8" s="140">
        <f t="shared" si="46"/>
        <v>0</v>
      </c>
      <c r="DK8" s="28"/>
      <c r="DL8" s="108"/>
      <c r="DM8" s="14">
        <f t="shared" si="108"/>
        <v>1</v>
      </c>
      <c r="DN8" s="164">
        <v>-1</v>
      </c>
      <c r="DO8" s="165">
        <v>0</v>
      </c>
      <c r="DP8" s="140">
        <f t="shared" si="47"/>
        <v>-1</v>
      </c>
      <c r="DQ8" s="164">
        <v>0</v>
      </c>
      <c r="DR8" s="12">
        <f t="shared" si="48"/>
        <v>-1</v>
      </c>
      <c r="DS8" s="140">
        <f t="shared" si="49"/>
        <v>-0.1</v>
      </c>
      <c r="DT8" s="139">
        <f t="shared" si="50"/>
        <v>-50.324997755372408</v>
      </c>
      <c r="DU8" s="140">
        <f t="shared" si="51"/>
        <v>-1</v>
      </c>
      <c r="DV8" s="22" t="s">
        <v>336</v>
      </c>
      <c r="DW8" s="108"/>
      <c r="DX8" s="14">
        <f t="shared" si="109"/>
        <v>0</v>
      </c>
      <c r="DY8" s="164">
        <v>0</v>
      </c>
      <c r="DZ8" s="165">
        <v>0</v>
      </c>
      <c r="EA8" s="140">
        <f t="shared" si="52"/>
        <v>0</v>
      </c>
      <c r="EB8" s="164">
        <v>0</v>
      </c>
      <c r="EC8" s="12">
        <f t="shared" si="53"/>
        <v>0</v>
      </c>
      <c r="ED8" s="140">
        <f t="shared" si="54"/>
        <v>0</v>
      </c>
      <c r="EE8" s="139">
        <f t="shared" si="55"/>
        <v>0</v>
      </c>
      <c r="EF8" s="140">
        <f t="shared" si="56"/>
        <v>0</v>
      </c>
      <c r="EG8" s="28"/>
      <c r="EH8" s="108"/>
      <c r="EI8" s="14">
        <f t="shared" si="110"/>
        <v>0</v>
      </c>
      <c r="EJ8" s="164">
        <v>0</v>
      </c>
      <c r="EK8" s="165">
        <v>0</v>
      </c>
      <c r="EL8" s="140">
        <f t="shared" si="57"/>
        <v>0</v>
      </c>
      <c r="EM8" s="164">
        <v>0</v>
      </c>
      <c r="EN8" s="12">
        <f t="shared" si="58"/>
        <v>0</v>
      </c>
      <c r="EO8" s="140">
        <f t="shared" si="59"/>
        <v>0</v>
      </c>
      <c r="EP8" s="139">
        <f t="shared" si="60"/>
        <v>0</v>
      </c>
      <c r="EQ8" s="140">
        <f t="shared" si="61"/>
        <v>0</v>
      </c>
      <c r="ER8" s="28"/>
      <c r="ES8" s="108"/>
      <c r="ET8" s="14">
        <f t="shared" si="111"/>
        <v>0</v>
      </c>
      <c r="EU8" s="164">
        <v>0</v>
      </c>
      <c r="EV8" s="165">
        <v>0</v>
      </c>
      <c r="EW8" s="140">
        <f t="shared" si="62"/>
        <v>0</v>
      </c>
      <c r="EX8" s="164">
        <v>0</v>
      </c>
      <c r="EY8" s="12">
        <f t="shared" si="63"/>
        <v>0</v>
      </c>
      <c r="EZ8" s="140">
        <f t="shared" si="64"/>
        <v>0</v>
      </c>
      <c r="FA8" s="139">
        <f t="shared" si="65"/>
        <v>0</v>
      </c>
      <c r="FB8" s="140">
        <f t="shared" si="66"/>
        <v>0</v>
      </c>
      <c r="FC8" s="28"/>
      <c r="FD8" s="108"/>
      <c r="FE8" s="14">
        <f t="shared" si="112"/>
        <v>0</v>
      </c>
      <c r="FF8" s="164">
        <v>0</v>
      </c>
      <c r="FG8" s="165">
        <v>0</v>
      </c>
      <c r="FH8" s="140">
        <f t="shared" si="67"/>
        <v>0</v>
      </c>
      <c r="FI8" s="164">
        <v>0</v>
      </c>
      <c r="FJ8" s="12">
        <f t="shared" si="68"/>
        <v>0</v>
      </c>
      <c r="FK8" s="140">
        <f t="shared" si="69"/>
        <v>0</v>
      </c>
      <c r="FL8" s="139">
        <f t="shared" si="70"/>
        <v>0</v>
      </c>
      <c r="FM8" s="140">
        <f t="shared" si="71"/>
        <v>0</v>
      </c>
      <c r="FN8" s="28"/>
      <c r="FO8" s="108"/>
      <c r="FP8" s="14">
        <f t="shared" si="113"/>
        <v>0</v>
      </c>
      <c r="FQ8" s="164">
        <v>0</v>
      </c>
      <c r="FR8" s="165">
        <v>0</v>
      </c>
      <c r="FS8" s="140">
        <f t="shared" si="72"/>
        <v>0</v>
      </c>
      <c r="FT8" s="164">
        <v>0</v>
      </c>
      <c r="FU8" s="12">
        <f t="shared" si="73"/>
        <v>0</v>
      </c>
      <c r="FV8" s="140">
        <f t="shared" si="74"/>
        <v>0</v>
      </c>
      <c r="FW8" s="139">
        <f t="shared" si="75"/>
        <v>0</v>
      </c>
      <c r="FX8" s="140">
        <f t="shared" si="76"/>
        <v>0</v>
      </c>
      <c r="FY8" s="28"/>
      <c r="FZ8" s="108"/>
      <c r="GA8" s="14">
        <f t="shared" si="114"/>
        <v>1</v>
      </c>
      <c r="GB8" s="164">
        <v>-1</v>
      </c>
      <c r="GC8" s="165">
        <v>0</v>
      </c>
      <c r="GD8" s="140">
        <f t="shared" si="77"/>
        <v>-1</v>
      </c>
      <c r="GE8" s="164">
        <v>0</v>
      </c>
      <c r="GF8" s="12">
        <f t="shared" si="78"/>
        <v>-1</v>
      </c>
      <c r="GG8" s="140">
        <f t="shared" si="79"/>
        <v>-0.1</v>
      </c>
      <c r="GH8" s="139">
        <f t="shared" si="80"/>
        <v>-4.8065694199663112</v>
      </c>
      <c r="GI8" s="140">
        <f t="shared" si="81"/>
        <v>-1</v>
      </c>
      <c r="GJ8" s="22" t="s">
        <v>336</v>
      </c>
      <c r="GK8" s="108"/>
      <c r="GL8" s="14">
        <f t="shared" si="119"/>
        <v>0</v>
      </c>
      <c r="GM8" s="164">
        <v>0</v>
      </c>
      <c r="GN8" s="165">
        <v>0</v>
      </c>
      <c r="GO8" s="140">
        <f t="shared" si="82"/>
        <v>0</v>
      </c>
      <c r="GP8" s="164">
        <v>0</v>
      </c>
      <c r="GQ8" s="12">
        <f t="shared" si="83"/>
        <v>0</v>
      </c>
      <c r="GR8" s="140">
        <f t="shared" si="84"/>
        <v>0</v>
      </c>
      <c r="GS8" s="139">
        <f t="shared" si="85"/>
        <v>0</v>
      </c>
      <c r="GT8" s="140">
        <f t="shared" si="86"/>
        <v>0</v>
      </c>
      <c r="GU8" s="28"/>
      <c r="GV8" s="108"/>
      <c r="GW8" s="14">
        <f t="shared" si="115"/>
        <v>1</v>
      </c>
      <c r="GX8" s="164">
        <v>-1</v>
      </c>
      <c r="GY8" s="165">
        <v>0</v>
      </c>
      <c r="GZ8" s="140">
        <f t="shared" si="87"/>
        <v>-1</v>
      </c>
      <c r="HA8" s="164">
        <v>0</v>
      </c>
      <c r="HB8" s="12">
        <f t="shared" si="88"/>
        <v>-1</v>
      </c>
      <c r="HC8" s="140">
        <f t="shared" si="89"/>
        <v>-2.1</v>
      </c>
      <c r="HD8" s="139">
        <f t="shared" si="90"/>
        <v>-33.333333333333336</v>
      </c>
      <c r="HE8" s="140">
        <f t="shared" si="91"/>
        <v>-1</v>
      </c>
      <c r="HF8" s="183" t="s">
        <v>336</v>
      </c>
      <c r="HG8" s="108"/>
      <c r="HH8" s="14">
        <f t="shared" si="116"/>
        <v>0</v>
      </c>
      <c r="HI8" s="164">
        <v>0</v>
      </c>
      <c r="HJ8" s="165">
        <v>0</v>
      </c>
      <c r="HK8" s="140">
        <f t="shared" si="92"/>
        <v>0</v>
      </c>
      <c r="HL8" s="164">
        <v>0</v>
      </c>
      <c r="HM8" s="12">
        <f t="shared" si="93"/>
        <v>0</v>
      </c>
      <c r="HN8" s="140">
        <f t="shared" si="94"/>
        <v>0</v>
      </c>
      <c r="HO8" s="139">
        <f t="shared" si="95"/>
        <v>0</v>
      </c>
      <c r="HP8" s="140">
        <f t="shared" si="96"/>
        <v>0</v>
      </c>
      <c r="HQ8" s="28"/>
      <c r="HR8" s="108"/>
      <c r="HS8" s="14">
        <f t="shared" si="117"/>
        <v>0</v>
      </c>
      <c r="HT8" s="164">
        <v>0</v>
      </c>
      <c r="HU8" s="165">
        <v>0</v>
      </c>
      <c r="HV8" s="140">
        <f t="shared" si="97"/>
        <v>0</v>
      </c>
      <c r="HW8" s="164">
        <v>0</v>
      </c>
      <c r="HX8" s="12">
        <f t="shared" si="98"/>
        <v>0</v>
      </c>
      <c r="HY8" s="140">
        <f t="shared" si="99"/>
        <v>0</v>
      </c>
      <c r="HZ8" s="139">
        <f t="shared" si="100"/>
        <v>0</v>
      </c>
      <c r="IA8" s="140">
        <f t="shared" si="101"/>
        <v>0</v>
      </c>
      <c r="IB8" s="28"/>
      <c r="IC8" s="108"/>
      <c r="ID8" s="164">
        <v>0</v>
      </c>
      <c r="IE8" s="108"/>
      <c r="IF8" s="164">
        <f>0.047/2+0.153/2</f>
        <v>0.1</v>
      </c>
      <c r="IG8" s="164">
        <v>0</v>
      </c>
      <c r="IH8" s="164">
        <f t="shared" si="102"/>
        <v>2.35E-2</v>
      </c>
      <c r="II8" s="108"/>
      <c r="IJ8" s="164">
        <v>0.1</v>
      </c>
      <c r="IK8" s="108"/>
    </row>
    <row r="9" spans="1:245" ht="15" customHeight="1">
      <c r="A9" s="91" t="s">
        <v>239</v>
      </c>
      <c r="B9" s="91" t="s">
        <v>241</v>
      </c>
      <c r="C9" s="1" t="str">
        <f>MicroModelComponents!C9</f>
        <v>NH4+</v>
      </c>
      <c r="D9" s="1">
        <f>MicroModelComponents!E9</f>
        <v>-79.37</v>
      </c>
      <c r="E9" s="1">
        <f>MicroModelComponents!U9</f>
        <v>1</v>
      </c>
      <c r="F9" s="1">
        <f>MicroModelComponents!V9</f>
        <v>18</v>
      </c>
      <c r="G9" s="1">
        <f>MicroModelComponents!W9</f>
        <v>0</v>
      </c>
      <c r="H9" s="2">
        <f>MicroModelComponents!X9</f>
        <v>0</v>
      </c>
      <c r="J9" s="87" t="s">
        <v>189</v>
      </c>
      <c r="K9" s="43">
        <v>0.01</v>
      </c>
      <c r="L9" s="162">
        <f>K9-(MicroModelComponents!AE9*K9/(MicroModelComponents!AE9+$L$21))</f>
        <v>9.9440895669730637E-3</v>
      </c>
      <c r="M9" s="13">
        <v>0</v>
      </c>
      <c r="N9" s="13">
        <f t="shared" si="0"/>
        <v>-90.793531789482884</v>
      </c>
      <c r="O9" s="105"/>
      <c r="P9" s="28"/>
      <c r="Q9" s="108"/>
      <c r="R9" s="14">
        <v>0</v>
      </c>
      <c r="S9" s="164">
        <v>0</v>
      </c>
      <c r="T9" s="165">
        <v>0</v>
      </c>
      <c r="U9" s="140">
        <f t="shared" si="2"/>
        <v>0</v>
      </c>
      <c r="V9" s="164">
        <v>-0.2</v>
      </c>
      <c r="W9" s="12">
        <f t="shared" si="3"/>
        <v>0</v>
      </c>
      <c r="X9" s="140">
        <f t="shared" si="4"/>
        <v>-0.2</v>
      </c>
      <c r="Y9" s="139">
        <f t="shared" si="5"/>
        <v>-0.2</v>
      </c>
      <c r="Z9" s="140">
        <f t="shared" si="6"/>
        <v>-0.12</v>
      </c>
      <c r="AB9" s="108"/>
      <c r="AC9" s="14">
        <v>0</v>
      </c>
      <c r="AD9" s="164">
        <v>0</v>
      </c>
      <c r="AE9" s="165">
        <v>0</v>
      </c>
      <c r="AF9" s="140">
        <f t="shared" si="7"/>
        <v>0</v>
      </c>
      <c r="AG9" s="164">
        <v>-0.2</v>
      </c>
      <c r="AH9" s="12">
        <f t="shared" si="8"/>
        <v>0</v>
      </c>
      <c r="AI9" s="215">
        <f t="shared" si="9"/>
        <v>-0.2</v>
      </c>
      <c r="AJ9" s="139">
        <f t="shared" si="10"/>
        <v>-0.2</v>
      </c>
      <c r="AK9" s="140">
        <f t="shared" si="11"/>
        <v>-0.78132451273708181</v>
      </c>
      <c r="AM9" s="108"/>
      <c r="AN9" s="14">
        <v>0</v>
      </c>
      <c r="AO9" s="164">
        <v>0</v>
      </c>
      <c r="AP9" s="165">
        <v>0</v>
      </c>
      <c r="AQ9" s="140">
        <f t="shared" si="12"/>
        <v>0</v>
      </c>
      <c r="AR9" s="164">
        <v>-0.2</v>
      </c>
      <c r="AS9" s="12">
        <f t="shared" si="13"/>
        <v>0</v>
      </c>
      <c r="AT9" s="215">
        <f t="shared" si="14"/>
        <v>-0.2</v>
      </c>
      <c r="AU9" s="139">
        <f t="shared" si="15"/>
        <v>-0.2</v>
      </c>
      <c r="AV9" s="140">
        <f t="shared" si="16"/>
        <v>-0.18437762023209564</v>
      </c>
      <c r="AX9" s="108"/>
      <c r="AY9" s="14">
        <f>+IF(BH9="eD",1,0)</f>
        <v>1</v>
      </c>
      <c r="AZ9" s="164">
        <v>-1</v>
      </c>
      <c r="BA9" s="165">
        <v>0</v>
      </c>
      <c r="BB9" s="140">
        <f t="shared" si="17"/>
        <v>-1</v>
      </c>
      <c r="BC9" s="164">
        <v>-0.2</v>
      </c>
      <c r="BD9" s="12">
        <f t="shared" si="18"/>
        <v>-1</v>
      </c>
      <c r="BE9" s="140">
        <f t="shared" si="19"/>
        <v>-0.90000000000000013</v>
      </c>
      <c r="BF9" s="139">
        <f t="shared" si="20"/>
        <v>-13.737249728239071</v>
      </c>
      <c r="BG9" s="140">
        <f t="shared" si="21"/>
        <v>-1</v>
      </c>
      <c r="BH9" s="180" t="s">
        <v>336</v>
      </c>
      <c r="BI9" s="108"/>
      <c r="BJ9" s="14">
        <f t="shared" si="104"/>
        <v>0</v>
      </c>
      <c r="BK9" s="164">
        <v>0</v>
      </c>
      <c r="BL9" s="165">
        <v>0</v>
      </c>
      <c r="BM9" s="140">
        <f t="shared" si="22"/>
        <v>0</v>
      </c>
      <c r="BN9" s="164">
        <v>0</v>
      </c>
      <c r="BO9" s="12">
        <f t="shared" si="23"/>
        <v>0</v>
      </c>
      <c r="BP9" s="140">
        <f t="shared" si="24"/>
        <v>0</v>
      </c>
      <c r="BQ9" s="139">
        <f t="shared" si="25"/>
        <v>0</v>
      </c>
      <c r="BR9" s="140">
        <f t="shared" si="26"/>
        <v>0</v>
      </c>
      <c r="BT9" s="108"/>
      <c r="BU9" s="14">
        <f t="shared" si="118"/>
        <v>0</v>
      </c>
      <c r="BV9" s="164">
        <v>0</v>
      </c>
      <c r="BW9" s="165">
        <v>0</v>
      </c>
      <c r="BX9" s="140">
        <f t="shared" si="27"/>
        <v>0</v>
      </c>
      <c r="BY9" s="164">
        <v>0</v>
      </c>
      <c r="BZ9" s="12">
        <f t="shared" si="28"/>
        <v>0</v>
      </c>
      <c r="CA9" s="140">
        <f t="shared" si="29"/>
        <v>0</v>
      </c>
      <c r="CB9" s="139">
        <f t="shared" si="30"/>
        <v>0</v>
      </c>
      <c r="CC9" s="140">
        <f t="shared" si="31"/>
        <v>0</v>
      </c>
      <c r="CE9" s="108"/>
      <c r="CF9" s="14">
        <f t="shared" si="105"/>
        <v>0</v>
      </c>
      <c r="CG9" s="164">
        <v>0</v>
      </c>
      <c r="CH9" s="165">
        <v>0</v>
      </c>
      <c r="CI9" s="140">
        <f t="shared" si="32"/>
        <v>0</v>
      </c>
      <c r="CJ9" s="164">
        <v>0</v>
      </c>
      <c r="CK9" s="12">
        <f t="shared" si="33"/>
        <v>0</v>
      </c>
      <c r="CL9" s="140">
        <f t="shared" si="34"/>
        <v>0</v>
      </c>
      <c r="CM9" s="139">
        <f t="shared" si="35"/>
        <v>0</v>
      </c>
      <c r="CN9" s="140">
        <f t="shared" si="36"/>
        <v>0</v>
      </c>
      <c r="CP9" s="108"/>
      <c r="CQ9" s="14">
        <f t="shared" si="106"/>
        <v>0</v>
      </c>
      <c r="CR9" s="164">
        <v>0</v>
      </c>
      <c r="CS9" s="165">
        <v>0</v>
      </c>
      <c r="CT9" s="140">
        <f t="shared" si="37"/>
        <v>0</v>
      </c>
      <c r="CU9" s="164">
        <v>0</v>
      </c>
      <c r="CV9" s="12">
        <f t="shared" si="38"/>
        <v>0</v>
      </c>
      <c r="CW9" s="140">
        <f t="shared" si="39"/>
        <v>0</v>
      </c>
      <c r="CX9" s="139">
        <f t="shared" si="40"/>
        <v>0</v>
      </c>
      <c r="CY9" s="140">
        <f t="shared" si="41"/>
        <v>0</v>
      </c>
      <c r="DA9" s="108"/>
      <c r="DB9" s="14">
        <f t="shared" si="107"/>
        <v>0</v>
      </c>
      <c r="DC9" s="164">
        <v>0</v>
      </c>
      <c r="DD9" s="165">
        <v>0</v>
      </c>
      <c r="DE9" s="140">
        <f t="shared" si="42"/>
        <v>0</v>
      </c>
      <c r="DF9" s="164">
        <v>-0.2</v>
      </c>
      <c r="DG9" s="12">
        <f t="shared" si="43"/>
        <v>0</v>
      </c>
      <c r="DH9" s="140">
        <f t="shared" si="44"/>
        <v>-0.2</v>
      </c>
      <c r="DI9" s="139">
        <f t="shared" si="45"/>
        <v>-0.2</v>
      </c>
      <c r="DJ9" s="140">
        <f t="shared" si="46"/>
        <v>-1.5896672343410023E-2</v>
      </c>
      <c r="DL9" s="108"/>
      <c r="DM9" s="14">
        <f t="shared" si="108"/>
        <v>0</v>
      </c>
      <c r="DN9" s="164">
        <v>0</v>
      </c>
      <c r="DO9" s="165">
        <v>0</v>
      </c>
      <c r="DP9" s="140">
        <f t="shared" si="47"/>
        <v>0</v>
      </c>
      <c r="DQ9" s="164">
        <v>-0.2</v>
      </c>
      <c r="DR9" s="12">
        <f t="shared" si="48"/>
        <v>0</v>
      </c>
      <c r="DS9" s="140">
        <f t="shared" si="49"/>
        <v>-0.2</v>
      </c>
      <c r="DT9" s="139">
        <f t="shared" si="50"/>
        <v>-0.2</v>
      </c>
      <c r="DU9" s="140">
        <f t="shared" si="51"/>
        <v>-3.9741680858525058E-3</v>
      </c>
      <c r="DW9" s="108"/>
      <c r="DX9" s="14">
        <f t="shared" si="109"/>
        <v>0</v>
      </c>
      <c r="DY9" s="164">
        <v>0</v>
      </c>
      <c r="DZ9" s="165">
        <v>0</v>
      </c>
      <c r="EA9" s="140">
        <f t="shared" si="52"/>
        <v>0</v>
      </c>
      <c r="EB9" s="164">
        <v>-0.2</v>
      </c>
      <c r="EC9" s="12">
        <f t="shared" si="53"/>
        <v>0</v>
      </c>
      <c r="ED9" s="140">
        <f t="shared" si="54"/>
        <v>-0.2</v>
      </c>
      <c r="EE9" s="139">
        <f t="shared" si="55"/>
        <v>-0.2</v>
      </c>
      <c r="EF9" s="140">
        <f t="shared" si="56"/>
        <v>-0.11266301960455349</v>
      </c>
      <c r="EH9" s="108"/>
      <c r="EI9" s="14">
        <f t="shared" si="110"/>
        <v>0</v>
      </c>
      <c r="EJ9" s="164">
        <v>0</v>
      </c>
      <c r="EK9" s="165">
        <v>0</v>
      </c>
      <c r="EL9" s="140">
        <f t="shared" si="57"/>
        <v>0</v>
      </c>
      <c r="EM9" s="164">
        <v>0</v>
      </c>
      <c r="EN9" s="12">
        <f t="shared" si="58"/>
        <v>0</v>
      </c>
      <c r="EO9" s="140">
        <f t="shared" si="59"/>
        <v>0</v>
      </c>
      <c r="EP9" s="139">
        <f t="shared" si="60"/>
        <v>0</v>
      </c>
      <c r="EQ9" s="140">
        <f t="shared" si="61"/>
        <v>0</v>
      </c>
      <c r="ES9" s="108"/>
      <c r="ET9" s="14">
        <f t="shared" si="111"/>
        <v>0</v>
      </c>
      <c r="EU9" s="164">
        <v>0</v>
      </c>
      <c r="EV9" s="165">
        <v>0</v>
      </c>
      <c r="EW9" s="140">
        <f t="shared" si="62"/>
        <v>0</v>
      </c>
      <c r="EX9" s="164">
        <v>0</v>
      </c>
      <c r="EY9" s="12">
        <f t="shared" si="63"/>
        <v>0</v>
      </c>
      <c r="EZ9" s="140">
        <f t="shared" si="64"/>
        <v>0</v>
      </c>
      <c r="FA9" s="139">
        <f t="shared" si="65"/>
        <v>0</v>
      </c>
      <c r="FB9" s="140">
        <f t="shared" si="66"/>
        <v>0</v>
      </c>
      <c r="FD9" s="108"/>
      <c r="FE9" s="14">
        <f t="shared" si="112"/>
        <v>0</v>
      </c>
      <c r="FF9" s="164">
        <v>0</v>
      </c>
      <c r="FG9" s="165">
        <v>0</v>
      </c>
      <c r="FH9" s="140">
        <f t="shared" si="67"/>
        <v>0</v>
      </c>
      <c r="FI9" s="164">
        <v>0</v>
      </c>
      <c r="FJ9" s="12">
        <f t="shared" si="68"/>
        <v>0</v>
      </c>
      <c r="FK9" s="140">
        <f t="shared" si="69"/>
        <v>0</v>
      </c>
      <c r="FL9" s="139">
        <f t="shared" si="70"/>
        <v>0</v>
      </c>
      <c r="FM9" s="140">
        <f t="shared" si="71"/>
        <v>0</v>
      </c>
      <c r="FO9" s="108"/>
      <c r="FP9" s="14">
        <f t="shared" si="113"/>
        <v>0</v>
      </c>
      <c r="FQ9" s="164">
        <v>0</v>
      </c>
      <c r="FR9" s="165">
        <v>0</v>
      </c>
      <c r="FS9" s="140">
        <f t="shared" si="72"/>
        <v>0</v>
      </c>
      <c r="FT9" s="164">
        <v>-0.2</v>
      </c>
      <c r="FU9" s="12">
        <f t="shared" si="73"/>
        <v>0</v>
      </c>
      <c r="FV9" s="140">
        <f t="shared" si="74"/>
        <v>-0.2</v>
      </c>
      <c r="FW9" s="139">
        <f t="shared" si="75"/>
        <v>-0.2</v>
      </c>
      <c r="FX9" s="140">
        <f t="shared" si="76"/>
        <v>-0.1664388735709984</v>
      </c>
      <c r="FZ9" s="108"/>
      <c r="GA9" s="14">
        <f t="shared" si="114"/>
        <v>0</v>
      </c>
      <c r="GB9" s="164">
        <v>0</v>
      </c>
      <c r="GC9" s="165">
        <v>0</v>
      </c>
      <c r="GD9" s="140">
        <f t="shared" si="77"/>
        <v>0</v>
      </c>
      <c r="GE9" s="164">
        <v>-0.2</v>
      </c>
      <c r="GF9" s="12">
        <f t="shared" si="78"/>
        <v>0</v>
      </c>
      <c r="GG9" s="140">
        <f t="shared" si="79"/>
        <v>-0.2</v>
      </c>
      <c r="GH9" s="139">
        <f t="shared" si="80"/>
        <v>-0.2</v>
      </c>
      <c r="GI9" s="140">
        <f t="shared" si="81"/>
        <v>-4.1609718392749601E-2</v>
      </c>
      <c r="GK9" s="108"/>
      <c r="GL9" s="14">
        <f t="shared" si="119"/>
        <v>0</v>
      </c>
      <c r="GM9" s="164">
        <v>0</v>
      </c>
      <c r="GN9" s="165">
        <v>0</v>
      </c>
      <c r="GO9" s="140">
        <f t="shared" si="82"/>
        <v>0</v>
      </c>
      <c r="GP9" s="164">
        <v>-0.2</v>
      </c>
      <c r="GQ9" s="12">
        <f t="shared" si="83"/>
        <v>0</v>
      </c>
      <c r="GR9" s="140">
        <f t="shared" si="84"/>
        <v>-0.2</v>
      </c>
      <c r="GS9" s="139">
        <f t="shared" si="85"/>
        <v>-0.2</v>
      </c>
      <c r="GT9" s="140">
        <f t="shared" si="86"/>
        <v>-0.02</v>
      </c>
      <c r="GV9" s="108"/>
      <c r="GW9" s="14">
        <f t="shared" si="115"/>
        <v>0</v>
      </c>
      <c r="GX9" s="164">
        <v>0</v>
      </c>
      <c r="GY9" s="165">
        <v>0</v>
      </c>
      <c r="GZ9" s="140">
        <f t="shared" si="87"/>
        <v>0</v>
      </c>
      <c r="HA9" s="164">
        <v>-0.2</v>
      </c>
      <c r="HB9" s="12">
        <f t="shared" si="88"/>
        <v>0</v>
      </c>
      <c r="HC9" s="140">
        <f t="shared" si="89"/>
        <v>-0.2</v>
      </c>
      <c r="HD9" s="139">
        <f t="shared" si="90"/>
        <v>-0.2</v>
      </c>
      <c r="HE9" s="140">
        <f t="shared" si="91"/>
        <v>-6.0000000000000001E-3</v>
      </c>
      <c r="HG9" s="108"/>
      <c r="HH9" s="14">
        <f t="shared" si="116"/>
        <v>0</v>
      </c>
      <c r="HI9" s="164">
        <v>0</v>
      </c>
      <c r="HJ9" s="165">
        <v>0</v>
      </c>
      <c r="HK9" s="140">
        <f t="shared" si="92"/>
        <v>0</v>
      </c>
      <c r="HL9" s="164">
        <v>-0.2</v>
      </c>
      <c r="HM9" s="12">
        <f t="shared" si="93"/>
        <v>0</v>
      </c>
      <c r="HN9" s="140">
        <f t="shared" si="94"/>
        <v>-0.2</v>
      </c>
      <c r="HO9" s="139">
        <f t="shared" si="95"/>
        <v>-0.2</v>
      </c>
      <c r="HP9" s="140">
        <f t="shared" si="96"/>
        <v>-0.10737753118195838</v>
      </c>
      <c r="HR9" s="108"/>
      <c r="HS9" s="14">
        <f t="shared" si="117"/>
        <v>0</v>
      </c>
      <c r="HT9" s="164">
        <v>0</v>
      </c>
      <c r="HU9" s="165">
        <v>0</v>
      </c>
      <c r="HV9" s="140">
        <f t="shared" si="97"/>
        <v>0</v>
      </c>
      <c r="HW9" s="164">
        <v>-0.2</v>
      </c>
      <c r="HX9" s="12">
        <f t="shared" si="98"/>
        <v>0</v>
      </c>
      <c r="HY9" s="140">
        <f t="shared" si="99"/>
        <v>-0.2</v>
      </c>
      <c r="HZ9" s="139">
        <f t="shared" si="100"/>
        <v>-0.2</v>
      </c>
      <c r="IA9" s="140">
        <f t="shared" si="101"/>
        <v>-5.0386051589113795E-3</v>
      </c>
      <c r="IC9" s="108"/>
      <c r="ID9" s="164">
        <v>0</v>
      </c>
      <c r="IE9" s="108"/>
      <c r="IF9" s="164">
        <v>0.153</v>
      </c>
      <c r="IG9" s="164">
        <v>-4.7E-2</v>
      </c>
      <c r="IH9" s="164">
        <f t="shared" si="102"/>
        <v>0</v>
      </c>
      <c r="II9" s="108"/>
      <c r="IJ9" s="164">
        <v>0.2</v>
      </c>
      <c r="IK9" s="108"/>
    </row>
    <row r="10" spans="1:245" ht="15" customHeight="1">
      <c r="A10" s="91" t="s">
        <v>239</v>
      </c>
      <c r="B10" s="91" t="s">
        <v>241</v>
      </c>
      <c r="C10" s="1" t="str">
        <f>MicroModelComponents!C10</f>
        <v>NO2-</v>
      </c>
      <c r="D10" s="1">
        <f>MicroModelComponents!E10</f>
        <v>-32.200000000000003</v>
      </c>
      <c r="E10" s="1">
        <f>MicroModelComponents!U10</f>
        <v>-1</v>
      </c>
      <c r="F10" s="1">
        <f>MicroModelComponents!V10</f>
        <v>46</v>
      </c>
      <c r="G10" s="1">
        <f>MicroModelComponents!W10</f>
        <v>-6</v>
      </c>
      <c r="H10" s="2">
        <f>MicroModelComponents!X10</f>
        <v>-6</v>
      </c>
      <c r="I10" s="138"/>
      <c r="J10" s="87" t="s">
        <v>189</v>
      </c>
      <c r="K10" s="87" t="s">
        <v>189</v>
      </c>
      <c r="L10" s="43">
        <v>1E-3</v>
      </c>
      <c r="M10" s="13">
        <v>0</v>
      </c>
      <c r="N10" s="13">
        <f t="shared" si="0"/>
        <v>-49.314461062058328</v>
      </c>
      <c r="O10" s="105"/>
      <c r="P10" s="28"/>
      <c r="Q10" s="108"/>
      <c r="R10" s="14">
        <f t="shared" si="1"/>
        <v>0</v>
      </c>
      <c r="S10" s="164">
        <v>0</v>
      </c>
      <c r="T10" s="165">
        <v>0</v>
      </c>
      <c r="U10" s="140">
        <f t="shared" si="2"/>
        <v>0</v>
      </c>
      <c r="V10" s="164">
        <v>0</v>
      </c>
      <c r="W10" s="12">
        <f t="shared" si="3"/>
        <v>0</v>
      </c>
      <c r="X10" s="140">
        <f t="shared" si="4"/>
        <v>0</v>
      </c>
      <c r="Y10" s="139">
        <f t="shared" si="5"/>
        <v>0</v>
      </c>
      <c r="Z10" s="140">
        <f t="shared" si="6"/>
        <v>0</v>
      </c>
      <c r="AB10" s="108"/>
      <c r="AC10" s="14">
        <f t="shared" ref="AC10:AC24" si="120">+IF(AL10="eD",1,0)</f>
        <v>0</v>
      </c>
      <c r="AD10" s="164">
        <v>0</v>
      </c>
      <c r="AE10" s="165">
        <v>0</v>
      </c>
      <c r="AF10" s="140">
        <f t="shared" si="7"/>
        <v>0</v>
      </c>
      <c r="AG10" s="164">
        <v>0</v>
      </c>
      <c r="AH10" s="12">
        <f t="shared" si="8"/>
        <v>0</v>
      </c>
      <c r="AI10" s="215">
        <f t="shared" si="9"/>
        <v>0</v>
      </c>
      <c r="AJ10" s="139">
        <f t="shared" si="10"/>
        <v>0</v>
      </c>
      <c r="AK10" s="140">
        <f t="shared" si="11"/>
        <v>0</v>
      </c>
      <c r="AM10" s="108"/>
      <c r="AN10" s="14">
        <f t="shared" ref="AN10:AN24" si="121">+IF(AW10="eD",1,0)</f>
        <v>0</v>
      </c>
      <c r="AO10" s="164">
        <v>0</v>
      </c>
      <c r="AP10" s="165">
        <v>0</v>
      </c>
      <c r="AQ10" s="140">
        <f t="shared" si="12"/>
        <v>0</v>
      </c>
      <c r="AR10" s="164">
        <v>0</v>
      </c>
      <c r="AS10" s="12">
        <f t="shared" si="13"/>
        <v>0</v>
      </c>
      <c r="AT10" s="215">
        <f t="shared" si="14"/>
        <v>0</v>
      </c>
      <c r="AU10" s="139">
        <f t="shared" si="15"/>
        <v>0</v>
      </c>
      <c r="AV10" s="140">
        <f t="shared" si="16"/>
        <v>0</v>
      </c>
      <c r="AX10" s="108"/>
      <c r="AY10" s="14">
        <f t="shared" si="103"/>
        <v>0</v>
      </c>
      <c r="AZ10" s="164">
        <v>1</v>
      </c>
      <c r="BA10" s="165">
        <v>0</v>
      </c>
      <c r="BB10" s="140">
        <f t="shared" si="17"/>
        <v>1</v>
      </c>
      <c r="BC10" s="164">
        <v>0</v>
      </c>
      <c r="BD10" s="12">
        <f t="shared" si="18"/>
        <v>1</v>
      </c>
      <c r="BE10" s="140">
        <f t="shared" si="19"/>
        <v>0.70000000000000007</v>
      </c>
      <c r="BF10" s="139">
        <f t="shared" si="20"/>
        <v>13.53724972823907</v>
      </c>
      <c r="BG10" s="140">
        <f t="shared" si="21"/>
        <v>0.98544104504492847</v>
      </c>
      <c r="BI10" s="108"/>
      <c r="BJ10" s="14">
        <f t="shared" si="104"/>
        <v>1</v>
      </c>
      <c r="BK10" s="164">
        <v>-1</v>
      </c>
      <c r="BL10" s="165">
        <v>0</v>
      </c>
      <c r="BM10" s="140">
        <f t="shared" si="22"/>
        <v>-1</v>
      </c>
      <c r="BN10" s="164">
        <v>-0.2</v>
      </c>
      <c r="BO10" s="12">
        <f t="shared" si="23"/>
        <v>-1</v>
      </c>
      <c r="BP10" s="140">
        <f t="shared" si="24"/>
        <v>-2.9000000000000004</v>
      </c>
      <c r="BQ10" s="139">
        <f t="shared" si="25"/>
        <v>-46.538038438921014</v>
      </c>
      <c r="BR10" s="140">
        <f t="shared" si="26"/>
        <v>-1</v>
      </c>
      <c r="BS10" s="180" t="s">
        <v>336</v>
      </c>
      <c r="BT10" s="108"/>
      <c r="BU10" s="14">
        <f t="shared" si="118"/>
        <v>0</v>
      </c>
      <c r="BV10" s="164">
        <v>0</v>
      </c>
      <c r="BW10" s="165">
        <v>0</v>
      </c>
      <c r="BX10" s="140">
        <f t="shared" si="27"/>
        <v>0</v>
      </c>
      <c r="BY10" s="164">
        <v>0</v>
      </c>
      <c r="BZ10" s="12">
        <f t="shared" si="28"/>
        <v>0</v>
      </c>
      <c r="CA10" s="140">
        <f t="shared" si="29"/>
        <v>0</v>
      </c>
      <c r="CB10" s="139">
        <f t="shared" si="30"/>
        <v>0</v>
      </c>
      <c r="CC10" s="140">
        <f t="shared" si="31"/>
        <v>0</v>
      </c>
      <c r="CD10" s="180"/>
      <c r="CE10" s="108"/>
      <c r="CF10" s="14">
        <f t="shared" si="105"/>
        <v>0</v>
      </c>
      <c r="CG10" s="164">
        <v>0</v>
      </c>
      <c r="CH10" s="165">
        <v>0</v>
      </c>
      <c r="CI10" s="140">
        <f t="shared" si="32"/>
        <v>0</v>
      </c>
      <c r="CJ10" s="164">
        <v>0</v>
      </c>
      <c r="CK10" s="12">
        <f t="shared" si="33"/>
        <v>0</v>
      </c>
      <c r="CL10" s="140">
        <f t="shared" si="34"/>
        <v>0</v>
      </c>
      <c r="CM10" s="139">
        <f t="shared" si="35"/>
        <v>0</v>
      </c>
      <c r="CN10" s="140">
        <f t="shared" si="36"/>
        <v>0</v>
      </c>
      <c r="CO10" s="180"/>
      <c r="CP10" s="108"/>
      <c r="CQ10" s="14">
        <f t="shared" si="106"/>
        <v>0</v>
      </c>
      <c r="CR10" s="164">
        <v>0</v>
      </c>
      <c r="CS10" s="165">
        <v>0</v>
      </c>
      <c r="CT10" s="140">
        <f t="shared" si="37"/>
        <v>0</v>
      </c>
      <c r="CU10" s="164">
        <v>0</v>
      </c>
      <c r="CV10" s="12">
        <f t="shared" si="38"/>
        <v>0</v>
      </c>
      <c r="CW10" s="140">
        <f t="shared" si="39"/>
        <v>0</v>
      </c>
      <c r="CX10" s="139">
        <f t="shared" si="40"/>
        <v>0</v>
      </c>
      <c r="CY10" s="140">
        <f t="shared" si="41"/>
        <v>0</v>
      </c>
      <c r="CZ10" s="180"/>
      <c r="DA10" s="108"/>
      <c r="DB10" s="14">
        <f t="shared" si="107"/>
        <v>0</v>
      </c>
      <c r="DC10" s="164">
        <v>0</v>
      </c>
      <c r="DD10" s="165">
        <v>0</v>
      </c>
      <c r="DE10" s="140">
        <f t="shared" si="42"/>
        <v>0</v>
      </c>
      <c r="DF10" s="164">
        <v>0</v>
      </c>
      <c r="DG10" s="12">
        <f t="shared" si="43"/>
        <v>0</v>
      </c>
      <c r="DH10" s="140">
        <f t="shared" si="44"/>
        <v>0</v>
      </c>
      <c r="DI10" s="139">
        <f t="shared" si="45"/>
        <v>0</v>
      </c>
      <c r="DJ10" s="140">
        <f t="shared" si="46"/>
        <v>0</v>
      </c>
      <c r="DK10" s="28"/>
      <c r="DL10" s="108"/>
      <c r="DM10" s="14">
        <f t="shared" si="108"/>
        <v>0</v>
      </c>
      <c r="DN10" s="164">
        <v>0</v>
      </c>
      <c r="DO10" s="165">
        <v>0</v>
      </c>
      <c r="DP10" s="140">
        <f t="shared" si="47"/>
        <v>0</v>
      </c>
      <c r="DQ10" s="164">
        <v>0</v>
      </c>
      <c r="DR10" s="12">
        <f t="shared" si="48"/>
        <v>0</v>
      </c>
      <c r="DS10" s="140">
        <f t="shared" si="49"/>
        <v>0</v>
      </c>
      <c r="DT10" s="139">
        <f t="shared" si="50"/>
        <v>0</v>
      </c>
      <c r="DU10" s="140">
        <f t="shared" si="51"/>
        <v>0</v>
      </c>
      <c r="DV10" s="28"/>
      <c r="DW10" s="108"/>
      <c r="DX10" s="14">
        <f t="shared" si="109"/>
        <v>0</v>
      </c>
      <c r="DY10" s="164">
        <v>0</v>
      </c>
      <c r="DZ10" s="165">
        <v>0</v>
      </c>
      <c r="EA10" s="140">
        <f t="shared" si="52"/>
        <v>0</v>
      </c>
      <c r="EB10" s="164">
        <v>0</v>
      </c>
      <c r="EC10" s="12">
        <f t="shared" si="53"/>
        <v>0</v>
      </c>
      <c r="ED10" s="140">
        <f t="shared" si="54"/>
        <v>0</v>
      </c>
      <c r="EE10" s="139">
        <f t="shared" si="55"/>
        <v>0</v>
      </c>
      <c r="EF10" s="140">
        <f t="shared" si="56"/>
        <v>0</v>
      </c>
      <c r="EG10" s="28"/>
      <c r="EH10" s="108"/>
      <c r="EI10" s="14">
        <f t="shared" si="110"/>
        <v>0</v>
      </c>
      <c r="EJ10" s="164">
        <v>0</v>
      </c>
      <c r="EK10" s="165">
        <v>0</v>
      </c>
      <c r="EL10" s="140">
        <f t="shared" si="57"/>
        <v>0</v>
      </c>
      <c r="EM10" s="164">
        <v>0</v>
      </c>
      <c r="EN10" s="12">
        <f t="shared" si="58"/>
        <v>0</v>
      </c>
      <c r="EO10" s="140">
        <f t="shared" si="59"/>
        <v>0</v>
      </c>
      <c r="EP10" s="139">
        <f t="shared" si="60"/>
        <v>0</v>
      </c>
      <c r="EQ10" s="140">
        <f t="shared" si="61"/>
        <v>0</v>
      </c>
      <c r="ER10" s="28"/>
      <c r="ES10" s="108"/>
      <c r="ET10" s="14">
        <f t="shared" si="111"/>
        <v>0</v>
      </c>
      <c r="EU10" s="164">
        <v>0</v>
      </c>
      <c r="EV10" s="165">
        <v>0</v>
      </c>
      <c r="EW10" s="140">
        <f t="shared" si="62"/>
        <v>0</v>
      </c>
      <c r="EX10" s="164">
        <v>0</v>
      </c>
      <c r="EY10" s="12">
        <f t="shared" si="63"/>
        <v>0</v>
      </c>
      <c r="EZ10" s="140">
        <f t="shared" si="64"/>
        <v>0</v>
      </c>
      <c r="FA10" s="139">
        <f t="shared" si="65"/>
        <v>0</v>
      </c>
      <c r="FB10" s="140">
        <f t="shared" si="66"/>
        <v>0</v>
      </c>
      <c r="FC10" s="28"/>
      <c r="FD10" s="108"/>
      <c r="FE10" s="14">
        <f t="shared" si="112"/>
        <v>0</v>
      </c>
      <c r="FF10" s="164">
        <v>0</v>
      </c>
      <c r="FG10" s="165">
        <v>0</v>
      </c>
      <c r="FH10" s="140">
        <f t="shared" si="67"/>
        <v>0</v>
      </c>
      <c r="FI10" s="164">
        <v>0</v>
      </c>
      <c r="FJ10" s="12">
        <f t="shared" si="68"/>
        <v>0</v>
      </c>
      <c r="FK10" s="140">
        <f t="shared" si="69"/>
        <v>0</v>
      </c>
      <c r="FL10" s="139">
        <f t="shared" si="70"/>
        <v>0</v>
      </c>
      <c r="FM10" s="140">
        <f t="shared" si="71"/>
        <v>0</v>
      </c>
      <c r="FN10" s="28"/>
      <c r="FO10" s="108"/>
      <c r="FP10" s="14">
        <f t="shared" si="113"/>
        <v>0</v>
      </c>
      <c r="FQ10" s="164">
        <v>0</v>
      </c>
      <c r="FR10" s="165">
        <v>0</v>
      </c>
      <c r="FS10" s="140">
        <f t="shared" si="72"/>
        <v>0</v>
      </c>
      <c r="FT10" s="164">
        <v>0</v>
      </c>
      <c r="FU10" s="12">
        <f t="shared" si="73"/>
        <v>0</v>
      </c>
      <c r="FV10" s="140">
        <f t="shared" si="74"/>
        <v>0</v>
      </c>
      <c r="FW10" s="139">
        <f t="shared" si="75"/>
        <v>0</v>
      </c>
      <c r="FX10" s="140">
        <f t="shared" si="76"/>
        <v>0</v>
      </c>
      <c r="FY10" s="28"/>
      <c r="FZ10" s="108"/>
      <c r="GA10" s="14">
        <f t="shared" si="114"/>
        <v>0</v>
      </c>
      <c r="GB10" s="164">
        <v>0</v>
      </c>
      <c r="GC10" s="165">
        <v>0</v>
      </c>
      <c r="GD10" s="140">
        <f t="shared" si="77"/>
        <v>0</v>
      </c>
      <c r="GE10" s="164">
        <v>0</v>
      </c>
      <c r="GF10" s="12">
        <f t="shared" si="78"/>
        <v>0</v>
      </c>
      <c r="GG10" s="140">
        <f t="shared" si="79"/>
        <v>0</v>
      </c>
      <c r="GH10" s="139">
        <f t="shared" si="80"/>
        <v>0</v>
      </c>
      <c r="GI10" s="140">
        <f t="shared" si="81"/>
        <v>0</v>
      </c>
      <c r="GJ10" s="28"/>
      <c r="GK10" s="108"/>
      <c r="GL10" s="14">
        <f t="shared" si="119"/>
        <v>0</v>
      </c>
      <c r="GM10" s="164">
        <v>0</v>
      </c>
      <c r="GN10" s="165">
        <v>0</v>
      </c>
      <c r="GO10" s="140">
        <f t="shared" si="82"/>
        <v>0</v>
      </c>
      <c r="GP10" s="164">
        <v>0</v>
      </c>
      <c r="GQ10" s="12">
        <f t="shared" si="83"/>
        <v>0</v>
      </c>
      <c r="GR10" s="140">
        <f t="shared" si="84"/>
        <v>0</v>
      </c>
      <c r="GS10" s="139">
        <f t="shared" si="85"/>
        <v>0</v>
      </c>
      <c r="GT10" s="140">
        <f t="shared" si="86"/>
        <v>0</v>
      </c>
      <c r="GU10" s="28"/>
      <c r="GV10" s="108"/>
      <c r="GW10" s="14">
        <f t="shared" si="115"/>
        <v>0</v>
      </c>
      <c r="GX10" s="164">
        <v>0</v>
      </c>
      <c r="GY10" s="165">
        <v>0</v>
      </c>
      <c r="GZ10" s="140">
        <f t="shared" si="87"/>
        <v>0</v>
      </c>
      <c r="HA10" s="164">
        <v>0</v>
      </c>
      <c r="HB10" s="12">
        <f t="shared" si="88"/>
        <v>0</v>
      </c>
      <c r="HC10" s="140">
        <f t="shared" si="89"/>
        <v>0</v>
      </c>
      <c r="HD10" s="139">
        <f t="shared" si="90"/>
        <v>0</v>
      </c>
      <c r="HE10" s="140">
        <f t="shared" si="91"/>
        <v>0</v>
      </c>
      <c r="HF10" s="28"/>
      <c r="HG10" s="108"/>
      <c r="HH10" s="14">
        <f t="shared" si="116"/>
        <v>0</v>
      </c>
      <c r="HI10" s="164">
        <v>0</v>
      </c>
      <c r="HJ10" s="165">
        <v>0</v>
      </c>
      <c r="HK10" s="140">
        <f t="shared" si="92"/>
        <v>0</v>
      </c>
      <c r="HL10" s="164">
        <v>0</v>
      </c>
      <c r="HM10" s="12">
        <f t="shared" si="93"/>
        <v>0</v>
      </c>
      <c r="HN10" s="140">
        <f t="shared" si="94"/>
        <v>0</v>
      </c>
      <c r="HO10" s="139">
        <f t="shared" si="95"/>
        <v>0</v>
      </c>
      <c r="HP10" s="140">
        <f t="shared" si="96"/>
        <v>0</v>
      </c>
      <c r="HQ10" s="28"/>
      <c r="HR10" s="108"/>
      <c r="HS10" s="14">
        <f t="shared" si="117"/>
        <v>0</v>
      </c>
      <c r="HT10" s="164">
        <v>0</v>
      </c>
      <c r="HU10" s="165">
        <v>0</v>
      </c>
      <c r="HV10" s="140">
        <f t="shared" si="97"/>
        <v>0</v>
      </c>
      <c r="HW10" s="164">
        <v>0</v>
      </c>
      <c r="HX10" s="12">
        <f t="shared" si="98"/>
        <v>0</v>
      </c>
      <c r="HY10" s="140">
        <f t="shared" si="99"/>
        <v>0</v>
      </c>
      <c r="HZ10" s="139">
        <f t="shared" si="100"/>
        <v>0</v>
      </c>
      <c r="IA10" s="140">
        <f t="shared" si="101"/>
        <v>0</v>
      </c>
      <c r="IB10" s="28"/>
      <c r="IC10" s="108"/>
      <c r="ID10" s="164">
        <v>0</v>
      </c>
      <c r="IE10" s="108"/>
      <c r="IF10" s="164">
        <v>0</v>
      </c>
      <c r="IG10" s="164">
        <v>0</v>
      </c>
      <c r="IH10" s="164">
        <f t="shared" si="102"/>
        <v>0</v>
      </c>
      <c r="II10" s="108"/>
      <c r="IJ10" s="164">
        <v>0</v>
      </c>
      <c r="IK10" s="108"/>
    </row>
    <row r="11" spans="1:245" ht="15" customHeight="1">
      <c r="A11" s="91" t="s">
        <v>239</v>
      </c>
      <c r="B11" s="91" t="s">
        <v>241</v>
      </c>
      <c r="C11" s="1" t="str">
        <f>MicroModelComponents!C11</f>
        <v>NO3-</v>
      </c>
      <c r="D11" s="1">
        <f>MicroModelComponents!E11</f>
        <v>-111.3</v>
      </c>
      <c r="E11" s="1">
        <f>MicroModelComponents!U11</f>
        <v>-1</v>
      </c>
      <c r="F11" s="1">
        <f>MicroModelComponents!V11</f>
        <v>62</v>
      </c>
      <c r="G11" s="1">
        <f>MicroModelComponents!W11</f>
        <v>-8</v>
      </c>
      <c r="H11" s="2">
        <f>MicroModelComponents!X11</f>
        <v>-8</v>
      </c>
      <c r="I11" s="138"/>
      <c r="J11" s="87" t="s">
        <v>189</v>
      </c>
      <c r="K11" s="87" t="s">
        <v>189</v>
      </c>
      <c r="L11" s="43">
        <v>1E-3</v>
      </c>
      <c r="M11" s="13">
        <v>0</v>
      </c>
      <c r="N11" s="13">
        <f t="shared" si="0"/>
        <v>-128.41446106205834</v>
      </c>
      <c r="O11" s="105"/>
      <c r="P11" s="28"/>
      <c r="Q11" s="108"/>
      <c r="R11" s="14">
        <f t="shared" si="1"/>
        <v>0</v>
      </c>
      <c r="S11" s="164">
        <v>0</v>
      </c>
      <c r="T11" s="165">
        <v>0</v>
      </c>
      <c r="U11" s="140">
        <f t="shared" si="2"/>
        <v>0</v>
      </c>
      <c r="V11" s="164">
        <v>0</v>
      </c>
      <c r="W11" s="12">
        <f t="shared" si="3"/>
        <v>0</v>
      </c>
      <c r="X11" s="140">
        <f t="shared" si="4"/>
        <v>0</v>
      </c>
      <c r="Y11" s="139">
        <f t="shared" si="5"/>
        <v>0</v>
      </c>
      <c r="Z11" s="140">
        <f t="shared" si="6"/>
        <v>0</v>
      </c>
      <c r="AA11" s="28"/>
      <c r="AB11" s="108"/>
      <c r="AC11" s="14">
        <f t="shared" si="120"/>
        <v>0</v>
      </c>
      <c r="AD11" s="164">
        <v>0</v>
      </c>
      <c r="AE11" s="165">
        <v>0</v>
      </c>
      <c r="AF11" s="140">
        <f t="shared" si="7"/>
        <v>0</v>
      </c>
      <c r="AG11" s="164">
        <v>0</v>
      </c>
      <c r="AH11" s="12">
        <f t="shared" si="8"/>
        <v>0</v>
      </c>
      <c r="AI11" s="215">
        <f t="shared" si="9"/>
        <v>0</v>
      </c>
      <c r="AJ11" s="139">
        <f t="shared" si="10"/>
        <v>0</v>
      </c>
      <c r="AK11" s="140">
        <f t="shared" si="11"/>
        <v>0</v>
      </c>
      <c r="AL11" s="28"/>
      <c r="AM11" s="108"/>
      <c r="AN11" s="14">
        <f t="shared" si="121"/>
        <v>0</v>
      </c>
      <c r="AO11" s="164">
        <v>0</v>
      </c>
      <c r="AP11" s="165">
        <v>0</v>
      </c>
      <c r="AQ11" s="140">
        <f t="shared" si="12"/>
        <v>0</v>
      </c>
      <c r="AR11" s="164">
        <v>0</v>
      </c>
      <c r="AS11" s="12">
        <f t="shared" si="13"/>
        <v>0</v>
      </c>
      <c r="AT11" s="215">
        <f t="shared" si="14"/>
        <v>0</v>
      </c>
      <c r="AU11" s="139">
        <f t="shared" si="15"/>
        <v>0</v>
      </c>
      <c r="AV11" s="140">
        <f t="shared" si="16"/>
        <v>0</v>
      </c>
      <c r="AW11" s="28"/>
      <c r="AX11" s="108"/>
      <c r="AY11" s="14">
        <f t="shared" si="103"/>
        <v>0</v>
      </c>
      <c r="AZ11" s="164">
        <v>0</v>
      </c>
      <c r="BA11" s="165">
        <v>0</v>
      </c>
      <c r="BB11" s="140">
        <f t="shared" si="17"/>
        <v>0</v>
      </c>
      <c r="BC11" s="164">
        <v>0</v>
      </c>
      <c r="BD11" s="12">
        <f t="shared" si="18"/>
        <v>0</v>
      </c>
      <c r="BE11" s="140">
        <f t="shared" si="19"/>
        <v>0</v>
      </c>
      <c r="BF11" s="139">
        <f t="shared" si="20"/>
        <v>0</v>
      </c>
      <c r="BG11" s="140">
        <f t="shared" si="21"/>
        <v>0</v>
      </c>
      <c r="BH11" s="28"/>
      <c r="BI11" s="108"/>
      <c r="BJ11" s="14">
        <f t="shared" si="104"/>
        <v>0</v>
      </c>
      <c r="BK11" s="164">
        <v>1</v>
      </c>
      <c r="BL11" s="165">
        <v>0</v>
      </c>
      <c r="BM11" s="140">
        <f t="shared" si="22"/>
        <v>1</v>
      </c>
      <c r="BN11" s="164">
        <v>0</v>
      </c>
      <c r="BO11" s="12">
        <f t="shared" si="23"/>
        <v>1</v>
      </c>
      <c r="BP11" s="140">
        <f t="shared" si="24"/>
        <v>2.7</v>
      </c>
      <c r="BQ11" s="139">
        <f t="shared" si="25"/>
        <v>46.338038438921018</v>
      </c>
      <c r="BR11" s="140">
        <f t="shared" si="26"/>
        <v>0.99570244026802968</v>
      </c>
      <c r="BS11" s="28"/>
      <c r="BT11" s="108"/>
      <c r="BU11" s="14">
        <f t="shared" si="118"/>
        <v>0</v>
      </c>
      <c r="BV11" s="164">
        <v>0</v>
      </c>
      <c r="BW11" s="165">
        <v>-1</v>
      </c>
      <c r="BX11" s="140">
        <f t="shared" si="27"/>
        <v>-4.8</v>
      </c>
      <c r="BY11" s="164">
        <v>-0.2</v>
      </c>
      <c r="BZ11" s="12">
        <f t="shared" si="28"/>
        <v>0</v>
      </c>
      <c r="CA11" s="140">
        <f t="shared" si="29"/>
        <v>-0.2</v>
      </c>
      <c r="CB11" s="139">
        <f t="shared" si="30"/>
        <v>-0.41277448442983933</v>
      </c>
      <c r="CC11" s="140">
        <f t="shared" si="31"/>
        <v>-1.4432942538891511</v>
      </c>
      <c r="CD11" s="22" t="s">
        <v>338</v>
      </c>
      <c r="CE11" s="108"/>
      <c r="CF11" s="14">
        <f t="shared" si="105"/>
        <v>0</v>
      </c>
      <c r="CG11" s="164">
        <v>0</v>
      </c>
      <c r="CH11" s="165">
        <v>-1</v>
      </c>
      <c r="CI11" s="140">
        <f t="shared" si="32"/>
        <v>-1.6</v>
      </c>
      <c r="CJ11" s="164">
        <v>-0.2</v>
      </c>
      <c r="CK11" s="12">
        <f t="shared" si="33"/>
        <v>0</v>
      </c>
      <c r="CL11" s="140">
        <f t="shared" si="34"/>
        <v>-0.2</v>
      </c>
      <c r="CM11" s="139">
        <f t="shared" si="35"/>
        <v>-0.99359997899144559</v>
      </c>
      <c r="CN11" s="140">
        <f t="shared" si="36"/>
        <v>-0.81375920530416535</v>
      </c>
      <c r="CO11" s="22" t="s">
        <v>338</v>
      </c>
      <c r="CP11" s="108"/>
      <c r="CQ11" s="14">
        <f t="shared" si="106"/>
        <v>0</v>
      </c>
      <c r="CR11" s="164">
        <v>0</v>
      </c>
      <c r="CS11" s="165">
        <v>-1</v>
      </c>
      <c r="CT11" s="140">
        <f t="shared" si="37"/>
        <v>-0.4</v>
      </c>
      <c r="CU11" s="164">
        <v>-0.2</v>
      </c>
      <c r="CV11" s="12">
        <f t="shared" si="38"/>
        <v>0</v>
      </c>
      <c r="CW11" s="140">
        <f t="shared" si="39"/>
        <v>-0.2</v>
      </c>
      <c r="CX11" s="139">
        <f t="shared" si="40"/>
        <v>-1.7935999789914454</v>
      </c>
      <c r="CY11" s="140">
        <f t="shared" si="41"/>
        <v>-0.36723996688767357</v>
      </c>
      <c r="CZ11" s="22" t="s">
        <v>338</v>
      </c>
      <c r="DA11" s="108"/>
      <c r="DB11" s="14">
        <f t="shared" si="107"/>
        <v>0</v>
      </c>
      <c r="DC11" s="164">
        <v>0</v>
      </c>
      <c r="DD11" s="165">
        <v>0</v>
      </c>
      <c r="DE11" s="140">
        <f t="shared" si="42"/>
        <v>0</v>
      </c>
      <c r="DF11" s="164">
        <v>0</v>
      </c>
      <c r="DG11" s="12">
        <f t="shared" si="43"/>
        <v>0</v>
      </c>
      <c r="DH11" s="140">
        <f t="shared" si="44"/>
        <v>0</v>
      </c>
      <c r="DI11" s="139">
        <f t="shared" si="45"/>
        <v>0</v>
      </c>
      <c r="DJ11" s="140">
        <f t="shared" si="46"/>
        <v>0</v>
      </c>
      <c r="DK11" s="28"/>
      <c r="DL11" s="108"/>
      <c r="DM11" s="14">
        <f t="shared" si="108"/>
        <v>0</v>
      </c>
      <c r="DN11" s="164">
        <v>0</v>
      </c>
      <c r="DO11" s="165">
        <v>0</v>
      </c>
      <c r="DP11" s="140">
        <f t="shared" si="47"/>
        <v>0</v>
      </c>
      <c r="DQ11" s="164">
        <v>0</v>
      </c>
      <c r="DR11" s="12">
        <f t="shared" si="48"/>
        <v>0</v>
      </c>
      <c r="DS11" s="140">
        <f t="shared" si="49"/>
        <v>0</v>
      </c>
      <c r="DT11" s="139">
        <f t="shared" si="50"/>
        <v>0</v>
      </c>
      <c r="DU11" s="140">
        <f t="shared" si="51"/>
        <v>0</v>
      </c>
      <c r="DV11" s="28"/>
      <c r="DW11" s="108"/>
      <c r="DX11" s="14">
        <f t="shared" si="109"/>
        <v>0</v>
      </c>
      <c r="DY11" s="164">
        <v>0</v>
      </c>
      <c r="DZ11" s="165">
        <v>0</v>
      </c>
      <c r="EA11" s="140">
        <f t="shared" si="52"/>
        <v>0</v>
      </c>
      <c r="EB11" s="164">
        <v>0</v>
      </c>
      <c r="EC11" s="12">
        <f t="shared" si="53"/>
        <v>0</v>
      </c>
      <c r="ED11" s="140">
        <f t="shared" si="54"/>
        <v>0</v>
      </c>
      <c r="EE11" s="139">
        <f t="shared" si="55"/>
        <v>0</v>
      </c>
      <c r="EF11" s="140">
        <f t="shared" si="56"/>
        <v>0</v>
      </c>
      <c r="EG11" s="28"/>
      <c r="EH11" s="108"/>
      <c r="EI11" s="14">
        <f t="shared" si="110"/>
        <v>0</v>
      </c>
      <c r="EJ11" s="164">
        <v>0</v>
      </c>
      <c r="EK11" s="165">
        <v>-1</v>
      </c>
      <c r="EL11" s="140">
        <f t="shared" si="57"/>
        <v>-1.6</v>
      </c>
      <c r="EM11" s="164">
        <v>-0.2</v>
      </c>
      <c r="EN11" s="12">
        <f t="shared" si="58"/>
        <v>0</v>
      </c>
      <c r="EO11" s="140">
        <f t="shared" si="59"/>
        <v>-0.2</v>
      </c>
      <c r="EP11" s="139">
        <f t="shared" si="60"/>
        <v>-2.2363815573171988</v>
      </c>
      <c r="EQ11" s="140">
        <f t="shared" si="61"/>
        <v>-1.11945661916245</v>
      </c>
      <c r="ER11" s="180" t="s">
        <v>338</v>
      </c>
      <c r="ES11" s="108"/>
      <c r="ET11" s="14">
        <f t="shared" si="111"/>
        <v>0</v>
      </c>
      <c r="EU11" s="164">
        <v>0</v>
      </c>
      <c r="EV11" s="165">
        <v>0</v>
      </c>
      <c r="EW11" s="140">
        <f t="shared" si="62"/>
        <v>0</v>
      </c>
      <c r="EX11" s="164">
        <v>-0.2</v>
      </c>
      <c r="EY11" s="12">
        <f t="shared" si="63"/>
        <v>0</v>
      </c>
      <c r="EZ11" s="140">
        <f t="shared" si="64"/>
        <v>-0.2</v>
      </c>
      <c r="FA11" s="139">
        <f t="shared" si="65"/>
        <v>-0.2</v>
      </c>
      <c r="FB11" s="140">
        <f t="shared" si="66"/>
        <v>-4.8511057741699899E-3</v>
      </c>
      <c r="FC11" s="28"/>
      <c r="FD11" s="108"/>
      <c r="FE11" s="14">
        <f t="shared" si="112"/>
        <v>0</v>
      </c>
      <c r="FF11" s="164">
        <v>0</v>
      </c>
      <c r="FG11" s="165">
        <v>-1</v>
      </c>
      <c r="FH11" s="140">
        <f t="shared" si="67"/>
        <v>-0.2</v>
      </c>
      <c r="FI11" s="164">
        <v>-0.2</v>
      </c>
      <c r="FJ11" s="12">
        <f t="shared" si="68"/>
        <v>0</v>
      </c>
      <c r="FK11" s="140">
        <f t="shared" si="69"/>
        <v>-0.2</v>
      </c>
      <c r="FL11" s="139">
        <f t="shared" si="70"/>
        <v>-18.854855613580352</v>
      </c>
      <c r="FM11" s="140">
        <f t="shared" si="71"/>
        <v>-0.19831710528597726</v>
      </c>
      <c r="FN11" s="22" t="s">
        <v>338</v>
      </c>
      <c r="FO11" s="108"/>
      <c r="FP11" s="14">
        <f t="shared" si="113"/>
        <v>0</v>
      </c>
      <c r="FQ11" s="164">
        <v>0</v>
      </c>
      <c r="FR11" s="165">
        <v>0</v>
      </c>
      <c r="FS11" s="140">
        <f t="shared" si="72"/>
        <v>0</v>
      </c>
      <c r="FT11" s="164">
        <v>0</v>
      </c>
      <c r="FU11" s="12">
        <f t="shared" si="73"/>
        <v>0</v>
      </c>
      <c r="FV11" s="140">
        <f t="shared" si="74"/>
        <v>0</v>
      </c>
      <c r="FW11" s="139">
        <f t="shared" si="75"/>
        <v>0</v>
      </c>
      <c r="FX11" s="140">
        <f t="shared" si="76"/>
        <v>0</v>
      </c>
      <c r="FY11" s="28"/>
      <c r="FZ11" s="108"/>
      <c r="GA11" s="14">
        <f t="shared" si="114"/>
        <v>0</v>
      </c>
      <c r="GB11" s="164">
        <v>0</v>
      </c>
      <c r="GC11" s="165">
        <v>0</v>
      </c>
      <c r="GD11" s="140">
        <f t="shared" si="77"/>
        <v>0</v>
      </c>
      <c r="GE11" s="164">
        <v>0</v>
      </c>
      <c r="GF11" s="12">
        <f t="shared" si="78"/>
        <v>0</v>
      </c>
      <c r="GG11" s="140">
        <f t="shared" si="79"/>
        <v>0</v>
      </c>
      <c r="GH11" s="139">
        <f t="shared" si="80"/>
        <v>0</v>
      </c>
      <c r="GI11" s="140">
        <f t="shared" si="81"/>
        <v>0</v>
      </c>
      <c r="GJ11" s="28"/>
      <c r="GK11" s="108"/>
      <c r="GL11" s="14">
        <f t="shared" si="119"/>
        <v>0</v>
      </c>
      <c r="GM11" s="164">
        <v>0</v>
      </c>
      <c r="GN11" s="165">
        <v>0</v>
      </c>
      <c r="GO11" s="140">
        <f t="shared" si="82"/>
        <v>0</v>
      </c>
      <c r="GP11" s="164">
        <v>0</v>
      </c>
      <c r="GQ11" s="12">
        <f t="shared" si="83"/>
        <v>0</v>
      </c>
      <c r="GR11" s="140">
        <f t="shared" si="84"/>
        <v>0</v>
      </c>
      <c r="GS11" s="139">
        <f t="shared" si="85"/>
        <v>0</v>
      </c>
      <c r="GT11" s="140">
        <f t="shared" si="86"/>
        <v>0</v>
      </c>
      <c r="GU11" s="28"/>
      <c r="GV11" s="108"/>
      <c r="GW11" s="14">
        <f t="shared" si="115"/>
        <v>0</v>
      </c>
      <c r="GX11" s="164">
        <v>0</v>
      </c>
      <c r="GY11" s="165">
        <v>0</v>
      </c>
      <c r="GZ11" s="140">
        <f t="shared" si="87"/>
        <v>0</v>
      </c>
      <c r="HA11" s="164">
        <v>0</v>
      </c>
      <c r="HB11" s="12">
        <f t="shared" si="88"/>
        <v>0</v>
      </c>
      <c r="HC11" s="140">
        <f t="shared" si="89"/>
        <v>0</v>
      </c>
      <c r="HD11" s="139">
        <f t="shared" si="90"/>
        <v>0</v>
      </c>
      <c r="HE11" s="140">
        <f t="shared" si="91"/>
        <v>0</v>
      </c>
      <c r="HF11" s="28"/>
      <c r="HG11" s="108"/>
      <c r="HH11" s="14">
        <f t="shared" si="116"/>
        <v>0</v>
      </c>
      <c r="HI11" s="164">
        <v>0</v>
      </c>
      <c r="HJ11" s="165">
        <v>0</v>
      </c>
      <c r="HK11" s="140">
        <f t="shared" si="92"/>
        <v>0</v>
      </c>
      <c r="HL11" s="164">
        <v>0</v>
      </c>
      <c r="HM11" s="12">
        <f t="shared" si="93"/>
        <v>0</v>
      </c>
      <c r="HN11" s="140">
        <f t="shared" si="94"/>
        <v>0</v>
      </c>
      <c r="HO11" s="139">
        <f t="shared" si="95"/>
        <v>0</v>
      </c>
      <c r="HP11" s="140">
        <f t="shared" si="96"/>
        <v>0</v>
      </c>
      <c r="HQ11" s="28"/>
      <c r="HR11" s="108"/>
      <c r="HS11" s="14">
        <f t="shared" si="117"/>
        <v>0</v>
      </c>
      <c r="HT11" s="164">
        <v>0</v>
      </c>
      <c r="HU11" s="165">
        <v>0</v>
      </c>
      <c r="HV11" s="140">
        <f t="shared" si="97"/>
        <v>0</v>
      </c>
      <c r="HW11" s="164">
        <v>0</v>
      </c>
      <c r="HX11" s="12">
        <f t="shared" si="98"/>
        <v>0</v>
      </c>
      <c r="HY11" s="140">
        <f t="shared" si="99"/>
        <v>0</v>
      </c>
      <c r="HZ11" s="139">
        <f t="shared" si="100"/>
        <v>0</v>
      </c>
      <c r="IA11" s="140">
        <f t="shared" si="101"/>
        <v>0</v>
      </c>
      <c r="IB11" s="28"/>
      <c r="IC11" s="108"/>
      <c r="ID11" s="164">
        <v>0</v>
      </c>
      <c r="IE11" s="108"/>
      <c r="IF11" s="164">
        <v>0</v>
      </c>
      <c r="IG11" s="164">
        <v>0</v>
      </c>
      <c r="IH11" s="164">
        <f t="shared" si="102"/>
        <v>0</v>
      </c>
      <c r="II11" s="108"/>
      <c r="IJ11" s="164">
        <v>0</v>
      </c>
      <c r="IK11" s="108"/>
    </row>
    <row r="12" spans="1:245" ht="15" customHeight="1">
      <c r="A12" s="91" t="s">
        <v>239</v>
      </c>
      <c r="B12" s="91" t="s">
        <v>241</v>
      </c>
      <c r="C12" s="1" t="str">
        <f>MicroModelComponents!C12</f>
        <v>N2 (g)</v>
      </c>
      <c r="D12" s="1">
        <f>MicroModelComponents!E12</f>
        <v>0</v>
      </c>
      <c r="E12" s="1">
        <f>MicroModelComponents!U12</f>
        <v>0</v>
      </c>
      <c r="F12" s="1">
        <f>MicroModelComponents!V12</f>
        <v>28</v>
      </c>
      <c r="G12" s="1">
        <f>MicroModelComponents!W12</f>
        <v>-6</v>
      </c>
      <c r="H12" s="2">
        <f>MicroModelComponents!X12</f>
        <v>-6</v>
      </c>
      <c r="I12" s="138"/>
      <c r="J12" s="43">
        <v>0.5</v>
      </c>
      <c r="K12" s="87" t="s">
        <v>189</v>
      </c>
      <c r="L12" s="104">
        <f>EXP(-D12/($C$27*$C$28))*J12</f>
        <v>0.5</v>
      </c>
      <c r="M12" s="13">
        <v>0</v>
      </c>
      <c r="N12" s="13">
        <f t="shared" si="0"/>
        <v>-1.7173220464342647</v>
      </c>
      <c r="O12" s="105"/>
      <c r="P12" s="28"/>
      <c r="Q12" s="108"/>
      <c r="R12" s="14">
        <f t="shared" si="1"/>
        <v>0</v>
      </c>
      <c r="S12" s="164">
        <v>0</v>
      </c>
      <c r="T12" s="165">
        <v>0</v>
      </c>
      <c r="U12" s="140">
        <f t="shared" si="2"/>
        <v>0</v>
      </c>
      <c r="V12" s="164">
        <v>0</v>
      </c>
      <c r="W12" s="12">
        <f t="shared" si="3"/>
        <v>0</v>
      </c>
      <c r="X12" s="140">
        <f t="shared" si="4"/>
        <v>0</v>
      </c>
      <c r="Y12" s="139">
        <f t="shared" si="5"/>
        <v>0</v>
      </c>
      <c r="Z12" s="140">
        <f t="shared" si="6"/>
        <v>0</v>
      </c>
      <c r="AA12" s="28"/>
      <c r="AB12" s="108"/>
      <c r="AC12" s="14">
        <f t="shared" si="120"/>
        <v>0</v>
      </c>
      <c r="AD12" s="164">
        <v>0</v>
      </c>
      <c r="AE12" s="165">
        <v>0</v>
      </c>
      <c r="AF12" s="140">
        <f t="shared" si="7"/>
        <v>0</v>
      </c>
      <c r="AG12" s="164">
        <v>0</v>
      </c>
      <c r="AH12" s="12">
        <f t="shared" si="8"/>
        <v>0</v>
      </c>
      <c r="AI12" s="215">
        <f t="shared" si="9"/>
        <v>0</v>
      </c>
      <c r="AJ12" s="139">
        <f t="shared" si="10"/>
        <v>0</v>
      </c>
      <c r="AK12" s="140">
        <f t="shared" si="11"/>
        <v>0</v>
      </c>
      <c r="AL12" s="28"/>
      <c r="AM12" s="108"/>
      <c r="AN12" s="14">
        <f t="shared" si="121"/>
        <v>0</v>
      </c>
      <c r="AO12" s="164">
        <v>0</v>
      </c>
      <c r="AP12" s="165">
        <v>0</v>
      </c>
      <c r="AQ12" s="140">
        <f t="shared" si="12"/>
        <v>0</v>
      </c>
      <c r="AR12" s="164">
        <v>0</v>
      </c>
      <c r="AS12" s="12">
        <f t="shared" si="13"/>
        <v>0</v>
      </c>
      <c r="AT12" s="215">
        <f t="shared" si="14"/>
        <v>0</v>
      </c>
      <c r="AU12" s="139">
        <f t="shared" si="15"/>
        <v>0</v>
      </c>
      <c r="AV12" s="140">
        <f t="shared" si="16"/>
        <v>0</v>
      </c>
      <c r="AW12" s="28"/>
      <c r="AX12" s="108"/>
      <c r="AY12" s="14">
        <f t="shared" si="103"/>
        <v>0</v>
      </c>
      <c r="AZ12" s="164">
        <v>0</v>
      </c>
      <c r="BA12" s="165">
        <v>0</v>
      </c>
      <c r="BB12" s="140">
        <f t="shared" si="17"/>
        <v>0</v>
      </c>
      <c r="BC12" s="164">
        <v>0</v>
      </c>
      <c r="BD12" s="12">
        <f t="shared" si="18"/>
        <v>0</v>
      </c>
      <c r="BE12" s="140">
        <f t="shared" si="19"/>
        <v>0</v>
      </c>
      <c r="BF12" s="139">
        <f t="shared" si="20"/>
        <v>0</v>
      </c>
      <c r="BG12" s="140">
        <f t="shared" si="21"/>
        <v>0</v>
      </c>
      <c r="BH12" s="28"/>
      <c r="BI12" s="108"/>
      <c r="BJ12" s="14">
        <f t="shared" si="104"/>
        <v>0</v>
      </c>
      <c r="BK12" s="164">
        <v>0</v>
      </c>
      <c r="BL12" s="165">
        <v>0</v>
      </c>
      <c r="BM12" s="140">
        <f t="shared" si="22"/>
        <v>0</v>
      </c>
      <c r="BN12" s="164">
        <v>0</v>
      </c>
      <c r="BO12" s="12">
        <f t="shared" si="23"/>
        <v>0</v>
      </c>
      <c r="BP12" s="140">
        <f t="shared" si="24"/>
        <v>0</v>
      </c>
      <c r="BQ12" s="139">
        <f t="shared" si="25"/>
        <v>0</v>
      </c>
      <c r="BR12" s="140">
        <f t="shared" si="26"/>
        <v>0</v>
      </c>
      <c r="BS12" s="28"/>
      <c r="BT12" s="108"/>
      <c r="BU12" s="14">
        <f t="shared" si="118"/>
        <v>0</v>
      </c>
      <c r="BV12" s="164">
        <v>0</v>
      </c>
      <c r="BW12" s="165">
        <v>0.5</v>
      </c>
      <c r="BX12" s="140">
        <f t="shared" si="27"/>
        <v>2.4</v>
      </c>
      <c r="BY12" s="164">
        <v>0</v>
      </c>
      <c r="BZ12" s="12">
        <f t="shared" si="28"/>
        <v>0</v>
      </c>
      <c r="CA12" s="140">
        <f t="shared" si="29"/>
        <v>0</v>
      </c>
      <c r="CB12" s="139">
        <f t="shared" si="30"/>
        <v>0.10638724221491964</v>
      </c>
      <c r="CC12" s="140">
        <f t="shared" si="31"/>
        <v>0.37199027839136201</v>
      </c>
      <c r="CD12" s="28"/>
      <c r="CE12" s="108"/>
      <c r="CF12" s="14">
        <f t="shared" si="105"/>
        <v>0</v>
      </c>
      <c r="CG12" s="164">
        <v>0</v>
      </c>
      <c r="CH12" s="165">
        <v>0.5</v>
      </c>
      <c r="CI12" s="140">
        <f t="shared" si="32"/>
        <v>0.8</v>
      </c>
      <c r="CJ12" s="164">
        <v>0</v>
      </c>
      <c r="CK12" s="12">
        <f t="shared" si="33"/>
        <v>0</v>
      </c>
      <c r="CL12" s="140">
        <f t="shared" si="34"/>
        <v>0</v>
      </c>
      <c r="CM12" s="139">
        <f t="shared" si="35"/>
        <v>0.39679998949572276</v>
      </c>
      <c r="CN12" s="140">
        <f t="shared" si="36"/>
        <v>0.32497951987126655</v>
      </c>
      <c r="CO12" s="28"/>
      <c r="CP12" s="108"/>
      <c r="CQ12" s="14">
        <f t="shared" si="106"/>
        <v>0</v>
      </c>
      <c r="CR12" s="164">
        <v>0</v>
      </c>
      <c r="CS12" s="165">
        <v>0.5</v>
      </c>
      <c r="CT12" s="140">
        <f t="shared" si="37"/>
        <v>0.2</v>
      </c>
      <c r="CU12" s="164">
        <v>0</v>
      </c>
      <c r="CV12" s="12">
        <f t="shared" si="38"/>
        <v>0</v>
      </c>
      <c r="CW12" s="140">
        <f t="shared" si="39"/>
        <v>0</v>
      </c>
      <c r="CX12" s="139">
        <f t="shared" si="40"/>
        <v>0.79679998949572273</v>
      </c>
      <c r="CY12" s="140">
        <f t="shared" si="41"/>
        <v>0.16314496274863277</v>
      </c>
      <c r="CZ12" s="28"/>
      <c r="DA12" s="108"/>
      <c r="DB12" s="14">
        <f t="shared" si="107"/>
        <v>0</v>
      </c>
      <c r="DC12" s="164">
        <v>0</v>
      </c>
      <c r="DD12" s="165">
        <v>0</v>
      </c>
      <c r="DE12" s="140">
        <f t="shared" si="42"/>
        <v>0</v>
      </c>
      <c r="DF12" s="164">
        <v>0</v>
      </c>
      <c r="DG12" s="12">
        <f t="shared" si="43"/>
        <v>0</v>
      </c>
      <c r="DH12" s="140">
        <f t="shared" si="44"/>
        <v>0</v>
      </c>
      <c r="DI12" s="139">
        <f t="shared" si="45"/>
        <v>0</v>
      </c>
      <c r="DJ12" s="140">
        <f t="shared" si="46"/>
        <v>0</v>
      </c>
      <c r="DK12" s="28"/>
      <c r="DL12" s="108"/>
      <c r="DM12" s="14">
        <f t="shared" si="108"/>
        <v>0</v>
      </c>
      <c r="DN12" s="164">
        <v>0</v>
      </c>
      <c r="DO12" s="165">
        <v>0</v>
      </c>
      <c r="DP12" s="140">
        <f t="shared" si="47"/>
        <v>0</v>
      </c>
      <c r="DQ12" s="164">
        <v>0</v>
      </c>
      <c r="DR12" s="12">
        <f t="shared" si="48"/>
        <v>0</v>
      </c>
      <c r="DS12" s="140">
        <f t="shared" si="49"/>
        <v>0</v>
      </c>
      <c r="DT12" s="139">
        <f t="shared" si="50"/>
        <v>0</v>
      </c>
      <c r="DU12" s="140">
        <f t="shared" si="51"/>
        <v>0</v>
      </c>
      <c r="DV12" s="28"/>
      <c r="DW12" s="108"/>
      <c r="DX12" s="14">
        <f t="shared" si="109"/>
        <v>0</v>
      </c>
      <c r="DY12" s="164">
        <v>0</v>
      </c>
      <c r="DZ12" s="165">
        <v>0</v>
      </c>
      <c r="EA12" s="140">
        <f t="shared" si="52"/>
        <v>0</v>
      </c>
      <c r="EB12" s="164">
        <v>0</v>
      </c>
      <c r="EC12" s="12">
        <f t="shared" si="53"/>
        <v>0</v>
      </c>
      <c r="ED12" s="140">
        <f t="shared" si="54"/>
        <v>0</v>
      </c>
      <c r="EE12" s="139">
        <f t="shared" si="55"/>
        <v>0</v>
      </c>
      <c r="EF12" s="140">
        <f t="shared" si="56"/>
        <v>0</v>
      </c>
      <c r="EG12" s="28"/>
      <c r="EH12" s="108"/>
      <c r="EI12" s="14">
        <f t="shared" si="110"/>
        <v>0</v>
      </c>
      <c r="EJ12" s="164">
        <v>0</v>
      </c>
      <c r="EK12" s="165">
        <v>0.5</v>
      </c>
      <c r="EL12" s="140">
        <f t="shared" si="57"/>
        <v>0.8</v>
      </c>
      <c r="EM12" s="164">
        <v>0</v>
      </c>
      <c r="EN12" s="12">
        <f t="shared" si="58"/>
        <v>0</v>
      </c>
      <c r="EO12" s="140">
        <f t="shared" si="59"/>
        <v>0</v>
      </c>
      <c r="EP12" s="139">
        <f t="shared" si="60"/>
        <v>1.0181907786585993</v>
      </c>
      <c r="EQ12" s="140">
        <f t="shared" si="61"/>
        <v>0.50967170741064682</v>
      </c>
      <c r="ER12" s="28"/>
      <c r="ES12" s="108"/>
      <c r="ET12" s="14">
        <f t="shared" si="111"/>
        <v>0</v>
      </c>
      <c r="EU12" s="164">
        <v>0</v>
      </c>
      <c r="EV12" s="165">
        <v>0</v>
      </c>
      <c r="EW12" s="140">
        <f t="shared" si="62"/>
        <v>0</v>
      </c>
      <c r="EX12" s="164">
        <v>0</v>
      </c>
      <c r="EY12" s="12">
        <f t="shared" si="63"/>
        <v>0</v>
      </c>
      <c r="EZ12" s="140">
        <f t="shared" si="64"/>
        <v>0</v>
      </c>
      <c r="FA12" s="139">
        <f t="shared" si="65"/>
        <v>0</v>
      </c>
      <c r="FB12" s="140">
        <f t="shared" si="66"/>
        <v>0</v>
      </c>
      <c r="FC12" s="28"/>
      <c r="FD12" s="108"/>
      <c r="FE12" s="14">
        <f t="shared" si="112"/>
        <v>0</v>
      </c>
      <c r="FF12" s="164">
        <v>0</v>
      </c>
      <c r="FG12" s="165">
        <v>0.5</v>
      </c>
      <c r="FH12" s="140">
        <f t="shared" si="67"/>
        <v>0.1</v>
      </c>
      <c r="FI12" s="164">
        <v>0</v>
      </c>
      <c r="FJ12" s="12">
        <f t="shared" si="68"/>
        <v>0</v>
      </c>
      <c r="FK12" s="140">
        <f t="shared" si="69"/>
        <v>0</v>
      </c>
      <c r="FL12" s="139">
        <f t="shared" si="70"/>
        <v>9.3274278067901761</v>
      </c>
      <c r="FM12" s="140">
        <f t="shared" si="71"/>
        <v>9.8106743446724418E-2</v>
      </c>
      <c r="FN12" s="28"/>
      <c r="FO12" s="108"/>
      <c r="FP12" s="14">
        <f t="shared" si="113"/>
        <v>0</v>
      </c>
      <c r="FQ12" s="164">
        <v>0</v>
      </c>
      <c r="FR12" s="165">
        <v>0</v>
      </c>
      <c r="FS12" s="140">
        <f t="shared" si="72"/>
        <v>0</v>
      </c>
      <c r="FT12" s="164">
        <v>0</v>
      </c>
      <c r="FU12" s="12">
        <f t="shared" si="73"/>
        <v>0</v>
      </c>
      <c r="FV12" s="140">
        <f t="shared" si="74"/>
        <v>0</v>
      </c>
      <c r="FW12" s="139">
        <f t="shared" si="75"/>
        <v>0</v>
      </c>
      <c r="FX12" s="140">
        <f t="shared" si="76"/>
        <v>0</v>
      </c>
      <c r="FY12" s="28"/>
      <c r="FZ12" s="108"/>
      <c r="GA12" s="14">
        <f t="shared" si="114"/>
        <v>0</v>
      </c>
      <c r="GB12" s="164">
        <v>0</v>
      </c>
      <c r="GC12" s="165">
        <v>0</v>
      </c>
      <c r="GD12" s="140">
        <f t="shared" si="77"/>
        <v>0</v>
      </c>
      <c r="GE12" s="164">
        <v>0</v>
      </c>
      <c r="GF12" s="12">
        <f t="shared" si="78"/>
        <v>0</v>
      </c>
      <c r="GG12" s="140">
        <f t="shared" si="79"/>
        <v>0</v>
      </c>
      <c r="GH12" s="139">
        <f t="shared" si="80"/>
        <v>0</v>
      </c>
      <c r="GI12" s="140">
        <f t="shared" si="81"/>
        <v>0</v>
      </c>
      <c r="GJ12" s="28"/>
      <c r="GK12" s="108"/>
      <c r="GL12" s="14">
        <f t="shared" si="119"/>
        <v>0</v>
      </c>
      <c r="GM12" s="164">
        <v>0</v>
      </c>
      <c r="GN12" s="165">
        <v>0</v>
      </c>
      <c r="GO12" s="140">
        <f t="shared" si="82"/>
        <v>0</v>
      </c>
      <c r="GP12" s="164">
        <v>0</v>
      </c>
      <c r="GQ12" s="12">
        <f t="shared" si="83"/>
        <v>0</v>
      </c>
      <c r="GR12" s="140">
        <f t="shared" si="84"/>
        <v>0</v>
      </c>
      <c r="GS12" s="139">
        <f t="shared" si="85"/>
        <v>0</v>
      </c>
      <c r="GT12" s="140">
        <f t="shared" si="86"/>
        <v>0</v>
      </c>
      <c r="GU12" s="28"/>
      <c r="GV12" s="108"/>
      <c r="GW12" s="14">
        <f t="shared" si="115"/>
        <v>0</v>
      </c>
      <c r="GX12" s="164">
        <v>0</v>
      </c>
      <c r="GY12" s="165">
        <v>0</v>
      </c>
      <c r="GZ12" s="140">
        <f t="shared" si="87"/>
        <v>0</v>
      </c>
      <c r="HA12" s="164">
        <v>0</v>
      </c>
      <c r="HB12" s="12">
        <f t="shared" si="88"/>
        <v>0</v>
      </c>
      <c r="HC12" s="140">
        <f t="shared" si="89"/>
        <v>0</v>
      </c>
      <c r="HD12" s="139">
        <f t="shared" si="90"/>
        <v>0</v>
      </c>
      <c r="HE12" s="140">
        <f t="shared" si="91"/>
        <v>0</v>
      </c>
      <c r="HF12" s="28"/>
      <c r="HG12" s="108"/>
      <c r="HH12" s="14">
        <f t="shared" si="116"/>
        <v>0</v>
      </c>
      <c r="HI12" s="164">
        <v>0</v>
      </c>
      <c r="HJ12" s="165">
        <v>0</v>
      </c>
      <c r="HK12" s="140">
        <f t="shared" si="92"/>
        <v>0</v>
      </c>
      <c r="HL12" s="164">
        <v>0</v>
      </c>
      <c r="HM12" s="12">
        <f t="shared" si="93"/>
        <v>0</v>
      </c>
      <c r="HN12" s="140">
        <f t="shared" si="94"/>
        <v>0</v>
      </c>
      <c r="HO12" s="139">
        <f t="shared" si="95"/>
        <v>0</v>
      </c>
      <c r="HP12" s="140">
        <f t="shared" si="96"/>
        <v>0</v>
      </c>
      <c r="HQ12" s="28"/>
      <c r="HR12" s="108"/>
      <c r="HS12" s="14">
        <f t="shared" si="117"/>
        <v>0</v>
      </c>
      <c r="HT12" s="164">
        <v>0</v>
      </c>
      <c r="HU12" s="165">
        <v>0</v>
      </c>
      <c r="HV12" s="140">
        <f t="shared" si="97"/>
        <v>0</v>
      </c>
      <c r="HW12" s="164">
        <v>0</v>
      </c>
      <c r="HX12" s="12">
        <f t="shared" si="98"/>
        <v>0</v>
      </c>
      <c r="HY12" s="140">
        <f t="shared" si="99"/>
        <v>0</v>
      </c>
      <c r="HZ12" s="139">
        <f t="shared" si="100"/>
        <v>0</v>
      </c>
      <c r="IA12" s="140">
        <f t="shared" si="101"/>
        <v>0</v>
      </c>
      <c r="IB12" s="28"/>
      <c r="IC12" s="108"/>
      <c r="ID12" s="164">
        <v>0</v>
      </c>
      <c r="IE12" s="108"/>
      <c r="IF12" s="164">
        <v>0</v>
      </c>
      <c r="IG12" s="164">
        <v>0</v>
      </c>
      <c r="IH12" s="164">
        <f t="shared" si="102"/>
        <v>0</v>
      </c>
      <c r="II12" s="108"/>
      <c r="IJ12" s="164">
        <v>0</v>
      </c>
      <c r="IK12" s="108"/>
    </row>
    <row r="13" spans="1:245" ht="15" customHeight="1">
      <c r="A13" s="91" t="s">
        <v>239</v>
      </c>
      <c r="B13" s="91" t="s">
        <v>241</v>
      </c>
      <c r="C13" s="1" t="str">
        <f>MicroModelComponents!C13</f>
        <v>HS-</v>
      </c>
      <c r="D13" s="1">
        <f>MicroModelComponents!E13</f>
        <v>12.1</v>
      </c>
      <c r="E13" s="1">
        <f>MicroModelComponents!U13</f>
        <v>-1</v>
      </c>
      <c r="F13" s="1">
        <f>MicroModelComponents!V13</f>
        <v>33</v>
      </c>
      <c r="G13" s="1">
        <f>MicroModelComponents!W13</f>
        <v>8</v>
      </c>
      <c r="H13" s="2">
        <f>MicroModelComponents!X13</f>
        <v>8</v>
      </c>
      <c r="I13" s="138"/>
      <c r="J13" s="87" t="s">
        <v>189</v>
      </c>
      <c r="K13" s="43">
        <v>1E-3</v>
      </c>
      <c r="L13" s="104">
        <f>MicroModelComponents!AE13*K13/(MicroModelComponents!AE13+$L$21)</f>
        <v>4.769904127024376E-4</v>
      </c>
      <c r="M13" s="13">
        <v>0</v>
      </c>
      <c r="N13" s="13">
        <f t="shared" si="0"/>
        <v>-6.8485057543608097</v>
      </c>
      <c r="O13" s="105"/>
      <c r="P13" s="28"/>
      <c r="Q13" s="108"/>
      <c r="R13" s="14">
        <f t="shared" si="1"/>
        <v>0</v>
      </c>
      <c r="S13" s="164">
        <v>0</v>
      </c>
      <c r="T13" s="165">
        <v>0</v>
      </c>
      <c r="U13" s="140">
        <f t="shared" si="2"/>
        <v>0</v>
      </c>
      <c r="V13" s="164">
        <v>0</v>
      </c>
      <c r="W13" s="12">
        <f t="shared" si="3"/>
        <v>0</v>
      </c>
      <c r="X13" s="140">
        <f t="shared" si="4"/>
        <v>0</v>
      </c>
      <c r="Y13" s="139">
        <f t="shared" si="5"/>
        <v>0</v>
      </c>
      <c r="Z13" s="140">
        <f t="shared" si="6"/>
        <v>0</v>
      </c>
      <c r="AA13" s="28"/>
      <c r="AB13" s="108"/>
      <c r="AC13" s="14">
        <f t="shared" si="120"/>
        <v>0</v>
      </c>
      <c r="AD13" s="164">
        <v>0</v>
      </c>
      <c r="AE13" s="165">
        <v>0</v>
      </c>
      <c r="AF13" s="140">
        <f t="shared" si="7"/>
        <v>0</v>
      </c>
      <c r="AG13" s="164">
        <v>0</v>
      </c>
      <c r="AH13" s="12">
        <f t="shared" si="8"/>
        <v>0</v>
      </c>
      <c r="AI13" s="215">
        <f t="shared" si="9"/>
        <v>0</v>
      </c>
      <c r="AJ13" s="139">
        <f t="shared" si="10"/>
        <v>0</v>
      </c>
      <c r="AK13" s="140">
        <f t="shared" si="11"/>
        <v>0</v>
      </c>
      <c r="AL13" s="28"/>
      <c r="AM13" s="108"/>
      <c r="AN13" s="14">
        <f t="shared" si="121"/>
        <v>0</v>
      </c>
      <c r="AO13" s="164">
        <v>0</v>
      </c>
      <c r="AP13" s="165">
        <v>0</v>
      </c>
      <c r="AQ13" s="140">
        <f t="shared" si="12"/>
        <v>0</v>
      </c>
      <c r="AR13" s="164">
        <v>0</v>
      </c>
      <c r="AS13" s="12">
        <f t="shared" si="13"/>
        <v>0</v>
      </c>
      <c r="AT13" s="215">
        <f t="shared" si="14"/>
        <v>0</v>
      </c>
      <c r="AU13" s="139">
        <f t="shared" si="15"/>
        <v>0</v>
      </c>
      <c r="AV13" s="140">
        <f t="shared" si="16"/>
        <v>0</v>
      </c>
      <c r="AW13" s="28"/>
      <c r="AX13" s="108"/>
      <c r="AY13" s="14">
        <f t="shared" si="103"/>
        <v>0</v>
      </c>
      <c r="AZ13" s="164">
        <v>0</v>
      </c>
      <c r="BA13" s="165">
        <v>0</v>
      </c>
      <c r="BB13" s="140">
        <f t="shared" si="17"/>
        <v>0</v>
      </c>
      <c r="BC13" s="164">
        <v>0</v>
      </c>
      <c r="BD13" s="12">
        <f t="shared" si="18"/>
        <v>0</v>
      </c>
      <c r="BE13" s="140">
        <f t="shared" si="19"/>
        <v>0</v>
      </c>
      <c r="BF13" s="139">
        <f t="shared" si="20"/>
        <v>0</v>
      </c>
      <c r="BG13" s="140">
        <f t="shared" si="21"/>
        <v>0</v>
      </c>
      <c r="BH13" s="28"/>
      <c r="BI13" s="108"/>
      <c r="BJ13" s="14">
        <f t="shared" si="104"/>
        <v>0</v>
      </c>
      <c r="BK13" s="164">
        <v>0</v>
      </c>
      <c r="BL13" s="165">
        <v>0</v>
      </c>
      <c r="BM13" s="140">
        <f t="shared" si="22"/>
        <v>0</v>
      </c>
      <c r="BN13" s="164">
        <v>0</v>
      </c>
      <c r="BO13" s="12">
        <f t="shared" si="23"/>
        <v>0</v>
      </c>
      <c r="BP13" s="140">
        <f t="shared" si="24"/>
        <v>0</v>
      </c>
      <c r="BQ13" s="139">
        <f t="shared" si="25"/>
        <v>0</v>
      </c>
      <c r="BR13" s="140">
        <f t="shared" si="26"/>
        <v>0</v>
      </c>
      <c r="BS13" s="28"/>
      <c r="BT13" s="108"/>
      <c r="BU13" s="14">
        <f t="shared" si="118"/>
        <v>0</v>
      </c>
      <c r="BV13" s="164">
        <v>0</v>
      </c>
      <c r="BW13" s="165">
        <v>0</v>
      </c>
      <c r="BX13" s="140">
        <f t="shared" si="27"/>
        <v>0</v>
      </c>
      <c r="BY13" s="164">
        <v>0</v>
      </c>
      <c r="BZ13" s="12">
        <f t="shared" si="28"/>
        <v>0</v>
      </c>
      <c r="CA13" s="140">
        <f t="shared" si="29"/>
        <v>0</v>
      </c>
      <c r="CB13" s="139">
        <f t="shared" si="30"/>
        <v>0</v>
      </c>
      <c r="CC13" s="140">
        <f t="shared" si="31"/>
        <v>0</v>
      </c>
      <c r="CD13" s="28"/>
      <c r="CE13" s="108"/>
      <c r="CF13" s="14">
        <f t="shared" si="105"/>
        <v>0</v>
      </c>
      <c r="CG13" s="164">
        <v>0</v>
      </c>
      <c r="CH13" s="165">
        <v>0</v>
      </c>
      <c r="CI13" s="140">
        <f t="shared" si="32"/>
        <v>0</v>
      </c>
      <c r="CJ13" s="164">
        <v>0</v>
      </c>
      <c r="CK13" s="12">
        <f t="shared" si="33"/>
        <v>0</v>
      </c>
      <c r="CL13" s="140">
        <f t="shared" si="34"/>
        <v>0</v>
      </c>
      <c r="CM13" s="139">
        <f t="shared" si="35"/>
        <v>0</v>
      </c>
      <c r="CN13" s="140">
        <f t="shared" si="36"/>
        <v>0</v>
      </c>
      <c r="CO13" s="28"/>
      <c r="CP13" s="108"/>
      <c r="CQ13" s="14">
        <f t="shared" si="106"/>
        <v>0</v>
      </c>
      <c r="CR13" s="164">
        <v>0</v>
      </c>
      <c r="CS13" s="165">
        <v>0</v>
      </c>
      <c r="CT13" s="140">
        <f t="shared" si="37"/>
        <v>0</v>
      </c>
      <c r="CU13" s="164">
        <v>0</v>
      </c>
      <c r="CV13" s="12">
        <f t="shared" si="38"/>
        <v>0</v>
      </c>
      <c r="CW13" s="140">
        <f t="shared" si="39"/>
        <v>0</v>
      </c>
      <c r="CX13" s="139">
        <f t="shared" si="40"/>
        <v>0</v>
      </c>
      <c r="CY13" s="140">
        <f t="shared" si="41"/>
        <v>0</v>
      </c>
      <c r="CZ13" s="28"/>
      <c r="DA13" s="108"/>
      <c r="DB13" s="14">
        <f t="shared" si="107"/>
        <v>0</v>
      </c>
      <c r="DC13" s="164">
        <v>0</v>
      </c>
      <c r="DD13" s="165">
        <v>1</v>
      </c>
      <c r="DE13" s="140">
        <f t="shared" si="42"/>
        <v>1</v>
      </c>
      <c r="DF13" s="164">
        <v>0</v>
      </c>
      <c r="DG13" s="12">
        <f t="shared" si="43"/>
        <v>0</v>
      </c>
      <c r="DH13" s="140">
        <f t="shared" si="44"/>
        <v>0</v>
      </c>
      <c r="DI13" s="139">
        <f t="shared" si="45"/>
        <v>12.056249438843102</v>
      </c>
      <c r="DJ13" s="140">
        <f t="shared" si="46"/>
        <v>0.95827123509854861</v>
      </c>
      <c r="DK13" s="22"/>
      <c r="DL13" s="108"/>
      <c r="DM13" s="14">
        <f t="shared" si="108"/>
        <v>0</v>
      </c>
      <c r="DN13" s="164">
        <v>0</v>
      </c>
      <c r="DO13" s="165">
        <v>1</v>
      </c>
      <c r="DP13" s="140">
        <f t="shared" si="47"/>
        <v>0.25</v>
      </c>
      <c r="DQ13" s="164">
        <v>0</v>
      </c>
      <c r="DR13" s="12">
        <f t="shared" si="48"/>
        <v>0</v>
      </c>
      <c r="DS13" s="140">
        <f t="shared" si="49"/>
        <v>0</v>
      </c>
      <c r="DT13" s="139">
        <f t="shared" si="50"/>
        <v>12.556249438843102</v>
      </c>
      <c r="DU13" s="140">
        <f t="shared" si="51"/>
        <v>0.24950322898926844</v>
      </c>
      <c r="DV13" s="22"/>
      <c r="DW13" s="108"/>
      <c r="DX13" s="14">
        <f t="shared" si="109"/>
        <v>1</v>
      </c>
      <c r="DY13" s="164">
        <v>-1</v>
      </c>
      <c r="DZ13" s="165">
        <v>0</v>
      </c>
      <c r="EA13" s="140">
        <f t="shared" si="52"/>
        <v>-1</v>
      </c>
      <c r="EB13" s="164">
        <v>0</v>
      </c>
      <c r="EC13" s="12">
        <f t="shared" si="53"/>
        <v>-1</v>
      </c>
      <c r="ED13" s="140">
        <f t="shared" si="54"/>
        <v>-0.52500000000000002</v>
      </c>
      <c r="EE13" s="139">
        <f t="shared" si="55"/>
        <v>-1.7752053930562024</v>
      </c>
      <c r="EF13" s="140">
        <f t="shared" si="56"/>
        <v>-1</v>
      </c>
      <c r="EG13" s="22" t="s">
        <v>336</v>
      </c>
      <c r="EH13" s="108"/>
      <c r="EI13" s="14">
        <f t="shared" si="110"/>
        <v>1</v>
      </c>
      <c r="EJ13" s="164">
        <v>-1</v>
      </c>
      <c r="EK13" s="165">
        <v>0</v>
      </c>
      <c r="EL13" s="140">
        <f t="shared" si="57"/>
        <v>-1</v>
      </c>
      <c r="EM13" s="164">
        <v>0</v>
      </c>
      <c r="EN13" s="12">
        <f t="shared" si="58"/>
        <v>-1</v>
      </c>
      <c r="EO13" s="140">
        <f t="shared" si="59"/>
        <v>-0.72499999999999998</v>
      </c>
      <c r="EP13" s="139">
        <f t="shared" si="60"/>
        <v>-1.9977384733232491</v>
      </c>
      <c r="EQ13" s="140">
        <f t="shared" si="61"/>
        <v>-1</v>
      </c>
      <c r="ER13" s="22" t="s">
        <v>336</v>
      </c>
      <c r="ES13" s="108"/>
      <c r="ET13" s="14">
        <f t="shared" si="111"/>
        <v>0</v>
      </c>
      <c r="EU13" s="164">
        <v>0</v>
      </c>
      <c r="EV13" s="165">
        <v>0</v>
      </c>
      <c r="EW13" s="140">
        <f t="shared" si="62"/>
        <v>0</v>
      </c>
      <c r="EX13" s="164">
        <v>0</v>
      </c>
      <c r="EY13" s="12">
        <f t="shared" si="63"/>
        <v>0</v>
      </c>
      <c r="EZ13" s="140">
        <f t="shared" si="64"/>
        <v>0</v>
      </c>
      <c r="FA13" s="139">
        <f t="shared" si="65"/>
        <v>0</v>
      </c>
      <c r="FB13" s="140">
        <f t="shared" si="66"/>
        <v>0</v>
      </c>
      <c r="FC13" s="22"/>
      <c r="FD13" s="108"/>
      <c r="FE13" s="14">
        <f t="shared" si="112"/>
        <v>0</v>
      </c>
      <c r="FF13" s="164">
        <v>0</v>
      </c>
      <c r="FG13" s="165">
        <v>0</v>
      </c>
      <c r="FH13" s="140">
        <f t="shared" si="67"/>
        <v>0</v>
      </c>
      <c r="FI13" s="164">
        <v>0</v>
      </c>
      <c r="FJ13" s="12">
        <f t="shared" si="68"/>
        <v>0</v>
      </c>
      <c r="FK13" s="140">
        <f t="shared" si="69"/>
        <v>0</v>
      </c>
      <c r="FL13" s="139">
        <f t="shared" si="70"/>
        <v>0</v>
      </c>
      <c r="FM13" s="140">
        <f t="shared" si="71"/>
        <v>0</v>
      </c>
      <c r="FN13" s="22"/>
      <c r="FO13" s="108"/>
      <c r="FP13" s="14">
        <f t="shared" si="113"/>
        <v>0</v>
      </c>
      <c r="FQ13" s="164">
        <v>0</v>
      </c>
      <c r="FR13" s="165">
        <v>0</v>
      </c>
      <c r="FS13" s="140">
        <f t="shared" si="72"/>
        <v>0</v>
      </c>
      <c r="FT13" s="164">
        <v>0</v>
      </c>
      <c r="FU13" s="12">
        <f t="shared" si="73"/>
        <v>0</v>
      </c>
      <c r="FV13" s="140">
        <f t="shared" si="74"/>
        <v>0</v>
      </c>
      <c r="FW13" s="139">
        <f t="shared" si="75"/>
        <v>0</v>
      </c>
      <c r="FX13" s="140">
        <f t="shared" si="76"/>
        <v>0</v>
      </c>
      <c r="FY13" s="22"/>
      <c r="FZ13" s="108"/>
      <c r="GA13" s="14">
        <f t="shared" si="114"/>
        <v>0</v>
      </c>
      <c r="GB13" s="164">
        <v>0</v>
      </c>
      <c r="GC13" s="165">
        <v>0</v>
      </c>
      <c r="GD13" s="140">
        <f t="shared" si="77"/>
        <v>0</v>
      </c>
      <c r="GE13" s="164">
        <v>0</v>
      </c>
      <c r="GF13" s="12">
        <f t="shared" si="78"/>
        <v>0</v>
      </c>
      <c r="GG13" s="140">
        <f t="shared" si="79"/>
        <v>0</v>
      </c>
      <c r="GH13" s="139">
        <f t="shared" si="80"/>
        <v>0</v>
      </c>
      <c r="GI13" s="140">
        <f t="shared" si="81"/>
        <v>0</v>
      </c>
      <c r="GJ13" s="22"/>
      <c r="GK13" s="108"/>
      <c r="GL13" s="14">
        <f t="shared" si="119"/>
        <v>0</v>
      </c>
      <c r="GM13" s="164">
        <v>0</v>
      </c>
      <c r="GN13" s="165">
        <v>0</v>
      </c>
      <c r="GO13" s="140">
        <f t="shared" si="82"/>
        <v>0</v>
      </c>
      <c r="GP13" s="164">
        <v>0</v>
      </c>
      <c r="GQ13" s="12">
        <f t="shared" si="83"/>
        <v>0</v>
      </c>
      <c r="GR13" s="140">
        <f t="shared" si="84"/>
        <v>0</v>
      </c>
      <c r="GS13" s="139">
        <f t="shared" si="85"/>
        <v>0</v>
      </c>
      <c r="GT13" s="140">
        <f t="shared" si="86"/>
        <v>0</v>
      </c>
      <c r="GU13" s="28"/>
      <c r="GV13" s="108"/>
      <c r="GW13" s="14">
        <f t="shared" si="115"/>
        <v>0</v>
      </c>
      <c r="GX13" s="164">
        <v>0</v>
      </c>
      <c r="GY13" s="165">
        <v>0</v>
      </c>
      <c r="GZ13" s="140">
        <f t="shared" si="87"/>
        <v>0</v>
      </c>
      <c r="HA13" s="164">
        <v>0</v>
      </c>
      <c r="HB13" s="12">
        <f t="shared" si="88"/>
        <v>0</v>
      </c>
      <c r="HC13" s="140">
        <f t="shared" si="89"/>
        <v>0</v>
      </c>
      <c r="HD13" s="139">
        <f t="shared" si="90"/>
        <v>0</v>
      </c>
      <c r="HE13" s="140">
        <f t="shared" si="91"/>
        <v>0</v>
      </c>
      <c r="HF13" s="28"/>
      <c r="HG13" s="108"/>
      <c r="HH13" s="14">
        <f t="shared" si="116"/>
        <v>0</v>
      </c>
      <c r="HI13" s="164">
        <v>0</v>
      </c>
      <c r="HJ13" s="165">
        <v>0</v>
      </c>
      <c r="HK13" s="140">
        <f t="shared" si="92"/>
        <v>0</v>
      </c>
      <c r="HL13" s="164">
        <v>0</v>
      </c>
      <c r="HM13" s="12">
        <f t="shared" si="93"/>
        <v>0</v>
      </c>
      <c r="HN13" s="140">
        <f t="shared" si="94"/>
        <v>0</v>
      </c>
      <c r="HO13" s="139">
        <f t="shared" si="95"/>
        <v>0</v>
      </c>
      <c r="HP13" s="140">
        <f t="shared" si="96"/>
        <v>0</v>
      </c>
      <c r="HQ13" s="28"/>
      <c r="HR13" s="108"/>
      <c r="HS13" s="14">
        <f t="shared" si="117"/>
        <v>0</v>
      </c>
      <c r="HT13" s="164">
        <v>0</v>
      </c>
      <c r="HU13" s="165">
        <v>1</v>
      </c>
      <c r="HV13" s="140">
        <f t="shared" si="97"/>
        <v>1</v>
      </c>
      <c r="HW13" s="164">
        <v>0</v>
      </c>
      <c r="HX13" s="12">
        <f t="shared" si="98"/>
        <v>1</v>
      </c>
      <c r="HY13" s="140">
        <f t="shared" si="99"/>
        <v>0.47499999999999998</v>
      </c>
      <c r="HZ13" s="139">
        <f t="shared" si="100"/>
        <v>39.168525031679842</v>
      </c>
      <c r="IA13" s="140">
        <f t="shared" si="101"/>
        <v>0.98677366145785772</v>
      </c>
      <c r="IB13" s="28"/>
      <c r="IC13" s="108"/>
      <c r="ID13" s="164">
        <v>0</v>
      </c>
      <c r="IE13" s="108"/>
      <c r="IF13" s="164">
        <v>0</v>
      </c>
      <c r="IG13" s="164">
        <v>0</v>
      </c>
      <c r="IH13" s="164">
        <f t="shared" si="102"/>
        <v>0</v>
      </c>
      <c r="II13" s="108"/>
      <c r="IJ13" s="164">
        <v>0</v>
      </c>
      <c r="IK13" s="108"/>
    </row>
    <row r="14" spans="1:245" ht="15" customHeight="1">
      <c r="A14" s="91" t="s">
        <v>239</v>
      </c>
      <c r="B14" s="91" t="s">
        <v>241</v>
      </c>
      <c r="C14" s="1" t="str">
        <f>MicroModelComponents!C14</f>
        <v>SO42-</v>
      </c>
      <c r="D14" s="1">
        <f>MicroModelComponents!E14</f>
        <v>-744.6</v>
      </c>
      <c r="E14" s="1">
        <f>MicroModelComponents!U14</f>
        <v>-2</v>
      </c>
      <c r="F14" s="1">
        <f>MicroModelComponents!V14</f>
        <v>96</v>
      </c>
      <c r="G14" s="1">
        <f>MicroModelComponents!W14</f>
        <v>0</v>
      </c>
      <c r="H14" s="2">
        <f>MicroModelComponents!X14</f>
        <v>0</v>
      </c>
      <c r="I14" s="138"/>
      <c r="J14" s="87" t="s">
        <v>189</v>
      </c>
      <c r="K14" s="43">
        <v>1E-3</v>
      </c>
      <c r="L14" s="104">
        <f>MicroModelComponents!AE14*K14/(MicroModelComponents!AE14+$L$21)</f>
        <v>9.9999999989999993E-4</v>
      </c>
      <c r="M14" s="13">
        <v>0</v>
      </c>
      <c r="N14" s="13">
        <f t="shared" si="0"/>
        <v>-761.7144610623061</v>
      </c>
      <c r="O14" s="105"/>
      <c r="P14" s="28"/>
      <c r="Q14" s="108"/>
      <c r="R14" s="14">
        <f t="shared" si="1"/>
        <v>0</v>
      </c>
      <c r="S14" s="164">
        <v>0</v>
      </c>
      <c r="T14" s="165">
        <v>0</v>
      </c>
      <c r="U14" s="140">
        <f t="shared" si="2"/>
        <v>0</v>
      </c>
      <c r="V14" s="164">
        <v>0</v>
      </c>
      <c r="W14" s="12">
        <f t="shared" si="3"/>
        <v>0</v>
      </c>
      <c r="X14" s="140">
        <f t="shared" si="4"/>
        <v>0</v>
      </c>
      <c r="Y14" s="139">
        <f t="shared" si="5"/>
        <v>0</v>
      </c>
      <c r="Z14" s="140">
        <f t="shared" si="6"/>
        <v>0</v>
      </c>
      <c r="AA14" s="28"/>
      <c r="AB14" s="108"/>
      <c r="AC14" s="14">
        <f t="shared" si="120"/>
        <v>0</v>
      </c>
      <c r="AD14" s="164">
        <v>0</v>
      </c>
      <c r="AE14" s="165">
        <v>0</v>
      </c>
      <c r="AF14" s="140">
        <f t="shared" si="7"/>
        <v>0</v>
      </c>
      <c r="AG14" s="164">
        <v>0</v>
      </c>
      <c r="AH14" s="12">
        <f t="shared" si="8"/>
        <v>0</v>
      </c>
      <c r="AI14" s="215">
        <f t="shared" si="9"/>
        <v>0</v>
      </c>
      <c r="AJ14" s="139">
        <f t="shared" si="10"/>
        <v>0</v>
      </c>
      <c r="AK14" s="140">
        <f t="shared" si="11"/>
        <v>0</v>
      </c>
      <c r="AL14" s="28"/>
      <c r="AM14" s="108"/>
      <c r="AN14" s="14">
        <f t="shared" si="121"/>
        <v>0</v>
      </c>
      <c r="AO14" s="164">
        <v>0</v>
      </c>
      <c r="AP14" s="165">
        <v>0</v>
      </c>
      <c r="AQ14" s="140">
        <f t="shared" si="12"/>
        <v>0</v>
      </c>
      <c r="AR14" s="164">
        <v>0</v>
      </c>
      <c r="AS14" s="12">
        <f t="shared" si="13"/>
        <v>0</v>
      </c>
      <c r="AT14" s="215">
        <f t="shared" si="14"/>
        <v>0</v>
      </c>
      <c r="AU14" s="139">
        <f t="shared" si="15"/>
        <v>0</v>
      </c>
      <c r="AV14" s="140">
        <f t="shared" si="16"/>
        <v>0</v>
      </c>
      <c r="AW14" s="28"/>
      <c r="AX14" s="108"/>
      <c r="AY14" s="14">
        <f t="shared" si="103"/>
        <v>0</v>
      </c>
      <c r="AZ14" s="164">
        <v>0</v>
      </c>
      <c r="BA14" s="165">
        <v>0</v>
      </c>
      <c r="BB14" s="140">
        <f t="shared" si="17"/>
        <v>0</v>
      </c>
      <c r="BC14" s="164">
        <v>0</v>
      </c>
      <c r="BD14" s="12">
        <f t="shared" si="18"/>
        <v>0</v>
      </c>
      <c r="BE14" s="140">
        <f t="shared" si="19"/>
        <v>0</v>
      </c>
      <c r="BF14" s="139">
        <f t="shared" si="20"/>
        <v>0</v>
      </c>
      <c r="BG14" s="140">
        <f t="shared" si="21"/>
        <v>0</v>
      </c>
      <c r="BH14" s="28"/>
      <c r="BI14" s="108"/>
      <c r="BJ14" s="14">
        <f t="shared" si="104"/>
        <v>0</v>
      </c>
      <c r="BK14" s="164">
        <v>0</v>
      </c>
      <c r="BL14" s="165">
        <v>0</v>
      </c>
      <c r="BM14" s="140">
        <f t="shared" si="22"/>
        <v>0</v>
      </c>
      <c r="BN14" s="164">
        <v>0</v>
      </c>
      <c r="BO14" s="12">
        <f t="shared" si="23"/>
        <v>0</v>
      </c>
      <c r="BP14" s="140">
        <f t="shared" si="24"/>
        <v>0</v>
      </c>
      <c r="BQ14" s="139">
        <f t="shared" si="25"/>
        <v>0</v>
      </c>
      <c r="BR14" s="140">
        <f t="shared" si="26"/>
        <v>0</v>
      </c>
      <c r="BS14" s="28"/>
      <c r="BT14" s="108"/>
      <c r="BU14" s="14">
        <f t="shared" si="118"/>
        <v>0</v>
      </c>
      <c r="BV14" s="164">
        <v>0</v>
      </c>
      <c r="BW14" s="165">
        <v>0</v>
      </c>
      <c r="BX14" s="140">
        <f t="shared" si="27"/>
        <v>0</v>
      </c>
      <c r="BY14" s="164">
        <v>0</v>
      </c>
      <c r="BZ14" s="12">
        <f t="shared" si="28"/>
        <v>0</v>
      </c>
      <c r="CA14" s="140">
        <f t="shared" si="29"/>
        <v>0</v>
      </c>
      <c r="CB14" s="139">
        <f t="shared" si="30"/>
        <v>0</v>
      </c>
      <c r="CC14" s="140">
        <f t="shared" si="31"/>
        <v>0</v>
      </c>
      <c r="CD14" s="28"/>
      <c r="CE14" s="108"/>
      <c r="CF14" s="14">
        <f t="shared" si="105"/>
        <v>0</v>
      </c>
      <c r="CG14" s="164">
        <v>0</v>
      </c>
      <c r="CH14" s="165">
        <v>0</v>
      </c>
      <c r="CI14" s="140">
        <f t="shared" si="32"/>
        <v>0</v>
      </c>
      <c r="CJ14" s="164">
        <v>0</v>
      </c>
      <c r="CK14" s="12">
        <f t="shared" si="33"/>
        <v>0</v>
      </c>
      <c r="CL14" s="140">
        <f t="shared" si="34"/>
        <v>0</v>
      </c>
      <c r="CM14" s="139">
        <f t="shared" si="35"/>
        <v>0</v>
      </c>
      <c r="CN14" s="140">
        <f t="shared" si="36"/>
        <v>0</v>
      </c>
      <c r="CO14" s="28"/>
      <c r="CP14" s="108"/>
      <c r="CQ14" s="14">
        <f t="shared" si="106"/>
        <v>0</v>
      </c>
      <c r="CR14" s="164">
        <v>0</v>
      </c>
      <c r="CS14" s="165">
        <v>0</v>
      </c>
      <c r="CT14" s="140">
        <f t="shared" si="37"/>
        <v>0</v>
      </c>
      <c r="CU14" s="164">
        <v>0</v>
      </c>
      <c r="CV14" s="12">
        <f t="shared" si="38"/>
        <v>0</v>
      </c>
      <c r="CW14" s="140">
        <f t="shared" si="39"/>
        <v>0</v>
      </c>
      <c r="CX14" s="139">
        <f t="shared" si="40"/>
        <v>0</v>
      </c>
      <c r="CY14" s="140">
        <f t="shared" si="41"/>
        <v>0</v>
      </c>
      <c r="CZ14" s="28"/>
      <c r="DA14" s="108"/>
      <c r="DB14" s="14">
        <f t="shared" si="107"/>
        <v>0</v>
      </c>
      <c r="DC14" s="164">
        <v>0</v>
      </c>
      <c r="DD14" s="165">
        <v>-1</v>
      </c>
      <c r="DE14" s="140">
        <f t="shared" si="42"/>
        <v>-1</v>
      </c>
      <c r="DF14" s="164">
        <v>0</v>
      </c>
      <c r="DG14" s="12">
        <f t="shared" si="43"/>
        <v>0</v>
      </c>
      <c r="DH14" s="140">
        <f t="shared" si="44"/>
        <v>0</v>
      </c>
      <c r="DI14" s="139">
        <f t="shared" si="45"/>
        <v>-12.056249438843102</v>
      </c>
      <c r="DJ14" s="140">
        <f t="shared" si="46"/>
        <v>-0.95827123509854861</v>
      </c>
      <c r="DK14" s="180" t="s">
        <v>338</v>
      </c>
      <c r="DL14" s="108"/>
      <c r="DM14" s="14">
        <f t="shared" si="108"/>
        <v>0</v>
      </c>
      <c r="DN14" s="164">
        <v>0</v>
      </c>
      <c r="DO14" s="165">
        <v>-1</v>
      </c>
      <c r="DP14" s="140">
        <f t="shared" si="47"/>
        <v>-0.25</v>
      </c>
      <c r="DQ14" s="164">
        <v>0</v>
      </c>
      <c r="DR14" s="12">
        <f t="shared" si="48"/>
        <v>0</v>
      </c>
      <c r="DS14" s="140">
        <f t="shared" si="49"/>
        <v>0</v>
      </c>
      <c r="DT14" s="139">
        <f t="shared" si="50"/>
        <v>-12.556249438843102</v>
      </c>
      <c r="DU14" s="140">
        <f t="shared" si="51"/>
        <v>-0.24950322898926844</v>
      </c>
      <c r="DV14" s="180" t="s">
        <v>338</v>
      </c>
      <c r="DW14" s="108"/>
      <c r="DX14" s="14">
        <f t="shared" si="109"/>
        <v>0</v>
      </c>
      <c r="DY14" s="164">
        <v>1</v>
      </c>
      <c r="DZ14" s="165">
        <v>0</v>
      </c>
      <c r="EA14" s="140">
        <f t="shared" si="52"/>
        <v>1</v>
      </c>
      <c r="EB14" s="164">
        <v>0</v>
      </c>
      <c r="EC14" s="12">
        <f t="shared" si="53"/>
        <v>1</v>
      </c>
      <c r="ED14" s="140">
        <f t="shared" si="54"/>
        <v>0.52500000000000002</v>
      </c>
      <c r="EE14" s="139">
        <f t="shared" si="55"/>
        <v>1.7752053930562024</v>
      </c>
      <c r="EF14" s="140">
        <f t="shared" si="56"/>
        <v>1</v>
      </c>
      <c r="EG14" s="28"/>
      <c r="EH14" s="108"/>
      <c r="EI14" s="14">
        <f t="shared" si="110"/>
        <v>0</v>
      </c>
      <c r="EJ14" s="164">
        <v>1</v>
      </c>
      <c r="EK14" s="165">
        <v>0</v>
      </c>
      <c r="EL14" s="140">
        <f t="shared" si="57"/>
        <v>1</v>
      </c>
      <c r="EM14" s="164">
        <v>0</v>
      </c>
      <c r="EN14" s="12">
        <f t="shared" si="58"/>
        <v>1</v>
      </c>
      <c r="EO14" s="140">
        <f t="shared" si="59"/>
        <v>0.72499999999999998</v>
      </c>
      <c r="EP14" s="139">
        <f t="shared" si="60"/>
        <v>1.9977384733232491</v>
      </c>
      <c r="EQ14" s="140">
        <f t="shared" si="61"/>
        <v>1</v>
      </c>
      <c r="ER14" s="28"/>
      <c r="ES14" s="108"/>
      <c r="ET14" s="14">
        <f t="shared" si="111"/>
        <v>0</v>
      </c>
      <c r="EU14" s="164">
        <v>0</v>
      </c>
      <c r="EV14" s="165">
        <v>0</v>
      </c>
      <c r="EW14" s="140">
        <f t="shared" si="62"/>
        <v>0</v>
      </c>
      <c r="EX14" s="164">
        <v>0</v>
      </c>
      <c r="EY14" s="12">
        <f t="shared" si="63"/>
        <v>0</v>
      </c>
      <c r="EZ14" s="140">
        <f t="shared" si="64"/>
        <v>0</v>
      </c>
      <c r="FA14" s="139">
        <f t="shared" si="65"/>
        <v>0</v>
      </c>
      <c r="FB14" s="140">
        <f t="shared" si="66"/>
        <v>0</v>
      </c>
      <c r="FC14" s="28"/>
      <c r="FD14" s="108"/>
      <c r="FE14" s="14">
        <f t="shared" si="112"/>
        <v>0</v>
      </c>
      <c r="FF14" s="164">
        <v>0</v>
      </c>
      <c r="FG14" s="165">
        <v>0</v>
      </c>
      <c r="FH14" s="140">
        <f t="shared" si="67"/>
        <v>0</v>
      </c>
      <c r="FI14" s="164">
        <v>0</v>
      </c>
      <c r="FJ14" s="12">
        <f t="shared" si="68"/>
        <v>0</v>
      </c>
      <c r="FK14" s="140">
        <f t="shared" si="69"/>
        <v>0</v>
      </c>
      <c r="FL14" s="139">
        <f t="shared" si="70"/>
        <v>0</v>
      </c>
      <c r="FM14" s="140">
        <f t="shared" si="71"/>
        <v>0</v>
      </c>
      <c r="FN14" s="28"/>
      <c r="FO14" s="108"/>
      <c r="FP14" s="14">
        <f t="shared" si="113"/>
        <v>0</v>
      </c>
      <c r="FQ14" s="164">
        <v>0</v>
      </c>
      <c r="FR14" s="165">
        <v>0</v>
      </c>
      <c r="FS14" s="140">
        <f t="shared" si="72"/>
        <v>0</v>
      </c>
      <c r="FT14" s="164">
        <v>0</v>
      </c>
      <c r="FU14" s="12">
        <f t="shared" si="73"/>
        <v>0</v>
      </c>
      <c r="FV14" s="140">
        <f t="shared" si="74"/>
        <v>0</v>
      </c>
      <c r="FW14" s="139">
        <f t="shared" si="75"/>
        <v>0</v>
      </c>
      <c r="FX14" s="140">
        <f t="shared" si="76"/>
        <v>0</v>
      </c>
      <c r="FY14" s="28"/>
      <c r="FZ14" s="108"/>
      <c r="GA14" s="14">
        <f t="shared" si="114"/>
        <v>0</v>
      </c>
      <c r="GB14" s="164">
        <v>0</v>
      </c>
      <c r="GC14" s="165">
        <v>0</v>
      </c>
      <c r="GD14" s="140">
        <f t="shared" si="77"/>
        <v>0</v>
      </c>
      <c r="GE14" s="164">
        <v>0</v>
      </c>
      <c r="GF14" s="12">
        <f t="shared" si="78"/>
        <v>0</v>
      </c>
      <c r="GG14" s="140">
        <f t="shared" si="79"/>
        <v>0</v>
      </c>
      <c r="GH14" s="139">
        <f t="shared" si="80"/>
        <v>0</v>
      </c>
      <c r="GI14" s="140">
        <f t="shared" si="81"/>
        <v>0</v>
      </c>
      <c r="GJ14" s="28"/>
      <c r="GK14" s="108"/>
      <c r="GL14" s="14">
        <f t="shared" si="119"/>
        <v>0</v>
      </c>
      <c r="GM14" s="164">
        <v>0</v>
      </c>
      <c r="GN14" s="165">
        <v>0</v>
      </c>
      <c r="GO14" s="140">
        <f t="shared" si="82"/>
        <v>0</v>
      </c>
      <c r="GP14" s="164">
        <v>0</v>
      </c>
      <c r="GQ14" s="12">
        <f t="shared" si="83"/>
        <v>0</v>
      </c>
      <c r="GR14" s="140">
        <f t="shared" si="84"/>
        <v>0</v>
      </c>
      <c r="GS14" s="139">
        <f t="shared" si="85"/>
        <v>0</v>
      </c>
      <c r="GT14" s="140">
        <f t="shared" si="86"/>
        <v>0</v>
      </c>
      <c r="GU14" s="28"/>
      <c r="GV14" s="108"/>
      <c r="GW14" s="14">
        <f t="shared" si="115"/>
        <v>0</v>
      </c>
      <c r="GX14" s="164">
        <v>0</v>
      </c>
      <c r="GY14" s="165">
        <v>0</v>
      </c>
      <c r="GZ14" s="140">
        <f t="shared" si="87"/>
        <v>0</v>
      </c>
      <c r="HA14" s="164">
        <v>0</v>
      </c>
      <c r="HB14" s="12">
        <f t="shared" si="88"/>
        <v>0</v>
      </c>
      <c r="HC14" s="140">
        <f t="shared" si="89"/>
        <v>0</v>
      </c>
      <c r="HD14" s="139">
        <f t="shared" si="90"/>
        <v>0</v>
      </c>
      <c r="HE14" s="140">
        <f t="shared" si="91"/>
        <v>0</v>
      </c>
      <c r="HF14" s="28"/>
      <c r="HG14" s="108"/>
      <c r="HH14" s="14">
        <f t="shared" si="116"/>
        <v>0</v>
      </c>
      <c r="HI14" s="164">
        <v>0</v>
      </c>
      <c r="HJ14" s="165">
        <v>0</v>
      </c>
      <c r="HK14" s="140">
        <f t="shared" si="92"/>
        <v>0</v>
      </c>
      <c r="HL14" s="164">
        <v>0</v>
      </c>
      <c r="HM14" s="12">
        <f t="shared" si="93"/>
        <v>0</v>
      </c>
      <c r="HN14" s="140">
        <f t="shared" si="94"/>
        <v>0</v>
      </c>
      <c r="HO14" s="139">
        <f t="shared" si="95"/>
        <v>0</v>
      </c>
      <c r="HP14" s="140">
        <f t="shared" si="96"/>
        <v>0</v>
      </c>
      <c r="HQ14" s="28"/>
      <c r="HR14" s="108"/>
      <c r="HS14" s="14">
        <f t="shared" si="117"/>
        <v>0</v>
      </c>
      <c r="HT14" s="164">
        <v>0</v>
      </c>
      <c r="HU14" s="165">
        <v>-1</v>
      </c>
      <c r="HV14" s="140">
        <f t="shared" si="97"/>
        <v>-1</v>
      </c>
      <c r="HW14" s="164">
        <v>0</v>
      </c>
      <c r="HX14" s="12">
        <f t="shared" si="98"/>
        <v>-1</v>
      </c>
      <c r="HY14" s="140">
        <f t="shared" si="99"/>
        <v>-0.47499999999999998</v>
      </c>
      <c r="HZ14" s="139">
        <f t="shared" si="100"/>
        <v>-39.168525031679842</v>
      </c>
      <c r="IA14" s="140">
        <f t="shared" si="101"/>
        <v>-0.98677366145785772</v>
      </c>
      <c r="IB14" s="28"/>
      <c r="IC14" s="108"/>
      <c r="ID14" s="164">
        <v>0</v>
      </c>
      <c r="IE14" s="108"/>
      <c r="IF14" s="164">
        <v>0</v>
      </c>
      <c r="IG14" s="164">
        <v>0</v>
      </c>
      <c r="IH14" s="164">
        <f t="shared" si="102"/>
        <v>0</v>
      </c>
      <c r="II14" s="108"/>
      <c r="IJ14" s="164">
        <v>0</v>
      </c>
      <c r="IK14" s="108"/>
    </row>
    <row r="15" spans="1:245" ht="15" customHeight="1">
      <c r="A15" s="91" t="s">
        <v>239</v>
      </c>
      <c r="B15" s="91" t="s">
        <v>241</v>
      </c>
      <c r="C15" s="1" t="str">
        <f>MicroModelComponents!C15</f>
        <v>Fe2+</v>
      </c>
      <c r="D15" s="1">
        <f>MicroModelComponents!E15</f>
        <v>-78.900000000000006</v>
      </c>
      <c r="E15" s="1">
        <f>MicroModelComponents!U15</f>
        <v>2</v>
      </c>
      <c r="F15" s="1">
        <f>MicroModelComponents!V15</f>
        <v>56</v>
      </c>
      <c r="G15" s="1">
        <f>MicroModelComponents!W15</f>
        <v>1</v>
      </c>
      <c r="H15" s="2">
        <f>MicroModelComponents!X15</f>
        <v>1</v>
      </c>
      <c r="I15" s="138"/>
      <c r="J15" s="87" t="s">
        <v>189</v>
      </c>
      <c r="K15" s="87" t="s">
        <v>189</v>
      </c>
      <c r="L15" s="43">
        <v>1E-4</v>
      </c>
      <c r="M15" s="13">
        <v>0</v>
      </c>
      <c r="N15" s="13">
        <f t="shared" si="0"/>
        <v>-101.71928141607778</v>
      </c>
      <c r="O15" s="105"/>
      <c r="P15" s="28"/>
      <c r="Q15" s="108"/>
      <c r="R15" s="14">
        <f t="shared" si="1"/>
        <v>0</v>
      </c>
      <c r="S15" s="164">
        <v>0</v>
      </c>
      <c r="T15" s="165">
        <v>0</v>
      </c>
      <c r="U15" s="140">
        <f t="shared" si="2"/>
        <v>0</v>
      </c>
      <c r="V15" s="164">
        <v>0</v>
      </c>
      <c r="W15" s="12">
        <f t="shared" si="3"/>
        <v>0</v>
      </c>
      <c r="X15" s="140">
        <f t="shared" si="4"/>
        <v>0</v>
      </c>
      <c r="Y15" s="139">
        <f t="shared" si="5"/>
        <v>0</v>
      </c>
      <c r="Z15" s="140">
        <f t="shared" si="6"/>
        <v>0</v>
      </c>
      <c r="AA15" s="28"/>
      <c r="AB15" s="108"/>
      <c r="AC15" s="14">
        <f t="shared" si="120"/>
        <v>0</v>
      </c>
      <c r="AD15" s="164">
        <v>0</v>
      </c>
      <c r="AE15" s="165">
        <v>0</v>
      </c>
      <c r="AF15" s="140">
        <f t="shared" si="7"/>
        <v>0</v>
      </c>
      <c r="AG15" s="164">
        <v>0</v>
      </c>
      <c r="AH15" s="12">
        <f t="shared" si="8"/>
        <v>0</v>
      </c>
      <c r="AI15" s="215">
        <f t="shared" si="9"/>
        <v>0</v>
      </c>
      <c r="AJ15" s="139">
        <f t="shared" si="10"/>
        <v>0</v>
      </c>
      <c r="AK15" s="140">
        <f t="shared" si="11"/>
        <v>0</v>
      </c>
      <c r="AL15" s="28"/>
      <c r="AM15" s="108"/>
      <c r="AN15" s="14">
        <f t="shared" si="121"/>
        <v>0</v>
      </c>
      <c r="AO15" s="164">
        <v>0</v>
      </c>
      <c r="AP15" s="165">
        <v>0</v>
      </c>
      <c r="AQ15" s="140">
        <f t="shared" si="12"/>
        <v>0</v>
      </c>
      <c r="AR15" s="164">
        <v>0</v>
      </c>
      <c r="AS15" s="12">
        <f t="shared" si="13"/>
        <v>0</v>
      </c>
      <c r="AT15" s="215">
        <f t="shared" si="14"/>
        <v>0</v>
      </c>
      <c r="AU15" s="139">
        <f t="shared" si="15"/>
        <v>0</v>
      </c>
      <c r="AV15" s="140">
        <f t="shared" si="16"/>
        <v>0</v>
      </c>
      <c r="AW15" s="28"/>
      <c r="AX15" s="108"/>
      <c r="AY15" s="14">
        <f t="shared" si="103"/>
        <v>0</v>
      </c>
      <c r="AZ15" s="164">
        <v>0</v>
      </c>
      <c r="BA15" s="165">
        <v>0</v>
      </c>
      <c r="BB15" s="140">
        <f t="shared" si="17"/>
        <v>0</v>
      </c>
      <c r="BC15" s="164">
        <v>0</v>
      </c>
      <c r="BD15" s="12">
        <f t="shared" si="18"/>
        <v>0</v>
      </c>
      <c r="BE15" s="140">
        <f t="shared" si="19"/>
        <v>0</v>
      </c>
      <c r="BF15" s="139">
        <f t="shared" si="20"/>
        <v>0</v>
      </c>
      <c r="BG15" s="140">
        <f t="shared" si="21"/>
        <v>0</v>
      </c>
      <c r="BH15" s="28"/>
      <c r="BI15" s="108"/>
      <c r="BJ15" s="14">
        <f t="shared" si="104"/>
        <v>0</v>
      </c>
      <c r="BK15" s="164">
        <v>0</v>
      </c>
      <c r="BL15" s="165">
        <v>0</v>
      </c>
      <c r="BM15" s="140">
        <f t="shared" si="22"/>
        <v>0</v>
      </c>
      <c r="BN15" s="164">
        <v>0</v>
      </c>
      <c r="BO15" s="12">
        <f t="shared" si="23"/>
        <v>0</v>
      </c>
      <c r="BP15" s="140">
        <f t="shared" si="24"/>
        <v>0</v>
      </c>
      <c r="BQ15" s="139">
        <f t="shared" si="25"/>
        <v>0</v>
      </c>
      <c r="BR15" s="140">
        <f t="shared" si="26"/>
        <v>0</v>
      </c>
      <c r="BS15" s="28"/>
      <c r="BT15" s="108"/>
      <c r="BU15" s="14">
        <f t="shared" si="118"/>
        <v>0</v>
      </c>
      <c r="BV15" s="164">
        <v>0</v>
      </c>
      <c r="BW15" s="165">
        <v>0</v>
      </c>
      <c r="BX15" s="140">
        <f t="shared" si="27"/>
        <v>0</v>
      </c>
      <c r="BY15" s="164">
        <v>0</v>
      </c>
      <c r="BZ15" s="12">
        <f t="shared" si="28"/>
        <v>0</v>
      </c>
      <c r="CA15" s="140">
        <f t="shared" si="29"/>
        <v>0</v>
      </c>
      <c r="CB15" s="139">
        <f t="shared" si="30"/>
        <v>0</v>
      </c>
      <c r="CC15" s="140">
        <f t="shared" si="31"/>
        <v>0</v>
      </c>
      <c r="CD15" s="28"/>
      <c r="CE15" s="108"/>
      <c r="CF15" s="14">
        <f t="shared" si="105"/>
        <v>0</v>
      </c>
      <c r="CG15" s="164">
        <v>0</v>
      </c>
      <c r="CH15" s="165">
        <v>0</v>
      </c>
      <c r="CI15" s="140">
        <f t="shared" si="32"/>
        <v>0</v>
      </c>
      <c r="CJ15" s="164">
        <v>0</v>
      </c>
      <c r="CK15" s="12">
        <f t="shared" si="33"/>
        <v>0</v>
      </c>
      <c r="CL15" s="140">
        <f t="shared" si="34"/>
        <v>0</v>
      </c>
      <c r="CM15" s="139">
        <f t="shared" si="35"/>
        <v>0</v>
      </c>
      <c r="CN15" s="140">
        <f t="shared" si="36"/>
        <v>0</v>
      </c>
      <c r="CO15" s="28"/>
      <c r="CP15" s="108"/>
      <c r="CQ15" s="14">
        <f t="shared" si="106"/>
        <v>0</v>
      </c>
      <c r="CR15" s="164">
        <v>0</v>
      </c>
      <c r="CS15" s="165">
        <v>0</v>
      </c>
      <c r="CT15" s="140">
        <f t="shared" si="37"/>
        <v>0</v>
      </c>
      <c r="CU15" s="164">
        <v>0</v>
      </c>
      <c r="CV15" s="12">
        <f t="shared" si="38"/>
        <v>0</v>
      </c>
      <c r="CW15" s="140">
        <f t="shared" si="39"/>
        <v>0</v>
      </c>
      <c r="CX15" s="139">
        <f t="shared" si="40"/>
        <v>0</v>
      </c>
      <c r="CY15" s="140">
        <f t="shared" si="41"/>
        <v>0</v>
      </c>
      <c r="CZ15" s="28"/>
      <c r="DA15" s="108"/>
      <c r="DB15" s="14">
        <f t="shared" si="107"/>
        <v>0</v>
      </c>
      <c r="DC15" s="164">
        <v>0</v>
      </c>
      <c r="DD15" s="165">
        <v>0</v>
      </c>
      <c r="DE15" s="140">
        <f t="shared" si="42"/>
        <v>0</v>
      </c>
      <c r="DF15" s="164">
        <v>0</v>
      </c>
      <c r="DG15" s="12">
        <f t="shared" si="43"/>
        <v>0</v>
      </c>
      <c r="DH15" s="140">
        <f t="shared" si="44"/>
        <v>0</v>
      </c>
      <c r="DI15" s="139">
        <f t="shared" si="45"/>
        <v>0</v>
      </c>
      <c r="DJ15" s="140">
        <f t="shared" si="46"/>
        <v>0</v>
      </c>
      <c r="DK15" s="28"/>
      <c r="DL15" s="108"/>
      <c r="DM15" s="14">
        <f t="shared" si="108"/>
        <v>0</v>
      </c>
      <c r="DN15" s="164">
        <v>0</v>
      </c>
      <c r="DO15" s="165">
        <v>0</v>
      </c>
      <c r="DP15" s="140">
        <f t="shared" si="47"/>
        <v>0</v>
      </c>
      <c r="DQ15" s="164">
        <v>0</v>
      </c>
      <c r="DR15" s="12">
        <f t="shared" si="48"/>
        <v>0</v>
      </c>
      <c r="DS15" s="140">
        <f t="shared" si="49"/>
        <v>0</v>
      </c>
      <c r="DT15" s="139">
        <f t="shared" si="50"/>
        <v>0</v>
      </c>
      <c r="DU15" s="140">
        <f t="shared" si="51"/>
        <v>0</v>
      </c>
      <c r="DV15" s="28"/>
      <c r="DW15" s="108"/>
      <c r="DX15" s="14">
        <f t="shared" si="109"/>
        <v>0</v>
      </c>
      <c r="DY15" s="164">
        <v>0</v>
      </c>
      <c r="DZ15" s="165">
        <v>0</v>
      </c>
      <c r="EA15" s="140">
        <f t="shared" si="52"/>
        <v>0</v>
      </c>
      <c r="EB15" s="164">
        <v>0</v>
      </c>
      <c r="EC15" s="12">
        <f t="shared" si="53"/>
        <v>0</v>
      </c>
      <c r="ED15" s="140">
        <f t="shared" si="54"/>
        <v>0</v>
      </c>
      <c r="EE15" s="139">
        <f t="shared" si="55"/>
        <v>0</v>
      </c>
      <c r="EF15" s="140">
        <f t="shared" si="56"/>
        <v>0</v>
      </c>
      <c r="EG15" s="28"/>
      <c r="EH15" s="108"/>
      <c r="EI15" s="14">
        <f t="shared" si="110"/>
        <v>0</v>
      </c>
      <c r="EJ15" s="164">
        <v>0</v>
      </c>
      <c r="EK15" s="165">
        <v>0</v>
      </c>
      <c r="EL15" s="140">
        <f t="shared" si="57"/>
        <v>0</v>
      </c>
      <c r="EM15" s="164">
        <v>0</v>
      </c>
      <c r="EN15" s="12">
        <f t="shared" si="58"/>
        <v>0</v>
      </c>
      <c r="EO15" s="140">
        <f t="shared" si="59"/>
        <v>0</v>
      </c>
      <c r="EP15" s="139">
        <f t="shared" si="60"/>
        <v>0</v>
      </c>
      <c r="EQ15" s="140">
        <f t="shared" si="61"/>
        <v>0</v>
      </c>
      <c r="ER15" s="28"/>
      <c r="ES15" s="108"/>
      <c r="ET15" s="14">
        <f t="shared" si="111"/>
        <v>1</v>
      </c>
      <c r="EU15" s="164">
        <v>-1</v>
      </c>
      <c r="EV15" s="165">
        <v>0</v>
      </c>
      <c r="EW15" s="140">
        <f t="shared" si="62"/>
        <v>-1</v>
      </c>
      <c r="EX15" s="164">
        <v>0</v>
      </c>
      <c r="EY15" s="12">
        <f t="shared" si="63"/>
        <v>-1</v>
      </c>
      <c r="EZ15" s="140">
        <f t="shared" si="64"/>
        <v>-1.8</v>
      </c>
      <c r="FA15" s="139">
        <f t="shared" si="65"/>
        <v>-41.227713702907131</v>
      </c>
      <c r="FB15" s="140">
        <f t="shared" si="66"/>
        <v>-1</v>
      </c>
      <c r="FC15" s="22" t="s">
        <v>336</v>
      </c>
      <c r="FD15" s="108"/>
      <c r="FE15" s="14">
        <f t="shared" si="112"/>
        <v>1</v>
      </c>
      <c r="FF15" s="164">
        <v>-1</v>
      </c>
      <c r="FG15" s="165">
        <v>0</v>
      </c>
      <c r="FH15" s="140">
        <f t="shared" si="67"/>
        <v>-1</v>
      </c>
      <c r="FI15" s="164">
        <v>0</v>
      </c>
      <c r="FJ15" s="12">
        <f t="shared" si="68"/>
        <v>-1</v>
      </c>
      <c r="FK15" s="140">
        <f t="shared" si="69"/>
        <v>-1.8</v>
      </c>
      <c r="FL15" s="139">
        <f t="shared" si="70"/>
        <v>-95.074278067901759</v>
      </c>
      <c r="FM15" s="140">
        <f t="shared" si="71"/>
        <v>-1</v>
      </c>
      <c r="FN15" s="22" t="s">
        <v>336</v>
      </c>
      <c r="FO15" s="108"/>
      <c r="FP15" s="14">
        <f t="shared" si="113"/>
        <v>0</v>
      </c>
      <c r="FQ15" s="164">
        <v>0</v>
      </c>
      <c r="FR15" s="165">
        <v>1</v>
      </c>
      <c r="FS15" s="140">
        <f t="shared" si="72"/>
        <v>8</v>
      </c>
      <c r="FT15" s="164">
        <v>0</v>
      </c>
      <c r="FU15" s="12">
        <f t="shared" si="73"/>
        <v>0</v>
      </c>
      <c r="FV15" s="140">
        <f t="shared" si="74"/>
        <v>0</v>
      </c>
      <c r="FW15" s="139">
        <f t="shared" si="75"/>
        <v>5.4131388399326221</v>
      </c>
      <c r="FX15" s="140">
        <f t="shared" si="76"/>
        <v>4.5047836550090334</v>
      </c>
      <c r="FY15" s="22"/>
      <c r="FZ15" s="108"/>
      <c r="GA15" s="14">
        <f t="shared" si="114"/>
        <v>0</v>
      </c>
      <c r="GB15" s="164">
        <v>0</v>
      </c>
      <c r="GC15" s="165">
        <v>1</v>
      </c>
      <c r="GD15" s="140">
        <f t="shared" si="77"/>
        <v>2</v>
      </c>
      <c r="GE15" s="164">
        <v>0</v>
      </c>
      <c r="GF15" s="12">
        <f t="shared" si="78"/>
        <v>0</v>
      </c>
      <c r="GG15" s="140">
        <f t="shared" si="79"/>
        <v>0</v>
      </c>
      <c r="GH15" s="139">
        <f t="shared" si="80"/>
        <v>9.413138839932623</v>
      </c>
      <c r="GI15" s="140">
        <f t="shared" si="81"/>
        <v>1.9583902816072505</v>
      </c>
      <c r="GJ15" s="22"/>
      <c r="GK15" s="108"/>
      <c r="GL15" s="14">
        <f t="shared" si="119"/>
        <v>0</v>
      </c>
      <c r="GM15" s="164">
        <v>0</v>
      </c>
      <c r="GN15" s="165">
        <v>0</v>
      </c>
      <c r="GO15" s="140">
        <f t="shared" si="82"/>
        <v>0</v>
      </c>
      <c r="GP15" s="164">
        <v>0</v>
      </c>
      <c r="GQ15" s="12">
        <f t="shared" si="83"/>
        <v>0</v>
      </c>
      <c r="GR15" s="140">
        <f t="shared" si="84"/>
        <v>0</v>
      </c>
      <c r="GS15" s="139">
        <f t="shared" si="85"/>
        <v>0</v>
      </c>
      <c r="GT15" s="140">
        <f t="shared" si="86"/>
        <v>0</v>
      </c>
      <c r="GU15" s="28"/>
      <c r="GV15" s="108"/>
      <c r="GW15" s="14">
        <f t="shared" si="115"/>
        <v>0</v>
      </c>
      <c r="GX15" s="164">
        <v>0</v>
      </c>
      <c r="GY15" s="165">
        <v>0</v>
      </c>
      <c r="GZ15" s="140">
        <f t="shared" si="87"/>
        <v>0</v>
      </c>
      <c r="HA15" s="164">
        <v>0</v>
      </c>
      <c r="HB15" s="12">
        <f t="shared" si="88"/>
        <v>0</v>
      </c>
      <c r="HC15" s="140">
        <f t="shared" si="89"/>
        <v>0</v>
      </c>
      <c r="HD15" s="139">
        <f t="shared" si="90"/>
        <v>0</v>
      </c>
      <c r="HE15" s="140">
        <f t="shared" si="91"/>
        <v>0</v>
      </c>
      <c r="HF15" s="28"/>
      <c r="HG15" s="108"/>
      <c r="HH15" s="14">
        <f t="shared" si="116"/>
        <v>0</v>
      </c>
      <c r="HI15" s="164">
        <v>0</v>
      </c>
      <c r="HJ15" s="165">
        <v>0</v>
      </c>
      <c r="HK15" s="140">
        <f t="shared" si="92"/>
        <v>0</v>
      </c>
      <c r="HL15" s="164">
        <v>0</v>
      </c>
      <c r="HM15" s="12">
        <f t="shared" si="93"/>
        <v>0</v>
      </c>
      <c r="HN15" s="140">
        <f t="shared" si="94"/>
        <v>0</v>
      </c>
      <c r="HO15" s="139">
        <f t="shared" si="95"/>
        <v>0</v>
      </c>
      <c r="HP15" s="140">
        <f t="shared" si="96"/>
        <v>0</v>
      </c>
      <c r="HQ15" s="28"/>
      <c r="HR15" s="108"/>
      <c r="HS15" s="14">
        <f t="shared" si="117"/>
        <v>0</v>
      </c>
      <c r="HT15" s="164">
        <v>0</v>
      </c>
      <c r="HU15" s="165">
        <v>0</v>
      </c>
      <c r="HV15" s="140">
        <f t="shared" si="97"/>
        <v>0</v>
      </c>
      <c r="HW15" s="164">
        <v>0</v>
      </c>
      <c r="HX15" s="12">
        <f t="shared" si="98"/>
        <v>0</v>
      </c>
      <c r="HY15" s="140">
        <f t="shared" si="99"/>
        <v>0</v>
      </c>
      <c r="HZ15" s="139">
        <f t="shared" si="100"/>
        <v>0</v>
      </c>
      <c r="IA15" s="140">
        <f t="shared" si="101"/>
        <v>0</v>
      </c>
      <c r="IB15" s="28"/>
      <c r="IC15" s="108"/>
      <c r="ID15" s="164">
        <v>0</v>
      </c>
      <c r="IE15" s="108"/>
      <c r="IF15" s="164">
        <v>0</v>
      </c>
      <c r="IG15" s="164">
        <v>0</v>
      </c>
      <c r="IH15" s="164">
        <f t="shared" si="102"/>
        <v>0</v>
      </c>
      <c r="II15" s="108"/>
      <c r="IJ15" s="164">
        <v>0</v>
      </c>
      <c r="IK15" s="108"/>
    </row>
    <row r="16" spans="1:245" ht="15" customHeight="1">
      <c r="A16" s="91" t="s">
        <v>239</v>
      </c>
      <c r="B16" s="91" t="s">
        <v>241</v>
      </c>
      <c r="C16" s="1" t="str">
        <f>MicroModelComponents!C16</f>
        <v>Fe3+</v>
      </c>
      <c r="D16" s="1">
        <f>MicroModelComponents!E16</f>
        <v>-4.5999999999999996</v>
      </c>
      <c r="E16" s="1">
        <f>MicroModelComponents!U16</f>
        <v>3</v>
      </c>
      <c r="F16" s="1">
        <f>MicroModelComponents!V16</f>
        <v>56</v>
      </c>
      <c r="G16" s="1">
        <f>MicroModelComponents!W16</f>
        <v>0</v>
      </c>
      <c r="H16" s="2">
        <f>MicroModelComponents!X16</f>
        <v>0</v>
      </c>
      <c r="I16" s="138"/>
      <c r="J16" s="87" t="s">
        <v>189</v>
      </c>
      <c r="K16" s="87" t="s">
        <v>189</v>
      </c>
      <c r="L16" s="43">
        <v>9.9999999999999995E-7</v>
      </c>
      <c r="M16" s="13">
        <v>0</v>
      </c>
      <c r="N16" s="13">
        <f t="shared" si="0"/>
        <v>-38.828922124116659</v>
      </c>
      <c r="O16" s="105"/>
      <c r="P16" s="28"/>
      <c r="Q16" s="108"/>
      <c r="R16" s="14">
        <f>+IF(AA16="eD",1,0)</f>
        <v>0</v>
      </c>
      <c r="S16" s="164">
        <v>0</v>
      </c>
      <c r="T16" s="165">
        <v>0</v>
      </c>
      <c r="U16" s="140">
        <f t="shared" si="2"/>
        <v>0</v>
      </c>
      <c r="V16" s="164">
        <v>0</v>
      </c>
      <c r="W16" s="12">
        <f t="shared" si="3"/>
        <v>0</v>
      </c>
      <c r="X16" s="140">
        <f t="shared" si="4"/>
        <v>0</v>
      </c>
      <c r="Y16" s="139">
        <f t="shared" si="5"/>
        <v>0</v>
      </c>
      <c r="Z16" s="140">
        <f t="shared" si="6"/>
        <v>0</v>
      </c>
      <c r="AA16" s="28"/>
      <c r="AB16" s="108"/>
      <c r="AC16" s="14">
        <f>+IF(AL16="eD",1,0)</f>
        <v>0</v>
      </c>
      <c r="AD16" s="164">
        <v>0</v>
      </c>
      <c r="AE16" s="165">
        <v>0</v>
      </c>
      <c r="AF16" s="140">
        <f t="shared" si="7"/>
        <v>0</v>
      </c>
      <c r="AG16" s="164">
        <v>0</v>
      </c>
      <c r="AH16" s="12">
        <f t="shared" si="8"/>
        <v>0</v>
      </c>
      <c r="AI16" s="215">
        <f t="shared" si="9"/>
        <v>0</v>
      </c>
      <c r="AJ16" s="139">
        <f t="shared" si="10"/>
        <v>0</v>
      </c>
      <c r="AK16" s="140">
        <f t="shared" si="11"/>
        <v>0</v>
      </c>
      <c r="AL16" s="28"/>
      <c r="AM16" s="108"/>
      <c r="AN16" s="14">
        <f>+IF(AW16="eD",1,0)</f>
        <v>0</v>
      </c>
      <c r="AO16" s="164">
        <v>0</v>
      </c>
      <c r="AP16" s="165">
        <v>0</v>
      </c>
      <c r="AQ16" s="140">
        <f t="shared" si="12"/>
        <v>0</v>
      </c>
      <c r="AR16" s="164">
        <v>0</v>
      </c>
      <c r="AS16" s="12">
        <f t="shared" si="13"/>
        <v>0</v>
      </c>
      <c r="AT16" s="215">
        <f t="shared" si="14"/>
        <v>0</v>
      </c>
      <c r="AU16" s="139">
        <f t="shared" si="15"/>
        <v>0</v>
      </c>
      <c r="AV16" s="140">
        <f t="shared" si="16"/>
        <v>0</v>
      </c>
      <c r="AW16" s="28"/>
      <c r="AX16" s="108"/>
      <c r="AY16" s="14">
        <f>+IF(BH16="eD",1,0)</f>
        <v>0</v>
      </c>
      <c r="AZ16" s="164">
        <v>0</v>
      </c>
      <c r="BA16" s="165">
        <v>0</v>
      </c>
      <c r="BB16" s="140">
        <f t="shared" si="17"/>
        <v>0</v>
      </c>
      <c r="BC16" s="164">
        <v>0</v>
      </c>
      <c r="BD16" s="12">
        <f t="shared" si="18"/>
        <v>0</v>
      </c>
      <c r="BE16" s="140">
        <f t="shared" si="19"/>
        <v>0</v>
      </c>
      <c r="BF16" s="139">
        <f t="shared" si="20"/>
        <v>0</v>
      </c>
      <c r="BG16" s="140">
        <f t="shared" si="21"/>
        <v>0</v>
      </c>
      <c r="BH16" s="28"/>
      <c r="BI16" s="108"/>
      <c r="BJ16" s="14">
        <f>+IF(BS16="eD",1,0)</f>
        <v>0</v>
      </c>
      <c r="BK16" s="164">
        <v>0</v>
      </c>
      <c r="BL16" s="165">
        <v>0</v>
      </c>
      <c r="BM16" s="140">
        <f t="shared" si="22"/>
        <v>0</v>
      </c>
      <c r="BN16" s="164">
        <v>0</v>
      </c>
      <c r="BO16" s="12">
        <f t="shared" si="23"/>
        <v>0</v>
      </c>
      <c r="BP16" s="140">
        <f t="shared" si="24"/>
        <v>0</v>
      </c>
      <c r="BQ16" s="139">
        <f t="shared" si="25"/>
        <v>0</v>
      </c>
      <c r="BR16" s="140">
        <f t="shared" si="26"/>
        <v>0</v>
      </c>
      <c r="BS16" s="28"/>
      <c r="BT16" s="108"/>
      <c r="BU16" s="14">
        <f>+IF(CD16="eD",1,0)</f>
        <v>0</v>
      </c>
      <c r="BV16" s="164">
        <v>0</v>
      </c>
      <c r="BW16" s="165">
        <v>0</v>
      </c>
      <c r="BX16" s="140">
        <f t="shared" si="27"/>
        <v>0</v>
      </c>
      <c r="BY16" s="164">
        <v>0</v>
      </c>
      <c r="BZ16" s="12">
        <f t="shared" si="28"/>
        <v>0</v>
      </c>
      <c r="CA16" s="140">
        <f t="shared" si="29"/>
        <v>0</v>
      </c>
      <c r="CB16" s="139">
        <f t="shared" si="30"/>
        <v>0</v>
      </c>
      <c r="CC16" s="140">
        <f t="shared" si="31"/>
        <v>0</v>
      </c>
      <c r="CD16" s="28"/>
      <c r="CE16" s="108"/>
      <c r="CF16" s="14">
        <f>+IF(CO16="eD",1,0)</f>
        <v>0</v>
      </c>
      <c r="CG16" s="164">
        <v>0</v>
      </c>
      <c r="CH16" s="165">
        <v>0</v>
      </c>
      <c r="CI16" s="140">
        <f t="shared" si="32"/>
        <v>0</v>
      </c>
      <c r="CJ16" s="164">
        <v>0</v>
      </c>
      <c r="CK16" s="12">
        <f t="shared" si="33"/>
        <v>0</v>
      </c>
      <c r="CL16" s="140">
        <f t="shared" si="34"/>
        <v>0</v>
      </c>
      <c r="CM16" s="139">
        <f t="shared" si="35"/>
        <v>0</v>
      </c>
      <c r="CN16" s="140">
        <f t="shared" si="36"/>
        <v>0</v>
      </c>
      <c r="CO16" s="28"/>
      <c r="CP16" s="108"/>
      <c r="CQ16" s="14">
        <f t="shared" ref="CQ16:CQ24" si="122">+IF(CZ16="eD",1,0)</f>
        <v>0</v>
      </c>
      <c r="CR16" s="164">
        <v>0</v>
      </c>
      <c r="CS16" s="165">
        <v>0</v>
      </c>
      <c r="CT16" s="140">
        <f t="shared" si="37"/>
        <v>0</v>
      </c>
      <c r="CU16" s="164">
        <v>0</v>
      </c>
      <c r="CV16" s="12">
        <f t="shared" si="38"/>
        <v>0</v>
      </c>
      <c r="CW16" s="140">
        <f t="shared" si="39"/>
        <v>0</v>
      </c>
      <c r="CX16" s="139">
        <f t="shared" si="40"/>
        <v>0</v>
      </c>
      <c r="CY16" s="140">
        <f t="shared" si="41"/>
        <v>0</v>
      </c>
      <c r="CZ16" s="28"/>
      <c r="DA16" s="108"/>
      <c r="DB16" s="14">
        <f>+IF(DK16="eD",1,0)</f>
        <v>0</v>
      </c>
      <c r="DC16" s="164">
        <v>0</v>
      </c>
      <c r="DD16" s="165">
        <v>0</v>
      </c>
      <c r="DE16" s="140">
        <f t="shared" si="42"/>
        <v>0</v>
      </c>
      <c r="DF16" s="164">
        <v>0</v>
      </c>
      <c r="DG16" s="12">
        <f t="shared" si="43"/>
        <v>0</v>
      </c>
      <c r="DH16" s="140">
        <f t="shared" si="44"/>
        <v>0</v>
      </c>
      <c r="DI16" s="139">
        <f t="shared" si="45"/>
        <v>0</v>
      </c>
      <c r="DJ16" s="140">
        <f t="shared" si="46"/>
        <v>0</v>
      </c>
      <c r="DK16" s="28"/>
      <c r="DL16" s="108"/>
      <c r="DM16" s="14">
        <f t="shared" ref="DM16:DM24" si="123">+IF(DV16="eD",1,0)</f>
        <v>0</v>
      </c>
      <c r="DN16" s="164">
        <v>0</v>
      </c>
      <c r="DO16" s="165">
        <v>0</v>
      </c>
      <c r="DP16" s="140">
        <f t="shared" si="47"/>
        <v>0</v>
      </c>
      <c r="DQ16" s="164">
        <v>0</v>
      </c>
      <c r="DR16" s="12">
        <f t="shared" si="48"/>
        <v>0</v>
      </c>
      <c r="DS16" s="140">
        <f t="shared" si="49"/>
        <v>0</v>
      </c>
      <c r="DT16" s="139">
        <f t="shared" si="50"/>
        <v>0</v>
      </c>
      <c r="DU16" s="140">
        <f t="shared" si="51"/>
        <v>0</v>
      </c>
      <c r="DV16" s="28"/>
      <c r="DW16" s="108"/>
      <c r="DX16" s="14">
        <f>+IF(EG16="eD",1,0)</f>
        <v>0</v>
      </c>
      <c r="DY16" s="164">
        <v>0</v>
      </c>
      <c r="DZ16" s="165">
        <v>0</v>
      </c>
      <c r="EA16" s="140">
        <f t="shared" si="52"/>
        <v>0</v>
      </c>
      <c r="EB16" s="164">
        <v>0</v>
      </c>
      <c r="EC16" s="12">
        <f t="shared" si="53"/>
        <v>0</v>
      </c>
      <c r="ED16" s="140">
        <f t="shared" si="54"/>
        <v>0</v>
      </c>
      <c r="EE16" s="139">
        <f t="shared" si="55"/>
        <v>0</v>
      </c>
      <c r="EF16" s="140">
        <f t="shared" si="56"/>
        <v>0</v>
      </c>
      <c r="EG16" s="28"/>
      <c r="EH16" s="108"/>
      <c r="EI16" s="14">
        <f>+IF(ER16="eD",1,0)</f>
        <v>0</v>
      </c>
      <c r="EJ16" s="164">
        <v>0</v>
      </c>
      <c r="EK16" s="165">
        <v>0</v>
      </c>
      <c r="EL16" s="140">
        <f t="shared" si="57"/>
        <v>0</v>
      </c>
      <c r="EM16" s="164">
        <v>0</v>
      </c>
      <c r="EN16" s="12">
        <f t="shared" si="58"/>
        <v>0</v>
      </c>
      <c r="EO16" s="140">
        <f t="shared" si="59"/>
        <v>0</v>
      </c>
      <c r="EP16" s="139">
        <f t="shared" si="60"/>
        <v>0</v>
      </c>
      <c r="EQ16" s="140">
        <f t="shared" si="61"/>
        <v>0</v>
      </c>
      <c r="ER16" s="28"/>
      <c r="ES16" s="108"/>
      <c r="ET16" s="14">
        <f>+IF(FC16="eD",1,0)</f>
        <v>0</v>
      </c>
      <c r="EU16" s="164">
        <v>1</v>
      </c>
      <c r="EV16" s="165">
        <v>0</v>
      </c>
      <c r="EW16" s="140">
        <f t="shared" si="62"/>
        <v>1</v>
      </c>
      <c r="EX16" s="164">
        <v>0</v>
      </c>
      <c r="EY16" s="12">
        <f t="shared" si="63"/>
        <v>1</v>
      </c>
      <c r="EZ16" s="140">
        <f t="shared" si="64"/>
        <v>1.8</v>
      </c>
      <c r="FA16" s="139">
        <f t="shared" si="65"/>
        <v>41.227713702907131</v>
      </c>
      <c r="FB16" s="140">
        <f t="shared" si="66"/>
        <v>1</v>
      </c>
      <c r="FC16" s="28"/>
      <c r="FD16" s="108"/>
      <c r="FE16" s="14">
        <f>+IF(FN16="eD",1,0)</f>
        <v>0</v>
      </c>
      <c r="FF16" s="164">
        <v>1</v>
      </c>
      <c r="FG16" s="165">
        <v>0</v>
      </c>
      <c r="FH16" s="140">
        <f t="shared" si="67"/>
        <v>1</v>
      </c>
      <c r="FI16" s="164">
        <v>0</v>
      </c>
      <c r="FJ16" s="12">
        <f t="shared" si="68"/>
        <v>1</v>
      </c>
      <c r="FK16" s="140">
        <f t="shared" si="69"/>
        <v>1.8</v>
      </c>
      <c r="FL16" s="139">
        <f t="shared" si="70"/>
        <v>95.074278067901759</v>
      </c>
      <c r="FM16" s="140">
        <f t="shared" si="71"/>
        <v>1</v>
      </c>
      <c r="FN16" s="28"/>
      <c r="FO16" s="108"/>
      <c r="FP16" s="14">
        <f>+IF(FY16="eD",1,0)</f>
        <v>0</v>
      </c>
      <c r="FQ16" s="164">
        <v>0</v>
      </c>
      <c r="FR16" s="165">
        <v>-1</v>
      </c>
      <c r="FS16" s="140">
        <f t="shared" si="72"/>
        <v>-8</v>
      </c>
      <c r="FT16" s="164">
        <v>0</v>
      </c>
      <c r="FU16" s="12">
        <f t="shared" si="73"/>
        <v>0</v>
      </c>
      <c r="FV16" s="140">
        <f t="shared" si="74"/>
        <v>0</v>
      </c>
      <c r="FW16" s="139">
        <f t="shared" si="75"/>
        <v>-5.4131388399326221</v>
      </c>
      <c r="FX16" s="140">
        <f t="shared" si="76"/>
        <v>-4.5047836550090334</v>
      </c>
      <c r="FY16" s="28"/>
      <c r="FZ16" s="108"/>
      <c r="GA16" s="14">
        <f t="shared" ref="GA16:GA24" si="124">+IF(GJ16="eD",1,0)</f>
        <v>0</v>
      </c>
      <c r="GB16" s="164">
        <v>0</v>
      </c>
      <c r="GC16" s="165">
        <v>-1</v>
      </c>
      <c r="GD16" s="140">
        <f t="shared" si="77"/>
        <v>-2</v>
      </c>
      <c r="GE16" s="164">
        <v>0</v>
      </c>
      <c r="GF16" s="12">
        <f t="shared" si="78"/>
        <v>0</v>
      </c>
      <c r="GG16" s="140">
        <f t="shared" si="79"/>
        <v>0</v>
      </c>
      <c r="GH16" s="139">
        <f t="shared" si="80"/>
        <v>-9.413138839932623</v>
      </c>
      <c r="GI16" s="140">
        <f t="shared" si="81"/>
        <v>-1.9583902816072505</v>
      </c>
      <c r="GJ16" s="28"/>
      <c r="GK16" s="108"/>
      <c r="GL16" s="14">
        <f>+IF(GU16="eD",1,0)</f>
        <v>0</v>
      </c>
      <c r="GM16" s="164">
        <v>0</v>
      </c>
      <c r="GN16" s="165">
        <v>0</v>
      </c>
      <c r="GO16" s="140">
        <f t="shared" si="82"/>
        <v>0</v>
      </c>
      <c r="GP16" s="164">
        <v>0</v>
      </c>
      <c r="GQ16" s="12">
        <f t="shared" si="83"/>
        <v>0</v>
      </c>
      <c r="GR16" s="140">
        <f t="shared" si="84"/>
        <v>0</v>
      </c>
      <c r="GS16" s="139">
        <f t="shared" si="85"/>
        <v>0</v>
      </c>
      <c r="GT16" s="140">
        <f t="shared" si="86"/>
        <v>0</v>
      </c>
      <c r="GU16" s="28"/>
      <c r="GV16" s="108"/>
      <c r="GW16" s="14">
        <f>+IF(HF16="eD",1,0)</f>
        <v>0</v>
      </c>
      <c r="GX16" s="164">
        <v>0</v>
      </c>
      <c r="GY16" s="165">
        <v>0</v>
      </c>
      <c r="GZ16" s="140">
        <f t="shared" si="87"/>
        <v>0</v>
      </c>
      <c r="HA16" s="164">
        <v>0</v>
      </c>
      <c r="HB16" s="12">
        <f t="shared" si="88"/>
        <v>0</v>
      </c>
      <c r="HC16" s="140">
        <f t="shared" si="89"/>
        <v>0</v>
      </c>
      <c r="HD16" s="139">
        <f t="shared" si="90"/>
        <v>0</v>
      </c>
      <c r="HE16" s="140">
        <f t="shared" si="91"/>
        <v>0</v>
      </c>
      <c r="HF16" s="28"/>
      <c r="HG16" s="108"/>
      <c r="HH16" s="14">
        <f>+IF(HQ16="eD",1,0)</f>
        <v>0</v>
      </c>
      <c r="HI16" s="164">
        <v>0</v>
      </c>
      <c r="HJ16" s="165">
        <v>0</v>
      </c>
      <c r="HK16" s="140">
        <f t="shared" si="92"/>
        <v>0</v>
      </c>
      <c r="HL16" s="164">
        <v>0</v>
      </c>
      <c r="HM16" s="12">
        <f t="shared" si="93"/>
        <v>0</v>
      </c>
      <c r="HN16" s="140">
        <f t="shared" si="94"/>
        <v>0</v>
      </c>
      <c r="HO16" s="139">
        <f t="shared" si="95"/>
        <v>0</v>
      </c>
      <c r="HP16" s="140">
        <f t="shared" si="96"/>
        <v>0</v>
      </c>
      <c r="HQ16" s="28"/>
      <c r="HR16" s="108"/>
      <c r="HS16" s="14">
        <f>+IF(IB16="eD",1,0)</f>
        <v>0</v>
      </c>
      <c r="HT16" s="164">
        <v>0</v>
      </c>
      <c r="HU16" s="165">
        <v>0</v>
      </c>
      <c r="HV16" s="140">
        <f t="shared" si="97"/>
        <v>0</v>
      </c>
      <c r="HW16" s="164">
        <v>0</v>
      </c>
      <c r="HX16" s="12">
        <f t="shared" si="98"/>
        <v>0</v>
      </c>
      <c r="HY16" s="140">
        <f t="shared" si="99"/>
        <v>0</v>
      </c>
      <c r="HZ16" s="139">
        <f t="shared" si="100"/>
        <v>0</v>
      </c>
      <c r="IA16" s="140">
        <f t="shared" si="101"/>
        <v>0</v>
      </c>
      <c r="IB16" s="28"/>
      <c r="IC16" s="108"/>
      <c r="ID16" s="164">
        <v>-1</v>
      </c>
      <c r="IE16" s="108"/>
      <c r="IF16" s="164">
        <v>0</v>
      </c>
      <c r="IG16" s="164">
        <v>0</v>
      </c>
      <c r="IH16" s="164">
        <f t="shared" si="102"/>
        <v>0</v>
      </c>
      <c r="II16" s="108"/>
      <c r="IJ16" s="164">
        <v>0</v>
      </c>
      <c r="IK16" s="108"/>
    </row>
    <row r="17" spans="1:247" ht="15" customHeight="1">
      <c r="A17" s="91" t="s">
        <v>239</v>
      </c>
      <c r="B17" s="91" t="s">
        <v>241</v>
      </c>
      <c r="C17" s="1" t="str">
        <f>MicroModelComponents!C17</f>
        <v>O2</v>
      </c>
      <c r="D17" s="1">
        <f>MicroModelComponents!E17</f>
        <v>16.399999999999999</v>
      </c>
      <c r="E17" s="1">
        <f>MicroModelComponents!U17</f>
        <v>0</v>
      </c>
      <c r="F17" s="1">
        <f>MicroModelComponents!V17</f>
        <v>32</v>
      </c>
      <c r="G17" s="1">
        <f>MicroModelComponents!W17</f>
        <v>-4</v>
      </c>
      <c r="H17" s="2">
        <f>MicroModelComponents!X17</f>
        <v>-4</v>
      </c>
      <c r="I17" s="138"/>
      <c r="J17" s="87" t="s">
        <v>189</v>
      </c>
      <c r="K17" s="87" t="s">
        <v>189</v>
      </c>
      <c r="L17" s="104">
        <v>1E-4</v>
      </c>
      <c r="M17" s="13">
        <v>0</v>
      </c>
      <c r="N17" s="13">
        <f t="shared" si="0"/>
        <v>-6.4192814160777729</v>
      </c>
      <c r="O17" s="105"/>
      <c r="P17" s="28"/>
      <c r="Q17" s="108"/>
      <c r="R17" s="14">
        <f>+IF(AA17="eD",1,0)</f>
        <v>0</v>
      </c>
      <c r="S17" s="164">
        <v>0</v>
      </c>
      <c r="T17" s="165">
        <v>0</v>
      </c>
      <c r="U17" s="140">
        <f t="shared" si="2"/>
        <v>0</v>
      </c>
      <c r="V17" s="164">
        <v>0</v>
      </c>
      <c r="W17" s="12">
        <f t="shared" si="3"/>
        <v>0</v>
      </c>
      <c r="X17" s="140">
        <f t="shared" si="4"/>
        <v>0</v>
      </c>
      <c r="Y17" s="139">
        <f t="shared" si="5"/>
        <v>0</v>
      </c>
      <c r="Z17" s="140">
        <f t="shared" si="6"/>
        <v>0</v>
      </c>
      <c r="AA17" s="180"/>
      <c r="AB17" s="108"/>
      <c r="AC17" s="14">
        <f>+IF(AL17="eD",1,0)</f>
        <v>0</v>
      </c>
      <c r="AD17" s="164">
        <v>0</v>
      </c>
      <c r="AE17" s="165">
        <v>-1</v>
      </c>
      <c r="AF17" s="140">
        <f t="shared" si="7"/>
        <v>-6</v>
      </c>
      <c r="AG17" s="164">
        <v>0</v>
      </c>
      <c r="AH17" s="12">
        <f t="shared" si="8"/>
        <v>0</v>
      </c>
      <c r="AI17" s="215">
        <f t="shared" si="9"/>
        <v>0</v>
      </c>
      <c r="AJ17" s="139">
        <f t="shared" si="10"/>
        <v>-0.48585351596898357</v>
      </c>
      <c r="AK17" s="140">
        <f t="shared" si="11"/>
        <v>-1.8980463081303203</v>
      </c>
      <c r="AL17" s="180" t="s">
        <v>338</v>
      </c>
      <c r="AM17" s="108"/>
      <c r="AN17" s="14">
        <f>+IF(AW17="eD",1,0)</f>
        <v>0</v>
      </c>
      <c r="AO17" s="164">
        <v>0</v>
      </c>
      <c r="AP17" s="165">
        <v>-1</v>
      </c>
      <c r="AQ17" s="140">
        <f t="shared" si="12"/>
        <v>-2</v>
      </c>
      <c r="AR17" s="164">
        <v>0</v>
      </c>
      <c r="AS17" s="12">
        <f t="shared" si="13"/>
        <v>0</v>
      </c>
      <c r="AT17" s="215">
        <f t="shared" si="14"/>
        <v>0</v>
      </c>
      <c r="AU17" s="139">
        <f t="shared" si="15"/>
        <v>-1.119460694288589</v>
      </c>
      <c r="AV17" s="140">
        <f t="shared" si="16"/>
        <v>-1.0320174937814977</v>
      </c>
      <c r="AW17" s="180" t="s">
        <v>338</v>
      </c>
      <c r="AX17" s="108"/>
      <c r="AY17" s="14">
        <f>+IF(BH17="eD",1,0)</f>
        <v>0</v>
      </c>
      <c r="AZ17" s="164">
        <v>0</v>
      </c>
      <c r="BA17" s="165">
        <v>-1</v>
      </c>
      <c r="BB17" s="140">
        <f t="shared" si="17"/>
        <v>-1.5</v>
      </c>
      <c r="BC17" s="164">
        <v>0</v>
      </c>
      <c r="BD17" s="12">
        <f t="shared" si="18"/>
        <v>0</v>
      </c>
      <c r="BE17" s="140">
        <f t="shared" si="19"/>
        <v>0</v>
      </c>
      <c r="BF17" s="139">
        <f t="shared" si="20"/>
        <v>-19.255874592358605</v>
      </c>
      <c r="BG17" s="140">
        <f t="shared" si="21"/>
        <v>-1.4017270540532676</v>
      </c>
      <c r="BH17" s="180" t="s">
        <v>338</v>
      </c>
      <c r="BI17" s="108"/>
      <c r="BJ17" s="14">
        <f>+IF(BS17="eD",1,0)</f>
        <v>0</v>
      </c>
      <c r="BK17" s="164">
        <v>0</v>
      </c>
      <c r="BL17" s="165">
        <v>-1</v>
      </c>
      <c r="BM17" s="140">
        <f t="shared" si="22"/>
        <v>-0.5</v>
      </c>
      <c r="BN17" s="164">
        <v>0</v>
      </c>
      <c r="BO17" s="12">
        <f t="shared" si="23"/>
        <v>0</v>
      </c>
      <c r="BP17" s="140">
        <f t="shared" si="24"/>
        <v>0</v>
      </c>
      <c r="BQ17" s="139">
        <f t="shared" si="25"/>
        <v>-21.819019219460507</v>
      </c>
      <c r="BR17" s="140">
        <f t="shared" si="26"/>
        <v>-0.46884269194321426</v>
      </c>
      <c r="BS17" s="180" t="s">
        <v>338</v>
      </c>
      <c r="BT17" s="108"/>
      <c r="BU17" s="14">
        <f>+IF(CD17="eD",1,0)</f>
        <v>0</v>
      </c>
      <c r="BV17" s="164">
        <v>0</v>
      </c>
      <c r="BW17" s="165">
        <v>0</v>
      </c>
      <c r="BX17" s="140">
        <f t="shared" si="27"/>
        <v>0</v>
      </c>
      <c r="BY17" s="164">
        <v>0</v>
      </c>
      <c r="BZ17" s="12">
        <f t="shared" si="28"/>
        <v>0</v>
      </c>
      <c r="CA17" s="140">
        <f t="shared" si="29"/>
        <v>0</v>
      </c>
      <c r="CB17" s="139">
        <f t="shared" si="30"/>
        <v>0</v>
      </c>
      <c r="CC17" s="140">
        <f t="shared" si="31"/>
        <v>0</v>
      </c>
      <c r="CD17" s="180"/>
      <c r="CE17" s="108"/>
      <c r="CF17" s="14">
        <f>+IF(CO17="eD",1,0)</f>
        <v>0</v>
      </c>
      <c r="CG17" s="164">
        <v>0</v>
      </c>
      <c r="CH17" s="165">
        <v>0</v>
      </c>
      <c r="CI17" s="140">
        <f t="shared" si="32"/>
        <v>0</v>
      </c>
      <c r="CJ17" s="164">
        <v>0</v>
      </c>
      <c r="CK17" s="12">
        <f t="shared" si="33"/>
        <v>0</v>
      </c>
      <c r="CL17" s="140">
        <f t="shared" si="34"/>
        <v>0</v>
      </c>
      <c r="CM17" s="139">
        <f t="shared" si="35"/>
        <v>0</v>
      </c>
      <c r="CN17" s="140">
        <f t="shared" si="36"/>
        <v>0</v>
      </c>
      <c r="CO17" s="180"/>
      <c r="CP17" s="108"/>
      <c r="CQ17" s="14">
        <f t="shared" si="122"/>
        <v>0</v>
      </c>
      <c r="CR17" s="164">
        <v>0</v>
      </c>
      <c r="CS17" s="165">
        <v>0</v>
      </c>
      <c r="CT17" s="140">
        <f t="shared" si="37"/>
        <v>0</v>
      </c>
      <c r="CU17" s="164">
        <v>0</v>
      </c>
      <c r="CV17" s="12">
        <f t="shared" si="38"/>
        <v>0</v>
      </c>
      <c r="CW17" s="140">
        <f t="shared" si="39"/>
        <v>0</v>
      </c>
      <c r="CX17" s="139">
        <f t="shared" si="40"/>
        <v>0</v>
      </c>
      <c r="CY17" s="140">
        <f t="shared" si="41"/>
        <v>0</v>
      </c>
      <c r="CZ17" s="180"/>
      <c r="DA17" s="108"/>
      <c r="DB17" s="14">
        <f>+IF(DK17="eD",1,0)</f>
        <v>0</v>
      </c>
      <c r="DC17" s="164">
        <v>0</v>
      </c>
      <c r="DD17" s="165">
        <v>0</v>
      </c>
      <c r="DE17" s="140">
        <f t="shared" si="42"/>
        <v>0</v>
      </c>
      <c r="DF17" s="164">
        <v>0</v>
      </c>
      <c r="DG17" s="12">
        <f t="shared" si="43"/>
        <v>0</v>
      </c>
      <c r="DH17" s="140">
        <f t="shared" si="44"/>
        <v>0</v>
      </c>
      <c r="DI17" s="139">
        <f t="shared" si="45"/>
        <v>0</v>
      </c>
      <c r="DJ17" s="140">
        <f t="shared" si="46"/>
        <v>0</v>
      </c>
      <c r="DK17" s="180"/>
      <c r="DL17" s="108"/>
      <c r="DM17" s="14">
        <f t="shared" si="123"/>
        <v>0</v>
      </c>
      <c r="DN17" s="164">
        <v>0</v>
      </c>
      <c r="DO17" s="165">
        <v>0</v>
      </c>
      <c r="DP17" s="140">
        <f t="shared" si="47"/>
        <v>0</v>
      </c>
      <c r="DQ17" s="164">
        <v>0</v>
      </c>
      <c r="DR17" s="12">
        <f t="shared" si="48"/>
        <v>0</v>
      </c>
      <c r="DS17" s="140">
        <f t="shared" si="49"/>
        <v>0</v>
      </c>
      <c r="DT17" s="139">
        <f t="shared" si="50"/>
        <v>0</v>
      </c>
      <c r="DU17" s="140">
        <f t="shared" si="51"/>
        <v>0</v>
      </c>
      <c r="DV17" s="180"/>
      <c r="DW17" s="108"/>
      <c r="DX17" s="14">
        <f>+IF(EG17="eD",1,0)</f>
        <v>0</v>
      </c>
      <c r="DY17" s="164">
        <v>0</v>
      </c>
      <c r="DZ17" s="165">
        <v>-1</v>
      </c>
      <c r="EA17" s="140">
        <f t="shared" si="52"/>
        <v>-2</v>
      </c>
      <c r="EB17" s="164">
        <v>0</v>
      </c>
      <c r="EC17" s="12">
        <f t="shared" si="53"/>
        <v>0</v>
      </c>
      <c r="ED17" s="140">
        <f t="shared" si="54"/>
        <v>0</v>
      </c>
      <c r="EE17" s="139">
        <f t="shared" si="55"/>
        <v>-2.500410786112405</v>
      </c>
      <c r="EF17" s="140">
        <f t="shared" si="56"/>
        <v>-1.4085191470760943</v>
      </c>
      <c r="EG17" s="180" t="s">
        <v>338</v>
      </c>
      <c r="EH17" s="108"/>
      <c r="EI17" s="14">
        <f>+IF(ER17="eD",1,0)</f>
        <v>0</v>
      </c>
      <c r="EJ17" s="164">
        <v>0</v>
      </c>
      <c r="EK17" s="165">
        <v>0</v>
      </c>
      <c r="EL17" s="140">
        <f t="shared" si="57"/>
        <v>0</v>
      </c>
      <c r="EM17" s="164">
        <v>0</v>
      </c>
      <c r="EN17" s="12">
        <f t="shared" si="58"/>
        <v>0</v>
      </c>
      <c r="EO17" s="140">
        <f t="shared" si="59"/>
        <v>0</v>
      </c>
      <c r="EP17" s="139">
        <f t="shared" si="60"/>
        <v>0</v>
      </c>
      <c r="EQ17" s="140">
        <f t="shared" si="61"/>
        <v>0</v>
      </c>
      <c r="ER17" s="180"/>
      <c r="ES17" s="108"/>
      <c r="ET17" s="14">
        <f>+IF(FC17="eD",1,0)</f>
        <v>0</v>
      </c>
      <c r="EU17" s="164">
        <v>0</v>
      </c>
      <c r="EV17" s="165">
        <v>-1</v>
      </c>
      <c r="EW17" s="140">
        <f t="shared" si="62"/>
        <v>-0.25</v>
      </c>
      <c r="EX17" s="164">
        <v>0</v>
      </c>
      <c r="EY17" s="12">
        <f t="shared" si="63"/>
        <v>0</v>
      </c>
      <c r="EZ17" s="140">
        <f t="shared" si="64"/>
        <v>0</v>
      </c>
      <c r="FA17" s="139">
        <f t="shared" si="65"/>
        <v>-9.8569284257267835</v>
      </c>
      <c r="FB17" s="140">
        <f t="shared" si="66"/>
        <v>-0.23908501200811755</v>
      </c>
      <c r="FC17" s="180" t="s">
        <v>338</v>
      </c>
      <c r="FD17" s="108"/>
      <c r="FE17" s="14">
        <f>+IF(FN17="eD",1,0)</f>
        <v>0</v>
      </c>
      <c r="FF17" s="164">
        <v>0</v>
      </c>
      <c r="FG17" s="165">
        <v>0</v>
      </c>
      <c r="FH17" s="140">
        <f t="shared" si="67"/>
        <v>0</v>
      </c>
      <c r="FI17" s="164">
        <v>0</v>
      </c>
      <c r="FJ17" s="12">
        <f t="shared" si="68"/>
        <v>0</v>
      </c>
      <c r="FK17" s="140">
        <f t="shared" si="69"/>
        <v>0</v>
      </c>
      <c r="FL17" s="139">
        <f t="shared" si="70"/>
        <v>0</v>
      </c>
      <c r="FM17" s="140">
        <f t="shared" si="71"/>
        <v>0</v>
      </c>
      <c r="FN17" s="180"/>
      <c r="FO17" s="108"/>
      <c r="FP17" s="14">
        <f>+IF(FY17="eD",1,0)</f>
        <v>0</v>
      </c>
      <c r="FQ17" s="164">
        <v>0</v>
      </c>
      <c r="FR17" s="165">
        <v>0</v>
      </c>
      <c r="FS17" s="140">
        <f t="shared" si="72"/>
        <v>0</v>
      </c>
      <c r="FT17" s="164">
        <v>0</v>
      </c>
      <c r="FU17" s="12">
        <f t="shared" si="73"/>
        <v>0</v>
      </c>
      <c r="FV17" s="140">
        <f t="shared" si="74"/>
        <v>0</v>
      </c>
      <c r="FW17" s="139">
        <f t="shared" si="75"/>
        <v>0</v>
      </c>
      <c r="FX17" s="140">
        <f t="shared" si="76"/>
        <v>0</v>
      </c>
      <c r="FY17" s="180"/>
      <c r="FZ17" s="108"/>
      <c r="GA17" s="14">
        <f t="shared" si="124"/>
        <v>0</v>
      </c>
      <c r="GB17" s="164">
        <v>0</v>
      </c>
      <c r="GC17" s="165">
        <v>0</v>
      </c>
      <c r="GD17" s="140">
        <f t="shared" si="77"/>
        <v>0</v>
      </c>
      <c r="GE17" s="164">
        <v>0</v>
      </c>
      <c r="GF17" s="12">
        <f t="shared" si="78"/>
        <v>0</v>
      </c>
      <c r="GG17" s="140">
        <f t="shared" si="79"/>
        <v>0</v>
      </c>
      <c r="GH17" s="139">
        <f t="shared" si="80"/>
        <v>0</v>
      </c>
      <c r="GI17" s="140">
        <f t="shared" si="81"/>
        <v>0</v>
      </c>
      <c r="GJ17" s="180"/>
      <c r="GK17" s="108"/>
      <c r="GL17" s="14">
        <f>+IF(GU17="eD",1,0)</f>
        <v>0</v>
      </c>
      <c r="GM17" s="164">
        <v>0</v>
      </c>
      <c r="GN17" s="165">
        <v>0</v>
      </c>
      <c r="GO17" s="140">
        <f t="shared" si="82"/>
        <v>0</v>
      </c>
      <c r="GP17" s="164">
        <v>0</v>
      </c>
      <c r="GQ17" s="12">
        <f t="shared" si="83"/>
        <v>0</v>
      </c>
      <c r="GR17" s="140">
        <f t="shared" si="84"/>
        <v>0</v>
      </c>
      <c r="GS17" s="139">
        <f t="shared" si="85"/>
        <v>0</v>
      </c>
      <c r="GT17" s="140">
        <f t="shared" si="86"/>
        <v>0</v>
      </c>
      <c r="GU17" s="180"/>
      <c r="GV17" s="108"/>
      <c r="GW17" s="14">
        <f>+IF(HF17="eD",1,0)</f>
        <v>0</v>
      </c>
      <c r="GX17" s="164">
        <v>0</v>
      </c>
      <c r="GY17" s="165">
        <v>0</v>
      </c>
      <c r="GZ17" s="140">
        <f t="shared" si="87"/>
        <v>0</v>
      </c>
      <c r="HA17" s="164">
        <v>0</v>
      </c>
      <c r="HB17" s="12">
        <f t="shared" si="88"/>
        <v>0</v>
      </c>
      <c r="HC17" s="140">
        <f t="shared" si="89"/>
        <v>0</v>
      </c>
      <c r="HD17" s="139">
        <f t="shared" si="90"/>
        <v>0</v>
      </c>
      <c r="HE17" s="140">
        <f t="shared" si="91"/>
        <v>0</v>
      </c>
      <c r="HF17" s="180"/>
      <c r="HG17" s="108"/>
      <c r="HH17" s="14">
        <f>+IF(HQ17="eD",1,0)</f>
        <v>0</v>
      </c>
      <c r="HI17" s="164">
        <v>0</v>
      </c>
      <c r="HJ17" s="165">
        <v>-1</v>
      </c>
      <c r="HK17" s="140">
        <f t="shared" si="92"/>
        <v>-2</v>
      </c>
      <c r="HL17" s="164">
        <v>0</v>
      </c>
      <c r="HM17" s="12">
        <f t="shared" si="93"/>
        <v>-1</v>
      </c>
      <c r="HN17" s="140">
        <f t="shared" si="94"/>
        <v>-0.95</v>
      </c>
      <c r="HO17" s="139">
        <f t="shared" si="95"/>
        <v>-2.6751741178717672</v>
      </c>
      <c r="HP17" s="140">
        <f t="shared" si="96"/>
        <v>-1.4362679612947185</v>
      </c>
      <c r="HQ17" s="180" t="s">
        <v>338</v>
      </c>
      <c r="HR17" s="108"/>
      <c r="HS17" s="14">
        <f>+IF(IB17="eD",1,0)</f>
        <v>0</v>
      </c>
      <c r="HT17" s="164">
        <v>0</v>
      </c>
      <c r="HU17" s="165">
        <v>0</v>
      </c>
      <c r="HV17" s="140">
        <f t="shared" si="97"/>
        <v>0</v>
      </c>
      <c r="HW17" s="164">
        <v>0</v>
      </c>
      <c r="HX17" s="12">
        <f t="shared" si="98"/>
        <v>0</v>
      </c>
      <c r="HY17" s="140">
        <f t="shared" si="99"/>
        <v>0</v>
      </c>
      <c r="HZ17" s="139">
        <f t="shared" si="100"/>
        <v>0</v>
      </c>
      <c r="IA17" s="140">
        <f t="shared" si="101"/>
        <v>0</v>
      </c>
      <c r="IB17" s="180" t="s">
        <v>338</v>
      </c>
      <c r="IC17" s="108"/>
      <c r="ID17" s="164">
        <v>0</v>
      </c>
      <c r="IE17" s="108"/>
      <c r="IF17" s="164">
        <v>0</v>
      </c>
      <c r="IG17" s="164">
        <v>0</v>
      </c>
      <c r="IH17" s="164">
        <f t="shared" si="102"/>
        <v>0</v>
      </c>
      <c r="II17" s="108"/>
      <c r="IJ17" s="164">
        <v>0</v>
      </c>
      <c r="IK17" s="108"/>
    </row>
    <row r="18" spans="1:247" ht="15" customHeight="1">
      <c r="A18" s="91" t="s">
        <v>239</v>
      </c>
      <c r="B18" s="91" t="s">
        <v>241</v>
      </c>
      <c r="C18" s="1" t="str">
        <f>MicroModelComponents!C18</f>
        <v>Fe(OH)3</v>
      </c>
      <c r="D18" s="1">
        <f>MicroModelComponents!E18</f>
        <v>-696.6</v>
      </c>
      <c r="E18" s="1">
        <f>MicroModelComponents!U18</f>
        <v>0</v>
      </c>
      <c r="F18" s="1">
        <f>MicroModelComponents!V18</f>
        <v>89</v>
      </c>
      <c r="G18" s="1">
        <f>MicroModelComponents!W18</f>
        <v>0</v>
      </c>
      <c r="H18" s="2">
        <f>MicroModelComponents!X18</f>
        <v>0</v>
      </c>
      <c r="I18" s="138"/>
      <c r="J18" s="87" t="s">
        <v>189</v>
      </c>
      <c r="K18" s="87" t="s">
        <v>189</v>
      </c>
      <c r="L18" s="43">
        <v>1</v>
      </c>
      <c r="M18" s="13">
        <v>0</v>
      </c>
      <c r="N18" s="13">
        <f t="shared" si="0"/>
        <v>-696.6</v>
      </c>
      <c r="O18" s="105"/>
      <c r="P18" s="28"/>
      <c r="Q18" s="108"/>
      <c r="R18" s="14">
        <f t="shared" si="1"/>
        <v>0</v>
      </c>
      <c r="S18" s="164">
        <v>0</v>
      </c>
      <c r="T18" s="165">
        <v>0</v>
      </c>
      <c r="U18" s="140">
        <f t="shared" si="2"/>
        <v>0</v>
      </c>
      <c r="V18" s="164">
        <v>0</v>
      </c>
      <c r="W18" s="12">
        <f t="shared" si="3"/>
        <v>0</v>
      </c>
      <c r="X18" s="140">
        <f t="shared" si="4"/>
        <v>0</v>
      </c>
      <c r="Y18" s="139">
        <f t="shared" si="5"/>
        <v>0</v>
      </c>
      <c r="Z18" s="140">
        <f t="shared" si="6"/>
        <v>0</v>
      </c>
      <c r="AA18" s="28"/>
      <c r="AB18" s="108"/>
      <c r="AC18" s="14">
        <f t="shared" si="120"/>
        <v>0</v>
      </c>
      <c r="AD18" s="164">
        <v>0</v>
      </c>
      <c r="AE18" s="165">
        <v>0</v>
      </c>
      <c r="AF18" s="140">
        <f t="shared" si="7"/>
        <v>0</v>
      </c>
      <c r="AG18" s="164">
        <v>0</v>
      </c>
      <c r="AH18" s="12">
        <f t="shared" si="8"/>
        <v>0</v>
      </c>
      <c r="AI18" s="215">
        <f t="shared" si="9"/>
        <v>0</v>
      </c>
      <c r="AJ18" s="139">
        <f t="shared" si="10"/>
        <v>0</v>
      </c>
      <c r="AK18" s="140">
        <f t="shared" si="11"/>
        <v>0</v>
      </c>
      <c r="AL18" s="28"/>
      <c r="AM18" s="108"/>
      <c r="AN18" s="14">
        <f t="shared" si="121"/>
        <v>0</v>
      </c>
      <c r="AO18" s="164">
        <v>0</v>
      </c>
      <c r="AP18" s="165">
        <v>0</v>
      </c>
      <c r="AQ18" s="140">
        <f t="shared" si="12"/>
        <v>0</v>
      </c>
      <c r="AR18" s="164">
        <v>0</v>
      </c>
      <c r="AS18" s="12">
        <f t="shared" si="13"/>
        <v>0</v>
      </c>
      <c r="AT18" s="215">
        <f t="shared" si="14"/>
        <v>0</v>
      </c>
      <c r="AU18" s="139">
        <f t="shared" si="15"/>
        <v>0</v>
      </c>
      <c r="AV18" s="140">
        <f t="shared" si="16"/>
        <v>0</v>
      </c>
      <c r="AW18" s="28"/>
      <c r="AX18" s="108"/>
      <c r="AY18" s="14">
        <f t="shared" si="103"/>
        <v>0</v>
      </c>
      <c r="AZ18" s="164">
        <v>0</v>
      </c>
      <c r="BA18" s="165">
        <v>0</v>
      </c>
      <c r="BB18" s="140">
        <f t="shared" si="17"/>
        <v>0</v>
      </c>
      <c r="BC18" s="164">
        <v>0</v>
      </c>
      <c r="BD18" s="12">
        <f t="shared" si="18"/>
        <v>0</v>
      </c>
      <c r="BE18" s="140">
        <f t="shared" si="19"/>
        <v>0</v>
      </c>
      <c r="BF18" s="139">
        <f t="shared" si="20"/>
        <v>0</v>
      </c>
      <c r="BG18" s="140">
        <f t="shared" si="21"/>
        <v>0</v>
      </c>
      <c r="BH18" s="28"/>
      <c r="BI18" s="108"/>
      <c r="BJ18" s="14">
        <f t="shared" si="104"/>
        <v>0</v>
      </c>
      <c r="BK18" s="164">
        <v>0</v>
      </c>
      <c r="BL18" s="165">
        <v>0</v>
      </c>
      <c r="BM18" s="140">
        <f t="shared" si="22"/>
        <v>0</v>
      </c>
      <c r="BN18" s="164">
        <v>0</v>
      </c>
      <c r="BO18" s="12">
        <f t="shared" si="23"/>
        <v>0</v>
      </c>
      <c r="BP18" s="140">
        <f t="shared" si="24"/>
        <v>0</v>
      </c>
      <c r="BQ18" s="139">
        <f t="shared" si="25"/>
        <v>0</v>
      </c>
      <c r="BR18" s="140">
        <f t="shared" si="26"/>
        <v>0</v>
      </c>
      <c r="BS18" s="28"/>
      <c r="BT18" s="108"/>
      <c r="BU18" s="14">
        <f t="shared" si="118"/>
        <v>0</v>
      </c>
      <c r="BV18" s="164">
        <v>0</v>
      </c>
      <c r="BW18" s="165">
        <v>0</v>
      </c>
      <c r="BX18" s="140">
        <f t="shared" si="27"/>
        <v>0</v>
      </c>
      <c r="BY18" s="164">
        <v>0</v>
      </c>
      <c r="BZ18" s="12">
        <f t="shared" si="28"/>
        <v>0</v>
      </c>
      <c r="CA18" s="140">
        <f t="shared" si="29"/>
        <v>0</v>
      </c>
      <c r="CB18" s="139">
        <f t="shared" si="30"/>
        <v>0</v>
      </c>
      <c r="CC18" s="140">
        <f t="shared" si="31"/>
        <v>0</v>
      </c>
      <c r="CD18" s="28"/>
      <c r="CE18" s="108"/>
      <c r="CF18" s="14">
        <f t="shared" si="105"/>
        <v>0</v>
      </c>
      <c r="CG18" s="164">
        <v>0</v>
      </c>
      <c r="CH18" s="165">
        <v>0</v>
      </c>
      <c r="CI18" s="140">
        <f t="shared" si="32"/>
        <v>0</v>
      </c>
      <c r="CJ18" s="164">
        <v>0</v>
      </c>
      <c r="CK18" s="12">
        <f t="shared" si="33"/>
        <v>0</v>
      </c>
      <c r="CL18" s="140">
        <f t="shared" si="34"/>
        <v>0</v>
      </c>
      <c r="CM18" s="139">
        <f t="shared" si="35"/>
        <v>0</v>
      </c>
      <c r="CN18" s="140">
        <f t="shared" si="36"/>
        <v>0</v>
      </c>
      <c r="CO18" s="28"/>
      <c r="CP18" s="108"/>
      <c r="CQ18" s="14">
        <f t="shared" si="122"/>
        <v>0</v>
      </c>
      <c r="CR18" s="164">
        <v>0</v>
      </c>
      <c r="CS18" s="165">
        <v>0</v>
      </c>
      <c r="CT18" s="140">
        <f t="shared" si="37"/>
        <v>0</v>
      </c>
      <c r="CU18" s="164">
        <v>0</v>
      </c>
      <c r="CV18" s="12">
        <f t="shared" si="38"/>
        <v>0</v>
      </c>
      <c r="CW18" s="140">
        <f t="shared" si="39"/>
        <v>0</v>
      </c>
      <c r="CX18" s="139">
        <f t="shared" si="40"/>
        <v>0</v>
      </c>
      <c r="CY18" s="140">
        <f t="shared" si="41"/>
        <v>0</v>
      </c>
      <c r="CZ18" s="28"/>
      <c r="DA18" s="108"/>
      <c r="DB18" s="14">
        <f t="shared" si="107"/>
        <v>0</v>
      </c>
      <c r="DC18" s="164">
        <v>0</v>
      </c>
      <c r="DD18" s="165">
        <v>0</v>
      </c>
      <c r="DE18" s="140">
        <f t="shared" si="42"/>
        <v>0</v>
      </c>
      <c r="DF18" s="164">
        <v>0</v>
      </c>
      <c r="DG18" s="12">
        <f t="shared" si="43"/>
        <v>0</v>
      </c>
      <c r="DH18" s="140">
        <f t="shared" si="44"/>
        <v>0</v>
      </c>
      <c r="DI18" s="139">
        <f t="shared" si="45"/>
        <v>0</v>
      </c>
      <c r="DJ18" s="140">
        <f t="shared" si="46"/>
        <v>0</v>
      </c>
      <c r="DK18" s="28"/>
      <c r="DL18" s="108"/>
      <c r="DM18" s="14">
        <f t="shared" si="123"/>
        <v>0</v>
      </c>
      <c r="DN18" s="164">
        <v>0</v>
      </c>
      <c r="DO18" s="165">
        <v>0</v>
      </c>
      <c r="DP18" s="140">
        <f t="shared" si="47"/>
        <v>0</v>
      </c>
      <c r="DQ18" s="164">
        <v>0</v>
      </c>
      <c r="DR18" s="12">
        <f t="shared" si="48"/>
        <v>0</v>
      </c>
      <c r="DS18" s="140">
        <f t="shared" si="49"/>
        <v>0</v>
      </c>
      <c r="DT18" s="139">
        <f t="shared" si="50"/>
        <v>0</v>
      </c>
      <c r="DU18" s="140">
        <f t="shared" si="51"/>
        <v>0</v>
      </c>
      <c r="DV18" s="28"/>
      <c r="DW18" s="108"/>
      <c r="DX18" s="14">
        <f t="shared" si="109"/>
        <v>0</v>
      </c>
      <c r="DY18" s="164">
        <v>0</v>
      </c>
      <c r="DZ18" s="165">
        <v>0</v>
      </c>
      <c r="EA18" s="140">
        <f t="shared" si="52"/>
        <v>0</v>
      </c>
      <c r="EB18" s="164">
        <v>0</v>
      </c>
      <c r="EC18" s="12">
        <f t="shared" si="53"/>
        <v>0</v>
      </c>
      <c r="ED18" s="140">
        <f t="shared" si="54"/>
        <v>0</v>
      </c>
      <c r="EE18" s="139">
        <f t="shared" si="55"/>
        <v>0</v>
      </c>
      <c r="EF18" s="140">
        <f t="shared" si="56"/>
        <v>0</v>
      </c>
      <c r="EG18" s="28"/>
      <c r="EH18" s="108"/>
      <c r="EI18" s="14">
        <f t="shared" si="110"/>
        <v>0</v>
      </c>
      <c r="EJ18" s="164">
        <v>0</v>
      </c>
      <c r="EK18" s="165">
        <v>0</v>
      </c>
      <c r="EL18" s="140">
        <f t="shared" si="57"/>
        <v>0</v>
      </c>
      <c r="EM18" s="164">
        <v>0</v>
      </c>
      <c r="EN18" s="12">
        <f t="shared" si="58"/>
        <v>0</v>
      </c>
      <c r="EO18" s="140">
        <f t="shared" si="59"/>
        <v>0</v>
      </c>
      <c r="EP18" s="139">
        <f t="shared" si="60"/>
        <v>0</v>
      </c>
      <c r="EQ18" s="140">
        <f t="shared" si="61"/>
        <v>0</v>
      </c>
      <c r="ER18" s="28"/>
      <c r="ES18" s="108"/>
      <c r="ET18" s="14">
        <f t="shared" si="111"/>
        <v>0</v>
      </c>
      <c r="EU18" s="164">
        <v>0</v>
      </c>
      <c r="EV18" s="165">
        <v>0</v>
      </c>
      <c r="EW18" s="140">
        <f t="shared" si="62"/>
        <v>0</v>
      </c>
      <c r="EX18" s="164">
        <v>0</v>
      </c>
      <c r="EY18" s="12">
        <f t="shared" si="63"/>
        <v>0</v>
      </c>
      <c r="EZ18" s="140">
        <f t="shared" si="64"/>
        <v>0</v>
      </c>
      <c r="FA18" s="139">
        <f t="shared" si="65"/>
        <v>0</v>
      </c>
      <c r="FB18" s="140">
        <f t="shared" si="66"/>
        <v>0</v>
      </c>
      <c r="FC18" s="28"/>
      <c r="FD18" s="108"/>
      <c r="FE18" s="14">
        <f t="shared" si="112"/>
        <v>0</v>
      </c>
      <c r="FF18" s="164">
        <v>0</v>
      </c>
      <c r="FG18" s="165">
        <v>0</v>
      </c>
      <c r="FH18" s="140">
        <f t="shared" si="67"/>
        <v>0</v>
      </c>
      <c r="FI18" s="164">
        <v>0</v>
      </c>
      <c r="FJ18" s="12">
        <f t="shared" si="68"/>
        <v>0</v>
      </c>
      <c r="FK18" s="140">
        <f t="shared" si="69"/>
        <v>0</v>
      </c>
      <c r="FL18" s="139">
        <f t="shared" si="70"/>
        <v>0</v>
      </c>
      <c r="FM18" s="140">
        <f t="shared" si="71"/>
        <v>0</v>
      </c>
      <c r="FN18" s="28"/>
      <c r="FO18" s="108"/>
      <c r="FP18" s="14">
        <f t="shared" si="113"/>
        <v>0</v>
      </c>
      <c r="FQ18" s="164">
        <v>0</v>
      </c>
      <c r="FR18" s="165">
        <v>0</v>
      </c>
      <c r="FS18" s="140">
        <f t="shared" si="72"/>
        <v>0</v>
      </c>
      <c r="FT18" s="164">
        <v>0</v>
      </c>
      <c r="FU18" s="12">
        <f t="shared" si="73"/>
        <v>0</v>
      </c>
      <c r="FV18" s="140">
        <f t="shared" si="74"/>
        <v>0</v>
      </c>
      <c r="FW18" s="139">
        <f t="shared" si="75"/>
        <v>0</v>
      </c>
      <c r="FX18" s="140">
        <f t="shared" si="76"/>
        <v>0</v>
      </c>
      <c r="FY18" s="180" t="s">
        <v>338</v>
      </c>
      <c r="FZ18" s="108"/>
      <c r="GA18" s="14">
        <f t="shared" si="124"/>
        <v>0</v>
      </c>
      <c r="GB18" s="164">
        <v>0</v>
      </c>
      <c r="GC18" s="165">
        <v>0</v>
      </c>
      <c r="GD18" s="140">
        <f t="shared" si="77"/>
        <v>0</v>
      </c>
      <c r="GE18" s="164">
        <v>0</v>
      </c>
      <c r="GF18" s="12">
        <f t="shared" si="78"/>
        <v>0</v>
      </c>
      <c r="GG18" s="140">
        <f t="shared" si="79"/>
        <v>0</v>
      </c>
      <c r="GH18" s="139">
        <f t="shared" si="80"/>
        <v>0</v>
      </c>
      <c r="GI18" s="140">
        <f t="shared" si="81"/>
        <v>0</v>
      </c>
      <c r="GJ18" s="180" t="s">
        <v>338</v>
      </c>
      <c r="GK18" s="108"/>
      <c r="GL18" s="14">
        <f t="shared" si="119"/>
        <v>0</v>
      </c>
      <c r="GM18" s="164">
        <v>0</v>
      </c>
      <c r="GN18" s="165">
        <v>0</v>
      </c>
      <c r="GO18" s="140">
        <f t="shared" si="82"/>
        <v>0</v>
      </c>
      <c r="GP18" s="164">
        <v>0</v>
      </c>
      <c r="GQ18" s="12">
        <f t="shared" si="83"/>
        <v>0</v>
      </c>
      <c r="GR18" s="140">
        <f t="shared" si="84"/>
        <v>0</v>
      </c>
      <c r="GS18" s="139">
        <f t="shared" si="85"/>
        <v>0</v>
      </c>
      <c r="GT18" s="140">
        <f t="shared" si="86"/>
        <v>0</v>
      </c>
      <c r="GU18" s="28"/>
      <c r="GV18" s="108"/>
      <c r="GW18" s="14">
        <f t="shared" si="115"/>
        <v>0</v>
      </c>
      <c r="GX18" s="164">
        <v>0</v>
      </c>
      <c r="GY18" s="165">
        <v>0</v>
      </c>
      <c r="GZ18" s="140">
        <f t="shared" si="87"/>
        <v>0</v>
      </c>
      <c r="HA18" s="164">
        <v>0</v>
      </c>
      <c r="HB18" s="12">
        <f t="shared" si="88"/>
        <v>0</v>
      </c>
      <c r="HC18" s="140">
        <f t="shared" si="89"/>
        <v>0</v>
      </c>
      <c r="HD18" s="139">
        <f t="shared" si="90"/>
        <v>0</v>
      </c>
      <c r="HE18" s="140">
        <f t="shared" si="91"/>
        <v>0</v>
      </c>
      <c r="HF18" s="28"/>
      <c r="HG18" s="108"/>
      <c r="HH18" s="14">
        <f t="shared" si="116"/>
        <v>0</v>
      </c>
      <c r="HI18" s="164">
        <v>0</v>
      </c>
      <c r="HJ18" s="165">
        <v>0</v>
      </c>
      <c r="HK18" s="140">
        <f t="shared" si="92"/>
        <v>0</v>
      </c>
      <c r="HL18" s="164">
        <v>0</v>
      </c>
      <c r="HM18" s="12">
        <f t="shared" si="93"/>
        <v>0</v>
      </c>
      <c r="HN18" s="140">
        <f t="shared" si="94"/>
        <v>0</v>
      </c>
      <c r="HO18" s="139">
        <f t="shared" si="95"/>
        <v>0</v>
      </c>
      <c r="HP18" s="140">
        <f t="shared" si="96"/>
        <v>0</v>
      </c>
      <c r="HQ18" s="28"/>
      <c r="HR18" s="108"/>
      <c r="HS18" s="14">
        <f t="shared" si="117"/>
        <v>0</v>
      </c>
      <c r="HT18" s="164">
        <v>0</v>
      </c>
      <c r="HU18" s="165">
        <v>0</v>
      </c>
      <c r="HV18" s="140">
        <f t="shared" si="97"/>
        <v>0</v>
      </c>
      <c r="HW18" s="164">
        <v>0</v>
      </c>
      <c r="HX18" s="12">
        <f t="shared" si="98"/>
        <v>0</v>
      </c>
      <c r="HY18" s="140">
        <f t="shared" si="99"/>
        <v>0</v>
      </c>
      <c r="HZ18" s="139">
        <f t="shared" si="100"/>
        <v>0</v>
      </c>
      <c r="IA18" s="140">
        <f t="shared" si="101"/>
        <v>0</v>
      </c>
      <c r="IB18" s="28"/>
      <c r="IC18" s="108"/>
      <c r="ID18" s="164">
        <v>1</v>
      </c>
      <c r="IE18" s="108"/>
      <c r="IF18" s="164">
        <v>0</v>
      </c>
      <c r="IG18" s="164">
        <v>0</v>
      </c>
      <c r="IH18" s="164">
        <f t="shared" si="102"/>
        <v>0</v>
      </c>
      <c r="II18" s="108"/>
      <c r="IJ18" s="164">
        <v>0</v>
      </c>
      <c r="IK18" s="108"/>
    </row>
    <row r="19" spans="1:247" ht="15" customHeight="1">
      <c r="A19" s="91" t="s">
        <v>239</v>
      </c>
      <c r="B19" s="91" t="s">
        <v>241</v>
      </c>
      <c r="C19" s="1" t="str">
        <f>MicroModelComponents!C19</f>
        <v>Lac-</v>
      </c>
      <c r="D19" s="1">
        <f>MicroModelComponents!E19</f>
        <v>-517.80999999999995</v>
      </c>
      <c r="E19" s="1">
        <f>MicroModelComponents!U19</f>
        <v>-1</v>
      </c>
      <c r="F19" s="1">
        <f>MicroModelComponents!V19</f>
        <v>89</v>
      </c>
      <c r="G19" s="1">
        <f>MicroModelComponents!W19</f>
        <v>12</v>
      </c>
      <c r="H19" s="2">
        <f>MicroModelComponents!X19</f>
        <v>4</v>
      </c>
      <c r="J19" s="87" t="s">
        <v>189</v>
      </c>
      <c r="K19" s="43">
        <v>1E-3</v>
      </c>
      <c r="L19" s="104">
        <f>MicroModelComponents!AE19*K19/(MicroModelComponents!AE19+$L$21)</f>
        <v>9.9927608846747109E-4</v>
      </c>
      <c r="M19" s="13">
        <v>0</v>
      </c>
      <c r="N19" s="13">
        <f t="shared" si="0"/>
        <v>-534.92625525449841</v>
      </c>
      <c r="O19" s="105"/>
      <c r="P19" s="28"/>
      <c r="Q19" s="108"/>
      <c r="R19" s="14">
        <f>+IF(AA19="eD",1,0)</f>
        <v>0</v>
      </c>
      <c r="S19" s="164">
        <v>0</v>
      </c>
      <c r="T19" s="165">
        <v>0</v>
      </c>
      <c r="U19" s="140">
        <f t="shared" si="2"/>
        <v>0</v>
      </c>
      <c r="V19" s="164">
        <v>0</v>
      </c>
      <c r="W19" s="12">
        <f t="shared" si="3"/>
        <v>0</v>
      </c>
      <c r="X19" s="140">
        <f t="shared" si="4"/>
        <v>0</v>
      </c>
      <c r="Y19" s="139">
        <f t="shared" si="5"/>
        <v>0</v>
      </c>
      <c r="Z19" s="140">
        <f t="shared" si="6"/>
        <v>0</v>
      </c>
      <c r="AA19" s="28"/>
      <c r="AB19" s="108"/>
      <c r="AC19" s="14">
        <f>+IF(AL19="eD",1,0)</f>
        <v>0</v>
      </c>
      <c r="AD19" s="164">
        <v>0</v>
      </c>
      <c r="AE19" s="165">
        <v>0</v>
      </c>
      <c r="AF19" s="140">
        <f t="shared" si="7"/>
        <v>0</v>
      </c>
      <c r="AG19" s="164">
        <v>0</v>
      </c>
      <c r="AH19" s="12">
        <f t="shared" si="8"/>
        <v>0</v>
      </c>
      <c r="AI19" s="215">
        <f t="shared" si="9"/>
        <v>0</v>
      </c>
      <c r="AJ19" s="139">
        <f t="shared" si="10"/>
        <v>0</v>
      </c>
      <c r="AK19" s="140">
        <f t="shared" si="11"/>
        <v>0</v>
      </c>
      <c r="AL19" s="28"/>
      <c r="AM19" s="108"/>
      <c r="AN19" s="14">
        <f>+IF(AW19="eD",1,0)</f>
        <v>0</v>
      </c>
      <c r="AO19" s="164">
        <v>0</v>
      </c>
      <c r="AP19" s="165">
        <v>0</v>
      </c>
      <c r="AQ19" s="140">
        <f t="shared" si="12"/>
        <v>0</v>
      </c>
      <c r="AR19" s="164">
        <v>0</v>
      </c>
      <c r="AS19" s="12">
        <f t="shared" si="13"/>
        <v>0</v>
      </c>
      <c r="AT19" s="215">
        <f t="shared" si="14"/>
        <v>0</v>
      </c>
      <c r="AU19" s="139">
        <f t="shared" si="15"/>
        <v>0</v>
      </c>
      <c r="AV19" s="140">
        <f t="shared" si="16"/>
        <v>0</v>
      </c>
      <c r="AW19" s="28"/>
      <c r="AX19" s="108"/>
      <c r="AY19" s="14">
        <f>+IF(BH19="eD",1,0)</f>
        <v>0</v>
      </c>
      <c r="AZ19" s="164">
        <v>0</v>
      </c>
      <c r="BA19" s="165">
        <v>0</v>
      </c>
      <c r="BB19" s="140">
        <f t="shared" si="17"/>
        <v>0</v>
      </c>
      <c r="BC19" s="164">
        <v>0</v>
      </c>
      <c r="BD19" s="12">
        <f t="shared" si="18"/>
        <v>0</v>
      </c>
      <c r="BE19" s="140">
        <f t="shared" si="19"/>
        <v>0</v>
      </c>
      <c r="BF19" s="139">
        <f t="shared" si="20"/>
        <v>0</v>
      </c>
      <c r="BG19" s="140">
        <f t="shared" si="21"/>
        <v>0</v>
      </c>
      <c r="BH19" s="28"/>
      <c r="BI19" s="108"/>
      <c r="BJ19" s="14">
        <f>+IF(BS19="eD",1,0)</f>
        <v>0</v>
      </c>
      <c r="BK19" s="164">
        <v>0</v>
      </c>
      <c r="BL19" s="165">
        <v>0</v>
      </c>
      <c r="BM19" s="140">
        <f t="shared" si="22"/>
        <v>0</v>
      </c>
      <c r="BN19" s="164">
        <v>0</v>
      </c>
      <c r="BO19" s="12">
        <f t="shared" si="23"/>
        <v>0</v>
      </c>
      <c r="BP19" s="140">
        <f t="shared" si="24"/>
        <v>0</v>
      </c>
      <c r="BQ19" s="139">
        <f t="shared" si="25"/>
        <v>0</v>
      </c>
      <c r="BR19" s="140">
        <f t="shared" si="26"/>
        <v>0</v>
      </c>
      <c r="BS19" s="28"/>
      <c r="BT19" s="108"/>
      <c r="BU19" s="14">
        <f>+IF(CD19="eD",1,0)</f>
        <v>0</v>
      </c>
      <c r="BV19" s="164">
        <v>0</v>
      </c>
      <c r="BW19" s="165">
        <v>0</v>
      </c>
      <c r="BX19" s="140">
        <f t="shared" si="27"/>
        <v>0</v>
      </c>
      <c r="BY19" s="164">
        <v>0</v>
      </c>
      <c r="BZ19" s="12">
        <f t="shared" si="28"/>
        <v>0</v>
      </c>
      <c r="CA19" s="140">
        <f t="shared" si="29"/>
        <v>0</v>
      </c>
      <c r="CB19" s="139">
        <f t="shared" si="30"/>
        <v>0</v>
      </c>
      <c r="CC19" s="140">
        <f t="shared" si="31"/>
        <v>0</v>
      </c>
      <c r="CD19" s="28"/>
      <c r="CE19" s="108"/>
      <c r="CF19" s="14">
        <f>+IF(CO19="eD",1,0)</f>
        <v>0</v>
      </c>
      <c r="CG19" s="164">
        <v>0</v>
      </c>
      <c r="CH19" s="165">
        <v>0</v>
      </c>
      <c r="CI19" s="140">
        <f t="shared" si="32"/>
        <v>0</v>
      </c>
      <c r="CJ19" s="164">
        <v>0</v>
      </c>
      <c r="CK19" s="12">
        <f t="shared" si="33"/>
        <v>0</v>
      </c>
      <c r="CL19" s="140">
        <f t="shared" si="34"/>
        <v>0</v>
      </c>
      <c r="CM19" s="139">
        <f t="shared" si="35"/>
        <v>0</v>
      </c>
      <c r="CN19" s="140">
        <f t="shared" si="36"/>
        <v>0</v>
      </c>
      <c r="CO19" s="28"/>
      <c r="CP19" s="108"/>
      <c r="CQ19" s="14">
        <f t="shared" si="122"/>
        <v>0</v>
      </c>
      <c r="CR19" s="164">
        <v>0</v>
      </c>
      <c r="CS19" s="165">
        <v>0</v>
      </c>
      <c r="CT19" s="140">
        <f t="shared" si="37"/>
        <v>0</v>
      </c>
      <c r="CU19" s="164">
        <v>0</v>
      </c>
      <c r="CV19" s="12">
        <f t="shared" si="38"/>
        <v>0</v>
      </c>
      <c r="CW19" s="140">
        <f t="shared" si="39"/>
        <v>0</v>
      </c>
      <c r="CX19" s="139">
        <f t="shared" si="40"/>
        <v>0</v>
      </c>
      <c r="CY19" s="140">
        <f t="shared" si="41"/>
        <v>0</v>
      </c>
      <c r="CZ19" s="28"/>
      <c r="DA19" s="108"/>
      <c r="DB19" s="14">
        <f>+IF(DK19="eD",1,0)</f>
        <v>0</v>
      </c>
      <c r="DC19" s="164">
        <v>0</v>
      </c>
      <c r="DD19" s="165">
        <v>0</v>
      </c>
      <c r="DE19" s="140">
        <f t="shared" si="42"/>
        <v>0</v>
      </c>
      <c r="DF19" s="164">
        <v>0</v>
      </c>
      <c r="DG19" s="12">
        <f t="shared" si="43"/>
        <v>0</v>
      </c>
      <c r="DH19" s="140">
        <f t="shared" si="44"/>
        <v>0</v>
      </c>
      <c r="DI19" s="139">
        <f t="shared" si="45"/>
        <v>0</v>
      </c>
      <c r="DJ19" s="140">
        <f t="shared" si="46"/>
        <v>0</v>
      </c>
      <c r="DK19" s="28"/>
      <c r="DL19" s="108"/>
      <c r="DM19" s="14">
        <f t="shared" si="123"/>
        <v>0</v>
      </c>
      <c r="DN19" s="164">
        <v>0</v>
      </c>
      <c r="DO19" s="165">
        <v>0</v>
      </c>
      <c r="DP19" s="140">
        <f t="shared" si="47"/>
        <v>0</v>
      </c>
      <c r="DQ19" s="164">
        <v>0</v>
      </c>
      <c r="DR19" s="12">
        <f t="shared" si="48"/>
        <v>0</v>
      </c>
      <c r="DS19" s="140">
        <f t="shared" si="49"/>
        <v>0</v>
      </c>
      <c r="DT19" s="139">
        <f t="shared" si="50"/>
        <v>0</v>
      </c>
      <c r="DU19" s="140">
        <f t="shared" si="51"/>
        <v>0</v>
      </c>
      <c r="DV19" s="28"/>
      <c r="DW19" s="108"/>
      <c r="DX19" s="14">
        <f>+IF(EG19="eD",1,0)</f>
        <v>0</v>
      </c>
      <c r="DY19" s="164">
        <v>0</v>
      </c>
      <c r="DZ19" s="165">
        <v>0</v>
      </c>
      <c r="EA19" s="140">
        <f t="shared" si="52"/>
        <v>0</v>
      </c>
      <c r="EB19" s="164">
        <v>0</v>
      </c>
      <c r="EC19" s="12">
        <f t="shared" si="53"/>
        <v>0</v>
      </c>
      <c r="ED19" s="140">
        <f t="shared" si="54"/>
        <v>0</v>
      </c>
      <c r="EE19" s="139">
        <f t="shared" si="55"/>
        <v>0</v>
      </c>
      <c r="EF19" s="140">
        <f t="shared" si="56"/>
        <v>0</v>
      </c>
      <c r="EG19" s="28"/>
      <c r="EH19" s="108"/>
      <c r="EI19" s="14">
        <f>+IF(ER19="eD",1,0)</f>
        <v>0</v>
      </c>
      <c r="EJ19" s="164">
        <v>0</v>
      </c>
      <c r="EK19" s="165">
        <v>0</v>
      </c>
      <c r="EL19" s="140">
        <f t="shared" si="57"/>
        <v>0</v>
      </c>
      <c r="EM19" s="164">
        <v>0</v>
      </c>
      <c r="EN19" s="12">
        <f t="shared" si="58"/>
        <v>0</v>
      </c>
      <c r="EO19" s="140">
        <f t="shared" si="59"/>
        <v>0</v>
      </c>
      <c r="EP19" s="139">
        <f t="shared" si="60"/>
        <v>0</v>
      </c>
      <c r="EQ19" s="140">
        <f t="shared" si="61"/>
        <v>0</v>
      </c>
      <c r="ER19" s="28"/>
      <c r="ES19" s="108"/>
      <c r="ET19" s="14">
        <f>+IF(FC19="eD",1,0)</f>
        <v>0</v>
      </c>
      <c r="EU19" s="164">
        <v>0</v>
      </c>
      <c r="EV19" s="165">
        <v>0</v>
      </c>
      <c r="EW19" s="140">
        <f t="shared" si="62"/>
        <v>0</v>
      </c>
      <c r="EX19" s="164">
        <v>0</v>
      </c>
      <c r="EY19" s="12">
        <f t="shared" si="63"/>
        <v>0</v>
      </c>
      <c r="EZ19" s="140">
        <f t="shared" si="64"/>
        <v>0</v>
      </c>
      <c r="FA19" s="139">
        <f t="shared" si="65"/>
        <v>0</v>
      </c>
      <c r="FB19" s="140">
        <f t="shared" si="66"/>
        <v>0</v>
      </c>
      <c r="FC19" s="28"/>
      <c r="FD19" s="108"/>
      <c r="FE19" s="14">
        <f t="shared" ref="FE19:FE24" si="125">+IF(FN19="eD",1,0)</f>
        <v>0</v>
      </c>
      <c r="FF19" s="164">
        <v>0</v>
      </c>
      <c r="FG19" s="165">
        <v>0</v>
      </c>
      <c r="FH19" s="140">
        <f t="shared" si="67"/>
        <v>0</v>
      </c>
      <c r="FI19" s="164">
        <v>0</v>
      </c>
      <c r="FJ19" s="12">
        <f t="shared" si="68"/>
        <v>0</v>
      </c>
      <c r="FK19" s="140">
        <f t="shared" si="69"/>
        <v>0</v>
      </c>
      <c r="FL19" s="139">
        <f t="shared" si="70"/>
        <v>0</v>
      </c>
      <c r="FM19" s="140">
        <f t="shared" si="71"/>
        <v>0</v>
      </c>
      <c r="FN19" s="28"/>
      <c r="FO19" s="108"/>
      <c r="FP19" s="14">
        <f>+IF(FY19="eD",1,0)</f>
        <v>0</v>
      </c>
      <c r="FQ19" s="164">
        <v>0</v>
      </c>
      <c r="FR19" s="165">
        <v>0</v>
      </c>
      <c r="FS19" s="140">
        <f t="shared" si="72"/>
        <v>0</v>
      </c>
      <c r="FT19" s="164">
        <v>0</v>
      </c>
      <c r="FU19" s="12">
        <f t="shared" si="73"/>
        <v>0</v>
      </c>
      <c r="FV19" s="140">
        <f t="shared" si="74"/>
        <v>0</v>
      </c>
      <c r="FW19" s="139">
        <f t="shared" si="75"/>
        <v>0</v>
      </c>
      <c r="FX19" s="140">
        <f t="shared" si="76"/>
        <v>0</v>
      </c>
      <c r="FY19" s="28"/>
      <c r="FZ19" s="108"/>
      <c r="GA19" s="14">
        <f t="shared" si="124"/>
        <v>0</v>
      </c>
      <c r="GB19" s="164">
        <v>0</v>
      </c>
      <c r="GC19" s="165">
        <v>0</v>
      </c>
      <c r="GD19" s="140">
        <f t="shared" si="77"/>
        <v>0</v>
      </c>
      <c r="GE19" s="164">
        <v>0</v>
      </c>
      <c r="GF19" s="12">
        <f t="shared" si="78"/>
        <v>0</v>
      </c>
      <c r="GG19" s="140">
        <f t="shared" si="79"/>
        <v>0</v>
      </c>
      <c r="GH19" s="139">
        <f t="shared" si="80"/>
        <v>0</v>
      </c>
      <c r="GI19" s="140">
        <f t="shared" si="81"/>
        <v>0</v>
      </c>
      <c r="GJ19" s="28"/>
      <c r="GK19" s="108"/>
      <c r="GL19" s="14">
        <f>+IF(GU19="eD",1,0)</f>
        <v>0</v>
      </c>
      <c r="GM19" s="164">
        <v>0</v>
      </c>
      <c r="GN19" s="165">
        <v>0</v>
      </c>
      <c r="GO19" s="140">
        <f t="shared" si="82"/>
        <v>0</v>
      </c>
      <c r="GP19" s="164">
        <v>0</v>
      </c>
      <c r="GQ19" s="12">
        <f t="shared" si="83"/>
        <v>0</v>
      </c>
      <c r="GR19" s="140">
        <f t="shared" si="84"/>
        <v>0</v>
      </c>
      <c r="GS19" s="139">
        <f t="shared" si="85"/>
        <v>0</v>
      </c>
      <c r="GT19" s="140">
        <f t="shared" si="86"/>
        <v>0</v>
      </c>
      <c r="GU19" s="28"/>
      <c r="GV19" s="108"/>
      <c r="GW19" s="14">
        <f>+IF(HF19="eD",1,0)</f>
        <v>0</v>
      </c>
      <c r="GX19" s="164">
        <v>0</v>
      </c>
      <c r="GY19" s="165">
        <v>0</v>
      </c>
      <c r="GZ19" s="140">
        <f t="shared" si="87"/>
        <v>0</v>
      </c>
      <c r="HA19" s="164">
        <v>0</v>
      </c>
      <c r="HB19" s="12">
        <f t="shared" si="88"/>
        <v>0</v>
      </c>
      <c r="HC19" s="140">
        <f t="shared" si="89"/>
        <v>0</v>
      </c>
      <c r="HD19" s="139">
        <f t="shared" si="90"/>
        <v>0</v>
      </c>
      <c r="HE19" s="140">
        <f t="shared" si="91"/>
        <v>0</v>
      </c>
      <c r="HF19" s="28"/>
      <c r="HG19" s="108"/>
      <c r="HH19" s="14">
        <f t="shared" ref="HH19:HH24" si="126">+IF(HQ19="eD",1,0)</f>
        <v>0</v>
      </c>
      <c r="HI19" s="164">
        <v>0</v>
      </c>
      <c r="HJ19" s="165">
        <v>0</v>
      </c>
      <c r="HK19" s="140">
        <f t="shared" si="92"/>
        <v>0</v>
      </c>
      <c r="HL19" s="164">
        <v>0</v>
      </c>
      <c r="HM19" s="12">
        <f t="shared" si="93"/>
        <v>0</v>
      </c>
      <c r="HN19" s="140">
        <f t="shared" si="94"/>
        <v>0</v>
      </c>
      <c r="HO19" s="139">
        <f t="shared" si="95"/>
        <v>0</v>
      </c>
      <c r="HP19" s="140">
        <f t="shared" si="96"/>
        <v>0</v>
      </c>
      <c r="HQ19" s="28"/>
      <c r="HR19" s="108"/>
      <c r="HS19" s="14">
        <f>+IF(IB19="eD",1,0)</f>
        <v>0</v>
      </c>
      <c r="HT19" s="164">
        <v>0</v>
      </c>
      <c r="HU19" s="165">
        <v>0</v>
      </c>
      <c r="HV19" s="140">
        <f t="shared" si="97"/>
        <v>0</v>
      </c>
      <c r="HW19" s="164">
        <v>0</v>
      </c>
      <c r="HX19" s="12">
        <f t="shared" si="98"/>
        <v>0</v>
      </c>
      <c r="HY19" s="140">
        <f t="shared" si="99"/>
        <v>0</v>
      </c>
      <c r="HZ19" s="139">
        <f t="shared" si="100"/>
        <v>0</v>
      </c>
      <c r="IA19" s="140">
        <f t="shared" si="101"/>
        <v>0</v>
      </c>
      <c r="IB19" s="28"/>
      <c r="IC19" s="108"/>
      <c r="ID19" s="164">
        <v>0</v>
      </c>
      <c r="IE19" s="108"/>
      <c r="IF19" s="164">
        <v>0</v>
      </c>
      <c r="IG19" s="164">
        <v>0</v>
      </c>
      <c r="IH19" s="164">
        <f t="shared" si="102"/>
        <v>0</v>
      </c>
      <c r="II19" s="108"/>
      <c r="IJ19" s="164">
        <v>0</v>
      </c>
      <c r="IK19" s="108"/>
    </row>
    <row r="20" spans="1:247" ht="14.25" customHeight="1">
      <c r="A20" s="96" t="s">
        <v>239</v>
      </c>
      <c r="B20" s="96" t="s">
        <v>241</v>
      </c>
      <c r="C20" s="97" t="str">
        <f>MicroModelComponents!C20</f>
        <v>H2O</v>
      </c>
      <c r="D20" s="97">
        <f>MicroModelComponents!E20</f>
        <v>-237.18</v>
      </c>
      <c r="E20" s="97">
        <f>MicroModelComponents!U20</f>
        <v>0</v>
      </c>
      <c r="F20" s="97">
        <f>MicroModelComponents!V20</f>
        <v>18</v>
      </c>
      <c r="G20" s="97">
        <f>MicroModelComponents!W20</f>
        <v>0</v>
      </c>
      <c r="H20" s="98">
        <f>MicroModelComponents!X20</f>
        <v>0</v>
      </c>
      <c r="J20" s="99" t="s">
        <v>189</v>
      </c>
      <c r="K20" s="99" t="s">
        <v>189</v>
      </c>
      <c r="L20" s="100">
        <v>1</v>
      </c>
      <c r="M20" s="100">
        <v>0</v>
      </c>
      <c r="N20" s="100">
        <f t="shared" si="0"/>
        <v>-237.18</v>
      </c>
      <c r="O20" s="105"/>
      <c r="P20" s="180"/>
      <c r="Q20" s="108"/>
      <c r="R20" s="14">
        <f t="shared" si="1"/>
        <v>0</v>
      </c>
      <c r="S20" s="166">
        <v>-2</v>
      </c>
      <c r="T20" s="167">
        <v>0</v>
      </c>
      <c r="U20" s="142">
        <f t="shared" si="2"/>
        <v>-2</v>
      </c>
      <c r="V20" s="166">
        <v>0.5</v>
      </c>
      <c r="W20" s="101">
        <f t="shared" si="3"/>
        <v>-2</v>
      </c>
      <c r="X20" s="142">
        <f t="shared" si="4"/>
        <v>0.45</v>
      </c>
      <c r="Y20" s="141">
        <f t="shared" si="5"/>
        <v>-2.5</v>
      </c>
      <c r="Z20" s="142">
        <f t="shared" si="6"/>
        <v>-1.5</v>
      </c>
      <c r="AB20" s="108"/>
      <c r="AC20" s="14">
        <f t="shared" si="120"/>
        <v>0</v>
      </c>
      <c r="AD20" s="166">
        <v>-6</v>
      </c>
      <c r="AE20" s="167">
        <v>2</v>
      </c>
      <c r="AF20" s="142">
        <f t="shared" si="7"/>
        <v>6</v>
      </c>
      <c r="AG20" s="166">
        <v>0.5</v>
      </c>
      <c r="AH20" s="101">
        <f t="shared" si="8"/>
        <v>-6</v>
      </c>
      <c r="AI20" s="216">
        <f t="shared" si="9"/>
        <v>0.45</v>
      </c>
      <c r="AJ20" s="141">
        <f t="shared" si="10"/>
        <v>0.93585351596898358</v>
      </c>
      <c r="AK20" s="142">
        <f t="shared" si="11"/>
        <v>3.6560264617887546</v>
      </c>
      <c r="AM20" s="108"/>
      <c r="AN20" s="14">
        <f t="shared" si="121"/>
        <v>0</v>
      </c>
      <c r="AO20" s="166">
        <v>-2</v>
      </c>
      <c r="AP20" s="167">
        <v>2</v>
      </c>
      <c r="AQ20" s="142">
        <f t="shared" si="12"/>
        <v>2</v>
      </c>
      <c r="AR20" s="166">
        <v>0.5</v>
      </c>
      <c r="AS20" s="101">
        <f t="shared" si="13"/>
        <v>-2</v>
      </c>
      <c r="AT20" s="216">
        <f t="shared" si="14"/>
        <v>0.45</v>
      </c>
      <c r="AU20" s="141">
        <f t="shared" si="15"/>
        <v>1.5694606942885889</v>
      </c>
      <c r="AV20" s="142">
        <f t="shared" si="16"/>
        <v>1.4468671393037129</v>
      </c>
      <c r="AX20" s="108"/>
      <c r="AY20" s="14">
        <f t="shared" si="103"/>
        <v>0</v>
      </c>
      <c r="AZ20" s="166">
        <v>-2</v>
      </c>
      <c r="BA20" s="167">
        <v>2</v>
      </c>
      <c r="BB20" s="142">
        <f t="shared" si="17"/>
        <v>1</v>
      </c>
      <c r="BC20" s="166">
        <v>1.5</v>
      </c>
      <c r="BD20" s="101">
        <f t="shared" si="18"/>
        <v>-2</v>
      </c>
      <c r="BE20" s="142">
        <f t="shared" si="19"/>
        <v>9.9999999999999867E-2</v>
      </c>
      <c r="BF20" s="141">
        <f t="shared" si="20"/>
        <v>12.93724972823907</v>
      </c>
      <c r="BG20" s="142">
        <f t="shared" si="21"/>
        <v>0.94176418017971419</v>
      </c>
      <c r="BI20" s="108"/>
      <c r="BJ20" s="14">
        <f t="shared" si="104"/>
        <v>0</v>
      </c>
      <c r="BK20" s="166">
        <v>-1</v>
      </c>
      <c r="BL20" s="167">
        <v>2</v>
      </c>
      <c r="BM20" s="142">
        <f t="shared" si="22"/>
        <v>0</v>
      </c>
      <c r="BN20" s="166">
        <v>1.9</v>
      </c>
      <c r="BO20" s="101">
        <f t="shared" si="23"/>
        <v>-1</v>
      </c>
      <c r="BP20" s="142">
        <f t="shared" si="24"/>
        <v>-0.80000000000000027</v>
      </c>
      <c r="BQ20" s="141">
        <f t="shared" si="25"/>
        <v>-0.80000000000000027</v>
      </c>
      <c r="BR20" s="142">
        <f t="shared" si="26"/>
        <v>-1.7190238927881817E-2</v>
      </c>
      <c r="BT20" s="108"/>
      <c r="BU20" s="14">
        <f t="shared" si="118"/>
        <v>0</v>
      </c>
      <c r="BV20" s="166">
        <v>-6</v>
      </c>
      <c r="BW20" s="167">
        <v>3</v>
      </c>
      <c r="BX20" s="142">
        <f t="shared" si="27"/>
        <v>8.3999999999999986</v>
      </c>
      <c r="BY20" s="166">
        <v>1.1000000000000001</v>
      </c>
      <c r="BZ20" s="101">
        <f t="shared" si="28"/>
        <v>-6</v>
      </c>
      <c r="CA20" s="142">
        <f t="shared" si="29"/>
        <v>0.65000000000000013</v>
      </c>
      <c r="CB20" s="141">
        <f t="shared" si="30"/>
        <v>1.0223553477522187</v>
      </c>
      <c r="CC20" s="142">
        <f t="shared" si="31"/>
        <v>3.5747354899656543</v>
      </c>
      <c r="CE20" s="108"/>
      <c r="CF20" s="14">
        <f t="shared" si="105"/>
        <v>0</v>
      </c>
      <c r="CG20" s="166">
        <v>-2</v>
      </c>
      <c r="CH20" s="167">
        <v>3</v>
      </c>
      <c r="CI20" s="142">
        <f t="shared" si="32"/>
        <v>2.8000000000000007</v>
      </c>
      <c r="CJ20" s="166">
        <v>1.1000000000000001</v>
      </c>
      <c r="CK20" s="101">
        <f t="shared" si="33"/>
        <v>-2</v>
      </c>
      <c r="CL20" s="142">
        <f t="shared" si="34"/>
        <v>0.65000000000000013</v>
      </c>
      <c r="CM20" s="141">
        <f t="shared" si="35"/>
        <v>2.03879996323503</v>
      </c>
      <c r="CN20" s="142">
        <f t="shared" si="36"/>
        <v>1.6697788576247379</v>
      </c>
      <c r="CP20" s="108"/>
      <c r="CQ20" s="14">
        <f t="shared" si="122"/>
        <v>0</v>
      </c>
      <c r="CR20" s="166">
        <v>0</v>
      </c>
      <c r="CS20" s="167">
        <v>3</v>
      </c>
      <c r="CT20" s="142">
        <f t="shared" si="37"/>
        <v>1.2000000000000002</v>
      </c>
      <c r="CU20" s="166">
        <v>1.1000000000000001</v>
      </c>
      <c r="CV20" s="101">
        <f t="shared" si="38"/>
        <v>0</v>
      </c>
      <c r="CW20" s="142">
        <f t="shared" si="39"/>
        <v>1.1000000000000001</v>
      </c>
      <c r="CX20" s="141">
        <f t="shared" si="40"/>
        <v>5.880799936974336</v>
      </c>
      <c r="CY20" s="142">
        <f t="shared" si="41"/>
        <v>1.2040950041390408</v>
      </c>
      <c r="DA20" s="108"/>
      <c r="DB20" s="14">
        <f t="shared" si="107"/>
        <v>0</v>
      </c>
      <c r="DC20" s="166">
        <v>-2</v>
      </c>
      <c r="DD20" s="167">
        <v>4</v>
      </c>
      <c r="DE20" s="142">
        <f t="shared" si="42"/>
        <v>2</v>
      </c>
      <c r="DF20" s="166">
        <v>0.5</v>
      </c>
      <c r="DG20" s="101">
        <f t="shared" si="43"/>
        <v>-2</v>
      </c>
      <c r="DH20" s="142">
        <f t="shared" si="44"/>
        <v>0.45</v>
      </c>
      <c r="DI20" s="141">
        <f t="shared" si="45"/>
        <v>24.562498877686203</v>
      </c>
      <c r="DJ20" s="142">
        <f t="shared" si="46"/>
        <v>1.9523099829697699</v>
      </c>
      <c r="DL20" s="108"/>
      <c r="DM20" s="14">
        <f t="shared" si="123"/>
        <v>0</v>
      </c>
      <c r="DN20" s="166">
        <v>0</v>
      </c>
      <c r="DO20" s="167">
        <v>4</v>
      </c>
      <c r="DP20" s="142">
        <f t="shared" si="47"/>
        <v>1</v>
      </c>
      <c r="DQ20" s="166">
        <v>0.5</v>
      </c>
      <c r="DR20" s="101">
        <f t="shared" si="48"/>
        <v>0</v>
      </c>
      <c r="DS20" s="142">
        <f t="shared" si="49"/>
        <v>0.5</v>
      </c>
      <c r="DT20" s="141">
        <f t="shared" si="50"/>
        <v>50.724997755372407</v>
      </c>
      <c r="DU20" s="142">
        <f t="shared" si="51"/>
        <v>1.007948336171705</v>
      </c>
      <c r="DW20" s="108"/>
      <c r="DX20" s="14">
        <f t="shared" si="109"/>
        <v>0</v>
      </c>
      <c r="DY20" s="166">
        <v>-4</v>
      </c>
      <c r="DZ20" s="167">
        <v>2</v>
      </c>
      <c r="EA20" s="142">
        <f t="shared" si="52"/>
        <v>0</v>
      </c>
      <c r="EB20" s="166">
        <v>1.5</v>
      </c>
      <c r="EC20" s="101">
        <f t="shared" si="53"/>
        <v>-4</v>
      </c>
      <c r="ED20" s="142">
        <f t="shared" si="54"/>
        <v>-0.60000000000000009</v>
      </c>
      <c r="EE20" s="141">
        <f t="shared" si="55"/>
        <v>-0.60000000000000009</v>
      </c>
      <c r="EF20" s="142">
        <f t="shared" si="56"/>
        <v>-0.33798905881366048</v>
      </c>
      <c r="EH20" s="108"/>
      <c r="EI20" s="14">
        <f t="shared" si="110"/>
        <v>0</v>
      </c>
      <c r="EJ20" s="166">
        <v>-4</v>
      </c>
      <c r="EK20" s="167">
        <v>3</v>
      </c>
      <c r="EL20" s="142">
        <f t="shared" si="57"/>
        <v>0.80000000000000071</v>
      </c>
      <c r="EM20" s="166">
        <v>2.1</v>
      </c>
      <c r="EN20" s="101">
        <f t="shared" si="58"/>
        <v>-4</v>
      </c>
      <c r="EO20" s="142">
        <f t="shared" si="59"/>
        <v>-0.79999999999999982</v>
      </c>
      <c r="EP20" s="141">
        <f t="shared" si="60"/>
        <v>0.21819077865860037</v>
      </c>
      <c r="EQ20" s="142">
        <f t="shared" si="61"/>
        <v>0.1092188900460223</v>
      </c>
      <c r="ES20" s="108"/>
      <c r="ET20" s="14">
        <f t="shared" si="111"/>
        <v>0</v>
      </c>
      <c r="EU20" s="166">
        <v>0</v>
      </c>
      <c r="EV20" s="167">
        <v>2</v>
      </c>
      <c r="EW20" s="142">
        <f t="shared" si="62"/>
        <v>0.5</v>
      </c>
      <c r="EX20" s="166">
        <v>1.1000000000000001</v>
      </c>
      <c r="EY20" s="101">
        <f t="shared" si="63"/>
        <v>0</v>
      </c>
      <c r="EZ20" s="142">
        <f t="shared" si="64"/>
        <v>1.1000000000000001</v>
      </c>
      <c r="FA20" s="141">
        <f t="shared" si="65"/>
        <v>20.813856851453568</v>
      </c>
      <c r="FB20" s="142">
        <f t="shared" si="66"/>
        <v>0.50485110577417003</v>
      </c>
      <c r="FD20" s="108"/>
      <c r="FE20" s="14">
        <f t="shared" si="125"/>
        <v>0</v>
      </c>
      <c r="FF20" s="166">
        <v>0</v>
      </c>
      <c r="FG20" s="167">
        <v>3</v>
      </c>
      <c r="FH20" s="142">
        <f t="shared" si="67"/>
        <v>0.60000000000000009</v>
      </c>
      <c r="FI20" s="166">
        <v>1.1000000000000001</v>
      </c>
      <c r="FJ20" s="101">
        <f t="shared" si="68"/>
        <v>0</v>
      </c>
      <c r="FK20" s="142">
        <f t="shared" si="69"/>
        <v>1.1000000000000001</v>
      </c>
      <c r="FL20" s="141">
        <f t="shared" si="70"/>
        <v>57.064566840741065</v>
      </c>
      <c r="FM20" s="142">
        <f t="shared" si="71"/>
        <v>0.60021036183925291</v>
      </c>
      <c r="FO20" s="108"/>
      <c r="FP20" s="14">
        <f t="shared" si="113"/>
        <v>0</v>
      </c>
      <c r="FQ20" s="166">
        <v>-2</v>
      </c>
      <c r="FR20" s="167">
        <v>0</v>
      </c>
      <c r="FS20" s="142">
        <f t="shared" si="72"/>
        <v>-2</v>
      </c>
      <c r="FT20" s="166">
        <v>0.5</v>
      </c>
      <c r="FU20" s="101">
        <f t="shared" si="73"/>
        <v>-2</v>
      </c>
      <c r="FV20" s="142">
        <f t="shared" si="74"/>
        <v>0.45</v>
      </c>
      <c r="FW20" s="141">
        <f t="shared" si="75"/>
        <v>-0.90328470998315558</v>
      </c>
      <c r="FX20" s="142">
        <f t="shared" si="76"/>
        <v>-0.75170844821751193</v>
      </c>
      <c r="FZ20" s="108"/>
      <c r="GA20" s="14">
        <f t="shared" si="124"/>
        <v>0</v>
      </c>
      <c r="GB20" s="166">
        <v>0</v>
      </c>
      <c r="GC20" s="167">
        <v>0</v>
      </c>
      <c r="GD20" s="142">
        <f t="shared" si="77"/>
        <v>0</v>
      </c>
      <c r="GE20" s="166">
        <v>0.5</v>
      </c>
      <c r="GF20" s="101">
        <f t="shared" si="78"/>
        <v>0</v>
      </c>
      <c r="GG20" s="142">
        <f t="shared" si="79"/>
        <v>0.5</v>
      </c>
      <c r="GH20" s="141">
        <f t="shared" si="80"/>
        <v>0.5</v>
      </c>
      <c r="GI20" s="142">
        <f t="shared" si="81"/>
        <v>0.104024295981874</v>
      </c>
      <c r="GK20" s="108"/>
      <c r="GL20" s="14">
        <f t="shared" si="119"/>
        <v>0</v>
      </c>
      <c r="GM20" s="166">
        <v>-2</v>
      </c>
      <c r="GN20" s="167">
        <v>2</v>
      </c>
      <c r="GO20" s="142">
        <f t="shared" si="82"/>
        <v>0</v>
      </c>
      <c r="GP20" s="166">
        <v>0.5</v>
      </c>
      <c r="GQ20" s="101">
        <f t="shared" si="83"/>
        <v>-2</v>
      </c>
      <c r="GR20" s="142">
        <f t="shared" si="84"/>
        <v>0.45</v>
      </c>
      <c r="GS20" s="141">
        <f t="shared" si="85"/>
        <v>0.45</v>
      </c>
      <c r="GT20" s="142">
        <f t="shared" si="86"/>
        <v>4.4999999999999998E-2</v>
      </c>
      <c r="GV20" s="108"/>
      <c r="GW20" s="14">
        <f t="shared" si="115"/>
        <v>0</v>
      </c>
      <c r="GX20" s="166">
        <v>0</v>
      </c>
      <c r="GY20" s="167">
        <v>2</v>
      </c>
      <c r="GZ20" s="142">
        <f t="shared" si="87"/>
        <v>0.5</v>
      </c>
      <c r="HA20" s="166">
        <v>1.5</v>
      </c>
      <c r="HB20" s="101">
        <f t="shared" si="88"/>
        <v>0</v>
      </c>
      <c r="HC20" s="142">
        <f t="shared" si="89"/>
        <v>1.5</v>
      </c>
      <c r="HD20" s="141">
        <f t="shared" si="90"/>
        <v>17.116666666666667</v>
      </c>
      <c r="HE20" s="142">
        <f t="shared" si="91"/>
        <v>0.51349999999999996</v>
      </c>
      <c r="HG20" s="108"/>
      <c r="HH20" s="14">
        <f t="shared" si="126"/>
        <v>0</v>
      </c>
      <c r="HI20" s="166">
        <v>-2</v>
      </c>
      <c r="HJ20" s="167">
        <v>2</v>
      </c>
      <c r="HK20" s="142">
        <f t="shared" si="92"/>
        <v>2</v>
      </c>
      <c r="HL20" s="166">
        <v>-0.5</v>
      </c>
      <c r="HM20" s="101">
        <f t="shared" si="93"/>
        <v>2</v>
      </c>
      <c r="HN20" s="142">
        <f t="shared" si="94"/>
        <v>1.4</v>
      </c>
      <c r="HO20" s="141">
        <f t="shared" si="95"/>
        <v>3.1251741178717669</v>
      </c>
      <c r="HP20" s="142">
        <f t="shared" si="96"/>
        <v>1.6778674064541246</v>
      </c>
      <c r="HR20" s="108"/>
      <c r="HS20" s="14">
        <f t="shared" si="117"/>
        <v>0</v>
      </c>
      <c r="HT20" s="166">
        <v>-2</v>
      </c>
      <c r="HU20" s="167">
        <v>4</v>
      </c>
      <c r="HV20" s="142">
        <f t="shared" si="97"/>
        <v>2</v>
      </c>
      <c r="HW20" s="166">
        <v>-0.5</v>
      </c>
      <c r="HX20" s="101">
        <f t="shared" si="98"/>
        <v>4</v>
      </c>
      <c r="HY20" s="142">
        <f t="shared" si="99"/>
        <v>1.4</v>
      </c>
      <c r="HZ20" s="141">
        <f t="shared" si="100"/>
        <v>78.787050063359686</v>
      </c>
      <c r="IA20" s="142">
        <f t="shared" si="101"/>
        <v>1.9848841845232661</v>
      </c>
      <c r="IC20" s="108"/>
      <c r="ID20" s="166">
        <v>-2</v>
      </c>
      <c r="IE20" s="108"/>
      <c r="IF20" s="166">
        <v>-0.5</v>
      </c>
      <c r="IG20" s="166">
        <v>0</v>
      </c>
      <c r="IH20" s="166">
        <f t="shared" si="102"/>
        <v>-0.11749999999999999</v>
      </c>
      <c r="II20" s="108"/>
      <c r="IJ20" s="166">
        <v>-0.5</v>
      </c>
      <c r="IK20" s="108"/>
    </row>
    <row r="21" spans="1:247" ht="15" customHeight="1" thickBot="1">
      <c r="A21" s="92" t="s">
        <v>239</v>
      </c>
      <c r="B21" s="92" t="s">
        <v>241</v>
      </c>
      <c r="C21" s="1" t="str">
        <f>MicroModelComponents!C21</f>
        <v>H+</v>
      </c>
      <c r="D21" s="1">
        <f>MicroModelComponents!E21</f>
        <v>0</v>
      </c>
      <c r="E21" s="1">
        <f>MicroModelComponents!U21</f>
        <v>1</v>
      </c>
      <c r="F21" s="1">
        <f>MicroModelComponents!V21</f>
        <v>1</v>
      </c>
      <c r="G21" s="1">
        <f>MicroModelComponents!W21</f>
        <v>0</v>
      </c>
      <c r="H21" s="2">
        <f>MicroModelComponents!X21</f>
        <v>0</v>
      </c>
      <c r="J21" s="87" t="s">
        <v>189</v>
      </c>
      <c r="K21" s="87" t="s">
        <v>189</v>
      </c>
      <c r="L21" s="44">
        <v>9.9999999999999995E-8</v>
      </c>
      <c r="M21" s="13">
        <v>0</v>
      </c>
      <c r="N21" s="13">
        <f t="shared" si="0"/>
        <v>-39.933742478136104</v>
      </c>
      <c r="O21" s="105"/>
      <c r="P21" s="28"/>
      <c r="Q21" s="108"/>
      <c r="R21" s="14">
        <f t="shared" si="1"/>
        <v>0</v>
      </c>
      <c r="S21" s="164">
        <v>10</v>
      </c>
      <c r="T21" s="165">
        <v>-8</v>
      </c>
      <c r="U21" s="140">
        <f t="shared" si="2"/>
        <v>2</v>
      </c>
      <c r="V21" s="164">
        <v>0</v>
      </c>
      <c r="W21" s="12">
        <f t="shared" si="3"/>
        <v>10</v>
      </c>
      <c r="X21" s="140">
        <f t="shared" si="4"/>
        <v>0.25</v>
      </c>
      <c r="Y21" s="139">
        <f t="shared" si="5"/>
        <v>3.2</v>
      </c>
      <c r="Z21" s="140">
        <f t="shared" si="6"/>
        <v>1.92</v>
      </c>
      <c r="AA21" s="28" t="s">
        <v>338</v>
      </c>
      <c r="AB21" s="108"/>
      <c r="AC21" s="14">
        <f t="shared" si="120"/>
        <v>0</v>
      </c>
      <c r="AD21" s="164">
        <v>24</v>
      </c>
      <c r="AE21" s="165">
        <v>-4</v>
      </c>
      <c r="AF21" s="140">
        <f t="shared" si="7"/>
        <v>0</v>
      </c>
      <c r="AG21" s="164">
        <v>0</v>
      </c>
      <c r="AH21" s="12">
        <f t="shared" si="8"/>
        <v>24</v>
      </c>
      <c r="AI21" s="215">
        <f t="shared" si="9"/>
        <v>0.2</v>
      </c>
      <c r="AJ21" s="139">
        <f t="shared" si="10"/>
        <v>0.2</v>
      </c>
      <c r="AK21" s="140">
        <f t="shared" si="11"/>
        <v>0.78132451273708181</v>
      </c>
      <c r="AL21" s="28"/>
      <c r="AM21" s="108"/>
      <c r="AN21" s="14">
        <f t="shared" si="121"/>
        <v>0</v>
      </c>
      <c r="AO21" s="164">
        <v>7</v>
      </c>
      <c r="AP21" s="165">
        <v>-4</v>
      </c>
      <c r="AQ21" s="140">
        <f t="shared" si="12"/>
        <v>-1</v>
      </c>
      <c r="AR21" s="164">
        <v>-0.5</v>
      </c>
      <c r="AS21" s="12">
        <f t="shared" si="13"/>
        <v>7</v>
      </c>
      <c r="AT21" s="215">
        <f t="shared" si="14"/>
        <v>-0.32499999999999996</v>
      </c>
      <c r="AU21" s="139">
        <f t="shared" si="15"/>
        <v>-0.88473034714429444</v>
      </c>
      <c r="AV21" s="140">
        <f t="shared" si="16"/>
        <v>-0.81562237976790419</v>
      </c>
      <c r="AW21" s="28"/>
      <c r="AX21" s="108"/>
      <c r="AY21" s="14">
        <f t="shared" si="103"/>
        <v>0</v>
      </c>
      <c r="AZ21" s="164">
        <v>8</v>
      </c>
      <c r="BA21" s="165">
        <v>-4</v>
      </c>
      <c r="BB21" s="140">
        <f t="shared" si="17"/>
        <v>2</v>
      </c>
      <c r="BC21" s="164">
        <v>-4</v>
      </c>
      <c r="BD21" s="12">
        <f t="shared" si="18"/>
        <v>8</v>
      </c>
      <c r="BE21" s="140">
        <f t="shared" si="19"/>
        <v>1.6000000000000005</v>
      </c>
      <c r="BF21" s="139">
        <f t="shared" si="20"/>
        <v>27.274499456478143</v>
      </c>
      <c r="BG21" s="140">
        <f t="shared" si="21"/>
        <v>1.9854410450449287</v>
      </c>
      <c r="BH21" s="28"/>
      <c r="BI21" s="108"/>
      <c r="BJ21" s="14">
        <f t="shared" si="104"/>
        <v>0</v>
      </c>
      <c r="BK21" s="164">
        <v>2</v>
      </c>
      <c r="BL21" s="165">
        <v>-4</v>
      </c>
      <c r="BM21" s="140">
        <f t="shared" si="22"/>
        <v>0</v>
      </c>
      <c r="BN21" s="164">
        <v>-5.6</v>
      </c>
      <c r="BO21" s="12">
        <f t="shared" si="23"/>
        <v>2</v>
      </c>
      <c r="BP21" s="140">
        <f t="shared" si="24"/>
        <v>-0.19999999999999929</v>
      </c>
      <c r="BQ21" s="139">
        <f t="shared" si="25"/>
        <v>-0.19999999999999929</v>
      </c>
      <c r="BR21" s="140">
        <f t="shared" si="26"/>
        <v>-4.2975597319704368E-3</v>
      </c>
      <c r="BS21" s="28"/>
      <c r="BT21" s="108"/>
      <c r="BU21" s="14">
        <f t="shared" si="118"/>
        <v>0</v>
      </c>
      <c r="BV21" s="164">
        <v>24</v>
      </c>
      <c r="BW21" s="165">
        <v>-6</v>
      </c>
      <c r="BX21" s="140">
        <f t="shared" si="27"/>
        <v>-4.7999999999999972</v>
      </c>
      <c r="BY21" s="164">
        <v>-2</v>
      </c>
      <c r="BZ21" s="12">
        <f t="shared" si="28"/>
        <v>24</v>
      </c>
      <c r="CA21" s="140">
        <f t="shared" si="29"/>
        <v>-0.20000000000000018</v>
      </c>
      <c r="CB21" s="139">
        <f t="shared" si="30"/>
        <v>-0.41277448442983933</v>
      </c>
      <c r="CC21" s="140">
        <f t="shared" si="31"/>
        <v>-1.4432942538891511</v>
      </c>
      <c r="CD21" s="28"/>
      <c r="CE21" s="108"/>
      <c r="CF21" s="14">
        <f t="shared" si="105"/>
        <v>0</v>
      </c>
      <c r="CG21" s="164">
        <v>7</v>
      </c>
      <c r="CH21" s="165">
        <v>-6</v>
      </c>
      <c r="CI21" s="140">
        <f t="shared" si="32"/>
        <v>-2.6000000000000014</v>
      </c>
      <c r="CJ21" s="164">
        <v>-2.5</v>
      </c>
      <c r="CK21" s="12">
        <f t="shared" si="33"/>
        <v>7</v>
      </c>
      <c r="CL21" s="140">
        <f t="shared" si="34"/>
        <v>-0.92500000000000004</v>
      </c>
      <c r="CM21" s="139">
        <f t="shared" si="35"/>
        <v>-2.2145999658610993</v>
      </c>
      <c r="CN21" s="140">
        <f t="shared" si="36"/>
        <v>-1.8137592053041656</v>
      </c>
      <c r="CO21" s="28"/>
      <c r="CP21" s="108"/>
      <c r="CQ21" s="14">
        <f t="shared" si="122"/>
        <v>0</v>
      </c>
      <c r="CR21" s="164">
        <v>2</v>
      </c>
      <c r="CS21" s="165">
        <v>-6</v>
      </c>
      <c r="CT21" s="140">
        <f t="shared" si="37"/>
        <v>-0.40000000000000036</v>
      </c>
      <c r="CU21" s="164">
        <v>-2.5</v>
      </c>
      <c r="CV21" s="12">
        <f t="shared" si="38"/>
        <v>2</v>
      </c>
      <c r="CW21" s="140">
        <f t="shared" si="39"/>
        <v>-0.7</v>
      </c>
      <c r="CX21" s="139">
        <f t="shared" si="40"/>
        <v>-2.2935999789914465</v>
      </c>
      <c r="CY21" s="140">
        <f t="shared" si="41"/>
        <v>-0.46961507036369399</v>
      </c>
      <c r="CZ21" s="28"/>
      <c r="DA21" s="108"/>
      <c r="DB21" s="14">
        <f t="shared" si="107"/>
        <v>0</v>
      </c>
      <c r="DC21" s="164">
        <v>7</v>
      </c>
      <c r="DD21" s="165">
        <v>-9</v>
      </c>
      <c r="DE21" s="140">
        <f t="shared" si="42"/>
        <v>-2</v>
      </c>
      <c r="DF21" s="164">
        <v>-0.5</v>
      </c>
      <c r="DG21" s="12">
        <f t="shared" si="43"/>
        <v>7</v>
      </c>
      <c r="DH21" s="140">
        <f t="shared" si="44"/>
        <v>-0.32499999999999996</v>
      </c>
      <c r="DI21" s="139">
        <f t="shared" si="45"/>
        <v>-24.437498877686203</v>
      </c>
      <c r="DJ21" s="140">
        <f t="shared" si="46"/>
        <v>-1.9423745627551385</v>
      </c>
      <c r="DK21" s="28"/>
      <c r="DL21" s="108"/>
      <c r="DM21" s="14">
        <f t="shared" si="123"/>
        <v>0</v>
      </c>
      <c r="DN21" s="164">
        <v>2</v>
      </c>
      <c r="DO21" s="165">
        <v>-9</v>
      </c>
      <c r="DP21" s="140">
        <f t="shared" si="47"/>
        <v>-0.25</v>
      </c>
      <c r="DQ21" s="164">
        <v>-0.5</v>
      </c>
      <c r="DR21" s="12">
        <f t="shared" si="48"/>
        <v>2</v>
      </c>
      <c r="DS21" s="140">
        <f t="shared" si="49"/>
        <v>-0.3</v>
      </c>
      <c r="DT21" s="139">
        <f t="shared" si="50"/>
        <v>-12.856249438843102</v>
      </c>
      <c r="DU21" s="140">
        <f t="shared" si="51"/>
        <v>-0.2554644811180472</v>
      </c>
      <c r="DV21" s="28"/>
      <c r="DW21" s="108"/>
      <c r="DX21" s="14">
        <f t="shared" si="109"/>
        <v>0</v>
      </c>
      <c r="DY21" s="164">
        <v>9</v>
      </c>
      <c r="DZ21" s="165">
        <v>-4</v>
      </c>
      <c r="EA21" s="140">
        <f t="shared" si="52"/>
        <v>1</v>
      </c>
      <c r="EB21" s="164">
        <v>-4</v>
      </c>
      <c r="EC21" s="12">
        <f t="shared" si="53"/>
        <v>9</v>
      </c>
      <c r="ED21" s="140">
        <f t="shared" si="54"/>
        <v>0.72500000000000053</v>
      </c>
      <c r="EE21" s="139">
        <f t="shared" si="55"/>
        <v>1.975205393056203</v>
      </c>
      <c r="EF21" s="140">
        <f t="shared" si="56"/>
        <v>1.1126630196045539</v>
      </c>
      <c r="EG21" s="28"/>
      <c r="EH21" s="108"/>
      <c r="EI21" s="14">
        <f t="shared" si="110"/>
        <v>0</v>
      </c>
      <c r="EJ21" s="164">
        <v>9</v>
      </c>
      <c r="EK21" s="165">
        <v>-6</v>
      </c>
      <c r="EL21" s="140">
        <f t="shared" si="57"/>
        <v>-0.60000000000000142</v>
      </c>
      <c r="EM21" s="164">
        <v>-6</v>
      </c>
      <c r="EN21" s="12">
        <f t="shared" si="58"/>
        <v>9</v>
      </c>
      <c r="EO21" s="140">
        <f t="shared" si="59"/>
        <v>0.52499999999999947</v>
      </c>
      <c r="EP21" s="139">
        <f t="shared" si="60"/>
        <v>-0.23864308399395184</v>
      </c>
      <c r="EQ21" s="140">
        <f t="shared" si="61"/>
        <v>-0.11945661916245111</v>
      </c>
      <c r="ER21" s="28"/>
      <c r="ES21" s="108"/>
      <c r="ET21" s="14">
        <f t="shared" si="111"/>
        <v>0</v>
      </c>
      <c r="EU21" s="164">
        <v>0</v>
      </c>
      <c r="EV21" s="165">
        <v>-4</v>
      </c>
      <c r="EW21" s="140">
        <f t="shared" si="62"/>
        <v>-1</v>
      </c>
      <c r="EX21" s="164">
        <v>-2.5</v>
      </c>
      <c r="EY21" s="12">
        <f t="shared" si="63"/>
        <v>0</v>
      </c>
      <c r="EZ21" s="140">
        <f t="shared" si="64"/>
        <v>-2.5</v>
      </c>
      <c r="FA21" s="139">
        <f t="shared" si="65"/>
        <v>-41.927713702907134</v>
      </c>
      <c r="FB21" s="140">
        <f t="shared" si="66"/>
        <v>-1.016978870209595</v>
      </c>
      <c r="FC21" s="28"/>
      <c r="FD21" s="108"/>
      <c r="FE21" s="14">
        <f t="shared" si="125"/>
        <v>0</v>
      </c>
      <c r="FF21" s="164">
        <v>0</v>
      </c>
      <c r="FG21" s="165">
        <v>-6</v>
      </c>
      <c r="FH21" s="140">
        <f t="shared" si="67"/>
        <v>-1.2000000000000002</v>
      </c>
      <c r="FI21" s="164">
        <v>-2.5</v>
      </c>
      <c r="FJ21" s="12">
        <f t="shared" si="68"/>
        <v>0</v>
      </c>
      <c r="FK21" s="140">
        <f t="shared" si="69"/>
        <v>-2.5</v>
      </c>
      <c r="FL21" s="139">
        <f t="shared" si="70"/>
        <v>-114.42913368148213</v>
      </c>
      <c r="FM21" s="140">
        <f t="shared" si="71"/>
        <v>-1.2035761512672984</v>
      </c>
      <c r="FN21" s="28"/>
      <c r="FO21" s="108"/>
      <c r="FP21" s="14">
        <f t="shared" si="113"/>
        <v>0</v>
      </c>
      <c r="FQ21" s="164">
        <v>7</v>
      </c>
      <c r="FR21" s="165">
        <v>0</v>
      </c>
      <c r="FS21" s="140">
        <f t="shared" si="72"/>
        <v>7</v>
      </c>
      <c r="FT21" s="164">
        <v>-0.5</v>
      </c>
      <c r="FU21" s="12">
        <f t="shared" si="73"/>
        <v>7</v>
      </c>
      <c r="FV21" s="140">
        <f t="shared" si="74"/>
        <v>-0.32499999999999996</v>
      </c>
      <c r="FW21" s="139">
        <f t="shared" si="75"/>
        <v>4.4114964849410443</v>
      </c>
      <c r="FX21" s="140">
        <f t="shared" si="76"/>
        <v>3.6712225285800315</v>
      </c>
      <c r="FY21" s="28"/>
      <c r="FZ21" s="108"/>
      <c r="GA21" s="14">
        <f t="shared" si="124"/>
        <v>0</v>
      </c>
      <c r="GB21" s="164">
        <v>2</v>
      </c>
      <c r="GC21" s="165">
        <v>0</v>
      </c>
      <c r="GD21" s="140">
        <f t="shared" si="77"/>
        <v>2</v>
      </c>
      <c r="GE21" s="164">
        <v>-0.5</v>
      </c>
      <c r="GF21" s="12">
        <f t="shared" si="78"/>
        <v>2</v>
      </c>
      <c r="GG21" s="140">
        <f t="shared" si="79"/>
        <v>-0.3</v>
      </c>
      <c r="GH21" s="139">
        <f t="shared" si="80"/>
        <v>9.1131388399326223</v>
      </c>
      <c r="GI21" s="140">
        <f t="shared" si="81"/>
        <v>1.895975704018126</v>
      </c>
      <c r="GJ21" s="28"/>
      <c r="GK21" s="108"/>
      <c r="GL21" s="14">
        <f t="shared" si="119"/>
        <v>0</v>
      </c>
      <c r="GM21" s="164">
        <v>7</v>
      </c>
      <c r="GN21" s="165">
        <v>-9</v>
      </c>
      <c r="GO21" s="140">
        <f t="shared" si="82"/>
        <v>-2</v>
      </c>
      <c r="GP21" s="164">
        <v>-0.5</v>
      </c>
      <c r="GQ21" s="12">
        <f t="shared" si="83"/>
        <v>7</v>
      </c>
      <c r="GR21" s="140">
        <f t="shared" si="84"/>
        <v>-0.32499999999999996</v>
      </c>
      <c r="GS21" s="139">
        <f t="shared" si="85"/>
        <v>-9.7999999999999989</v>
      </c>
      <c r="GT21" s="140">
        <f t="shared" si="86"/>
        <v>-0.97999999999999987</v>
      </c>
      <c r="GU21" s="28"/>
      <c r="GV21" s="108"/>
      <c r="GW21" s="14">
        <f t="shared" si="115"/>
        <v>0</v>
      </c>
      <c r="GX21" s="164">
        <v>2</v>
      </c>
      <c r="GY21" s="165">
        <v>-8</v>
      </c>
      <c r="GZ21" s="140">
        <f t="shared" si="87"/>
        <v>0</v>
      </c>
      <c r="HA21" s="164">
        <v>-4</v>
      </c>
      <c r="HB21" s="12">
        <f t="shared" si="88"/>
        <v>2</v>
      </c>
      <c r="HC21" s="140">
        <f t="shared" si="89"/>
        <v>0.20000000000000018</v>
      </c>
      <c r="HD21" s="139">
        <f t="shared" si="90"/>
        <v>0.20000000000000018</v>
      </c>
      <c r="HE21" s="140">
        <f t="shared" si="91"/>
        <v>6.0000000000000053E-3</v>
      </c>
      <c r="HF21" s="28"/>
      <c r="HG21" s="108"/>
      <c r="HH21" s="14">
        <f t="shared" si="126"/>
        <v>0</v>
      </c>
      <c r="HI21" s="164">
        <v>8</v>
      </c>
      <c r="HJ21" s="165">
        <v>-4</v>
      </c>
      <c r="HK21" s="140">
        <f t="shared" si="92"/>
        <v>0</v>
      </c>
      <c r="HL21" s="164">
        <v>4</v>
      </c>
      <c r="HM21" s="12">
        <f t="shared" si="93"/>
        <v>-4</v>
      </c>
      <c r="HN21" s="140">
        <f t="shared" si="94"/>
        <v>0.20000000000000018</v>
      </c>
      <c r="HO21" s="139">
        <f t="shared" si="95"/>
        <v>0.20000000000000018</v>
      </c>
      <c r="HP21" s="140">
        <f t="shared" si="96"/>
        <v>0.10737753118195847</v>
      </c>
      <c r="HQ21" s="28"/>
      <c r="HR21" s="108"/>
      <c r="HS21" s="14">
        <f t="shared" si="117"/>
        <v>0</v>
      </c>
      <c r="HT21" s="164">
        <v>8</v>
      </c>
      <c r="HU21" s="165">
        <v>-9</v>
      </c>
      <c r="HV21" s="140">
        <f t="shared" si="97"/>
        <v>-1</v>
      </c>
      <c r="HW21" s="164">
        <v>4</v>
      </c>
      <c r="HX21" s="12">
        <f t="shared" si="98"/>
        <v>-9</v>
      </c>
      <c r="HY21" s="140">
        <f t="shared" si="99"/>
        <v>-0.27499999999999947</v>
      </c>
      <c r="HZ21" s="139">
        <f t="shared" si="100"/>
        <v>-38.968525031679839</v>
      </c>
      <c r="IA21" s="140">
        <f t="shared" si="101"/>
        <v>-0.9817350562989462</v>
      </c>
      <c r="IB21" s="28"/>
      <c r="IC21" s="108"/>
      <c r="ID21" s="164">
        <v>3</v>
      </c>
      <c r="IE21" s="108"/>
      <c r="IF21" s="164">
        <v>-0.153</v>
      </c>
      <c r="IG21" s="164">
        <v>4.7E-2</v>
      </c>
      <c r="IH21" s="164">
        <f t="shared" si="102"/>
        <v>0</v>
      </c>
      <c r="II21" s="108"/>
      <c r="IJ21" s="164">
        <v>-0.2</v>
      </c>
      <c r="IK21" s="108"/>
    </row>
    <row r="22" spans="1:247" ht="15" customHeight="1" thickBot="1">
      <c r="A22" s="92" t="s">
        <v>239</v>
      </c>
      <c r="B22" s="92" t="s">
        <v>241</v>
      </c>
      <c r="C22" s="1" t="str">
        <f>MicroModelComponents!C22</f>
        <v>Xphyt</v>
      </c>
      <c r="D22" s="1">
        <f>MicroModelComponents!E22</f>
        <v>-67</v>
      </c>
      <c r="E22" s="1">
        <f>MicroModelComponents!U22</f>
        <v>0</v>
      </c>
      <c r="F22" s="1">
        <f>MicroModelComponents!V22</f>
        <v>23.800999999999998</v>
      </c>
      <c r="G22" s="1">
        <f>MicroModelComponents!W22</f>
        <v>4.2</v>
      </c>
      <c r="H22" s="2">
        <f>MicroModelComponents!X22</f>
        <v>4.2</v>
      </c>
      <c r="J22" s="87" t="s">
        <v>189</v>
      </c>
      <c r="K22" s="87" t="s">
        <v>189</v>
      </c>
      <c r="L22" s="100">
        <v>1</v>
      </c>
      <c r="M22" s="13">
        <v>0</v>
      </c>
      <c r="N22" s="13">
        <f t="shared" si="0"/>
        <v>-67</v>
      </c>
      <c r="O22" s="105"/>
      <c r="P22" s="28"/>
      <c r="Q22" s="108"/>
      <c r="R22" s="14">
        <f t="shared" si="1"/>
        <v>0</v>
      </c>
      <c r="S22" s="164">
        <v>0</v>
      </c>
      <c r="T22" s="165">
        <v>0</v>
      </c>
      <c r="U22" s="140">
        <f t="shared" si="2"/>
        <v>0</v>
      </c>
      <c r="V22" s="164">
        <v>0</v>
      </c>
      <c r="W22" s="12">
        <v>0</v>
      </c>
      <c r="X22" s="140">
        <f t="shared" si="4"/>
        <v>0</v>
      </c>
      <c r="Y22" s="139">
        <f t="shared" si="5"/>
        <v>0</v>
      </c>
      <c r="Z22" s="140">
        <f t="shared" si="6"/>
        <v>0</v>
      </c>
      <c r="AA22" s="28"/>
      <c r="AB22" s="108"/>
      <c r="AC22" s="14">
        <f t="shared" si="120"/>
        <v>0</v>
      </c>
      <c r="AD22" s="164">
        <v>0</v>
      </c>
      <c r="AE22" s="165">
        <v>0</v>
      </c>
      <c r="AF22" s="140">
        <f t="shared" si="7"/>
        <v>0</v>
      </c>
      <c r="AG22" s="164">
        <v>0</v>
      </c>
      <c r="AH22" s="12">
        <v>0</v>
      </c>
      <c r="AI22" s="140">
        <f t="shared" si="9"/>
        <v>0</v>
      </c>
      <c r="AJ22" s="139">
        <f t="shared" si="10"/>
        <v>0</v>
      </c>
      <c r="AK22" s="140">
        <f t="shared" si="11"/>
        <v>0</v>
      </c>
      <c r="AL22" s="28"/>
      <c r="AM22" s="108"/>
      <c r="AN22" s="14">
        <f t="shared" si="121"/>
        <v>0</v>
      </c>
      <c r="AO22" s="164">
        <v>0</v>
      </c>
      <c r="AP22" s="165">
        <v>0</v>
      </c>
      <c r="AQ22" s="140">
        <f t="shared" si="12"/>
        <v>0</v>
      </c>
      <c r="AR22" s="164">
        <v>0</v>
      </c>
      <c r="AS22" s="12">
        <v>0</v>
      </c>
      <c r="AT22" s="140">
        <f t="shared" si="14"/>
        <v>0</v>
      </c>
      <c r="AU22" s="139">
        <f t="shared" si="15"/>
        <v>0</v>
      </c>
      <c r="AV22" s="140">
        <f t="shared" si="16"/>
        <v>0</v>
      </c>
      <c r="AW22" s="28"/>
      <c r="AX22" s="108"/>
      <c r="AY22" s="14">
        <f t="shared" si="103"/>
        <v>0</v>
      </c>
      <c r="AZ22" s="164">
        <v>0</v>
      </c>
      <c r="BA22" s="165">
        <v>0</v>
      </c>
      <c r="BB22" s="140">
        <f t="shared" si="17"/>
        <v>0</v>
      </c>
      <c r="BC22" s="164">
        <v>0</v>
      </c>
      <c r="BD22" s="12">
        <v>0</v>
      </c>
      <c r="BE22" s="140">
        <f t="shared" si="19"/>
        <v>0</v>
      </c>
      <c r="BF22" s="139">
        <f t="shared" si="20"/>
        <v>0</v>
      </c>
      <c r="BG22" s="140">
        <f t="shared" si="21"/>
        <v>0</v>
      </c>
      <c r="BH22" s="28"/>
      <c r="BI22" s="108"/>
      <c r="BJ22" s="14">
        <f t="shared" si="104"/>
        <v>0</v>
      </c>
      <c r="BK22" s="164">
        <v>0</v>
      </c>
      <c r="BL22" s="165">
        <v>0</v>
      </c>
      <c r="BM22" s="140">
        <f t="shared" si="22"/>
        <v>0</v>
      </c>
      <c r="BN22" s="164">
        <v>0</v>
      </c>
      <c r="BO22" s="12">
        <v>0</v>
      </c>
      <c r="BP22" s="140">
        <f t="shared" si="24"/>
        <v>0</v>
      </c>
      <c r="BQ22" s="139">
        <f t="shared" si="25"/>
        <v>0</v>
      </c>
      <c r="BR22" s="140">
        <f t="shared" si="26"/>
        <v>0</v>
      </c>
      <c r="BS22" s="28"/>
      <c r="BT22" s="108"/>
      <c r="BU22" s="14">
        <f t="shared" si="118"/>
        <v>0</v>
      </c>
      <c r="BV22" s="164">
        <v>0</v>
      </c>
      <c r="BW22" s="165">
        <v>0</v>
      </c>
      <c r="BX22" s="140">
        <f t="shared" si="27"/>
        <v>0</v>
      </c>
      <c r="BY22" s="164">
        <v>0</v>
      </c>
      <c r="BZ22" s="12">
        <v>0</v>
      </c>
      <c r="CA22" s="140">
        <f t="shared" si="29"/>
        <v>0</v>
      </c>
      <c r="CB22" s="139">
        <f t="shared" si="30"/>
        <v>0</v>
      </c>
      <c r="CC22" s="140">
        <f t="shared" si="31"/>
        <v>0</v>
      </c>
      <c r="CD22" s="28"/>
      <c r="CE22" s="108"/>
      <c r="CF22" s="14">
        <f t="shared" si="105"/>
        <v>0</v>
      </c>
      <c r="CG22" s="164">
        <v>0</v>
      </c>
      <c r="CH22" s="165">
        <v>0</v>
      </c>
      <c r="CI22" s="140">
        <f t="shared" si="32"/>
        <v>0</v>
      </c>
      <c r="CJ22" s="164">
        <v>0</v>
      </c>
      <c r="CK22" s="12">
        <v>0</v>
      </c>
      <c r="CL22" s="140">
        <f t="shared" si="34"/>
        <v>0</v>
      </c>
      <c r="CM22" s="139">
        <f t="shared" si="35"/>
        <v>0</v>
      </c>
      <c r="CN22" s="140">
        <f t="shared" si="36"/>
        <v>0</v>
      </c>
      <c r="CO22" s="28"/>
      <c r="CP22" s="108"/>
      <c r="CQ22" s="14">
        <f t="shared" si="122"/>
        <v>0</v>
      </c>
      <c r="CR22" s="164">
        <v>0</v>
      </c>
      <c r="CS22" s="165">
        <v>0</v>
      </c>
      <c r="CT22" s="140">
        <f t="shared" si="37"/>
        <v>0</v>
      </c>
      <c r="CU22" s="164">
        <v>0</v>
      </c>
      <c r="CV22" s="12">
        <v>0</v>
      </c>
      <c r="CW22" s="140">
        <f t="shared" si="39"/>
        <v>0</v>
      </c>
      <c r="CX22" s="139">
        <f t="shared" si="40"/>
        <v>0</v>
      </c>
      <c r="CY22" s="140">
        <f t="shared" si="41"/>
        <v>0</v>
      </c>
      <c r="CZ22" s="28"/>
      <c r="DA22" s="108"/>
      <c r="DB22" s="14">
        <f t="shared" si="107"/>
        <v>0</v>
      </c>
      <c r="DC22" s="164">
        <v>0</v>
      </c>
      <c r="DD22" s="165">
        <v>0</v>
      </c>
      <c r="DE22" s="140">
        <f t="shared" si="42"/>
        <v>0</v>
      </c>
      <c r="DF22" s="164">
        <v>0</v>
      </c>
      <c r="DG22" s="12">
        <v>0</v>
      </c>
      <c r="DH22" s="140">
        <f t="shared" si="44"/>
        <v>0</v>
      </c>
      <c r="DI22" s="139">
        <f t="shared" si="45"/>
        <v>0</v>
      </c>
      <c r="DJ22" s="140">
        <f t="shared" si="46"/>
        <v>0</v>
      </c>
      <c r="DK22" s="28"/>
      <c r="DL22" s="108"/>
      <c r="DM22" s="14">
        <f t="shared" si="123"/>
        <v>0</v>
      </c>
      <c r="DN22" s="164">
        <v>0</v>
      </c>
      <c r="DO22" s="165">
        <v>0</v>
      </c>
      <c r="DP22" s="140">
        <f t="shared" si="47"/>
        <v>0</v>
      </c>
      <c r="DQ22" s="164">
        <v>0</v>
      </c>
      <c r="DR22" s="12">
        <v>0</v>
      </c>
      <c r="DS22" s="140">
        <f t="shared" si="49"/>
        <v>0</v>
      </c>
      <c r="DT22" s="139">
        <f t="shared" si="50"/>
        <v>0</v>
      </c>
      <c r="DU22" s="140">
        <f t="shared" si="51"/>
        <v>0</v>
      </c>
      <c r="DV22" s="28"/>
      <c r="DW22" s="108"/>
      <c r="DX22" s="14">
        <f t="shared" si="109"/>
        <v>0</v>
      </c>
      <c r="DY22" s="164">
        <v>0</v>
      </c>
      <c r="DZ22" s="165">
        <v>0</v>
      </c>
      <c r="EA22" s="140">
        <f t="shared" si="52"/>
        <v>0</v>
      </c>
      <c r="EB22" s="164">
        <v>0</v>
      </c>
      <c r="EC22" s="12">
        <v>0</v>
      </c>
      <c r="ED22" s="140">
        <f t="shared" si="54"/>
        <v>0</v>
      </c>
      <c r="EE22" s="139">
        <f t="shared" si="55"/>
        <v>0</v>
      </c>
      <c r="EF22" s="140">
        <f t="shared" si="56"/>
        <v>0</v>
      </c>
      <c r="EG22" s="28"/>
      <c r="EH22" s="108"/>
      <c r="EI22" s="14">
        <f t="shared" si="110"/>
        <v>0</v>
      </c>
      <c r="EJ22" s="164">
        <v>0</v>
      </c>
      <c r="EK22" s="165">
        <v>0</v>
      </c>
      <c r="EL22" s="140">
        <f t="shared" si="57"/>
        <v>0</v>
      </c>
      <c r="EM22" s="164">
        <v>0</v>
      </c>
      <c r="EN22" s="12">
        <v>0</v>
      </c>
      <c r="EO22" s="140">
        <f t="shared" si="59"/>
        <v>0</v>
      </c>
      <c r="EP22" s="139">
        <f t="shared" si="60"/>
        <v>0</v>
      </c>
      <c r="EQ22" s="140">
        <f t="shared" si="61"/>
        <v>0</v>
      </c>
      <c r="ER22" s="28"/>
      <c r="ES22" s="108"/>
      <c r="ET22" s="14">
        <f t="shared" si="111"/>
        <v>0</v>
      </c>
      <c r="EU22" s="164">
        <v>0</v>
      </c>
      <c r="EV22" s="165">
        <v>0</v>
      </c>
      <c r="EW22" s="140">
        <f t="shared" si="62"/>
        <v>0</v>
      </c>
      <c r="EX22" s="164">
        <v>0</v>
      </c>
      <c r="EY22" s="12">
        <v>0</v>
      </c>
      <c r="EZ22" s="140">
        <f t="shared" si="64"/>
        <v>0</v>
      </c>
      <c r="FA22" s="139">
        <f t="shared" si="65"/>
        <v>0</v>
      </c>
      <c r="FB22" s="140">
        <f t="shared" si="66"/>
        <v>0</v>
      </c>
      <c r="FC22" s="28"/>
      <c r="FD22" s="108"/>
      <c r="FE22" s="14">
        <f t="shared" si="125"/>
        <v>0</v>
      </c>
      <c r="FF22" s="164">
        <v>0</v>
      </c>
      <c r="FG22" s="165">
        <v>0</v>
      </c>
      <c r="FH22" s="140">
        <f t="shared" si="67"/>
        <v>0</v>
      </c>
      <c r="FI22" s="164">
        <v>0</v>
      </c>
      <c r="FJ22" s="12">
        <v>0</v>
      </c>
      <c r="FK22" s="140">
        <f t="shared" si="69"/>
        <v>0</v>
      </c>
      <c r="FL22" s="139">
        <f t="shared" si="70"/>
        <v>0</v>
      </c>
      <c r="FM22" s="140">
        <f t="shared" si="71"/>
        <v>0</v>
      </c>
      <c r="FN22" s="28"/>
      <c r="FO22" s="108"/>
      <c r="FP22" s="14">
        <f t="shared" si="113"/>
        <v>0</v>
      </c>
      <c r="FQ22" s="164">
        <v>0</v>
      </c>
      <c r="FR22" s="165">
        <v>0</v>
      </c>
      <c r="FS22" s="140">
        <f t="shared" si="72"/>
        <v>0</v>
      </c>
      <c r="FT22" s="164">
        <v>0</v>
      </c>
      <c r="FU22" s="12">
        <v>0</v>
      </c>
      <c r="FV22" s="140">
        <f t="shared" si="74"/>
        <v>0</v>
      </c>
      <c r="FW22" s="139">
        <f t="shared" si="75"/>
        <v>0</v>
      </c>
      <c r="FX22" s="140">
        <f t="shared" si="76"/>
        <v>0</v>
      </c>
      <c r="FY22" s="28"/>
      <c r="FZ22" s="108"/>
      <c r="GA22" s="14">
        <f t="shared" si="124"/>
        <v>0</v>
      </c>
      <c r="GB22" s="164">
        <v>0</v>
      </c>
      <c r="GC22" s="165">
        <v>0</v>
      </c>
      <c r="GD22" s="140">
        <f t="shared" si="77"/>
        <v>0</v>
      </c>
      <c r="GE22" s="164">
        <v>0</v>
      </c>
      <c r="GF22" s="12">
        <v>0</v>
      </c>
      <c r="GG22" s="140">
        <f t="shared" si="79"/>
        <v>0</v>
      </c>
      <c r="GH22" s="139">
        <f t="shared" si="80"/>
        <v>0</v>
      </c>
      <c r="GI22" s="140">
        <f t="shared" si="81"/>
        <v>0</v>
      </c>
      <c r="GJ22" s="28"/>
      <c r="GK22" s="108"/>
      <c r="GL22" s="14">
        <f t="shared" si="119"/>
        <v>0</v>
      </c>
      <c r="GM22" s="164">
        <v>0</v>
      </c>
      <c r="GN22" s="165">
        <v>0</v>
      </c>
      <c r="GO22" s="140">
        <f t="shared" si="82"/>
        <v>0</v>
      </c>
      <c r="GP22" s="164">
        <v>0</v>
      </c>
      <c r="GQ22" s="12">
        <v>0</v>
      </c>
      <c r="GR22" s="140">
        <f t="shared" si="84"/>
        <v>0</v>
      </c>
      <c r="GS22" s="139">
        <f t="shared" si="85"/>
        <v>0</v>
      </c>
      <c r="GT22" s="140">
        <f t="shared" si="86"/>
        <v>0</v>
      </c>
      <c r="GU22" s="28"/>
      <c r="GV22" s="108"/>
      <c r="GW22" s="14">
        <f t="shared" si="115"/>
        <v>0</v>
      </c>
      <c r="GX22" s="164">
        <v>0</v>
      </c>
      <c r="GY22" s="165">
        <v>0</v>
      </c>
      <c r="GZ22" s="140">
        <f t="shared" si="87"/>
        <v>0</v>
      </c>
      <c r="HA22" s="164">
        <v>0</v>
      </c>
      <c r="HB22" s="12">
        <v>0</v>
      </c>
      <c r="HC22" s="140">
        <f t="shared" si="89"/>
        <v>0</v>
      </c>
      <c r="HD22" s="139">
        <f t="shared" si="90"/>
        <v>0</v>
      </c>
      <c r="HE22" s="140">
        <f t="shared" si="91"/>
        <v>0</v>
      </c>
      <c r="HF22" s="28"/>
      <c r="HG22" s="108"/>
      <c r="HH22" s="14">
        <f t="shared" si="126"/>
        <v>0</v>
      </c>
      <c r="HI22" s="164">
        <v>0</v>
      </c>
      <c r="HJ22" s="165">
        <v>0</v>
      </c>
      <c r="HK22" s="140">
        <f t="shared" si="92"/>
        <v>0</v>
      </c>
      <c r="HL22" s="164">
        <v>0</v>
      </c>
      <c r="HM22" s="12">
        <v>0</v>
      </c>
      <c r="HN22" s="140">
        <f t="shared" si="94"/>
        <v>0</v>
      </c>
      <c r="HO22" s="139">
        <f t="shared" si="95"/>
        <v>0</v>
      </c>
      <c r="HP22" s="140">
        <f t="shared" si="96"/>
        <v>0</v>
      </c>
      <c r="HQ22" s="28"/>
      <c r="HR22" s="108"/>
      <c r="HS22" s="14">
        <f t="shared" si="117"/>
        <v>0</v>
      </c>
      <c r="HT22" s="164">
        <v>0</v>
      </c>
      <c r="HU22" s="165">
        <v>0</v>
      </c>
      <c r="HV22" s="140">
        <f t="shared" si="97"/>
        <v>0</v>
      </c>
      <c r="HW22" s="164">
        <v>0</v>
      </c>
      <c r="HX22" s="12">
        <v>0</v>
      </c>
      <c r="HY22" s="140">
        <f t="shared" si="99"/>
        <v>0</v>
      </c>
      <c r="HZ22" s="139">
        <f t="shared" si="100"/>
        <v>0</v>
      </c>
      <c r="IA22" s="140">
        <f t="shared" si="101"/>
        <v>0</v>
      </c>
      <c r="IB22" s="28"/>
      <c r="IC22" s="108"/>
      <c r="ID22" s="164">
        <v>0</v>
      </c>
      <c r="IE22" s="108"/>
      <c r="IF22" s="164">
        <v>-1</v>
      </c>
      <c r="IG22" s="164">
        <v>-1</v>
      </c>
      <c r="IH22" s="164">
        <f t="shared" si="102"/>
        <v>-1</v>
      </c>
      <c r="II22" s="108"/>
      <c r="IJ22" s="164">
        <v>0</v>
      </c>
      <c r="IK22" s="108"/>
    </row>
    <row r="23" spans="1:247" ht="15" customHeight="1" thickBot="1">
      <c r="A23" s="93" t="s">
        <v>239</v>
      </c>
      <c r="B23" s="93" t="s">
        <v>241</v>
      </c>
      <c r="C23" s="4" t="str">
        <f>MicroModelComponents!C23</f>
        <v>X</v>
      </c>
      <c r="D23" s="4">
        <f>MicroModelComponents!E23</f>
        <v>-67</v>
      </c>
      <c r="E23" s="4">
        <f>MicroModelComponents!U23</f>
        <v>0</v>
      </c>
      <c r="F23" s="4">
        <f>MicroModelComponents!V23</f>
        <v>24.6</v>
      </c>
      <c r="G23" s="4">
        <f>MicroModelComponents!W23</f>
        <v>4.1999999999999993</v>
      </c>
      <c r="H23" s="5">
        <f>MicroModelComponents!X23</f>
        <v>4.1999999999999993</v>
      </c>
      <c r="J23" s="26" t="s">
        <v>189</v>
      </c>
      <c r="K23" s="26" t="s">
        <v>189</v>
      </c>
      <c r="L23" s="26">
        <v>1</v>
      </c>
      <c r="M23" s="26">
        <v>0</v>
      </c>
      <c r="N23" s="27">
        <f t="shared" si="0"/>
        <v>-67</v>
      </c>
      <c r="O23" s="105"/>
      <c r="P23" s="28"/>
      <c r="Q23" s="108"/>
      <c r="R23" s="14">
        <f t="shared" si="1"/>
        <v>0</v>
      </c>
      <c r="S23" s="168">
        <v>0</v>
      </c>
      <c r="T23" s="169">
        <v>0</v>
      </c>
      <c r="U23" s="144">
        <f t="shared" si="2"/>
        <v>0</v>
      </c>
      <c r="V23" s="168">
        <v>1</v>
      </c>
      <c r="W23" s="26">
        <f>+IF(V$24&lt;=0,S23,T23)</f>
        <v>0</v>
      </c>
      <c r="X23" s="144">
        <f t="shared" si="4"/>
        <v>1</v>
      </c>
      <c r="Y23" s="143">
        <f t="shared" si="5"/>
        <v>1</v>
      </c>
      <c r="Z23" s="144">
        <f t="shared" si="6"/>
        <v>0.6</v>
      </c>
      <c r="AA23" s="28"/>
      <c r="AB23" s="108"/>
      <c r="AC23" s="14">
        <f t="shared" si="120"/>
        <v>0</v>
      </c>
      <c r="AD23" s="168">
        <v>0</v>
      </c>
      <c r="AE23" s="169">
        <v>0</v>
      </c>
      <c r="AF23" s="144">
        <f t="shared" si="7"/>
        <v>0</v>
      </c>
      <c r="AG23" s="168">
        <v>1</v>
      </c>
      <c r="AH23" s="26">
        <f>+IF(AG$24&lt;=0,AD23,AE23)</f>
        <v>0</v>
      </c>
      <c r="AI23" s="217">
        <f t="shared" si="9"/>
        <v>1</v>
      </c>
      <c r="AJ23" s="143">
        <f t="shared" si="10"/>
        <v>1</v>
      </c>
      <c r="AK23" s="144">
        <f t="shared" si="11"/>
        <v>3.9066225636854091</v>
      </c>
      <c r="AL23" s="28"/>
      <c r="AM23" s="108"/>
      <c r="AN23" s="14">
        <f t="shared" si="121"/>
        <v>0</v>
      </c>
      <c r="AO23" s="168">
        <v>0</v>
      </c>
      <c r="AP23" s="169">
        <v>0</v>
      </c>
      <c r="AQ23" s="144">
        <f t="shared" si="12"/>
        <v>0</v>
      </c>
      <c r="AR23" s="168">
        <v>1</v>
      </c>
      <c r="AS23" s="26">
        <f>+IF(AR$24&lt;=0,AO23,AP23)</f>
        <v>0</v>
      </c>
      <c r="AT23" s="217">
        <f t="shared" si="14"/>
        <v>1</v>
      </c>
      <c r="AU23" s="143">
        <f t="shared" si="15"/>
        <v>1</v>
      </c>
      <c r="AV23" s="144">
        <f t="shared" si="16"/>
        <v>0.92188810116047815</v>
      </c>
      <c r="AW23" s="28"/>
      <c r="AX23" s="108"/>
      <c r="AY23" s="14">
        <f t="shared" si="103"/>
        <v>0</v>
      </c>
      <c r="AZ23" s="168">
        <v>0</v>
      </c>
      <c r="BA23" s="169">
        <v>0</v>
      </c>
      <c r="BB23" s="144">
        <f t="shared" si="17"/>
        <v>0</v>
      </c>
      <c r="BC23" s="168">
        <v>1</v>
      </c>
      <c r="BD23" s="26">
        <f>+IF(BC$24&lt;=0,AZ23,BA23)</f>
        <v>0</v>
      </c>
      <c r="BE23" s="144">
        <f t="shared" si="19"/>
        <v>1</v>
      </c>
      <c r="BF23" s="143">
        <f t="shared" si="20"/>
        <v>1</v>
      </c>
      <c r="BG23" s="144">
        <f t="shared" si="21"/>
        <v>7.2794774775357188E-2</v>
      </c>
      <c r="BH23" s="28"/>
      <c r="BI23" s="108"/>
      <c r="BJ23" s="14">
        <f t="shared" si="104"/>
        <v>0</v>
      </c>
      <c r="BK23" s="168">
        <v>0</v>
      </c>
      <c r="BL23" s="169">
        <v>0</v>
      </c>
      <c r="BM23" s="144">
        <f t="shared" si="22"/>
        <v>0</v>
      </c>
      <c r="BN23" s="168">
        <v>1</v>
      </c>
      <c r="BO23" s="26">
        <f>+IF(BN$24&lt;=0,BK23,BL23)</f>
        <v>0</v>
      </c>
      <c r="BP23" s="144">
        <f t="shared" si="24"/>
        <v>1</v>
      </c>
      <c r="BQ23" s="143">
        <f t="shared" si="25"/>
        <v>1</v>
      </c>
      <c r="BR23" s="144">
        <f t="shared" si="26"/>
        <v>2.1487798659852262E-2</v>
      </c>
      <c r="BS23" s="28"/>
      <c r="BT23" s="108"/>
      <c r="BU23" s="14">
        <f t="shared" si="118"/>
        <v>0</v>
      </c>
      <c r="BV23" s="168">
        <v>0</v>
      </c>
      <c r="BW23" s="169">
        <v>0</v>
      </c>
      <c r="BX23" s="144">
        <f t="shared" si="27"/>
        <v>0</v>
      </c>
      <c r="BY23" s="168">
        <v>1</v>
      </c>
      <c r="BZ23" s="26">
        <f>+IF(BY$24&lt;=0,BV23,BW23)</f>
        <v>0</v>
      </c>
      <c r="CA23" s="144">
        <f t="shared" si="29"/>
        <v>1</v>
      </c>
      <c r="CB23" s="143">
        <f t="shared" si="30"/>
        <v>1</v>
      </c>
      <c r="CC23" s="144">
        <f t="shared" si="31"/>
        <v>3.4965684855321348</v>
      </c>
      <c r="CD23" s="28"/>
      <c r="CE23" s="108"/>
      <c r="CF23" s="14">
        <f t="shared" si="105"/>
        <v>0</v>
      </c>
      <c r="CG23" s="168">
        <v>0</v>
      </c>
      <c r="CH23" s="169">
        <v>0</v>
      </c>
      <c r="CI23" s="144">
        <f t="shared" si="32"/>
        <v>0</v>
      </c>
      <c r="CJ23" s="168">
        <v>1</v>
      </c>
      <c r="CK23" s="26">
        <f>+IF(CJ$24&lt;=0,CG23,CH23)</f>
        <v>0</v>
      </c>
      <c r="CL23" s="144">
        <f t="shared" si="34"/>
        <v>1</v>
      </c>
      <c r="CM23" s="143">
        <f t="shared" si="35"/>
        <v>1</v>
      </c>
      <c r="CN23" s="144">
        <f t="shared" si="36"/>
        <v>0.81900082780816108</v>
      </c>
      <c r="CO23" s="28"/>
      <c r="CP23" s="108"/>
      <c r="CQ23" s="14">
        <f t="shared" si="122"/>
        <v>0</v>
      </c>
      <c r="CR23" s="168">
        <v>0</v>
      </c>
      <c r="CS23" s="169">
        <v>0</v>
      </c>
      <c r="CT23" s="144">
        <f t="shared" si="37"/>
        <v>0</v>
      </c>
      <c r="CU23" s="168">
        <v>1</v>
      </c>
      <c r="CV23" s="26">
        <f>+IF(CU$24&lt;=0,CR23,CS23)</f>
        <v>0</v>
      </c>
      <c r="CW23" s="144">
        <f t="shared" si="39"/>
        <v>1</v>
      </c>
      <c r="CX23" s="143">
        <f t="shared" si="40"/>
        <v>1</v>
      </c>
      <c r="CY23" s="144">
        <f t="shared" si="41"/>
        <v>0.2047502069520403</v>
      </c>
      <c r="CZ23" s="28"/>
      <c r="DA23" s="108"/>
      <c r="DB23" s="14">
        <f t="shared" si="107"/>
        <v>0</v>
      </c>
      <c r="DC23" s="168">
        <v>0</v>
      </c>
      <c r="DD23" s="169">
        <v>0</v>
      </c>
      <c r="DE23" s="144">
        <f t="shared" si="42"/>
        <v>0</v>
      </c>
      <c r="DF23" s="168">
        <v>1</v>
      </c>
      <c r="DG23" s="26">
        <f>+IF(DF$24&lt;=0,DC23,DD23)</f>
        <v>0</v>
      </c>
      <c r="DH23" s="144">
        <f t="shared" si="44"/>
        <v>1</v>
      </c>
      <c r="DI23" s="143">
        <f t="shared" si="45"/>
        <v>1</v>
      </c>
      <c r="DJ23" s="144">
        <f t="shared" si="46"/>
        <v>7.9483361717050116E-2</v>
      </c>
      <c r="DK23" s="28"/>
      <c r="DL23" s="108"/>
      <c r="DM23" s="14">
        <f t="shared" si="123"/>
        <v>0</v>
      </c>
      <c r="DN23" s="168">
        <v>0</v>
      </c>
      <c r="DO23" s="169">
        <v>0</v>
      </c>
      <c r="DP23" s="144">
        <f t="shared" si="47"/>
        <v>0</v>
      </c>
      <c r="DQ23" s="168">
        <v>1</v>
      </c>
      <c r="DR23" s="26">
        <f>+IF(DQ$24&lt;=0,DN23,DO23)</f>
        <v>0</v>
      </c>
      <c r="DS23" s="144">
        <f t="shared" si="49"/>
        <v>1</v>
      </c>
      <c r="DT23" s="143">
        <f t="shared" si="50"/>
        <v>1</v>
      </c>
      <c r="DU23" s="144">
        <f t="shared" si="51"/>
        <v>1.9870840429262529E-2</v>
      </c>
      <c r="DV23" s="28"/>
      <c r="DW23" s="108"/>
      <c r="DX23" s="14">
        <f t="shared" si="109"/>
        <v>0</v>
      </c>
      <c r="DY23" s="168">
        <v>0</v>
      </c>
      <c r="DZ23" s="169">
        <v>0</v>
      </c>
      <c r="EA23" s="144">
        <f t="shared" si="52"/>
        <v>0</v>
      </c>
      <c r="EB23" s="168">
        <v>1</v>
      </c>
      <c r="EC23" s="26">
        <f>+IF(EB$24&lt;=0,DY23,DZ23)</f>
        <v>0</v>
      </c>
      <c r="ED23" s="144">
        <f t="shared" si="54"/>
        <v>1</v>
      </c>
      <c r="EE23" s="143">
        <f t="shared" si="55"/>
        <v>1</v>
      </c>
      <c r="EF23" s="144">
        <f t="shared" si="56"/>
        <v>0.56331509802276736</v>
      </c>
      <c r="EG23" s="28"/>
      <c r="EH23" s="108"/>
      <c r="EI23" s="14">
        <f t="shared" si="110"/>
        <v>0</v>
      </c>
      <c r="EJ23" s="168">
        <v>0</v>
      </c>
      <c r="EK23" s="169">
        <v>0</v>
      </c>
      <c r="EL23" s="144">
        <f t="shared" si="57"/>
        <v>0</v>
      </c>
      <c r="EM23" s="168">
        <v>1</v>
      </c>
      <c r="EN23" s="26">
        <f>+IF(EM$24&lt;=0,EJ23,EK23)</f>
        <v>0</v>
      </c>
      <c r="EO23" s="144">
        <f t="shared" si="59"/>
        <v>1</v>
      </c>
      <c r="EP23" s="143">
        <f t="shared" si="60"/>
        <v>1</v>
      </c>
      <c r="EQ23" s="144">
        <f t="shared" si="61"/>
        <v>0.50056602170578135</v>
      </c>
      <c r="ER23" s="28"/>
      <c r="ES23" s="108"/>
      <c r="ET23" s="14">
        <f t="shared" si="111"/>
        <v>0</v>
      </c>
      <c r="EU23" s="168">
        <v>0</v>
      </c>
      <c r="EV23" s="169">
        <v>0</v>
      </c>
      <c r="EW23" s="144">
        <f t="shared" si="62"/>
        <v>0</v>
      </c>
      <c r="EX23" s="168">
        <v>1</v>
      </c>
      <c r="EY23" s="26">
        <f>+IF(EX$24&lt;=0,EU23,EV23)</f>
        <v>0</v>
      </c>
      <c r="EZ23" s="144">
        <f t="shared" si="64"/>
        <v>1</v>
      </c>
      <c r="FA23" s="143">
        <f t="shared" si="65"/>
        <v>1</v>
      </c>
      <c r="FB23" s="144">
        <f t="shared" si="66"/>
        <v>2.425552887084995E-2</v>
      </c>
      <c r="FC23" s="28"/>
      <c r="FD23" s="108"/>
      <c r="FE23" s="14">
        <f t="shared" si="125"/>
        <v>0</v>
      </c>
      <c r="FF23" s="168">
        <v>0</v>
      </c>
      <c r="FG23" s="169">
        <v>0</v>
      </c>
      <c r="FH23" s="144">
        <f t="shared" si="67"/>
        <v>0</v>
      </c>
      <c r="FI23" s="168">
        <v>1</v>
      </c>
      <c r="FJ23" s="26">
        <f>+IF(FI$24&lt;=0,FF23,FG23)</f>
        <v>0</v>
      </c>
      <c r="FK23" s="144">
        <f t="shared" si="69"/>
        <v>1</v>
      </c>
      <c r="FL23" s="143">
        <f t="shared" si="70"/>
        <v>1</v>
      </c>
      <c r="FM23" s="144">
        <f t="shared" si="71"/>
        <v>1.0518091962642126E-2</v>
      </c>
      <c r="FN23" s="28"/>
      <c r="FO23" s="108"/>
      <c r="FP23" s="14">
        <f t="shared" si="113"/>
        <v>0</v>
      </c>
      <c r="FQ23" s="168">
        <v>0</v>
      </c>
      <c r="FR23" s="169">
        <v>0</v>
      </c>
      <c r="FS23" s="144">
        <f t="shared" si="72"/>
        <v>0</v>
      </c>
      <c r="FT23" s="168">
        <v>1</v>
      </c>
      <c r="FU23" s="26">
        <f>+IF(FT$24&lt;=0,FQ23,FR23)</f>
        <v>0</v>
      </c>
      <c r="FV23" s="144">
        <f t="shared" si="74"/>
        <v>1</v>
      </c>
      <c r="FW23" s="143">
        <f t="shared" si="75"/>
        <v>1</v>
      </c>
      <c r="FX23" s="144">
        <f t="shared" si="76"/>
        <v>0.83219436785499201</v>
      </c>
      <c r="FY23" s="28"/>
      <c r="FZ23" s="108"/>
      <c r="GA23" s="14">
        <f t="shared" si="124"/>
        <v>0</v>
      </c>
      <c r="GB23" s="168">
        <v>0</v>
      </c>
      <c r="GC23" s="169">
        <v>0</v>
      </c>
      <c r="GD23" s="144">
        <f t="shared" si="77"/>
        <v>0</v>
      </c>
      <c r="GE23" s="168">
        <v>1</v>
      </c>
      <c r="GF23" s="26">
        <f>+IF(GE$24&lt;=0,GB23,GC23)</f>
        <v>0</v>
      </c>
      <c r="GG23" s="144">
        <f t="shared" si="79"/>
        <v>1</v>
      </c>
      <c r="GH23" s="143">
        <f t="shared" si="80"/>
        <v>1</v>
      </c>
      <c r="GI23" s="144">
        <f t="shared" si="81"/>
        <v>0.208048591963748</v>
      </c>
      <c r="GJ23" s="28"/>
      <c r="GK23" s="108"/>
      <c r="GL23" s="14">
        <f t="shared" si="119"/>
        <v>0</v>
      </c>
      <c r="GM23" s="168">
        <v>0</v>
      </c>
      <c r="GN23" s="169">
        <v>0</v>
      </c>
      <c r="GO23" s="144">
        <f t="shared" si="82"/>
        <v>0</v>
      </c>
      <c r="GP23" s="168">
        <v>1</v>
      </c>
      <c r="GQ23" s="26">
        <f>+IF(GP$24&lt;=0,GM23,GN23)</f>
        <v>0</v>
      </c>
      <c r="GR23" s="144">
        <f t="shared" si="84"/>
        <v>1</v>
      </c>
      <c r="GS23" s="143">
        <f t="shared" si="85"/>
        <v>1</v>
      </c>
      <c r="GT23" s="144">
        <f t="shared" si="86"/>
        <v>0.1</v>
      </c>
      <c r="GU23" s="28"/>
      <c r="GV23" s="108"/>
      <c r="GW23" s="14">
        <f t="shared" si="115"/>
        <v>0</v>
      </c>
      <c r="GX23" s="168">
        <v>0</v>
      </c>
      <c r="GY23" s="169">
        <v>0</v>
      </c>
      <c r="GZ23" s="144">
        <f t="shared" si="87"/>
        <v>0</v>
      </c>
      <c r="HA23" s="168">
        <v>1</v>
      </c>
      <c r="HB23" s="26">
        <f>+IF(HA$24&lt;=0,GX23,GY23)</f>
        <v>0</v>
      </c>
      <c r="HC23" s="144">
        <f t="shared" si="89"/>
        <v>1</v>
      </c>
      <c r="HD23" s="143">
        <f t="shared" si="90"/>
        <v>1</v>
      </c>
      <c r="HE23" s="144">
        <f t="shared" si="91"/>
        <v>0.03</v>
      </c>
      <c r="HF23" s="28"/>
      <c r="HG23" s="108"/>
      <c r="HH23" s="14">
        <f t="shared" si="126"/>
        <v>0</v>
      </c>
      <c r="HI23" s="168">
        <v>0</v>
      </c>
      <c r="HJ23" s="169">
        <v>0</v>
      </c>
      <c r="HK23" s="144">
        <f t="shared" si="92"/>
        <v>0</v>
      </c>
      <c r="HL23" s="168">
        <v>1</v>
      </c>
      <c r="HM23" s="26">
        <f>+IF(HL$24&lt;=0,HI23,HJ23)</f>
        <v>0</v>
      </c>
      <c r="HN23" s="144">
        <f t="shared" si="94"/>
        <v>1</v>
      </c>
      <c r="HO23" s="143">
        <f t="shared" si="95"/>
        <v>1</v>
      </c>
      <c r="HP23" s="144">
        <f t="shared" si="96"/>
        <v>0.53688765590979193</v>
      </c>
      <c r="HQ23" s="28"/>
      <c r="HR23" s="108"/>
      <c r="HS23" s="14">
        <f t="shared" si="117"/>
        <v>0</v>
      </c>
      <c r="HT23" s="168">
        <v>0</v>
      </c>
      <c r="HU23" s="169">
        <v>0</v>
      </c>
      <c r="HV23" s="144">
        <f t="shared" si="97"/>
        <v>0</v>
      </c>
      <c r="HW23" s="168">
        <v>1</v>
      </c>
      <c r="HX23" s="26">
        <f>+IF(HW$24&lt;=0,HT23,HU23)</f>
        <v>0</v>
      </c>
      <c r="HY23" s="144">
        <f t="shared" si="99"/>
        <v>1</v>
      </c>
      <c r="HZ23" s="143">
        <f t="shared" si="100"/>
        <v>1</v>
      </c>
      <c r="IA23" s="144">
        <f t="shared" si="101"/>
        <v>2.5193025794556893E-2</v>
      </c>
      <c r="IB23" s="28"/>
      <c r="IC23" s="108"/>
      <c r="ID23" s="168">
        <v>0</v>
      </c>
      <c r="IE23" s="108"/>
      <c r="IF23" s="168">
        <v>0</v>
      </c>
      <c r="IG23" s="168">
        <v>1</v>
      </c>
      <c r="IH23" s="168">
        <f t="shared" si="102"/>
        <v>0.76500000000000001</v>
      </c>
      <c r="II23" s="108"/>
      <c r="IJ23" s="168">
        <v>-1</v>
      </c>
      <c r="IK23" s="108"/>
    </row>
    <row r="24" spans="1:247" ht="15.75" customHeight="1" thickBot="1">
      <c r="A24" s="94" t="s">
        <v>239</v>
      </c>
      <c r="B24" s="94" t="s">
        <v>241</v>
      </c>
      <c r="C24" s="6" t="str">
        <f>MicroModelComponents!C24</f>
        <v>e-</v>
      </c>
      <c r="D24" s="6">
        <f>MicroModelComponents!E24</f>
        <v>0</v>
      </c>
      <c r="E24" s="6">
        <f>MicroModelComponents!U24</f>
        <v>-1</v>
      </c>
      <c r="F24" s="6">
        <f>MicroModelComponents!V24</f>
        <v>0</v>
      </c>
      <c r="G24" s="6">
        <f>MicroModelComponents!W24</f>
        <v>1</v>
      </c>
      <c r="H24" s="7">
        <f>MicroModelComponents!X24</f>
        <v>1</v>
      </c>
      <c r="J24" s="88" t="s">
        <v>189</v>
      </c>
      <c r="K24" s="88">
        <v>0</v>
      </c>
      <c r="L24" s="29">
        <v>1</v>
      </c>
      <c r="M24" s="14">
        <v>0</v>
      </c>
      <c r="N24" s="29">
        <f t="shared" si="0"/>
        <v>0</v>
      </c>
      <c r="O24" s="105"/>
      <c r="P24" s="28"/>
      <c r="Q24" s="108"/>
      <c r="R24" s="14">
        <f t="shared" si="1"/>
        <v>0</v>
      </c>
      <c r="S24" s="170">
        <v>8</v>
      </c>
      <c r="T24" s="171">
        <v>-8</v>
      </c>
      <c r="U24" s="146">
        <f t="shared" si="2"/>
        <v>0</v>
      </c>
      <c r="V24" s="170">
        <v>-0.2</v>
      </c>
      <c r="W24" s="220">
        <f>+IF(V$24&lt;=0,S24,T24)</f>
        <v>8</v>
      </c>
      <c r="X24" s="146">
        <f t="shared" si="4"/>
        <v>0</v>
      </c>
      <c r="Y24" s="145">
        <f t="shared" si="5"/>
        <v>0</v>
      </c>
      <c r="Z24" s="146">
        <f t="shared" si="6"/>
        <v>0</v>
      </c>
      <c r="AA24" s="28"/>
      <c r="AB24" s="108"/>
      <c r="AC24" s="14">
        <f t="shared" si="120"/>
        <v>0</v>
      </c>
      <c r="AD24" s="170">
        <v>24</v>
      </c>
      <c r="AE24" s="171">
        <v>-4</v>
      </c>
      <c r="AF24" s="146">
        <f t="shared" si="7"/>
        <v>0</v>
      </c>
      <c r="AG24" s="170">
        <v>-0.2</v>
      </c>
      <c r="AH24" s="220">
        <f>+IF(AG$24&lt;=0,AD24,AE24)</f>
        <v>24</v>
      </c>
      <c r="AI24" s="218">
        <f t="shared" si="9"/>
        <v>0</v>
      </c>
      <c r="AJ24" s="145">
        <f t="shared" si="10"/>
        <v>0</v>
      </c>
      <c r="AK24" s="146">
        <f t="shared" si="11"/>
        <v>0</v>
      </c>
      <c r="AL24" s="28"/>
      <c r="AM24" s="108"/>
      <c r="AN24" s="14">
        <f t="shared" si="121"/>
        <v>0</v>
      </c>
      <c r="AO24" s="170">
        <v>8</v>
      </c>
      <c r="AP24" s="171">
        <v>-4</v>
      </c>
      <c r="AQ24" s="146">
        <f t="shared" si="12"/>
        <v>0</v>
      </c>
      <c r="AR24" s="170">
        <v>-0.2</v>
      </c>
      <c r="AS24" s="220">
        <f>+IF(AR$24&lt;=0,AO24,AP24)</f>
        <v>8</v>
      </c>
      <c r="AT24" s="218">
        <f t="shared" si="14"/>
        <v>0</v>
      </c>
      <c r="AU24" s="145">
        <f t="shared" si="15"/>
        <v>0</v>
      </c>
      <c r="AV24" s="146">
        <f t="shared" si="16"/>
        <v>0</v>
      </c>
      <c r="AW24" s="28"/>
      <c r="AX24" s="108"/>
      <c r="AY24" s="14">
        <f t="shared" si="103"/>
        <v>0</v>
      </c>
      <c r="AZ24" s="170">
        <v>6</v>
      </c>
      <c r="BA24" s="171">
        <v>-4</v>
      </c>
      <c r="BB24" s="146">
        <f t="shared" si="17"/>
        <v>0</v>
      </c>
      <c r="BC24" s="170">
        <v>-4.2</v>
      </c>
      <c r="BD24" s="220">
        <f>+IF(BC$24&lt;=0,AZ24,BA24)</f>
        <v>6</v>
      </c>
      <c r="BE24" s="146">
        <f t="shared" si="19"/>
        <v>0</v>
      </c>
      <c r="BF24" s="145">
        <f t="shared" si="20"/>
        <v>0</v>
      </c>
      <c r="BG24" s="146">
        <f t="shared" si="21"/>
        <v>0</v>
      </c>
      <c r="BH24" s="28"/>
      <c r="BI24" s="108"/>
      <c r="BJ24" s="14">
        <f t="shared" si="104"/>
        <v>0</v>
      </c>
      <c r="BK24" s="170">
        <v>2</v>
      </c>
      <c r="BL24" s="171">
        <v>-4</v>
      </c>
      <c r="BM24" s="146">
        <f t="shared" si="22"/>
        <v>0</v>
      </c>
      <c r="BN24" s="170">
        <v>-5.4</v>
      </c>
      <c r="BO24" s="220">
        <f>+IF(BN$24&lt;=0,BK24,BL24)</f>
        <v>2</v>
      </c>
      <c r="BP24" s="146">
        <f t="shared" si="24"/>
        <v>0</v>
      </c>
      <c r="BQ24" s="145">
        <f t="shared" si="25"/>
        <v>0</v>
      </c>
      <c r="BR24" s="146">
        <f t="shared" si="26"/>
        <v>0</v>
      </c>
      <c r="BS24" s="28"/>
      <c r="BT24" s="108"/>
      <c r="BU24" s="14">
        <f t="shared" si="118"/>
        <v>0</v>
      </c>
      <c r="BV24" s="170">
        <v>24</v>
      </c>
      <c r="BW24" s="171">
        <v>-5</v>
      </c>
      <c r="BX24" s="146">
        <f t="shared" si="27"/>
        <v>0</v>
      </c>
      <c r="BY24" s="170">
        <v>-1.8</v>
      </c>
      <c r="BZ24" s="220">
        <f>+IF(BY$24&lt;=0,BV24,BW24)</f>
        <v>24</v>
      </c>
      <c r="CA24" s="146">
        <f t="shared" si="29"/>
        <v>0</v>
      </c>
      <c r="CB24" s="145">
        <f t="shared" si="30"/>
        <v>0</v>
      </c>
      <c r="CC24" s="146">
        <f t="shared" si="31"/>
        <v>0</v>
      </c>
      <c r="CD24" s="28"/>
      <c r="CE24" s="108"/>
      <c r="CF24" s="14">
        <f t="shared" si="105"/>
        <v>0</v>
      </c>
      <c r="CG24" s="170">
        <v>8</v>
      </c>
      <c r="CH24" s="171">
        <v>-5</v>
      </c>
      <c r="CI24" s="146">
        <f t="shared" si="32"/>
        <v>0</v>
      </c>
      <c r="CJ24" s="170">
        <v>-1.8</v>
      </c>
      <c r="CK24" s="220">
        <f>+IF(CJ$24&lt;=0,CG24,CH24)</f>
        <v>8</v>
      </c>
      <c r="CL24" s="146">
        <f t="shared" si="34"/>
        <v>0</v>
      </c>
      <c r="CM24" s="145">
        <f t="shared" si="35"/>
        <v>0</v>
      </c>
      <c r="CN24" s="146">
        <f t="shared" si="36"/>
        <v>0</v>
      </c>
      <c r="CO24" s="28"/>
      <c r="CP24" s="108"/>
      <c r="CQ24" s="14">
        <f t="shared" si="122"/>
        <v>0</v>
      </c>
      <c r="CR24" s="170">
        <v>2</v>
      </c>
      <c r="CS24" s="171">
        <v>-5</v>
      </c>
      <c r="CT24" s="146">
        <f t="shared" si="37"/>
        <v>0</v>
      </c>
      <c r="CU24" s="170">
        <v>-1.8</v>
      </c>
      <c r="CV24" s="220">
        <f>+IF(CU$24&lt;=0,CR24,CS24)</f>
        <v>2</v>
      </c>
      <c r="CW24" s="146">
        <f t="shared" si="39"/>
        <v>0</v>
      </c>
      <c r="CX24" s="145">
        <f t="shared" si="40"/>
        <v>0</v>
      </c>
      <c r="CY24" s="146">
        <f t="shared" si="41"/>
        <v>0</v>
      </c>
      <c r="CZ24" s="28"/>
      <c r="DA24" s="108"/>
      <c r="DB24" s="14">
        <f t="shared" si="107"/>
        <v>0</v>
      </c>
      <c r="DC24" s="170">
        <v>8</v>
      </c>
      <c r="DD24" s="171">
        <v>-8</v>
      </c>
      <c r="DE24" s="146">
        <f t="shared" si="42"/>
        <v>0</v>
      </c>
      <c r="DF24" s="170">
        <v>-0.2</v>
      </c>
      <c r="DG24" s="220">
        <f>+IF(DF$24&lt;=0,DC24,DD24)</f>
        <v>8</v>
      </c>
      <c r="DH24" s="146">
        <f t="shared" si="44"/>
        <v>0</v>
      </c>
      <c r="DI24" s="145">
        <f t="shared" si="45"/>
        <v>0</v>
      </c>
      <c r="DJ24" s="146">
        <f t="shared" si="46"/>
        <v>0</v>
      </c>
      <c r="DK24" s="28"/>
      <c r="DL24" s="108"/>
      <c r="DM24" s="14">
        <f t="shared" si="123"/>
        <v>0</v>
      </c>
      <c r="DN24" s="170">
        <v>2</v>
      </c>
      <c r="DO24" s="171">
        <v>-8</v>
      </c>
      <c r="DP24" s="146">
        <f t="shared" si="47"/>
        <v>0</v>
      </c>
      <c r="DQ24" s="170">
        <v>-0.2</v>
      </c>
      <c r="DR24" s="220">
        <f>+IF(DQ$24&lt;=0,DN24,DO24)</f>
        <v>2</v>
      </c>
      <c r="DS24" s="146">
        <f t="shared" si="49"/>
        <v>0</v>
      </c>
      <c r="DT24" s="145">
        <f t="shared" si="50"/>
        <v>0</v>
      </c>
      <c r="DU24" s="146">
        <f t="shared" si="51"/>
        <v>0</v>
      </c>
      <c r="DV24" s="28"/>
      <c r="DW24" s="108"/>
      <c r="DX24" s="14">
        <f t="shared" si="109"/>
        <v>0</v>
      </c>
      <c r="DY24" s="170">
        <v>8</v>
      </c>
      <c r="DZ24" s="171">
        <v>-4</v>
      </c>
      <c r="EA24" s="146">
        <f t="shared" si="52"/>
        <v>0</v>
      </c>
      <c r="EB24" s="170">
        <v>-4.2</v>
      </c>
      <c r="EC24" s="220">
        <f>+IF(EB$24&lt;=0,DY24,DZ24)</f>
        <v>8</v>
      </c>
      <c r="ED24" s="146">
        <f t="shared" si="54"/>
        <v>0</v>
      </c>
      <c r="EE24" s="145">
        <f t="shared" si="55"/>
        <v>0</v>
      </c>
      <c r="EF24" s="146">
        <f t="shared" si="56"/>
        <v>0</v>
      </c>
      <c r="EG24" s="28"/>
      <c r="EH24" s="108"/>
      <c r="EI24" s="14">
        <f t="shared" si="110"/>
        <v>0</v>
      </c>
      <c r="EJ24" s="170">
        <v>8</v>
      </c>
      <c r="EK24" s="171">
        <v>-5</v>
      </c>
      <c r="EL24" s="146">
        <f t="shared" si="57"/>
        <v>0</v>
      </c>
      <c r="EM24" s="170">
        <v>-5.8</v>
      </c>
      <c r="EN24" s="220">
        <f>+IF(EM$24&lt;=0,EJ24,EK24)</f>
        <v>8</v>
      </c>
      <c r="EO24" s="146">
        <f t="shared" si="59"/>
        <v>0</v>
      </c>
      <c r="EP24" s="145">
        <f t="shared" si="60"/>
        <v>0</v>
      </c>
      <c r="EQ24" s="146">
        <f t="shared" si="61"/>
        <v>0</v>
      </c>
      <c r="ER24" s="28"/>
      <c r="ES24" s="108"/>
      <c r="ET24" s="14">
        <f t="shared" si="111"/>
        <v>0</v>
      </c>
      <c r="EU24" s="170">
        <v>1</v>
      </c>
      <c r="EV24" s="171">
        <v>-4</v>
      </c>
      <c r="EW24" s="146">
        <f t="shared" si="62"/>
        <v>0</v>
      </c>
      <c r="EX24" s="170">
        <v>-1.8</v>
      </c>
      <c r="EY24" s="220">
        <f>+IF(EX$24&lt;=0,EU24,EV24)</f>
        <v>1</v>
      </c>
      <c r="EZ24" s="146">
        <f t="shared" si="64"/>
        <v>0</v>
      </c>
      <c r="FA24" s="145">
        <f t="shared" si="65"/>
        <v>0</v>
      </c>
      <c r="FB24" s="146">
        <f t="shared" si="66"/>
        <v>0</v>
      </c>
      <c r="FC24" s="28"/>
      <c r="FD24" s="108"/>
      <c r="FE24" s="14">
        <f t="shared" si="125"/>
        <v>0</v>
      </c>
      <c r="FF24" s="170">
        <v>1</v>
      </c>
      <c r="FG24" s="171">
        <v>-5</v>
      </c>
      <c r="FH24" s="146">
        <f t="shared" si="67"/>
        <v>0</v>
      </c>
      <c r="FI24" s="170">
        <v>-1.8</v>
      </c>
      <c r="FJ24" s="220">
        <f>+IF(FI$24&lt;=0,FF24,FG24)</f>
        <v>1</v>
      </c>
      <c r="FK24" s="146">
        <f t="shared" si="69"/>
        <v>0</v>
      </c>
      <c r="FL24" s="145">
        <f t="shared" si="70"/>
        <v>0</v>
      </c>
      <c r="FM24" s="146">
        <f t="shared" si="71"/>
        <v>0</v>
      </c>
      <c r="FN24" s="28"/>
      <c r="FO24" s="108"/>
      <c r="FP24" s="14">
        <f t="shared" si="113"/>
        <v>0</v>
      </c>
      <c r="FQ24" s="170">
        <v>8</v>
      </c>
      <c r="FR24" s="171">
        <v>-1</v>
      </c>
      <c r="FS24" s="146">
        <f t="shared" si="72"/>
        <v>0</v>
      </c>
      <c r="FT24" s="170">
        <v>-0.2</v>
      </c>
      <c r="FU24" s="220">
        <f>+IF(FT$24&lt;=0,FQ24,FR24)</f>
        <v>8</v>
      </c>
      <c r="FV24" s="146">
        <f t="shared" si="74"/>
        <v>0</v>
      </c>
      <c r="FW24" s="145">
        <f t="shared" si="75"/>
        <v>0</v>
      </c>
      <c r="FX24" s="146">
        <f t="shared" si="76"/>
        <v>0</v>
      </c>
      <c r="FY24" s="28"/>
      <c r="FZ24" s="108"/>
      <c r="GA24" s="14">
        <f t="shared" si="124"/>
        <v>0</v>
      </c>
      <c r="GB24" s="170">
        <v>2</v>
      </c>
      <c r="GC24" s="171">
        <v>-1</v>
      </c>
      <c r="GD24" s="146">
        <f t="shared" si="77"/>
        <v>0</v>
      </c>
      <c r="GE24" s="170">
        <v>-0.2</v>
      </c>
      <c r="GF24" s="220">
        <f>+IF(GE$24&lt;=0,GB24,GC24)</f>
        <v>2</v>
      </c>
      <c r="GG24" s="146">
        <f t="shared" si="79"/>
        <v>0</v>
      </c>
      <c r="GH24" s="145">
        <f t="shared" si="80"/>
        <v>0</v>
      </c>
      <c r="GI24" s="146">
        <f t="shared" si="81"/>
        <v>0</v>
      </c>
      <c r="GJ24" s="28"/>
      <c r="GK24" s="108"/>
      <c r="GL24" s="14">
        <f t="shared" si="119"/>
        <v>0</v>
      </c>
      <c r="GM24" s="170">
        <v>8</v>
      </c>
      <c r="GN24" s="171">
        <v>-8</v>
      </c>
      <c r="GO24" s="146">
        <f t="shared" si="82"/>
        <v>0</v>
      </c>
      <c r="GP24" s="170">
        <v>-0.2</v>
      </c>
      <c r="GQ24" s="220">
        <f>+IF(GP$24&lt;=0,GM24,GN24)</f>
        <v>8</v>
      </c>
      <c r="GR24" s="146">
        <f t="shared" si="84"/>
        <v>0</v>
      </c>
      <c r="GS24" s="145">
        <f t="shared" si="85"/>
        <v>0</v>
      </c>
      <c r="GT24" s="146">
        <f t="shared" si="86"/>
        <v>0</v>
      </c>
      <c r="GU24" s="28"/>
      <c r="GV24" s="108"/>
      <c r="GW24" s="14">
        <f t="shared" si="115"/>
        <v>0</v>
      </c>
      <c r="GX24" s="170">
        <v>2</v>
      </c>
      <c r="GY24" s="171">
        <v>-8</v>
      </c>
      <c r="GZ24" s="146">
        <f t="shared" si="87"/>
        <v>0</v>
      </c>
      <c r="HA24" s="170">
        <v>-4.2</v>
      </c>
      <c r="HB24" s="220">
        <f>+IF(HA$24&lt;=0,GX24,GY24)</f>
        <v>2</v>
      </c>
      <c r="HC24" s="146">
        <f t="shared" si="89"/>
        <v>0</v>
      </c>
      <c r="HD24" s="145">
        <f t="shared" si="90"/>
        <v>0</v>
      </c>
      <c r="HE24" s="146">
        <f t="shared" si="91"/>
        <v>0</v>
      </c>
      <c r="HF24" s="28"/>
      <c r="HG24" s="108"/>
      <c r="HH24" s="14">
        <f t="shared" si="126"/>
        <v>0</v>
      </c>
      <c r="HI24" s="170">
        <v>8</v>
      </c>
      <c r="HJ24" s="171">
        <v>-4</v>
      </c>
      <c r="HK24" s="146">
        <f t="shared" si="92"/>
        <v>0</v>
      </c>
      <c r="HL24" s="170">
        <v>3.8</v>
      </c>
      <c r="HM24" s="220">
        <f>+IF(HL$24&lt;=0,HI24,HJ24)</f>
        <v>-4</v>
      </c>
      <c r="HN24" s="146">
        <f t="shared" si="94"/>
        <v>0</v>
      </c>
      <c r="HO24" s="145">
        <f t="shared" si="95"/>
        <v>0</v>
      </c>
      <c r="HP24" s="146">
        <f t="shared" si="96"/>
        <v>0</v>
      </c>
      <c r="HQ24" s="28"/>
      <c r="HR24" s="108"/>
      <c r="HS24" s="14">
        <f t="shared" si="117"/>
        <v>0</v>
      </c>
      <c r="HT24" s="170">
        <v>8</v>
      </c>
      <c r="HU24" s="171">
        <v>-8</v>
      </c>
      <c r="HV24" s="146">
        <f t="shared" si="97"/>
        <v>0</v>
      </c>
      <c r="HW24" s="170">
        <v>3.8</v>
      </c>
      <c r="HX24" s="220">
        <f>+IF(HW$24&lt;=0,HT24,HU24)</f>
        <v>-8</v>
      </c>
      <c r="HY24" s="146">
        <f t="shared" si="99"/>
        <v>0</v>
      </c>
      <c r="HZ24" s="145">
        <f t="shared" si="100"/>
        <v>0</v>
      </c>
      <c r="IA24" s="146">
        <f t="shared" si="101"/>
        <v>0</v>
      </c>
      <c r="IB24" s="28"/>
      <c r="IC24" s="108"/>
      <c r="ID24" s="170">
        <v>0</v>
      </c>
      <c r="IE24" s="108"/>
      <c r="IF24" s="170">
        <v>0</v>
      </c>
      <c r="IG24" s="170">
        <v>0</v>
      </c>
      <c r="IH24" s="170">
        <f t="shared" si="102"/>
        <v>0</v>
      </c>
      <c r="II24" s="108"/>
      <c r="IJ24" s="170">
        <v>0</v>
      </c>
      <c r="IK24" s="108"/>
    </row>
    <row r="25" spans="1:247" ht="15.75" customHeight="1" thickTop="1">
      <c r="O25" s="105"/>
      <c r="Q25" s="108"/>
      <c r="S25" s="150">
        <v>1</v>
      </c>
      <c r="T25" s="150">
        <f>-S$25*S$24/T$24</f>
        <v>1</v>
      </c>
      <c r="U25" s="182">
        <f>-(1+Z$25*SUMPRODUCT(R4:R24,X4:X24))/(SUMPRODUCT(R4:R24,U4:U24)*Z$25)</f>
        <v>1.4750000000000001</v>
      </c>
      <c r="V25" s="150">
        <v>1</v>
      </c>
      <c r="W25" s="150">
        <f>-V$25*V$24/W$24</f>
        <v>2.5000000000000001E-2</v>
      </c>
      <c r="X25" s="150">
        <v>1</v>
      </c>
      <c r="Y25" s="150"/>
      <c r="Z25" s="172">
        <v>0.6</v>
      </c>
      <c r="AB25" s="108"/>
      <c r="AD25" s="150">
        <v>1</v>
      </c>
      <c r="AE25" s="150">
        <f>-AD$25*AD$24/AE$24</f>
        <v>6</v>
      </c>
      <c r="AF25" s="182">
        <f>-(1+AK$25*SUMPRODUCT(AC4:AC24,AI4:AI24))/(SUMPRODUCT(AC4:AC24,AF4:AF24)*AK$25)</f>
        <v>8.0975585994830596E-2</v>
      </c>
      <c r="AG25" s="150">
        <v>1</v>
      </c>
      <c r="AH25" s="150">
        <f>-AG$25*AG$24/AH$24</f>
        <v>8.3333333333333332E-3</v>
      </c>
      <c r="AI25" s="150">
        <v>1</v>
      </c>
      <c r="AJ25" s="150"/>
      <c r="AK25" s="172">
        <v>3.9066225636854091</v>
      </c>
      <c r="AM25" s="108"/>
      <c r="AO25" s="150">
        <v>1</v>
      </c>
      <c r="AP25" s="150">
        <f>-AO$25*AO$24/AP$24</f>
        <v>2</v>
      </c>
      <c r="AQ25" s="182">
        <f>-(1+AV$25*SUMPRODUCT(AN4:AN24,AT4:AT24))/(SUMPRODUCT(AN4:AN24,AQ4:AQ24)*AV$25)</f>
        <v>0.55973034714429448</v>
      </c>
      <c r="AR25" s="150">
        <v>1</v>
      </c>
      <c r="AS25" s="150">
        <f>-AR$25*AR$24/AS$24</f>
        <v>2.5000000000000001E-2</v>
      </c>
      <c r="AT25" s="150">
        <v>1</v>
      </c>
      <c r="AU25" s="150"/>
      <c r="AV25" s="172">
        <v>0.92188810116047815</v>
      </c>
      <c r="AX25" s="108"/>
      <c r="AZ25" s="150">
        <v>1</v>
      </c>
      <c r="BA25" s="150">
        <f>-AZ$25*AZ$24/BA$24</f>
        <v>1.5</v>
      </c>
      <c r="BB25" s="182">
        <f>-(1+BG$25*SUMPRODUCT(AY4:AY24,BE4:BE24))/(SUMPRODUCT(AY4:AY24,BB4:BB24)*BG$25)</f>
        <v>12.837249728239071</v>
      </c>
      <c r="BC25" s="150">
        <v>1</v>
      </c>
      <c r="BD25" s="150">
        <f>-BC$25*BC$24/BD$24</f>
        <v>0.70000000000000007</v>
      </c>
      <c r="BE25" s="150">
        <v>1</v>
      </c>
      <c r="BF25" s="150"/>
      <c r="BG25" s="172">
        <v>7.2794774775357202E-2</v>
      </c>
      <c r="BI25" s="108"/>
      <c r="BK25" s="150">
        <v>1</v>
      </c>
      <c r="BL25" s="150">
        <f>-BK$25*BK$24/BL$24</f>
        <v>0.5</v>
      </c>
      <c r="BM25" s="182">
        <f>-(1+BR$25*SUMPRODUCT(BJ4:BJ24,BP4:BP24))/(SUMPRODUCT(BJ4:BJ24,BM4:BM24)*BR$25)</f>
        <v>43.638038438921015</v>
      </c>
      <c r="BN25" s="150">
        <v>1</v>
      </c>
      <c r="BO25" s="150">
        <f>-BN$25*BN$24/BO$24</f>
        <v>2.7</v>
      </c>
      <c r="BP25" s="150">
        <v>1</v>
      </c>
      <c r="BQ25" s="150"/>
      <c r="BR25" s="172">
        <v>2.1487798659852262E-2</v>
      </c>
      <c r="BT25" s="108"/>
      <c r="BV25" s="150">
        <v>1</v>
      </c>
      <c r="BW25" s="150">
        <f>-BV$25*BV$24/BW$24</f>
        <v>4.8</v>
      </c>
      <c r="BX25" s="182">
        <f>-(1+CC$25*SUMPRODUCT(BU4:BU24,CA4:CA24))/(SUMPRODUCT(BU4:BU24,BX4:BX24)*CC$25)</f>
        <v>4.4328017589549851E-2</v>
      </c>
      <c r="BY25" s="150">
        <v>1</v>
      </c>
      <c r="BZ25" s="150">
        <f>-BY$25*BY$24/BZ$24</f>
        <v>7.4999999999999997E-2</v>
      </c>
      <c r="CA25" s="150">
        <v>1</v>
      </c>
      <c r="CB25" s="150"/>
      <c r="CC25" s="172">
        <v>3.4965684855321348</v>
      </c>
      <c r="CE25" s="108"/>
      <c r="CG25" s="150">
        <v>1</v>
      </c>
      <c r="CH25" s="150">
        <f>-CG$25*CG$24/CH$24</f>
        <v>1.6</v>
      </c>
      <c r="CI25" s="182">
        <f>-(1+CN$25*SUMPRODUCT(CF4:CF24,CL4:CL24))/(SUMPRODUCT(CF4:CF24,CI4:CI24)*CN$25)</f>
        <v>0.49599998686965341</v>
      </c>
      <c r="CJ25" s="150">
        <v>1</v>
      </c>
      <c r="CK25" s="150">
        <f>-CJ$25*CJ$24/CK$24</f>
        <v>0.22500000000000001</v>
      </c>
      <c r="CL25" s="150">
        <v>1</v>
      </c>
      <c r="CM25" s="150"/>
      <c r="CN25" s="172">
        <v>0.81900082780816119</v>
      </c>
      <c r="CP25" s="108"/>
      <c r="CR25" s="150">
        <v>1</v>
      </c>
      <c r="CS25" s="150">
        <f>-CR$25*CR$24/CS$24</f>
        <v>0.4</v>
      </c>
      <c r="CT25" s="182">
        <f>-(1+CY$25*SUMPRODUCT(CQ4:CQ24,CW4:CW24))/(SUMPRODUCT(CQ4:CQ24,CT4:CT24)*CY$25)</f>
        <v>3.9839999474786132</v>
      </c>
      <c r="CU25" s="150">
        <v>1</v>
      </c>
      <c r="CV25" s="150">
        <f>-CU$25*CU$24/CV$24</f>
        <v>0.9</v>
      </c>
      <c r="CW25" s="150">
        <v>1</v>
      </c>
      <c r="CX25" s="150"/>
      <c r="CY25" s="342">
        <v>0.2047502069520403</v>
      </c>
      <c r="DA25" s="108"/>
      <c r="DC25" s="150">
        <v>1</v>
      </c>
      <c r="DD25" s="150">
        <f>-DC$25*DC$24/DD$24</f>
        <v>1</v>
      </c>
      <c r="DE25" s="182">
        <f>-(1+DJ$25*SUMPRODUCT(DB4:DB24,DH4:DH24))/(SUMPRODUCT(DB4:DB24,DE4:DE24)*DJ$25)</f>
        <v>12.056249438843102</v>
      </c>
      <c r="DF25" s="150">
        <v>1</v>
      </c>
      <c r="DG25" s="150">
        <f>-DF$25*DF$24/DG$24</f>
        <v>2.5000000000000001E-2</v>
      </c>
      <c r="DH25" s="150">
        <v>1</v>
      </c>
      <c r="DI25" s="150"/>
      <c r="DJ25" s="172">
        <v>7.9483361717050116E-2</v>
      </c>
      <c r="DL25" s="108"/>
      <c r="DN25" s="150">
        <v>1</v>
      </c>
      <c r="DO25" s="150">
        <f>-DN$25*DN$24/DO$24</f>
        <v>0.25</v>
      </c>
      <c r="DP25" s="182">
        <f>-(1+DU$25*SUMPRODUCT(DM4:DM24,DS4:DS24))/(SUMPRODUCT(DM4:DM24,DP4:DP24)*DU$25)</f>
        <v>50.224997755372407</v>
      </c>
      <c r="DQ25" s="150">
        <v>1</v>
      </c>
      <c r="DR25" s="150">
        <f>-DQ$25*DQ$24/DR$24</f>
        <v>0.1</v>
      </c>
      <c r="DS25" s="150">
        <v>1</v>
      </c>
      <c r="DT25" s="150"/>
      <c r="DU25" s="342">
        <v>1.9870840429262529E-2</v>
      </c>
      <c r="DW25" s="108"/>
      <c r="DY25" s="150">
        <v>1</v>
      </c>
      <c r="DZ25" s="150">
        <f>-DY$25*DY$24/DZ$24</f>
        <v>2</v>
      </c>
      <c r="EA25" s="182">
        <f>-(1+EF$25*SUMPRODUCT(DX4:DX24,ED4:ED24))/(SUMPRODUCT(DX4:DX24,EA4:EA24)*EF$25)</f>
        <v>1.2502053930562025</v>
      </c>
      <c r="EB25" s="150">
        <v>1</v>
      </c>
      <c r="EC25" s="150">
        <f>-EB$25*EB$24/EC$24</f>
        <v>0.52500000000000002</v>
      </c>
      <c r="ED25" s="150">
        <v>1</v>
      </c>
      <c r="EE25" s="150"/>
      <c r="EF25" s="172">
        <v>0.56331509802276736</v>
      </c>
      <c r="EH25" s="108"/>
      <c r="EJ25" s="150">
        <v>1</v>
      </c>
      <c r="EK25" s="150">
        <f>-EJ$25*EJ$24/EK$24</f>
        <v>1.6</v>
      </c>
      <c r="EL25" s="182">
        <f>-(1+EQ$25*SUMPRODUCT(EI4:EI24,EO4:EO24))/(SUMPRODUCT(EI4:EI24,EL4:EL24)*EQ$25)</f>
        <v>1.2727384733232492</v>
      </c>
      <c r="EM25" s="150">
        <v>1</v>
      </c>
      <c r="EN25" s="150">
        <f>-EM$25*EM$24/EN$24</f>
        <v>0.72499999999999998</v>
      </c>
      <c r="EO25" s="150">
        <v>1</v>
      </c>
      <c r="EP25" s="150"/>
      <c r="EQ25" s="172">
        <v>0.50056602170578135</v>
      </c>
      <c r="ES25" s="108"/>
      <c r="EU25" s="150">
        <v>1</v>
      </c>
      <c r="EV25" s="150">
        <f>-EU$25*EU$24/EV$24</f>
        <v>0.25</v>
      </c>
      <c r="EW25" s="182">
        <f>-(1+FB$25*SUMPRODUCT(ET4:ET24,EZ4:EZ24))/(SUMPRODUCT(ET4:ET24,EW4:EW24)*FB$25)</f>
        <v>39.427713702907134</v>
      </c>
      <c r="EX25" s="150">
        <v>1</v>
      </c>
      <c r="EY25" s="150">
        <f>-EX$25*EX$24/EY$24</f>
        <v>1.8</v>
      </c>
      <c r="EZ25" s="150">
        <v>1</v>
      </c>
      <c r="FA25" s="150"/>
      <c r="FB25" s="172">
        <v>2.4255528870849946E-2</v>
      </c>
      <c r="FD25" s="108"/>
      <c r="FF25" s="150">
        <v>1</v>
      </c>
      <c r="FG25" s="150">
        <f>-FF$25*FF$24/FG$24</f>
        <v>0.2</v>
      </c>
      <c r="FH25" s="182">
        <f>-(1+FM$25*SUMPRODUCT(FE4:FE24,FK4:FK24))/(SUMPRODUCT(FE4:FE24,FH4:FH24)*FM$25)</f>
        <v>93.274278067901761</v>
      </c>
      <c r="FI25" s="150">
        <v>1</v>
      </c>
      <c r="FJ25" s="150">
        <f>-FI$25*FI$24/FJ$24</f>
        <v>1.8</v>
      </c>
      <c r="FK25" s="150">
        <v>1</v>
      </c>
      <c r="FL25" s="150"/>
      <c r="FM25" s="172">
        <v>1.0518091962642126E-2</v>
      </c>
      <c r="FO25" s="108"/>
      <c r="FQ25" s="150">
        <v>1</v>
      </c>
      <c r="FR25" s="150">
        <f>-FQ$25*FQ$24/FR$24</f>
        <v>8</v>
      </c>
      <c r="FS25" s="182">
        <f>-(1+FX$25*SUMPRODUCT(FP4:FP24,FV4:FV24))/(SUMPRODUCT(FP4:FP24,FS4:FS24)*FX$25)</f>
        <v>0.67664235499157777</v>
      </c>
      <c r="FT25" s="150">
        <v>1</v>
      </c>
      <c r="FU25" s="150">
        <f>-FT$25*FT$24/FU$24</f>
        <v>2.5000000000000001E-2</v>
      </c>
      <c r="FV25" s="150">
        <v>1</v>
      </c>
      <c r="FW25" s="150"/>
      <c r="FX25" s="172">
        <v>0.83219436785499201</v>
      </c>
      <c r="FZ25" s="108"/>
      <c r="GB25" s="150">
        <v>1</v>
      </c>
      <c r="GC25" s="150">
        <f>-GB$25*GB$24/GC$24</f>
        <v>2</v>
      </c>
      <c r="GD25" s="182">
        <f>-(1+GI$25*SUMPRODUCT(GA4:GA24,GG4:GG24))/(SUMPRODUCT(GA4:GA24,GD4:GD24)*GI$25)</f>
        <v>4.7065694199663115</v>
      </c>
      <c r="GE25" s="150">
        <v>1</v>
      </c>
      <c r="GF25" s="150">
        <f>-GE$25*GE$24/GF$24</f>
        <v>0.1</v>
      </c>
      <c r="GG25" s="150">
        <v>1</v>
      </c>
      <c r="GH25" s="150"/>
      <c r="GI25" s="342">
        <v>0.208048591963748</v>
      </c>
      <c r="GK25" s="108"/>
      <c r="GM25" s="150">
        <v>1</v>
      </c>
      <c r="GN25" s="150">
        <f>-GM$25*GM$24/GN$24</f>
        <v>1</v>
      </c>
      <c r="GO25" s="182">
        <f>-(1+GT$25*SUMPRODUCT(GL4:GL24,GR4:GR24))/(SUMPRODUCT(GL4:GL24,GO4:GO24)*GT$25)</f>
        <v>4.7374999999999998</v>
      </c>
      <c r="GP25" s="150">
        <v>1</v>
      </c>
      <c r="GQ25" s="150">
        <f>-GP$25*GP$24/GQ$24</f>
        <v>2.5000000000000001E-2</v>
      </c>
      <c r="GR25" s="150">
        <v>1</v>
      </c>
      <c r="GS25" s="150"/>
      <c r="GT25" s="331">
        <v>0.1</v>
      </c>
      <c r="GV25" s="108"/>
      <c r="GX25" s="150">
        <v>1</v>
      </c>
      <c r="GY25" s="150">
        <f>-GX$25*GX$24/GY$24</f>
        <v>0.25</v>
      </c>
      <c r="GZ25" s="182">
        <f>-(1+HE$25*SUMPRODUCT(GW4:GW24,HC4:HC24))/(SUMPRODUCT(GW4:GW24,GZ4:GZ24)*HE$25)</f>
        <v>31.233333333333338</v>
      </c>
      <c r="HA25" s="150">
        <v>1</v>
      </c>
      <c r="HB25" s="150">
        <f>-HA$25*HA$24/HB$24</f>
        <v>2.1</v>
      </c>
      <c r="HC25" s="150">
        <v>1</v>
      </c>
      <c r="HD25" s="150"/>
      <c r="HE25" s="331">
        <v>0.03</v>
      </c>
      <c r="HG25" s="108"/>
      <c r="HI25" s="150">
        <v>1</v>
      </c>
      <c r="HJ25" s="150">
        <f>-HI$25*HI$24/HJ$24</f>
        <v>2</v>
      </c>
      <c r="HK25" s="182">
        <f>-(1+HP$25*SUMPRODUCT(HH4:HH24,HN4:HN24))/(SUMPRODUCT(HH4:HH24,HK4:HK24)*HP$25)</f>
        <v>0.86258705893588361</v>
      </c>
      <c r="HL25" s="150">
        <v>1</v>
      </c>
      <c r="HM25" s="150">
        <f>-HL$25*HL$24/HM$24</f>
        <v>0.95</v>
      </c>
      <c r="HN25" s="150">
        <v>1</v>
      </c>
      <c r="HO25" s="150"/>
      <c r="HP25" s="172">
        <v>0.53688765590979193</v>
      </c>
      <c r="HR25" s="108"/>
      <c r="HT25" s="150">
        <v>1</v>
      </c>
      <c r="HU25" s="150">
        <f>-HT$25*HT$24/HU$24</f>
        <v>1</v>
      </c>
      <c r="HV25" s="182">
        <f>-(1+IA$25*SUMPRODUCT(HS4:HS24,HY4:HY24))/(SUMPRODUCT(HS4:HS24,HV4:HV24)*IA$25)</f>
        <v>38.69352503167984</v>
      </c>
      <c r="HW25" s="150">
        <v>1</v>
      </c>
      <c r="HX25" s="150">
        <f>-HW$25*HW$24/HX$24</f>
        <v>0.47499999999999998</v>
      </c>
      <c r="HY25" s="150">
        <v>1</v>
      </c>
      <c r="HZ25" s="150"/>
      <c r="IA25" s="172">
        <v>2.5193025794556897E-2</v>
      </c>
      <c r="IC25" s="108"/>
      <c r="ID25" s="150"/>
      <c r="IE25" s="108"/>
      <c r="IF25" s="150"/>
      <c r="IG25" s="150"/>
      <c r="IH25" s="150"/>
      <c r="II25" s="108"/>
      <c r="IJ25" s="150"/>
      <c r="IK25" s="108"/>
    </row>
    <row r="26" spans="1:247" ht="15.75" customHeight="1">
      <c r="B26" s="40" t="s">
        <v>203</v>
      </c>
      <c r="C26" s="16">
        <v>96.484999999999999</v>
      </c>
      <c r="D26" s="15" t="s">
        <v>212</v>
      </c>
      <c r="O26" s="105"/>
      <c r="Q26" s="108"/>
      <c r="S26" s="151" t="s">
        <v>389</v>
      </c>
      <c r="T26" s="151" t="s">
        <v>390</v>
      </c>
      <c r="U26" s="151" t="s">
        <v>333</v>
      </c>
      <c r="V26" s="151" t="s">
        <v>387</v>
      </c>
      <c r="W26" s="151" t="s">
        <v>388</v>
      </c>
      <c r="X26" s="151" t="s">
        <v>332</v>
      </c>
      <c r="Y26" s="151"/>
      <c r="Z26" s="152" t="s">
        <v>413</v>
      </c>
      <c r="AB26" s="108"/>
      <c r="AD26" s="151" t="s">
        <v>389</v>
      </c>
      <c r="AE26" s="151" t="s">
        <v>390</v>
      </c>
      <c r="AF26" s="151" t="s">
        <v>333</v>
      </c>
      <c r="AG26" s="151" t="s">
        <v>387</v>
      </c>
      <c r="AH26" s="151" t="s">
        <v>388</v>
      </c>
      <c r="AI26" s="151" t="s">
        <v>332</v>
      </c>
      <c r="AJ26" s="151"/>
      <c r="AK26" s="152" t="s">
        <v>418</v>
      </c>
      <c r="AM26" s="108"/>
      <c r="AO26" s="151" t="s">
        <v>389</v>
      </c>
      <c r="AP26" s="151" t="s">
        <v>390</v>
      </c>
      <c r="AQ26" s="151" t="s">
        <v>333</v>
      </c>
      <c r="AR26" s="151" t="s">
        <v>387</v>
      </c>
      <c r="AS26" s="151" t="s">
        <v>388</v>
      </c>
      <c r="AT26" s="151" t="s">
        <v>332</v>
      </c>
      <c r="AU26" s="151"/>
      <c r="AV26" s="152" t="s">
        <v>419</v>
      </c>
      <c r="AX26" s="108"/>
      <c r="AZ26" s="151" t="s">
        <v>389</v>
      </c>
      <c r="BA26" s="151" t="s">
        <v>390</v>
      </c>
      <c r="BB26" s="151" t="s">
        <v>333</v>
      </c>
      <c r="BC26" s="151" t="s">
        <v>387</v>
      </c>
      <c r="BD26" s="151" t="s">
        <v>388</v>
      </c>
      <c r="BE26" s="151" t="s">
        <v>332</v>
      </c>
      <c r="BF26" s="151"/>
      <c r="BG26" s="152" t="s">
        <v>414</v>
      </c>
      <c r="BI26" s="108"/>
      <c r="BK26" s="151" t="s">
        <v>389</v>
      </c>
      <c r="BL26" s="151" t="s">
        <v>390</v>
      </c>
      <c r="BM26" s="151" t="s">
        <v>333</v>
      </c>
      <c r="BN26" s="151" t="s">
        <v>387</v>
      </c>
      <c r="BO26" s="151" t="s">
        <v>388</v>
      </c>
      <c r="BP26" s="151" t="s">
        <v>332</v>
      </c>
      <c r="BQ26" s="151"/>
      <c r="BR26" s="152" t="s">
        <v>415</v>
      </c>
      <c r="BT26" s="108"/>
      <c r="BV26" s="151" t="s">
        <v>389</v>
      </c>
      <c r="BW26" s="151" t="s">
        <v>390</v>
      </c>
      <c r="BX26" s="151" t="s">
        <v>333</v>
      </c>
      <c r="BY26" s="151" t="s">
        <v>387</v>
      </c>
      <c r="BZ26" s="151" t="s">
        <v>388</v>
      </c>
      <c r="CA26" s="151" t="s">
        <v>332</v>
      </c>
      <c r="CB26" s="151"/>
      <c r="CC26" s="152" t="s">
        <v>448</v>
      </c>
      <c r="CE26" s="108"/>
      <c r="CG26" s="151" t="s">
        <v>389</v>
      </c>
      <c r="CH26" s="151" t="s">
        <v>390</v>
      </c>
      <c r="CI26" s="151" t="s">
        <v>333</v>
      </c>
      <c r="CJ26" s="151" t="s">
        <v>387</v>
      </c>
      <c r="CK26" s="151" t="s">
        <v>388</v>
      </c>
      <c r="CL26" s="151" t="s">
        <v>332</v>
      </c>
      <c r="CM26" s="151"/>
      <c r="CN26" s="152" t="s">
        <v>449</v>
      </c>
      <c r="CP26" s="108"/>
      <c r="CR26" s="151" t="s">
        <v>389</v>
      </c>
      <c r="CS26" s="151" t="s">
        <v>390</v>
      </c>
      <c r="CT26" s="151" t="s">
        <v>333</v>
      </c>
      <c r="CU26" s="151" t="s">
        <v>387</v>
      </c>
      <c r="CV26" s="151" t="s">
        <v>388</v>
      </c>
      <c r="CW26" s="151" t="s">
        <v>332</v>
      </c>
      <c r="CX26" s="151"/>
      <c r="CY26" s="152" t="s">
        <v>777</v>
      </c>
      <c r="DA26" s="108"/>
      <c r="DC26" s="151" t="s">
        <v>389</v>
      </c>
      <c r="DD26" s="151" t="s">
        <v>390</v>
      </c>
      <c r="DE26" s="151" t="s">
        <v>333</v>
      </c>
      <c r="DF26" s="151" t="s">
        <v>387</v>
      </c>
      <c r="DG26" s="151" t="s">
        <v>388</v>
      </c>
      <c r="DH26" s="151" t="s">
        <v>332</v>
      </c>
      <c r="DI26" s="151"/>
      <c r="DJ26" s="152" t="s">
        <v>423</v>
      </c>
      <c r="DL26" s="108"/>
      <c r="DN26" s="151" t="s">
        <v>389</v>
      </c>
      <c r="DO26" s="151" t="s">
        <v>390</v>
      </c>
      <c r="DP26" s="151" t="s">
        <v>333</v>
      </c>
      <c r="DQ26" s="151" t="s">
        <v>387</v>
      </c>
      <c r="DR26" s="151" t="s">
        <v>388</v>
      </c>
      <c r="DS26" s="151" t="s">
        <v>332</v>
      </c>
      <c r="DT26" s="151"/>
      <c r="DU26" s="152" t="s">
        <v>779</v>
      </c>
      <c r="DW26" s="108"/>
      <c r="DY26" s="151" t="s">
        <v>389</v>
      </c>
      <c r="DZ26" s="151" t="s">
        <v>390</v>
      </c>
      <c r="EA26" s="151" t="s">
        <v>333</v>
      </c>
      <c r="EB26" s="151" t="s">
        <v>387</v>
      </c>
      <c r="EC26" s="151" t="s">
        <v>388</v>
      </c>
      <c r="ED26" s="151" t="s">
        <v>332</v>
      </c>
      <c r="EE26" s="151"/>
      <c r="EF26" s="152" t="s">
        <v>425</v>
      </c>
      <c r="EH26" s="108"/>
      <c r="EJ26" s="151" t="s">
        <v>389</v>
      </c>
      <c r="EK26" s="151" t="s">
        <v>390</v>
      </c>
      <c r="EL26" s="151" t="s">
        <v>333</v>
      </c>
      <c r="EM26" s="151" t="s">
        <v>387</v>
      </c>
      <c r="EN26" s="151" t="s">
        <v>388</v>
      </c>
      <c r="EO26" s="151" t="s">
        <v>332</v>
      </c>
      <c r="EP26" s="151"/>
      <c r="EQ26" s="152" t="s">
        <v>427</v>
      </c>
      <c r="ES26" s="108"/>
      <c r="EU26" s="151" t="s">
        <v>389</v>
      </c>
      <c r="EV26" s="151" t="s">
        <v>390</v>
      </c>
      <c r="EW26" s="151" t="s">
        <v>333</v>
      </c>
      <c r="EX26" s="151" t="s">
        <v>387</v>
      </c>
      <c r="EY26" s="151" t="s">
        <v>388</v>
      </c>
      <c r="EZ26" s="151" t="s">
        <v>332</v>
      </c>
      <c r="FA26" s="151"/>
      <c r="FB26" s="152" t="s">
        <v>450</v>
      </c>
      <c r="FD26" s="108"/>
      <c r="FF26" s="151" t="s">
        <v>389</v>
      </c>
      <c r="FG26" s="151" t="s">
        <v>390</v>
      </c>
      <c r="FH26" s="151" t="s">
        <v>333</v>
      </c>
      <c r="FI26" s="151" t="s">
        <v>387</v>
      </c>
      <c r="FJ26" s="151" t="s">
        <v>388</v>
      </c>
      <c r="FK26" s="151" t="s">
        <v>332</v>
      </c>
      <c r="FL26" s="151"/>
      <c r="FM26" s="152" t="s">
        <v>453</v>
      </c>
      <c r="FO26" s="108"/>
      <c r="FQ26" s="151" t="s">
        <v>389</v>
      </c>
      <c r="FR26" s="151" t="s">
        <v>390</v>
      </c>
      <c r="FS26" s="151" t="s">
        <v>333</v>
      </c>
      <c r="FT26" s="151" t="s">
        <v>387</v>
      </c>
      <c r="FU26" s="151" t="s">
        <v>388</v>
      </c>
      <c r="FV26" s="151" t="s">
        <v>332</v>
      </c>
      <c r="FW26" s="151"/>
      <c r="FX26" s="152" t="s">
        <v>775</v>
      </c>
      <c r="FZ26" s="108"/>
      <c r="GB26" s="151" t="s">
        <v>389</v>
      </c>
      <c r="GC26" s="151" t="s">
        <v>390</v>
      </c>
      <c r="GD26" s="151" t="s">
        <v>333</v>
      </c>
      <c r="GE26" s="151" t="s">
        <v>387</v>
      </c>
      <c r="GF26" s="151" t="s">
        <v>388</v>
      </c>
      <c r="GG26" s="151" t="s">
        <v>332</v>
      </c>
      <c r="GH26" s="151"/>
      <c r="GI26" s="152" t="s">
        <v>781</v>
      </c>
      <c r="GK26" s="108"/>
      <c r="GM26" s="151" t="s">
        <v>389</v>
      </c>
      <c r="GN26" s="151" t="s">
        <v>390</v>
      </c>
      <c r="GO26" s="151" t="s">
        <v>333</v>
      </c>
      <c r="GP26" s="151" t="s">
        <v>387</v>
      </c>
      <c r="GQ26" s="151" t="s">
        <v>388</v>
      </c>
      <c r="GR26" s="151" t="s">
        <v>332</v>
      </c>
      <c r="GS26" s="151"/>
      <c r="GT26" s="152" t="s">
        <v>343</v>
      </c>
      <c r="GV26" s="108"/>
      <c r="GX26" s="151" t="s">
        <v>389</v>
      </c>
      <c r="GY26" s="151" t="s">
        <v>390</v>
      </c>
      <c r="GZ26" s="151" t="s">
        <v>333</v>
      </c>
      <c r="HA26" s="151" t="s">
        <v>387</v>
      </c>
      <c r="HB26" s="151" t="s">
        <v>388</v>
      </c>
      <c r="HC26" s="151" t="s">
        <v>332</v>
      </c>
      <c r="HD26" s="151"/>
      <c r="HE26" s="152" t="s">
        <v>385</v>
      </c>
      <c r="HG26" s="108"/>
      <c r="HI26" s="151" t="s">
        <v>389</v>
      </c>
      <c r="HJ26" s="151" t="s">
        <v>390</v>
      </c>
      <c r="HK26" s="151" t="s">
        <v>333</v>
      </c>
      <c r="HL26" s="151" t="s">
        <v>387</v>
      </c>
      <c r="HM26" s="151" t="s">
        <v>388</v>
      </c>
      <c r="HN26" s="151" t="s">
        <v>332</v>
      </c>
      <c r="HO26" s="151"/>
      <c r="HP26" s="152" t="s">
        <v>344</v>
      </c>
      <c r="HR26" s="108"/>
      <c r="HT26" s="151" t="s">
        <v>389</v>
      </c>
      <c r="HU26" s="151" t="s">
        <v>390</v>
      </c>
      <c r="HV26" s="151" t="s">
        <v>333</v>
      </c>
      <c r="HW26" s="151" t="s">
        <v>387</v>
      </c>
      <c r="HX26" s="151" t="s">
        <v>388</v>
      </c>
      <c r="HY26" s="151" t="s">
        <v>332</v>
      </c>
      <c r="HZ26" s="151"/>
      <c r="IA26" s="152" t="s">
        <v>344</v>
      </c>
      <c r="IC26" s="108"/>
      <c r="ID26" s="152" t="s">
        <v>444</v>
      </c>
      <c r="IE26" s="108"/>
      <c r="IF26" s="152" t="s">
        <v>752</v>
      </c>
      <c r="IG26" s="152" t="s">
        <v>752</v>
      </c>
      <c r="IH26" s="152"/>
      <c r="II26" s="108"/>
      <c r="IJ26" s="152" t="s">
        <v>444</v>
      </c>
      <c r="IK26" s="108"/>
    </row>
    <row r="27" spans="1:247" ht="15.75" customHeight="1">
      <c r="B27" s="40" t="s">
        <v>204</v>
      </c>
      <c r="C27" s="16">
        <v>8.3140000000000002E-3</v>
      </c>
      <c r="D27" s="15" t="s">
        <v>205</v>
      </c>
      <c r="O27" s="105"/>
      <c r="Q27" s="108"/>
      <c r="Z27" s="202" t="str">
        <f>IF(-Z$23/SUMPRODUCT(R4:R24,Z4:Z24)=Z25,"OK","ERROR")</f>
        <v>OK</v>
      </c>
      <c r="AB27" s="108"/>
      <c r="AK27" s="202" t="str">
        <f>IF(-AK$23/SUMPRODUCT(AC4:AC24,AK4:AK24)=AK25,"OK","ERROR")</f>
        <v>OK</v>
      </c>
      <c r="AM27" s="108"/>
      <c r="AV27" s="202" t="str">
        <f>IF(-AV$23/SUMPRODUCT(AN4:AN24,AV4:AV24)=AV25,"OK","ERROR")</f>
        <v>OK</v>
      </c>
      <c r="AX27" s="108"/>
      <c r="BG27" s="202" t="str">
        <f>IF(-BG$23/SUMPRODUCT(AY4:AY24,BG4:BG24)=BG25,"OK","ERROR")</f>
        <v>OK</v>
      </c>
      <c r="BI27" s="108"/>
      <c r="BR27" s="202" t="str">
        <f>IF(-BR$23/SUMPRODUCT(BJ4:BJ24,BR4:BR24)=BR25,"OK","ERROR")</f>
        <v>OK</v>
      </c>
      <c r="BT27" s="108"/>
      <c r="CC27" s="202" t="str">
        <f>IF(-CC$23/SUMPRODUCT(BU4:BU24,CC4:CC24)=CC25,"OK","ERROR")</f>
        <v>OK</v>
      </c>
      <c r="CE27" s="108"/>
      <c r="CN27" s="202" t="str">
        <f>IF(-CN$23/SUMPRODUCT(CF4:CF24,CN4:CN24)=CN25,"OK","ERROR")</f>
        <v>OK</v>
      </c>
      <c r="CP27" s="108"/>
      <c r="CY27" s="202" t="str">
        <f>IF(-CY$23/SUMPRODUCT(CQ4:CQ24,CY4:CY24)=CY25,"OK","ERROR")</f>
        <v>OK</v>
      </c>
      <c r="DA27" s="108"/>
      <c r="DJ27" s="202" t="str">
        <f>IF(-DJ$23/SUMPRODUCT(DB4:DB24,DJ4:DJ24)=DJ25,"OK","ERROR")</f>
        <v>OK</v>
      </c>
      <c r="DL27" s="108"/>
      <c r="DU27" s="202" t="str">
        <f>IF(-DU$23/SUMPRODUCT(DM4:DM24,DU4:DU24)=DU25,"OK","ERROR")</f>
        <v>OK</v>
      </c>
      <c r="DW27" s="108"/>
      <c r="EF27" s="202" t="str">
        <f>IF(-EF$23/SUMPRODUCT(DX4:DX24,EF4:EF24)=EF25,"OK","ERROR")</f>
        <v>OK</v>
      </c>
      <c r="EH27" s="108"/>
      <c r="EQ27" s="202" t="str">
        <f>IF(-EQ$23/SUMPRODUCT(EI4:EI24,EQ4:EQ24)=EQ25,"OK","ERROR")</f>
        <v>OK</v>
      </c>
      <c r="ES27" s="108"/>
      <c r="FB27" s="202" t="str">
        <f>IF(-FB$23/SUMPRODUCT(ET4:ET24,FB4:FB24)=FB25,"OK","ERROR")</f>
        <v>OK</v>
      </c>
      <c r="FD27" s="108"/>
      <c r="FM27" s="202" t="str">
        <f>IF(-FM$23/SUMPRODUCT(FE4:FE24,FM4:FM24)=FM25,"OK","ERROR")</f>
        <v>OK</v>
      </c>
      <c r="FO27" s="108"/>
      <c r="FX27" s="202" t="str">
        <f>IF(-FX$23/SUMPRODUCT(FP4:FP24,FX4:FX24)=FX25,"OK","ERROR")</f>
        <v>OK</v>
      </c>
      <c r="FZ27" s="108"/>
      <c r="GI27" s="202" t="str">
        <f>IF(-GI$23/SUMPRODUCT(GA4:GA24,GI4:GI24)=GI25,"OK","ERROR")</f>
        <v>OK</v>
      </c>
      <c r="GK27" s="108"/>
      <c r="GT27" s="202" t="str">
        <f>IF(-GT$23/SUMPRODUCT(GL4:GL24,GT4:GT24)=GT25,"OK","ERROR")</f>
        <v>OK</v>
      </c>
      <c r="GV27" s="108"/>
      <c r="HE27" s="202" t="str">
        <f>IF(-HE$23/SUMPRODUCT(GW4:GW24,HE4:HE24)=HE25,"OK","ERROR")</f>
        <v>OK</v>
      </c>
      <c r="HG27" s="108"/>
      <c r="HP27" s="202" t="str">
        <f>IF(-HP$23/SUMPRODUCT(HH4:HH24,HP4:HP24)=HP25,"OK","ERROR")</f>
        <v>OK</v>
      </c>
      <c r="HR27" s="108"/>
      <c r="IA27" s="202" t="str">
        <f>IF(-IA$23/SUMPRODUCT(HS4:HS24,IA4:IA24)=IA25,"OK","ERROR")</f>
        <v>OK</v>
      </c>
      <c r="IC27" s="108"/>
      <c r="ID27" s="201">
        <v>0.1</v>
      </c>
      <c r="IE27" s="108"/>
      <c r="IF27" s="299">
        <f>1-IG27</f>
        <v>0.23499999999999999</v>
      </c>
      <c r="IG27" s="201">
        <v>0.76500000000000001</v>
      </c>
      <c r="IH27" s="201"/>
      <c r="II27" s="108"/>
      <c r="IJ27" s="201">
        <v>0.1</v>
      </c>
      <c r="IK27" s="108"/>
    </row>
    <row r="28" spans="1:247" ht="15.75" customHeight="1" thickBot="1">
      <c r="B28" s="40" t="s">
        <v>206</v>
      </c>
      <c r="C28" s="389">
        <v>298</v>
      </c>
      <c r="D28" s="15" t="s">
        <v>207</v>
      </c>
      <c r="O28" s="105"/>
      <c r="Q28" s="108"/>
      <c r="AB28" s="108"/>
      <c r="AM28" s="108"/>
      <c r="AX28" s="108"/>
      <c r="BI28" s="108"/>
      <c r="BT28" s="108"/>
      <c r="CE28" s="108"/>
      <c r="CP28" s="108"/>
      <c r="DA28" s="108"/>
      <c r="DL28" s="108"/>
      <c r="DW28" s="108"/>
      <c r="EH28" s="108"/>
      <c r="ES28" s="108"/>
      <c r="FD28" s="108"/>
      <c r="FO28" s="108"/>
      <c r="FZ28" s="108"/>
      <c r="GK28" s="108"/>
      <c r="GV28" s="108"/>
      <c r="HG28" s="108"/>
      <c r="HR28" s="108"/>
      <c r="IC28" s="108"/>
      <c r="IE28" s="108"/>
      <c r="II28" s="108"/>
      <c r="IK28" s="108"/>
    </row>
    <row r="29" spans="1:247" ht="15.75" customHeight="1" thickTop="1" thickBot="1">
      <c r="C29" s="24" t="s">
        <v>200</v>
      </c>
      <c r="N29" s="24" t="s">
        <v>200</v>
      </c>
      <c r="O29" s="105"/>
      <c r="P29" s="11"/>
      <c r="Q29" s="108"/>
      <c r="S29" s="147">
        <f t="shared" ref="S29:Y29" si="127">+SUMPRODUCT($N$4:$N$24,S$4:S$24)</f>
        <v>-555.46079583482992</v>
      </c>
      <c r="T29" s="148">
        <f t="shared" si="127"/>
        <v>273.83137699293326</v>
      </c>
      <c r="U29" s="148">
        <f t="shared" si="127"/>
        <v>-281.62941884189667</v>
      </c>
      <c r="V29" s="148">
        <f t="shared" si="127"/>
        <v>-11.708883465093692</v>
      </c>
      <c r="W29" s="148">
        <f t="shared" si="127"/>
        <v>-555.46079583482992</v>
      </c>
      <c r="X29" s="148">
        <f t="shared" si="127"/>
        <v>-25.595403360964461</v>
      </c>
      <c r="Y29" s="148">
        <f t="shared" si="127"/>
        <v>-440.99879615276183</v>
      </c>
      <c r="Z29" s="149">
        <f>+SUMPRODUCT($N$4:$N$24,Y$4:Y$24)</f>
        <v>-440.99879615276183</v>
      </c>
      <c r="AA29" s="11"/>
      <c r="AB29" s="108"/>
      <c r="AD29" s="147">
        <f t="shared" ref="AD29:AJ29" si="128">+SUMPRODUCT($N$4:$N$24,AD$4:AD$24)</f>
        <v>-1010.4445021529241</v>
      </c>
      <c r="AE29" s="148">
        <f t="shared" si="128"/>
        <v>-308.20574867137782</v>
      </c>
      <c r="AF29" s="148">
        <f t="shared" si="128"/>
        <v>-2859.6789941811908</v>
      </c>
      <c r="AG29" s="148">
        <f t="shared" si="128"/>
        <v>-11.708883465093692</v>
      </c>
      <c r="AH29" s="148">
        <f t="shared" si="128"/>
        <v>-1010.4445021529241</v>
      </c>
      <c r="AI29" s="148">
        <f t="shared" si="128"/>
        <v>-20.129254316368076</v>
      </c>
      <c r="AJ29" s="148">
        <f t="shared" si="128"/>
        <v>-251.69343662729776</v>
      </c>
      <c r="AK29" s="149">
        <f>+SUMPRODUCT($N$4:$N$24,AJ$4:AJ$24)</f>
        <v>-251.69343662729776</v>
      </c>
      <c r="AL29" s="11">
        <f>-261.1*6</f>
        <v>-1566.6000000000001</v>
      </c>
      <c r="AM29" s="108"/>
      <c r="AO29" s="147">
        <f t="shared" ref="AO29:AU29" si="129">+SUMPRODUCT($N$4:$N$24,AO$4:AO$24)</f>
        <v>-227.49185315904708</v>
      </c>
      <c r="AP29" s="148">
        <f t="shared" si="129"/>
        <v>-308.20574867137782</v>
      </c>
      <c r="AQ29" s="148">
        <f t="shared" si="129"/>
        <v>-843.90335050180272</v>
      </c>
      <c r="AR29" s="148">
        <f t="shared" si="129"/>
        <v>42.952606980870129</v>
      </c>
      <c r="AS29" s="148">
        <f t="shared" si="129"/>
        <v>-227.49185315904708</v>
      </c>
      <c r="AT29" s="148">
        <f t="shared" si="129"/>
        <v>37.265310651893941</v>
      </c>
      <c r="AU29" s="148">
        <f t="shared" si="129"/>
        <v>-435.09300468071325</v>
      </c>
      <c r="AV29" s="149">
        <f>+SUMPRODUCT($N$4:$N$24,AU$4:AU$24)</f>
        <v>-435.09300468071325</v>
      </c>
      <c r="AW29" s="11"/>
      <c r="AX29" s="108"/>
      <c r="AZ29" s="147">
        <f t="shared" ref="AZ29:BF29" si="130">+SUMPRODUCT($N$4:$N$24,AZ$4:AZ$24)</f>
        <v>196.36913090233571</v>
      </c>
      <c r="BA29" s="148">
        <f t="shared" si="130"/>
        <v>-308.20574867137782</v>
      </c>
      <c r="BB29" s="148">
        <f t="shared" si="130"/>
        <v>-265.93949210473102</v>
      </c>
      <c r="BC29" s="148">
        <f t="shared" si="130"/>
        <v>156.69853356039366</v>
      </c>
      <c r="BD29" s="148">
        <f t="shared" si="130"/>
        <v>196.36913090233571</v>
      </c>
      <c r="BE29" s="148">
        <f t="shared" si="130"/>
        <v>294.15692519202867</v>
      </c>
      <c r="BF29" s="148">
        <f t="shared" si="130"/>
        <v>-3119.7747475574656</v>
      </c>
      <c r="BG29" s="149">
        <f>+SUMPRODUCT($N$4:$N$24,BF$4:BF$24)</f>
        <v>-3119.7747475574656</v>
      </c>
      <c r="BH29" s="11"/>
      <c r="BI29" s="108"/>
      <c r="BK29" s="147">
        <f t="shared" ref="BK29:BQ29" si="131">+SUMPRODUCT($N$4:$N$24,BK$4:BK$24)</f>
        <v>78.212515043727777</v>
      </c>
      <c r="BL29" s="148">
        <f t="shared" si="131"/>
        <v>-308.20574867137782</v>
      </c>
      <c r="BM29" s="148">
        <f t="shared" si="131"/>
        <v>-75.890359291961119</v>
      </c>
      <c r="BN29" s="148">
        <f t="shared" si="131"/>
        <v>117.4247073799265</v>
      </c>
      <c r="BO29" s="148">
        <f t="shared" si="131"/>
        <v>78.212515043727777</v>
      </c>
      <c r="BP29" s="148">
        <f t="shared" si="131"/>
        <v>328.5984979979915</v>
      </c>
      <c r="BQ29" s="148">
        <f t="shared" si="131"/>
        <v>-2983.1079179281351</v>
      </c>
      <c r="BR29" s="149">
        <f>+SUMPRODUCT($N$4:$N$24,BQ$4:BQ$24)</f>
        <v>-2983.1079179281351</v>
      </c>
      <c r="BS29" s="11"/>
      <c r="BT29" s="108"/>
      <c r="BV29" s="147">
        <f t="shared" ref="BV29:CB29" si="132">+SUMPRODUCT($N$4:$N$24,BV$4:BV$24)</f>
        <v>-1010.4445021529241</v>
      </c>
      <c r="BW29" s="148">
        <f t="shared" si="132"/>
        <v>-344.38174509234216</v>
      </c>
      <c r="BX29" s="148">
        <f t="shared" si="132"/>
        <v>-2663.4768785961664</v>
      </c>
      <c r="BY29" s="148">
        <f t="shared" si="132"/>
        <v>-66.625212654306424</v>
      </c>
      <c r="BZ29" s="148">
        <f t="shared" si="132"/>
        <v>-1010.4445021529241</v>
      </c>
      <c r="CA29" s="148">
        <f t="shared" si="132"/>
        <v>-142.4085503157757</v>
      </c>
      <c r="CB29" s="148">
        <f t="shared" si="132"/>
        <v>-260.47520023954587</v>
      </c>
      <c r="CC29" s="149">
        <f>+SUMPRODUCT($N$4:$N$24,CB$4:CB$24)</f>
        <v>-260.47520023954587</v>
      </c>
      <c r="CD29" s="11"/>
      <c r="CE29" s="108"/>
      <c r="CG29" s="147">
        <f t="shared" ref="CG29:CM29" si="133">+SUMPRODUCT($N$4:$N$24,CG$4:CG$24)</f>
        <v>-227.49185315904708</v>
      </c>
      <c r="CH29" s="148">
        <f t="shared" si="133"/>
        <v>-344.38174509234216</v>
      </c>
      <c r="CI29" s="148">
        <f t="shared" si="133"/>
        <v>-778.50264530679465</v>
      </c>
      <c r="CJ29" s="148">
        <f t="shared" si="133"/>
        <v>-11.963722208342602</v>
      </c>
      <c r="CK29" s="148">
        <f t="shared" si="133"/>
        <v>-227.49185315904708</v>
      </c>
      <c r="CL29" s="148">
        <f t="shared" si="133"/>
        <v>-63.149389169128241</v>
      </c>
      <c r="CM29" s="148">
        <f t="shared" si="133"/>
        <v>-449.2866910192887</v>
      </c>
      <c r="CN29" s="149">
        <f>+SUMPRODUCT($N$4:$N$24,CM$4:CM$24)</f>
        <v>-449.2866910192887</v>
      </c>
      <c r="CO29" s="11"/>
      <c r="CP29" s="108"/>
      <c r="CR29" s="147">
        <f t="shared" ref="CR29:CX29" si="134">+SUMPRODUCT($N$4:$N$24,CR$4:CR$24)</f>
        <v>-68.457844248233314</v>
      </c>
      <c r="CS29" s="148">
        <f t="shared" si="134"/>
        <v>-344.38174509234216</v>
      </c>
      <c r="CT29" s="148">
        <f t="shared" si="134"/>
        <v>-206.21054228517022</v>
      </c>
      <c r="CU29" s="148">
        <f t="shared" si="134"/>
        <v>-11.963722208342602</v>
      </c>
      <c r="CV29" s="148">
        <f t="shared" si="134"/>
        <v>-68.457844248233314</v>
      </c>
      <c r="CW29" s="148">
        <f t="shared" si="134"/>
        <v>-73.57578203175261</v>
      </c>
      <c r="CX29" s="148">
        <f t="shared" si="134"/>
        <v>-895.1185716654071</v>
      </c>
      <c r="CY29" s="149">
        <f>+SUMPRODUCT($N$4:$N$24,CX$4:CX$24)</f>
        <v>-895.1185716654071</v>
      </c>
      <c r="CZ29" s="11"/>
      <c r="DA29" s="108"/>
      <c r="DC29" s="147">
        <f t="shared" ref="DC29:DI29" si="135">+SUMPRODUCT($N$4:$N$24,DC$4:DC$24)</f>
        <v>-227.49185315904708</v>
      </c>
      <c r="DD29" s="148">
        <f t="shared" si="135"/>
        <v>165.54963761117023</v>
      </c>
      <c r="DE29" s="148">
        <f t="shared" si="135"/>
        <v>-61.94221554787687</v>
      </c>
      <c r="DF29" s="148">
        <f t="shared" si="135"/>
        <v>42.952606980870129</v>
      </c>
      <c r="DG29" s="148">
        <f t="shared" si="135"/>
        <v>-227.49185315904708</v>
      </c>
      <c r="DH29" s="148">
        <f t="shared" si="135"/>
        <v>37.265310651893941</v>
      </c>
      <c r="DI29" s="148">
        <f t="shared" si="135"/>
        <v>-709.52549078789605</v>
      </c>
      <c r="DJ29" s="149">
        <f>+SUMPRODUCT($N$4:$N$24,DI$4:DI$24)</f>
        <v>-709.52549078789605</v>
      </c>
      <c r="DK29" s="11"/>
      <c r="DL29" s="108"/>
      <c r="DN29" s="147">
        <f t="shared" ref="DN29:DT29" si="136">+SUMPRODUCT($N$4:$N$24,DN$4:DN$24)</f>
        <v>-68.457844248233314</v>
      </c>
      <c r="DO29" s="148">
        <f t="shared" si="136"/>
        <v>165.54963761117023</v>
      </c>
      <c r="DP29" s="148">
        <f t="shared" si="136"/>
        <v>-27.070434845440779</v>
      </c>
      <c r="DQ29" s="148">
        <f t="shared" si="136"/>
        <v>42.952606980870129</v>
      </c>
      <c r="DR29" s="148">
        <f t="shared" si="136"/>
        <v>-68.457844248233314</v>
      </c>
      <c r="DS29" s="148">
        <f t="shared" si="136"/>
        <v>36.106822556046779</v>
      </c>
      <c r="DT29" s="148">
        <f t="shared" si="136"/>
        <v>-1323.5057067931693</v>
      </c>
      <c r="DU29" s="149">
        <f>+SUMPRODUCT($N$4:$N$24,DT$4:DT$24)</f>
        <v>-1323.5057067931693</v>
      </c>
      <c r="DV29" s="11"/>
      <c r="DW29" s="108"/>
      <c r="DY29" s="147">
        <f t="shared" ref="DY29:EE29" si="137">+SUMPRODUCT($N$4:$N$24,DY$4:DY$24)</f>
        <v>-165.54963761117023</v>
      </c>
      <c r="DZ29" s="148">
        <f t="shared" si="137"/>
        <v>-308.20574867137782</v>
      </c>
      <c r="EA29" s="148">
        <f t="shared" si="137"/>
        <v>-781.96113495392592</v>
      </c>
      <c r="EB29" s="148">
        <f t="shared" si="137"/>
        <v>156.69853356039366</v>
      </c>
      <c r="EC29" s="148">
        <f t="shared" si="137"/>
        <v>-165.54963761117023</v>
      </c>
      <c r="ED29" s="148">
        <f t="shared" si="137"/>
        <v>69.78497381452928</v>
      </c>
      <c r="EE29" s="148">
        <f t="shared" si="137"/>
        <v>-907.82705426521784</v>
      </c>
      <c r="EF29" s="149">
        <f>+SUMPRODUCT($N$4:$N$24,EE$4:EE$24)</f>
        <v>-907.82705426521784</v>
      </c>
      <c r="EG29" s="11"/>
      <c r="EH29" s="108"/>
      <c r="EJ29" s="147">
        <f t="shared" ref="EJ29:EP29" si="138">+SUMPRODUCT($N$4:$N$24,EJ$4:EJ$24)</f>
        <v>-165.54963761117023</v>
      </c>
      <c r="EK29" s="148">
        <f t="shared" si="138"/>
        <v>-344.38174509234216</v>
      </c>
      <c r="EL29" s="148">
        <f t="shared" si="138"/>
        <v>-716.56042975891773</v>
      </c>
      <c r="EM29" s="148">
        <f t="shared" si="138"/>
        <v>101.78220437118091</v>
      </c>
      <c r="EN29" s="148">
        <f t="shared" si="138"/>
        <v>-165.54963761117023</v>
      </c>
      <c r="EO29" s="148">
        <f t="shared" si="138"/>
        <v>-18.241282896917426</v>
      </c>
      <c r="EP29" s="148">
        <f t="shared" si="138"/>
        <v>-930.23531031213372</v>
      </c>
      <c r="EQ29" s="149">
        <f>+SUMPRODUCT($N$4:$N$24,EP$4:EP$24)</f>
        <v>-930.23531031213372</v>
      </c>
      <c r="ER29" s="11"/>
      <c r="ES29" s="108"/>
      <c r="EU29" s="147">
        <f t="shared" ref="EU29:FA29" si="139">+SUMPRODUCT($N$4:$N$24,EU$4:EU$24)</f>
        <v>62.890359291961119</v>
      </c>
      <c r="EV29" s="148">
        <f t="shared" si="139"/>
        <v>-308.20574867137782</v>
      </c>
      <c r="EW29" s="148">
        <f t="shared" si="139"/>
        <v>-14.161077875883343</v>
      </c>
      <c r="EX29" s="148">
        <f t="shared" si="139"/>
        <v>-11.963722208342602</v>
      </c>
      <c r="EY29" s="148">
        <f t="shared" si="139"/>
        <v>62.890359291961119</v>
      </c>
      <c r="EZ29" s="148">
        <f t="shared" si="139"/>
        <v>101.2389245171874</v>
      </c>
      <c r="FA29" s="148">
        <f t="shared" si="139"/>
        <v>-457.09999969771343</v>
      </c>
      <c r="FB29" s="149">
        <f>+SUMPRODUCT($N$4:$N$24,FA$4:FA$24)</f>
        <v>-457.09999969771343</v>
      </c>
      <c r="FC29" s="11"/>
      <c r="FD29" s="108"/>
      <c r="FF29" s="147">
        <f t="shared" ref="FF29:FL29" si="140">+SUMPRODUCT($N$4:$N$24,FF$4:FF$24)</f>
        <v>62.890359291961119</v>
      </c>
      <c r="FG29" s="148">
        <f t="shared" si="140"/>
        <v>-344.38174509234216</v>
      </c>
      <c r="FH29" s="148">
        <f t="shared" si="140"/>
        <v>-5.9859897265073343</v>
      </c>
      <c r="FI29" s="148">
        <f t="shared" si="140"/>
        <v>-11.963722208342602</v>
      </c>
      <c r="FJ29" s="148">
        <f t="shared" si="140"/>
        <v>62.890359291961119</v>
      </c>
      <c r="FK29" s="148">
        <f t="shared" si="140"/>
        <v>101.2389245171874</v>
      </c>
      <c r="FL29" s="148">
        <f t="shared" si="140"/>
        <v>-457.09994574466236</v>
      </c>
      <c r="FM29" s="149">
        <f>+SUMPRODUCT($N$4:$N$24,FL$4:FL$24)</f>
        <v>-457.09994574466236</v>
      </c>
      <c r="FN29" s="11"/>
      <c r="FO29" s="108"/>
      <c r="FQ29" s="147">
        <f t="shared" ref="FQ29:FW29" si="141">+SUMPRODUCT($N$4:$N$24,FQ$4:FQ$24)</f>
        <v>-227.49185315904708</v>
      </c>
      <c r="FR29" s="148">
        <f t="shared" si="141"/>
        <v>-62.890359291961119</v>
      </c>
      <c r="FS29" s="148">
        <f t="shared" si="141"/>
        <v>-730.61472749473614</v>
      </c>
      <c r="FT29" s="148">
        <f t="shared" si="141"/>
        <v>42.952606980870129</v>
      </c>
      <c r="FU29" s="148">
        <f t="shared" si="141"/>
        <v>-227.49185315904708</v>
      </c>
      <c r="FV29" s="148">
        <f t="shared" si="141"/>
        <v>37.265310651893941</v>
      </c>
      <c r="FW29" s="148">
        <f t="shared" si="141"/>
        <v>-457.0995591516741</v>
      </c>
      <c r="FX29" s="149">
        <f>+SUMPRODUCT($N$4:$N$24,FW$4:FW$24)</f>
        <v>-457.0995591516741</v>
      </c>
      <c r="FY29" s="11"/>
      <c r="FZ29" s="108"/>
      <c r="GB29" s="147">
        <f t="shared" ref="GB29:GH29" si="142">+SUMPRODUCT($N$4:$N$24,GB$4:GB$24)</f>
        <v>-68.457844248233314</v>
      </c>
      <c r="GC29" s="148">
        <f t="shared" si="142"/>
        <v>-62.890359291961119</v>
      </c>
      <c r="GD29" s="148">
        <f t="shared" si="142"/>
        <v>-194.23856283215554</v>
      </c>
      <c r="GE29" s="148">
        <f t="shared" si="142"/>
        <v>42.952606980870129</v>
      </c>
      <c r="GF29" s="148">
        <f t="shared" si="142"/>
        <v>-68.457844248233314</v>
      </c>
      <c r="GG29" s="148">
        <f t="shared" si="142"/>
        <v>36.106822556046779</v>
      </c>
      <c r="GH29" s="148">
        <f t="shared" si="142"/>
        <v>-878.09045744798141</v>
      </c>
      <c r="GI29" s="149">
        <f>+SUMPRODUCT($N$4:$N$24,GH$4:GH$24)</f>
        <v>-878.09045744798141</v>
      </c>
      <c r="GJ29" s="11"/>
      <c r="GK29" s="108"/>
      <c r="GM29" s="147">
        <f t="shared" ref="GM29:GS29" si="143">+SUMPRODUCT($N$4:$N$24,GM$4:GM$24)</f>
        <v>-227.49185315904708</v>
      </c>
      <c r="GN29" s="148">
        <f t="shared" si="143"/>
        <v>162.84881894691921</v>
      </c>
      <c r="GO29" s="148">
        <f t="shared" si="143"/>
        <v>-64.64303421212783</v>
      </c>
      <c r="GP29" s="148">
        <f t="shared" si="143"/>
        <v>42.952606980870129</v>
      </c>
      <c r="GQ29" s="148">
        <f t="shared" si="143"/>
        <v>-227.49185315904708</v>
      </c>
      <c r="GR29" s="148">
        <f t="shared" si="143"/>
        <v>37.265310651893941</v>
      </c>
      <c r="GS29" s="148">
        <f t="shared" si="143"/>
        <v>-268.9810639280617</v>
      </c>
      <c r="GT29" s="149">
        <f>+SUMPRODUCT($N$4:$N$24,GS$4:GS$24)</f>
        <v>-268.9810639280617</v>
      </c>
      <c r="GU29" s="11"/>
      <c r="GV29" s="108"/>
      <c r="GX29" s="147">
        <f t="shared" ref="GX29:HD29" si="144">+SUMPRODUCT($N$4:$N$24,GX$4:GX$24)</f>
        <v>-68.457844248233314</v>
      </c>
      <c r="GY29" s="148">
        <f t="shared" si="144"/>
        <v>195.17033605298315</v>
      </c>
      <c r="GZ29" s="148">
        <f t="shared" si="144"/>
        <v>-19.665260234987528</v>
      </c>
      <c r="HA29" s="148">
        <f t="shared" si="144"/>
        <v>156.69853356039366</v>
      </c>
      <c r="HB29" s="148">
        <f t="shared" si="144"/>
        <v>-68.457844248233314</v>
      </c>
      <c r="HC29" s="148">
        <f t="shared" si="144"/>
        <v>12.937060639103677</v>
      </c>
      <c r="HD29" s="148">
        <f t="shared" si="144"/>
        <v>-601.27456736700663</v>
      </c>
      <c r="HE29" s="149">
        <f>+SUMPRODUCT($N$4:$N$24,HD$4:HD$24)</f>
        <v>-601.27456736700663</v>
      </c>
      <c r="HF29" s="11"/>
      <c r="HG29" s="108"/>
      <c r="HI29" s="147">
        <f t="shared" ref="HI29:HO29" si="145">+SUMPRODUCT($N$4:$N$24,HI$4:HI$24)</f>
        <v>-195.17033605298315</v>
      </c>
      <c r="HJ29" s="148">
        <f t="shared" si="145"/>
        <v>-308.20574867137782</v>
      </c>
      <c r="HK29" s="148">
        <f t="shared" si="145"/>
        <v>-811.58183339573884</v>
      </c>
      <c r="HL29" s="148">
        <f t="shared" si="145"/>
        <v>-38.471802492589489</v>
      </c>
      <c r="HM29" s="148">
        <f t="shared" si="145"/>
        <v>-308.20574867137782</v>
      </c>
      <c r="HN29" s="148">
        <f t="shared" si="145"/>
        <v>-331.26726373039844</v>
      </c>
      <c r="HO29" s="148">
        <f t="shared" si="145"/>
        <v>-1031.3272504850211</v>
      </c>
      <c r="HP29" s="149">
        <f>+SUMPRODUCT($N$4:$N$24,HO$4:HO$24)</f>
        <v>-1031.3272504850211</v>
      </c>
      <c r="HQ29" s="11"/>
      <c r="HR29" s="108"/>
      <c r="HT29" s="147">
        <f t="shared" ref="HT29:HZ29" si="146">+SUMPRODUCT($N$4:$N$24,HT$4:HT$24)</f>
        <v>-195.17033605298315</v>
      </c>
      <c r="HU29" s="148">
        <f t="shared" si="146"/>
        <v>165.54963761117023</v>
      </c>
      <c r="HV29" s="148">
        <f t="shared" si="146"/>
        <v>-29.620698441812955</v>
      </c>
      <c r="HW29" s="148">
        <f t="shared" si="146"/>
        <v>-38.471802492589489</v>
      </c>
      <c r="HX29" s="148">
        <f t="shared" si="146"/>
        <v>165.54963761117023</v>
      </c>
      <c r="HY29" s="148">
        <f t="shared" si="146"/>
        <v>40.164275372716361</v>
      </c>
      <c r="HZ29" s="148">
        <f t="shared" si="146"/>
        <v>-1105.9649612414139</v>
      </c>
      <c r="IA29" s="149">
        <f>+SUMPRODUCT($N$4:$N$24,HZ$4:HZ$24)</f>
        <v>-1105.9649612414139</v>
      </c>
      <c r="IB29" s="11"/>
      <c r="IC29" s="108"/>
      <c r="ID29" s="147">
        <f>+SUMPRODUCT($N$4:$N$24,ID$4:ID$24)</f>
        <v>-303.2123053102917</v>
      </c>
      <c r="IE29" s="108"/>
      <c r="IF29" s="147">
        <f>+SUMPRODUCT($N$4:$N$24,IF$4:IF$24)</f>
        <v>20.945077987550363</v>
      </c>
      <c r="IG29" s="147">
        <f>+SUMPRODUCT($N$4:$N$24,IG$4:IG$24)</f>
        <v>2.3904100976332927</v>
      </c>
      <c r="IH29" s="147">
        <f>+SUMPRODUCT($N$4:$N$24,IH$4:IH$24)</f>
        <v>6.7507570517638058</v>
      </c>
      <c r="II29" s="108"/>
      <c r="IJ29" s="147">
        <f>+SUMPRODUCT($N$4:$N$24,IJ$4:IJ$24)</f>
        <v>18.554667889917042</v>
      </c>
      <c r="IK29" s="108"/>
      <c r="IM29" s="16"/>
    </row>
    <row r="30" spans="1:247" ht="13.5" customHeight="1" thickTop="1" thickBot="1">
      <c r="C30" s="24" t="s">
        <v>201</v>
      </c>
      <c r="N30" s="24" t="s">
        <v>201</v>
      </c>
      <c r="O30" s="105"/>
      <c r="P30" s="11"/>
      <c r="Q30" s="108"/>
      <c r="S30" s="147">
        <f>+S34+S21*$C$27*298*LN(10^(-7))</f>
        <v>-518.57742478136106</v>
      </c>
      <c r="T30" s="148">
        <f t="shared" ref="T30:Z30" si="147">+T34+T21*$C$27*298*LN(10^(-7))</f>
        <v>389.66993982508882</v>
      </c>
      <c r="U30" s="148">
        <f t="shared" si="147"/>
        <v>-128.90748495627219</v>
      </c>
      <c r="V30" s="148">
        <f t="shared" si="147"/>
        <v>-16.846000000000004</v>
      </c>
      <c r="W30" s="148">
        <f t="shared" si="147"/>
        <v>-518.57742478136106</v>
      </c>
      <c r="X30" s="148">
        <f t="shared" si="147"/>
        <v>-29.810435619534069</v>
      </c>
      <c r="Y30" s="148">
        <f t="shared" si="147"/>
        <v>-219.94897593003537</v>
      </c>
      <c r="Z30" s="149">
        <f t="shared" si="147"/>
        <v>-168.83378555802113</v>
      </c>
      <c r="AA30" s="11"/>
      <c r="AB30" s="108"/>
      <c r="AD30" s="147">
        <f>+AD34+AD21*$C$27*298*LN(10^(-7))</f>
        <v>-934.10981947526659</v>
      </c>
      <c r="AE30" s="148">
        <f t="shared" ref="AE30:AK30" si="148">+AE34+AE21*$C$27*298*LN(10^(-7))</f>
        <v>-331.02503008745555</v>
      </c>
      <c r="AF30" s="148">
        <f t="shared" si="148"/>
        <v>-2920.26</v>
      </c>
      <c r="AG30" s="148">
        <f t="shared" si="148"/>
        <v>-16.846000000000004</v>
      </c>
      <c r="AH30" s="148">
        <f t="shared" si="148"/>
        <v>-934.10981947526659</v>
      </c>
      <c r="AI30" s="148">
        <f t="shared" si="148"/>
        <v>-24.630248495627253</v>
      </c>
      <c r="AJ30" s="148">
        <f t="shared" si="148"/>
        <v>-261.10001325289124</v>
      </c>
      <c r="AK30" s="149">
        <f t="shared" si="148"/>
        <v>-284.31447664076182</v>
      </c>
      <c r="AL30" s="11"/>
      <c r="AM30" s="108"/>
      <c r="AO30" s="147">
        <f>+AO34+AO21*$C$27*298*LN(10^(-7))</f>
        <v>-207.76619734695271</v>
      </c>
      <c r="AP30" s="148">
        <f t="shared" ref="AP30:AV30" si="149">+AP34+AP21*$C$27*298*LN(10^(-7))</f>
        <v>-331.02503008745555</v>
      </c>
      <c r="AQ30" s="148">
        <f t="shared" si="149"/>
        <v>-869.81625752186392</v>
      </c>
      <c r="AR30" s="148">
        <f t="shared" si="149"/>
        <v>34.95587123906806</v>
      </c>
      <c r="AS30" s="148">
        <f t="shared" si="149"/>
        <v>-207.76619734695271</v>
      </c>
      <c r="AT30" s="148">
        <f t="shared" si="149"/>
        <v>29.761716305394231</v>
      </c>
      <c r="AU30" s="148">
        <f t="shared" si="149"/>
        <v>-457.10083946906963</v>
      </c>
      <c r="AV30" s="149">
        <f t="shared" si="149"/>
        <v>-459.86057924146581</v>
      </c>
      <c r="AW30" s="11"/>
      <c r="AX30" s="108"/>
      <c r="AZ30" s="147">
        <f>+AZ34+AZ21*$C$27*298*LN(10^(-7))</f>
        <v>202.06006017491114</v>
      </c>
      <c r="BA30" s="148">
        <f t="shared" ref="BA30:BG30" si="150">+BA34+BA21*$C$27*298*LN(10^(-7))</f>
        <v>-331.02503008745555</v>
      </c>
      <c r="BB30" s="148">
        <f t="shared" si="150"/>
        <v>-294.47748495627224</v>
      </c>
      <c r="BC30" s="148">
        <f t="shared" si="150"/>
        <v>138.83896991254446</v>
      </c>
      <c r="BD30" s="148">
        <f t="shared" si="150"/>
        <v>202.06006017491114</v>
      </c>
      <c r="BE30" s="148">
        <f t="shared" si="150"/>
        <v>280.28101203498221</v>
      </c>
      <c r="BF30" s="148">
        <f t="shared" si="150"/>
        <v>-3500.0000016924478</v>
      </c>
      <c r="BG30" s="149">
        <f t="shared" si="150"/>
        <v>-2490.1132555757322</v>
      </c>
      <c r="BH30" s="11"/>
      <c r="BI30" s="108"/>
      <c r="BK30" s="147">
        <f>+BK34+BK21*$C$27*298*LN(10^(-7))</f>
        <v>78.212515043727805</v>
      </c>
      <c r="BL30" s="148">
        <f t="shared" ref="BL30:BR30" si="151">+BL34+BL21*$C$27*298*LN(10^(-7))</f>
        <v>-331.02503008745555</v>
      </c>
      <c r="BM30" s="148">
        <f t="shared" si="151"/>
        <v>-87.3</v>
      </c>
      <c r="BN30" s="148">
        <f t="shared" si="151"/>
        <v>98.426957877562188</v>
      </c>
      <c r="BO30" s="148">
        <f t="shared" si="151"/>
        <v>78.212515043727805</v>
      </c>
      <c r="BP30" s="148">
        <f t="shared" si="151"/>
        <v>309.60074849562722</v>
      </c>
      <c r="BQ30" s="148">
        <f t="shared" si="151"/>
        <v>-3500.0000072221774</v>
      </c>
      <c r="BR30" s="149">
        <f t="shared" si="151"/>
        <v>-3507.8151380741838</v>
      </c>
      <c r="BS30" s="11"/>
      <c r="BT30" s="108"/>
      <c r="BV30" s="147">
        <f>+BV34+BV21*$C$27*298*LN(10^(-7))</f>
        <v>-934.10981947526659</v>
      </c>
      <c r="BW30" s="148">
        <f t="shared" ref="BW30:CC30" si="152">+BW34+BW21*$C$27*298*LN(10^(-7))</f>
        <v>-360.6375451311834</v>
      </c>
      <c r="BX30" s="148">
        <f t="shared" si="152"/>
        <v>-2665.1700361049466</v>
      </c>
      <c r="BY30" s="148">
        <f t="shared" si="152"/>
        <v>-72.900515043727822</v>
      </c>
      <c r="BZ30" s="148">
        <f t="shared" si="152"/>
        <v>-934.10981947526659</v>
      </c>
      <c r="CA30" s="148">
        <f t="shared" si="152"/>
        <v>-142.9587515043728</v>
      </c>
      <c r="CB30" s="148">
        <f t="shared" si="152"/>
        <v>-261.10045574397407</v>
      </c>
      <c r="CC30" s="149">
        <f t="shared" si="152"/>
        <v>-219.94794465175772</v>
      </c>
      <c r="CD30" s="11"/>
      <c r="CE30" s="108"/>
      <c r="CG30" s="147">
        <f>+CG34+CG21*$C$27*298*LN(10^(-7))</f>
        <v>-207.76619734695271</v>
      </c>
      <c r="CH30" s="148">
        <f t="shared" ref="CH30:CN30" si="153">+CH34+CH21*$C$27*298*LN(10^(-7))</f>
        <v>-360.6375451311834</v>
      </c>
      <c r="CI30" s="148">
        <f t="shared" si="153"/>
        <v>-784.78626955684626</v>
      </c>
      <c r="CJ30" s="148">
        <f t="shared" si="153"/>
        <v>-21.098643804659744</v>
      </c>
      <c r="CK30" s="148">
        <f t="shared" si="153"/>
        <v>-207.76619734695271</v>
      </c>
      <c r="CL30" s="148">
        <f t="shared" si="153"/>
        <v>-67.846038207724149</v>
      </c>
      <c r="CM30" s="148">
        <f t="shared" si="153"/>
        <v>-457.10001760340407</v>
      </c>
      <c r="CN30" s="149">
        <f t="shared" si="153"/>
        <v>-473.10708931022486</v>
      </c>
      <c r="CO30" s="11"/>
      <c r="CP30" s="108"/>
      <c r="CR30" s="147">
        <f>+CR34+CR21*$C$27*298*LN(10^(-7))</f>
        <v>-97.417484956272204</v>
      </c>
      <c r="CS30" s="148">
        <f t="shared" ref="CS30:CY30" si="154">+CS34+CS21*$C$27*298*LN(10^(-7))</f>
        <v>-360.6375451311834</v>
      </c>
      <c r="CT30" s="148">
        <f t="shared" si="154"/>
        <v>-241.67250300874557</v>
      </c>
      <c r="CU30" s="148">
        <f t="shared" si="154"/>
        <v>-21.098643804659744</v>
      </c>
      <c r="CV30" s="148">
        <f t="shared" si="154"/>
        <v>-97.417484956272204</v>
      </c>
      <c r="CW30" s="148">
        <f t="shared" si="154"/>
        <v>-108.77438026530473</v>
      </c>
      <c r="CX30" s="148">
        <f t="shared" si="154"/>
        <v>-1071.597619559172</v>
      </c>
      <c r="CY30" s="149">
        <f t="shared" si="154"/>
        <v>-1144.4361631843194</v>
      </c>
      <c r="CZ30" s="11"/>
      <c r="DA30" s="108"/>
      <c r="DC30" s="147">
        <f>+DC34+DC21*$C$27*298*LN(10^(-7))</f>
        <v>-207.76619734695271</v>
      </c>
      <c r="DD30" s="148">
        <f t="shared" ref="DD30:DJ30" si="155">+DD34+DD21*$C$27*298*LN(10^(-7))</f>
        <v>167.38368230322499</v>
      </c>
      <c r="DE30" s="148">
        <f t="shared" si="155"/>
        <v>-40.382515043727736</v>
      </c>
      <c r="DF30" s="148">
        <f t="shared" si="155"/>
        <v>34.95587123906806</v>
      </c>
      <c r="DG30" s="148">
        <f t="shared" si="155"/>
        <v>-207.76619734695271</v>
      </c>
      <c r="DH30" s="148">
        <f t="shared" si="155"/>
        <v>29.761716305394231</v>
      </c>
      <c r="DI30" s="148">
        <f t="shared" si="155"/>
        <v>-457.09995802962271</v>
      </c>
      <c r="DJ30" s="149">
        <f t="shared" si="155"/>
        <v>-1355.4144594357376</v>
      </c>
      <c r="DK30" s="11"/>
      <c r="DL30" s="108"/>
      <c r="DN30" s="147">
        <f>+DN34+DN21*$C$27*298*LN(10^(-7))</f>
        <v>-97.417484956272204</v>
      </c>
      <c r="DO30" s="148">
        <f t="shared" ref="DO30:DU30" si="156">+DO34+DO21*$C$27*298*LN(10^(-7))</f>
        <v>167.38368230322499</v>
      </c>
      <c r="DP30" s="148">
        <f t="shared" si="156"/>
        <v>-55.571564380465979</v>
      </c>
      <c r="DQ30" s="148">
        <f t="shared" si="156"/>
        <v>34.95587123906806</v>
      </c>
      <c r="DR30" s="148">
        <f t="shared" si="156"/>
        <v>-97.417484956272204</v>
      </c>
      <c r="DS30" s="148">
        <f t="shared" si="156"/>
        <v>25.214122743440839</v>
      </c>
      <c r="DT30" s="148">
        <f t="shared" si="156"/>
        <v>-2765.8675735279967</v>
      </c>
      <c r="DU30" s="149">
        <f t="shared" si="156"/>
        <v>-3269.0640750521602</v>
      </c>
      <c r="DV30" s="11"/>
      <c r="DW30" s="108"/>
      <c r="DY30" s="147">
        <f>+DY34+DY21*$C$27*298*LN(10^(-7))</f>
        <v>-167.38368230322499</v>
      </c>
      <c r="DZ30" s="148">
        <f t="shared" ref="DZ30:EF30" si="157">+DZ34+DZ21*$C$27*298*LN(10^(-7))</f>
        <v>-331.02503008745555</v>
      </c>
      <c r="EA30" s="148">
        <f t="shared" si="157"/>
        <v>-829.43374247813608</v>
      </c>
      <c r="EB30" s="148">
        <f t="shared" si="157"/>
        <v>138.83896991254446</v>
      </c>
      <c r="EC30" s="148">
        <f t="shared" si="157"/>
        <v>-167.38368230322499</v>
      </c>
      <c r="ED30" s="148">
        <f t="shared" si="157"/>
        <v>50.962536703351304</v>
      </c>
      <c r="EE30" s="148">
        <f t="shared" si="157"/>
        <v>-986.00000132560376</v>
      </c>
      <c r="EF30" s="149">
        <f t="shared" si="157"/>
        <v>-951.5554563077053</v>
      </c>
      <c r="EG30" s="11"/>
      <c r="EH30" s="108"/>
      <c r="EJ30" s="147">
        <f>+EJ34+EJ21*$C$27*298*LN(10^(-7))</f>
        <v>-167.38368230322499</v>
      </c>
      <c r="EK30" s="148">
        <f t="shared" ref="EK30:EQ30" si="158">+EK34+EK21*$C$27*298*LN(10^(-7))</f>
        <v>-360.6375451311834</v>
      </c>
      <c r="EL30" s="148">
        <f t="shared" si="158"/>
        <v>-744.40375451311843</v>
      </c>
      <c r="EM30" s="148">
        <f t="shared" si="158"/>
        <v>82.784454868816596</v>
      </c>
      <c r="EN30" s="148">
        <f t="shared" si="158"/>
        <v>-167.38368230322499</v>
      </c>
      <c r="EO30" s="148">
        <f t="shared" si="158"/>
        <v>-38.568714801021486</v>
      </c>
      <c r="EP30" s="148">
        <f t="shared" si="158"/>
        <v>-986.00001285614269</v>
      </c>
      <c r="EQ30" s="149">
        <f t="shared" si="158"/>
        <v>-990.75957444960329</v>
      </c>
      <c r="ER30" s="11"/>
      <c r="ES30" s="108"/>
      <c r="EU30" s="147">
        <f>+EU34+EU21*$C$27*298*LN(10^(-7))</f>
        <v>74.300000000000011</v>
      </c>
      <c r="EV30" s="148">
        <f t="shared" ref="EV30:FB30" si="159">+EV34+EV21*$C$27*298*LN(10^(-7))</f>
        <v>-331.02503008745555</v>
      </c>
      <c r="EW30" s="148">
        <f t="shared" si="159"/>
        <v>-8.4562575218638827</v>
      </c>
      <c r="EX30" s="148">
        <f t="shared" si="159"/>
        <v>-21.098643804659744</v>
      </c>
      <c r="EY30" s="148">
        <f t="shared" si="159"/>
        <v>74.300000000000011</v>
      </c>
      <c r="EZ30" s="148">
        <f t="shared" si="159"/>
        <v>112.64135619534029</v>
      </c>
      <c r="FA30" s="148">
        <f t="shared" si="159"/>
        <v>-220.76954437476434</v>
      </c>
      <c r="FB30" s="149">
        <f t="shared" si="159"/>
        <v>-1854.4882937750203</v>
      </c>
      <c r="FC30" s="11"/>
      <c r="FD30" s="108"/>
      <c r="FF30" s="147">
        <f>+FF34+FF21*$C$27*298*LN(10^(-7))</f>
        <v>74.300000000000011</v>
      </c>
      <c r="FG30" s="148">
        <f t="shared" ref="FG30:FM30" si="160">+FG34+FG21*$C$27*298*LN(10^(-7))</f>
        <v>-360.6375451311834</v>
      </c>
      <c r="FH30" s="148">
        <f t="shared" si="160"/>
        <v>2.172490973763324</v>
      </c>
      <c r="FI30" s="148">
        <f t="shared" si="160"/>
        <v>-21.098643804659744</v>
      </c>
      <c r="FJ30" s="148">
        <f t="shared" si="160"/>
        <v>74.300000000000011</v>
      </c>
      <c r="FK30" s="148">
        <f t="shared" si="160"/>
        <v>112.64135619534029</v>
      </c>
      <c r="FL30" s="148">
        <f t="shared" si="160"/>
        <v>315.27888338214689</v>
      </c>
      <c r="FM30" s="149">
        <f t="shared" si="160"/>
        <v>-4206.2413729728378</v>
      </c>
      <c r="FN30" s="11"/>
      <c r="FO30" s="108"/>
      <c r="FQ30" s="147">
        <f>+FQ34+FQ21*$C$27*298*LN(10^(-7))</f>
        <v>-207.76619734695271</v>
      </c>
      <c r="FR30" s="148">
        <f t="shared" ref="FR30:FX30" si="161">+FR34+FR21*$C$27*298*LN(10^(-7))</f>
        <v>-74.300000000000011</v>
      </c>
      <c r="FS30" s="148">
        <f t="shared" si="161"/>
        <v>-802.16619734695269</v>
      </c>
      <c r="FT30" s="148">
        <f t="shared" si="161"/>
        <v>34.95587123906806</v>
      </c>
      <c r="FU30" s="148">
        <f t="shared" si="161"/>
        <v>-207.76619734695271</v>
      </c>
      <c r="FV30" s="148">
        <f t="shared" si="161"/>
        <v>29.761716305394231</v>
      </c>
      <c r="FW30" s="148">
        <f t="shared" si="161"/>
        <v>-513.01790856208663</v>
      </c>
      <c r="FX30" s="149">
        <f t="shared" si="161"/>
        <v>-483.45599902549498</v>
      </c>
      <c r="FY30" s="11"/>
      <c r="FZ30" s="108"/>
      <c r="GB30" s="147">
        <f>+GB34+GB21*$C$27*298*LN(10^(-7))</f>
        <v>-97.417484956272204</v>
      </c>
      <c r="GC30" s="148">
        <f t="shared" ref="GC30:GI30" si="162">+GC34+GC21*$C$27*298*LN(10^(-7))</f>
        <v>-74.300000000000011</v>
      </c>
      <c r="GD30" s="148">
        <f t="shared" si="162"/>
        <v>-246.01748495627226</v>
      </c>
      <c r="GE30" s="148">
        <f t="shared" si="162"/>
        <v>34.95587123906806</v>
      </c>
      <c r="GF30" s="148">
        <f t="shared" si="162"/>
        <v>-97.417484956272204</v>
      </c>
      <c r="GG30" s="148">
        <f t="shared" si="162"/>
        <v>25.214122743440839</v>
      </c>
      <c r="GH30" s="148">
        <f t="shared" si="162"/>
        <v>-1132.6842487287722</v>
      </c>
      <c r="GI30" s="149">
        <f t="shared" si="162"/>
        <v>-844.4759146364654</v>
      </c>
      <c r="GJ30" s="11"/>
      <c r="GK30" s="108"/>
      <c r="GM30" s="147">
        <f>+GM34+GM21*$C$27*298*LN(10^(-7))</f>
        <v>-207.76619734695271</v>
      </c>
      <c r="GN30" s="148">
        <f t="shared" ref="GN30:GT30" si="163">+GN34+GN21*$C$27*298*LN(10^(-7))</f>
        <v>185.65368230322497</v>
      </c>
      <c r="GO30" s="148">
        <f t="shared" si="163"/>
        <v>-22.112515043727697</v>
      </c>
      <c r="GP30" s="148">
        <f t="shared" si="163"/>
        <v>34.95587123906806</v>
      </c>
      <c r="GQ30" s="148">
        <f t="shared" si="163"/>
        <v>-207.76619734695271</v>
      </c>
      <c r="GR30" s="148">
        <f t="shared" si="163"/>
        <v>29.761716305394231</v>
      </c>
      <c r="GS30" s="148">
        <f t="shared" si="163"/>
        <v>-74.996323714265941</v>
      </c>
      <c r="GT30" s="149">
        <f t="shared" si="163"/>
        <v>-427.21193237142637</v>
      </c>
      <c r="GU30" s="11"/>
      <c r="GV30" s="108"/>
      <c r="GX30" s="147">
        <f>+GX34+GX21*$C$27*298*LN(10^(-7))</f>
        <v>-97.417484956272204</v>
      </c>
      <c r="GY30" s="148">
        <f t="shared" ref="GY30:HE30" si="164">+GY34+GY21*$C$27*298*LN(10^(-7))</f>
        <v>196.70993982508884</v>
      </c>
      <c r="GZ30" s="148">
        <f t="shared" si="164"/>
        <v>-48.239999999999995</v>
      </c>
      <c r="HA30" s="148">
        <f t="shared" si="164"/>
        <v>138.83896991254446</v>
      </c>
      <c r="HB30" s="148">
        <f t="shared" si="164"/>
        <v>-97.417484956272204</v>
      </c>
      <c r="HC30" s="148">
        <f t="shared" si="164"/>
        <v>-65.737748495627201</v>
      </c>
      <c r="HD30" s="148">
        <f t="shared" si="164"/>
        <v>-1572.4337484956272</v>
      </c>
      <c r="HE30" s="149">
        <f t="shared" si="164"/>
        <v>-1564.686602454869</v>
      </c>
      <c r="HF30" s="11"/>
      <c r="HG30" s="108"/>
      <c r="HI30" s="147">
        <f>+HI34+HI21*$C$27*298*LN(10^(-7))</f>
        <v>-196.70993982508884</v>
      </c>
      <c r="HJ30" s="148">
        <f t="shared" ref="HJ30:HP30" si="165">+HJ34+HJ21*$C$27*298*LN(10^(-7))</f>
        <v>-331.02503008745555</v>
      </c>
      <c r="HK30" s="148">
        <f t="shared" si="165"/>
        <v>-858.76</v>
      </c>
      <c r="HL30" s="148">
        <f t="shared" si="165"/>
        <v>-57.87096991254441</v>
      </c>
      <c r="HM30" s="148">
        <f t="shared" si="165"/>
        <v>-331.02503008745555</v>
      </c>
      <c r="HN30" s="148">
        <f t="shared" si="165"/>
        <v>-372.34474849562719</v>
      </c>
      <c r="HO30" s="148">
        <f t="shared" si="165"/>
        <v>-1113.1000112274064</v>
      </c>
      <c r="HP30" s="149">
        <f t="shared" si="165"/>
        <v>-1109.4012494099377</v>
      </c>
      <c r="HQ30" s="11"/>
      <c r="HR30" s="108"/>
      <c r="HT30" s="147">
        <f>+HT34+HT21*$C$27*298*LN(10^(-7))</f>
        <v>-196.70993982508884</v>
      </c>
      <c r="HU30" s="148">
        <f t="shared" ref="HU30:IA30" si="166">+HU34+HU21*$C$27*298*LN(10^(-7))</f>
        <v>167.38368230322499</v>
      </c>
      <c r="HV30" s="148">
        <f t="shared" si="166"/>
        <v>-29.326257521863887</v>
      </c>
      <c r="HW30" s="148">
        <f t="shared" si="166"/>
        <v>-57.87096991254441</v>
      </c>
      <c r="HX30" s="148">
        <f t="shared" si="166"/>
        <v>167.38368230322499</v>
      </c>
      <c r="HY30" s="148">
        <f t="shared" si="166"/>
        <v>21.636279181487449</v>
      </c>
      <c r="HZ30" s="148">
        <f t="shared" si="166"/>
        <v>-1113.1000003262427</v>
      </c>
      <c r="IA30" s="149">
        <f t="shared" si="166"/>
        <v>-2630.0546887741457</v>
      </c>
      <c r="IB30" s="11"/>
      <c r="IC30" s="108"/>
      <c r="ID30" s="147">
        <f>+ID34+ID21*$C$27*298*LN(10^(-7))</f>
        <v>-337.44122743440829</v>
      </c>
      <c r="IE30" s="108"/>
      <c r="IF30" s="148">
        <f>+IF34+IF21*$C$27*298*LN(10^(-7))</f>
        <v>28.441252599154822</v>
      </c>
      <c r="IG30" s="148">
        <f>+IG34+IG21*$C$27*298*LN(10^(-7))</f>
        <v>1.8535041035276028</v>
      </c>
      <c r="IH30" s="148">
        <f>+IH34+IH21*$C$27*298*LN(10^(-7))</f>
        <v>8.1016249999999914</v>
      </c>
      <c r="II30" s="108"/>
      <c r="IJ30" s="148">
        <f>+IJ34+IJ21*$C$27*298*LN(10^(-7))</f>
        <v>26.587748495627221</v>
      </c>
      <c r="IK30" s="108"/>
      <c r="IM30" s="16"/>
    </row>
    <row r="31" spans="1:247" ht="13.5" customHeight="1" thickTop="1" thickBot="1">
      <c r="C31" s="24" t="s">
        <v>392</v>
      </c>
      <c r="N31" s="24" t="s">
        <v>392</v>
      </c>
      <c r="O31" s="105"/>
      <c r="P31" s="11"/>
      <c r="Q31" s="108"/>
      <c r="S31" s="147">
        <f>IF(S$24&lt;&gt;0,-(S$29/ABS(S$24))/$C$26,"NA")</f>
        <v>0.71962066102869604</v>
      </c>
      <c r="T31" s="148">
        <f>IF(T$24&lt;&gt;0,-(T$29/ABS(T$24))/$C$26,"NA")</f>
        <v>-0.3547590000944878</v>
      </c>
      <c r="U31" s="148" t="str">
        <f t="shared" ref="U31:Z31" si="167">IF(U$24&lt;&gt;0,-(U$29/ABS(U$24))/$C$26,"NA")</f>
        <v>NA</v>
      </c>
      <c r="V31" s="148">
        <f t="shared" si="167"/>
        <v>0.60677221667065817</v>
      </c>
      <c r="W31" s="148">
        <f t="shared" si="167"/>
        <v>0.71962066102869604</v>
      </c>
      <c r="X31" s="148" t="str">
        <f t="shared" si="167"/>
        <v>NA</v>
      </c>
      <c r="Y31" s="148" t="str">
        <f t="shared" si="167"/>
        <v>NA</v>
      </c>
      <c r="Z31" s="149" t="str">
        <f t="shared" si="167"/>
        <v>NA</v>
      </c>
      <c r="AA31" s="11"/>
      <c r="AB31" s="108"/>
      <c r="AD31" s="147">
        <f>IF(AD$24&lt;&gt;0,-(AD$29/ABS(AD$24))/$C$26,"NA")</f>
        <v>0.43635647257471977</v>
      </c>
      <c r="AE31" s="148">
        <f>IF(AE$24&lt;&gt;0,-(AE$29/ABS(AE$24))/$C$26,"NA")</f>
        <v>0.7985846211104779</v>
      </c>
      <c r="AF31" s="148" t="str">
        <f t="shared" ref="AF31:AK31" si="168">IF(AF$24&lt;&gt;0,-(AF$29/ABS(AF$24))/$C$26,"NA")</f>
        <v>NA</v>
      </c>
      <c r="AG31" s="148">
        <f t="shared" si="168"/>
        <v>0.60677221667065817</v>
      </c>
      <c r="AH31" s="148">
        <f t="shared" si="168"/>
        <v>0.43635647257471977</v>
      </c>
      <c r="AI31" s="148" t="str">
        <f t="shared" si="168"/>
        <v>NA</v>
      </c>
      <c r="AJ31" s="148" t="str">
        <f t="shared" si="168"/>
        <v>NA</v>
      </c>
      <c r="AK31" s="149" t="str">
        <f t="shared" si="168"/>
        <v>NA</v>
      </c>
      <c r="AL31" s="11"/>
      <c r="AM31" s="108"/>
      <c r="AO31" s="147">
        <f>IF(AO$24&lt;&gt;0,-(AO$29/ABS(AO$24))/$C$26,"NA")</f>
        <v>0.29472437834773163</v>
      </c>
      <c r="AP31" s="148">
        <f>IF(AP$24&lt;&gt;0,-(AP$29/ABS(AP$24))/$C$26,"NA")</f>
        <v>0.7985846211104779</v>
      </c>
      <c r="AQ31" s="148" t="str">
        <f t="shared" ref="AQ31:AV31" si="169">IF(AQ$24&lt;&gt;0,-(AQ$29/ABS(AQ$24))/$C$26,"NA")</f>
        <v>NA</v>
      </c>
      <c r="AR31" s="148">
        <f t="shared" si="169"/>
        <v>-2.2258696678691052</v>
      </c>
      <c r="AS31" s="148">
        <f t="shared" si="169"/>
        <v>0.29472437834773163</v>
      </c>
      <c r="AT31" s="148" t="str">
        <f t="shared" si="169"/>
        <v>NA</v>
      </c>
      <c r="AU31" s="148" t="str">
        <f t="shared" si="169"/>
        <v>NA</v>
      </c>
      <c r="AV31" s="149" t="str">
        <f t="shared" si="169"/>
        <v>NA</v>
      </c>
      <c r="AW31" s="11"/>
      <c r="AX31" s="108"/>
      <c r="AZ31" s="147">
        <f>IF(AZ$24&lt;&gt;0,-(AZ$29/ABS(AZ$24))/$C$26,"NA")</f>
        <v>-0.33920493842278715</v>
      </c>
      <c r="BA31" s="148">
        <f>IF(BA$24&lt;&gt;0,-(BA$29/ABS(BA$24))/$C$26,"NA")</f>
        <v>0.7985846211104779</v>
      </c>
      <c r="BB31" s="148" t="str">
        <f t="shared" ref="BB31:BG31" si="170">IF(BB$24&lt;&gt;0,-(BB$29/ABS(BB$24))/$C$26,"NA")</f>
        <v>NA</v>
      </c>
      <c r="BC31" s="148">
        <f t="shared" si="170"/>
        <v>-0.38668367784874935</v>
      </c>
      <c r="BD31" s="148">
        <f t="shared" si="170"/>
        <v>-0.33920493842278715</v>
      </c>
      <c r="BE31" s="148" t="str">
        <f t="shared" si="170"/>
        <v>NA</v>
      </c>
      <c r="BF31" s="148" t="str">
        <f t="shared" si="170"/>
        <v>NA</v>
      </c>
      <c r="BG31" s="149" t="str">
        <f t="shared" si="170"/>
        <v>NA</v>
      </c>
      <c r="BH31" s="11"/>
      <c r="BI31" s="108"/>
      <c r="BK31" s="147">
        <f>IF(BK$24&lt;&gt;0,-(BK$29/ABS(BK$24))/$C$26,"NA")</f>
        <v>-0.40530919336543386</v>
      </c>
      <c r="BL31" s="148">
        <f>IF(BL$24&lt;&gt;0,-(BL$29/ABS(BL$24))/$C$26,"NA")</f>
        <v>0.7985846211104779</v>
      </c>
      <c r="BM31" s="148" t="str">
        <f t="shared" ref="BM31:BR31" si="171">IF(BM$24&lt;&gt;0,-(BM$29/ABS(BM$24))/$C$26,"NA")</f>
        <v>NA</v>
      </c>
      <c r="BN31" s="148">
        <f t="shared" si="171"/>
        <v>-0.22537509645507459</v>
      </c>
      <c r="BO31" s="148">
        <f t="shared" si="171"/>
        <v>-0.40530919336543386</v>
      </c>
      <c r="BP31" s="148" t="str">
        <f t="shared" si="171"/>
        <v>NA</v>
      </c>
      <c r="BQ31" s="148" t="str">
        <f t="shared" si="171"/>
        <v>NA</v>
      </c>
      <c r="BR31" s="149" t="str">
        <f t="shared" si="171"/>
        <v>NA</v>
      </c>
      <c r="BS31" s="11"/>
      <c r="BT31" s="108"/>
      <c r="BV31" s="147">
        <f>IF(BV$24&lt;&gt;0,-(BV$29/ABS(BV$24))/$C$26,"NA")</f>
        <v>0.43635647257471977</v>
      </c>
      <c r="BW31" s="148">
        <f>IF(BW$24&lt;&gt;0,-(BW$29/ABS(BW$24))/$C$26,"NA")</f>
        <v>0.71385551141077297</v>
      </c>
      <c r="BX31" s="148" t="str">
        <f t="shared" ref="BX31:CC31" si="172">IF(BX$24&lt;&gt;0,-(BX$29/ABS(BX$24))/$C$26,"NA")</f>
        <v>NA</v>
      </c>
      <c r="BY31" s="148">
        <f t="shared" si="172"/>
        <v>0.38362447043758341</v>
      </c>
      <c r="BZ31" s="148">
        <f t="shared" si="172"/>
        <v>0.43635647257471977</v>
      </c>
      <c r="CA31" s="148" t="str">
        <f t="shared" si="172"/>
        <v>NA</v>
      </c>
      <c r="CB31" s="148" t="str">
        <f t="shared" si="172"/>
        <v>NA</v>
      </c>
      <c r="CC31" s="149" t="str">
        <f t="shared" si="172"/>
        <v>NA</v>
      </c>
      <c r="CD31" s="11"/>
      <c r="CE31" s="108"/>
      <c r="CG31" s="147">
        <f>IF(CG$24&lt;&gt;0,-(CG$29/ABS(CG$24))/$C$26,"NA")</f>
        <v>0.29472437834773163</v>
      </c>
      <c r="CH31" s="148">
        <f>IF(CH$24&lt;&gt;0,-(CH$29/ABS(CH$24))/$C$26,"NA")</f>
        <v>0.71385551141077297</v>
      </c>
      <c r="CI31" s="148" t="str">
        <f t="shared" ref="CI31:CN31" si="173">IF(CI$24&lt;&gt;0,-(CI$29/ABS(CI$24))/$C$26,"NA")</f>
        <v>NA</v>
      </c>
      <c r="CJ31" s="148">
        <f t="shared" si="173"/>
        <v>6.8886483266498544E-2</v>
      </c>
      <c r="CK31" s="148">
        <f t="shared" si="173"/>
        <v>0.29472437834773163</v>
      </c>
      <c r="CL31" s="148" t="str">
        <f t="shared" si="173"/>
        <v>NA</v>
      </c>
      <c r="CM31" s="148" t="str">
        <f t="shared" si="173"/>
        <v>NA</v>
      </c>
      <c r="CN31" s="149" t="str">
        <f t="shared" si="173"/>
        <v>NA</v>
      </c>
      <c r="CO31" s="11"/>
      <c r="CP31" s="108"/>
      <c r="CR31" s="147">
        <f>IF(CR$24&lt;&gt;0,-(CR$29/ABS(CR$24))/$C$26,"NA")</f>
        <v>0.3547590000944878</v>
      </c>
      <c r="CS31" s="148">
        <f>IF(CS$24&lt;&gt;0,-(CS$29/ABS(CS$24))/$C$26,"NA")</f>
        <v>0.71385551141077297</v>
      </c>
      <c r="CT31" s="148" t="str">
        <f t="shared" ref="CT31:CY31" si="174">IF(CT$24&lt;&gt;0,-(CT$29/ABS(CT$24))/$C$26,"NA")</f>
        <v>NA</v>
      </c>
      <c r="CU31" s="148">
        <f t="shared" si="174"/>
        <v>6.8886483266498544E-2</v>
      </c>
      <c r="CV31" s="148">
        <f t="shared" si="174"/>
        <v>0.3547590000944878</v>
      </c>
      <c r="CW31" s="148" t="str">
        <f t="shared" si="174"/>
        <v>NA</v>
      </c>
      <c r="CX31" s="148" t="str">
        <f t="shared" si="174"/>
        <v>NA</v>
      </c>
      <c r="CY31" s="149" t="str">
        <f t="shared" si="174"/>
        <v>NA</v>
      </c>
      <c r="CZ31" s="11"/>
      <c r="DA31" s="108"/>
      <c r="DC31" s="147">
        <f>IF(DC$24&lt;&gt;0,-(DC$29/ABS(DC$24))/$C$26,"NA")</f>
        <v>0.29472437834773163</v>
      </c>
      <c r="DD31" s="148">
        <f>IF(DD$24&lt;&gt;0,-(DD$29/ABS(DD$24))/$C$26,"NA")</f>
        <v>-0.21447587398451862</v>
      </c>
      <c r="DE31" s="148" t="str">
        <f t="shared" ref="DE31:DJ31" si="175">IF(DE$24&lt;&gt;0,-(DE$29/ABS(DE$24))/$C$26,"NA")</f>
        <v>NA</v>
      </c>
      <c r="DF31" s="148">
        <f t="shared" si="175"/>
        <v>-2.2258696678691052</v>
      </c>
      <c r="DG31" s="148">
        <f t="shared" si="175"/>
        <v>0.29472437834773163</v>
      </c>
      <c r="DH31" s="148" t="str">
        <f t="shared" si="175"/>
        <v>NA</v>
      </c>
      <c r="DI31" s="148" t="str">
        <f t="shared" si="175"/>
        <v>NA</v>
      </c>
      <c r="DJ31" s="149" t="str">
        <f t="shared" si="175"/>
        <v>NA</v>
      </c>
      <c r="DK31" s="11"/>
      <c r="DL31" s="108"/>
      <c r="DN31" s="147">
        <f>IF(DN$24&lt;&gt;0,-(DN$29/ABS(DN$24))/$C$26,"NA")</f>
        <v>0.3547590000944878</v>
      </c>
      <c r="DO31" s="148">
        <f>IF(DO$24&lt;&gt;0,-(DO$29/ABS(DO$24))/$C$26,"NA")</f>
        <v>-0.21447587398451862</v>
      </c>
      <c r="DP31" s="148" t="str">
        <f t="shared" ref="DP31:DU31" si="176">IF(DP$24&lt;&gt;0,-(DP$29/ABS(DP$24))/$C$26,"NA")</f>
        <v>NA</v>
      </c>
      <c r="DQ31" s="148">
        <f t="shared" si="176"/>
        <v>-2.2258696678691052</v>
      </c>
      <c r="DR31" s="148">
        <f t="shared" si="176"/>
        <v>0.3547590000944878</v>
      </c>
      <c r="DS31" s="148" t="str">
        <f t="shared" si="176"/>
        <v>NA</v>
      </c>
      <c r="DT31" s="148" t="str">
        <f t="shared" si="176"/>
        <v>NA</v>
      </c>
      <c r="DU31" s="149" t="str">
        <f t="shared" si="176"/>
        <v>NA</v>
      </c>
      <c r="DV31" s="11"/>
      <c r="DW31" s="108"/>
      <c r="DY31" s="147">
        <f>IF(DY$24&lt;&gt;0,-(DY$29/ABS(DY$24))/$C$26,"NA")</f>
        <v>0.21447587398451862</v>
      </c>
      <c r="DZ31" s="148">
        <f>IF(DZ$24&lt;&gt;0,-(DZ$29/ABS(DZ$24))/$C$26,"NA")</f>
        <v>0.7985846211104779</v>
      </c>
      <c r="EA31" s="148" t="str">
        <f t="shared" ref="EA31:EF31" si="177">IF(EA$24&lt;&gt;0,-(EA$29/ABS(EA$24))/$C$26,"NA")</f>
        <v>NA</v>
      </c>
      <c r="EB31" s="148">
        <f t="shared" si="177"/>
        <v>-0.38668367784874935</v>
      </c>
      <c r="EC31" s="148">
        <f t="shared" si="177"/>
        <v>0.21447587398451862</v>
      </c>
      <c r="ED31" s="148" t="str">
        <f t="shared" si="177"/>
        <v>NA</v>
      </c>
      <c r="EE31" s="148" t="str">
        <f t="shared" si="177"/>
        <v>NA</v>
      </c>
      <c r="EF31" s="149" t="str">
        <f t="shared" si="177"/>
        <v>NA</v>
      </c>
      <c r="EG31" s="11"/>
      <c r="EH31" s="108"/>
      <c r="EJ31" s="147">
        <f>IF(EJ$24&lt;&gt;0,-(EJ$29/ABS(EJ$24))/$C$26,"NA")</f>
        <v>0.21447587398451862</v>
      </c>
      <c r="EK31" s="148">
        <f>IF(EK$24&lt;&gt;0,-(EK$29/ABS(EK$24))/$C$26,"NA")</f>
        <v>0.71385551141077297</v>
      </c>
      <c r="EL31" s="148" t="str">
        <f t="shared" ref="EL31:EQ31" si="178">IF(EL$24&lt;&gt;0,-(EL$29/ABS(EL$24))/$C$26,"NA")</f>
        <v>NA</v>
      </c>
      <c r="EM31" s="148">
        <f t="shared" si="178"/>
        <v>-0.18187962819159118</v>
      </c>
      <c r="EN31" s="148">
        <f t="shared" si="178"/>
        <v>0.21447587398451862</v>
      </c>
      <c r="EO31" s="148" t="str">
        <f t="shared" si="178"/>
        <v>NA</v>
      </c>
      <c r="EP31" s="148" t="str">
        <f t="shared" si="178"/>
        <v>NA</v>
      </c>
      <c r="EQ31" s="149" t="str">
        <f t="shared" si="178"/>
        <v>NA</v>
      </c>
      <c r="ER31" s="11"/>
      <c r="ES31" s="108"/>
      <c r="EU31" s="147">
        <f t="shared" ref="EU31:FB31" si="179">IF(EU$24&lt;&gt;0,-(EU$29/ABS(EU$24))/$C$26,"NA")</f>
        <v>-0.65181488616843153</v>
      </c>
      <c r="EV31" s="148">
        <f t="shared" si="179"/>
        <v>0.7985846211104779</v>
      </c>
      <c r="EW31" s="148" t="str">
        <f t="shared" si="179"/>
        <v>NA</v>
      </c>
      <c r="EX31" s="148">
        <f t="shared" si="179"/>
        <v>6.8886483266498544E-2</v>
      </c>
      <c r="EY31" s="148">
        <f t="shared" si="179"/>
        <v>-0.65181488616843153</v>
      </c>
      <c r="EZ31" s="148" t="str">
        <f t="shared" si="179"/>
        <v>NA</v>
      </c>
      <c r="FA31" s="148" t="str">
        <f t="shared" si="179"/>
        <v>NA</v>
      </c>
      <c r="FB31" s="149" t="str">
        <f t="shared" si="179"/>
        <v>NA</v>
      </c>
      <c r="FC31" s="11"/>
      <c r="FD31" s="108"/>
      <c r="FF31" s="147">
        <f t="shared" ref="FF31:FM31" si="180">IF(FF$24&lt;&gt;0,-(FF$29/ABS(FF$24))/$C$26,"NA")</f>
        <v>-0.65181488616843153</v>
      </c>
      <c r="FG31" s="148">
        <f t="shared" si="180"/>
        <v>0.71385551141077297</v>
      </c>
      <c r="FH31" s="148" t="str">
        <f t="shared" si="180"/>
        <v>NA</v>
      </c>
      <c r="FI31" s="148">
        <f t="shared" si="180"/>
        <v>6.8886483266498544E-2</v>
      </c>
      <c r="FJ31" s="148">
        <f t="shared" si="180"/>
        <v>-0.65181488616843153</v>
      </c>
      <c r="FK31" s="148" t="str">
        <f t="shared" si="180"/>
        <v>NA</v>
      </c>
      <c r="FL31" s="148" t="str">
        <f t="shared" si="180"/>
        <v>NA</v>
      </c>
      <c r="FM31" s="149" t="str">
        <f t="shared" si="180"/>
        <v>NA</v>
      </c>
      <c r="FN31" s="11"/>
      <c r="FO31" s="108"/>
      <c r="FQ31" s="147">
        <f>IF(FQ$24&lt;&gt;0,-(FQ$29/ABS(FQ$24))/$C$26,"NA")</f>
        <v>0.29472437834773163</v>
      </c>
      <c r="FR31" s="148">
        <f>IF(FR$24&lt;&gt;0,-(FR$29/ABS(FR$24))/$C$26,"NA")</f>
        <v>0.65181488616843153</v>
      </c>
      <c r="FS31" s="148" t="str">
        <f t="shared" ref="FS31:FX31" si="181">IF(FS$24&lt;&gt;0,-(FS$29/ABS(FS$24))/$C$26,"NA")</f>
        <v>NA</v>
      </c>
      <c r="FT31" s="148">
        <f t="shared" si="181"/>
        <v>-2.2258696678691052</v>
      </c>
      <c r="FU31" s="148">
        <f t="shared" si="181"/>
        <v>0.29472437834773163</v>
      </c>
      <c r="FV31" s="148" t="str">
        <f t="shared" si="181"/>
        <v>NA</v>
      </c>
      <c r="FW31" s="148" t="str">
        <f t="shared" si="181"/>
        <v>NA</v>
      </c>
      <c r="FX31" s="149" t="str">
        <f t="shared" si="181"/>
        <v>NA</v>
      </c>
      <c r="FY31" s="11"/>
      <c r="FZ31" s="108"/>
      <c r="GB31" s="147">
        <f>IF(GB$24&lt;&gt;0,-(GB$29/ABS(GB$24))/$C$26,"NA")</f>
        <v>0.3547590000944878</v>
      </c>
      <c r="GC31" s="148">
        <f>IF(GC$24&lt;&gt;0,-(GC$29/ABS(GC$24))/$C$26,"NA")</f>
        <v>0.65181488616843153</v>
      </c>
      <c r="GD31" s="148" t="str">
        <f t="shared" ref="GD31:GI31" si="182">IF(GD$24&lt;&gt;0,-(GD$29/ABS(GD$24))/$C$26,"NA")</f>
        <v>NA</v>
      </c>
      <c r="GE31" s="148">
        <f t="shared" si="182"/>
        <v>-2.2258696678691052</v>
      </c>
      <c r="GF31" s="148">
        <f t="shared" si="182"/>
        <v>0.3547590000944878</v>
      </c>
      <c r="GG31" s="148" t="str">
        <f t="shared" si="182"/>
        <v>NA</v>
      </c>
      <c r="GH31" s="148" t="str">
        <f t="shared" si="182"/>
        <v>NA</v>
      </c>
      <c r="GI31" s="149" t="str">
        <f t="shared" si="182"/>
        <v>NA</v>
      </c>
      <c r="GJ31" s="11"/>
      <c r="GK31" s="108"/>
      <c r="GM31" s="147">
        <f>IF(GM$24&lt;&gt;0,-(GM$29/ABS(GM$24))/$C$26,"NA")</f>
        <v>0.29472437834773163</v>
      </c>
      <c r="GN31" s="148">
        <f>IF(GN$24&lt;&gt;0,-(GN$29/ABS(GN$24))/$C$26,"NA")</f>
        <v>-0.21097686032403898</v>
      </c>
      <c r="GO31" s="148" t="str">
        <f t="shared" ref="GO31:GT31" si="183">IF(GO$24&lt;&gt;0,-(GO$29/ABS(GO$24))/$C$26,"NA")</f>
        <v>NA</v>
      </c>
      <c r="GP31" s="148">
        <f t="shared" si="183"/>
        <v>-2.2258696678691052</v>
      </c>
      <c r="GQ31" s="148">
        <f t="shared" si="183"/>
        <v>0.29472437834773163</v>
      </c>
      <c r="GR31" s="148" t="str">
        <f t="shared" si="183"/>
        <v>NA</v>
      </c>
      <c r="GS31" s="148" t="str">
        <f t="shared" si="183"/>
        <v>NA</v>
      </c>
      <c r="GT31" s="149" t="str">
        <f t="shared" si="183"/>
        <v>NA</v>
      </c>
      <c r="GU31" s="11"/>
      <c r="GV31" s="108"/>
      <c r="GX31" s="147">
        <f>IF(GX$24&lt;&gt;0,-(GX$29/ABS(GX$24))/$C$26,"NA")</f>
        <v>0.3547590000944878</v>
      </c>
      <c r="GY31" s="148">
        <f>IF(GY$24&lt;&gt;0,-(GY$29/ABS(GY$24))/$C$26,"NA")</f>
        <v>-0.25285061933588532</v>
      </c>
      <c r="GZ31" s="148" t="str">
        <f t="shared" ref="GZ31:HE31" si="184">IF(GZ$24&lt;&gt;0,-(GZ$29/ABS(GZ$24))/$C$26,"NA")</f>
        <v>NA</v>
      </c>
      <c r="HA31" s="148">
        <f t="shared" si="184"/>
        <v>-0.38668367784874935</v>
      </c>
      <c r="HB31" s="148">
        <f t="shared" si="184"/>
        <v>0.3547590000944878</v>
      </c>
      <c r="HC31" s="148" t="str">
        <f t="shared" si="184"/>
        <v>NA</v>
      </c>
      <c r="HD31" s="148" t="str">
        <f t="shared" si="184"/>
        <v>NA</v>
      </c>
      <c r="HE31" s="149" t="str">
        <f t="shared" si="184"/>
        <v>NA</v>
      </c>
      <c r="HF31" s="11"/>
      <c r="HG31" s="108"/>
      <c r="HI31" s="147">
        <f>IF(HI$24&lt;&gt;0,-(HI$29/ABS(HI$24))/$C$26,"NA")</f>
        <v>0.25285061933588532</v>
      </c>
      <c r="HJ31" s="148">
        <f>IF(HJ$24&lt;&gt;0,-(HJ$29/ABS(HJ$24))/$C$26,"NA")</f>
        <v>0.7985846211104779</v>
      </c>
      <c r="HK31" s="148" t="str">
        <f t="shared" ref="HK31:HP31" si="185">IF(HK$24&lt;&gt;0,-(HK$29/ABS(HK$24))/$C$26,"NA")</f>
        <v>NA</v>
      </c>
      <c r="HL31" s="148">
        <f t="shared" si="185"/>
        <v>0.10492987045324605</v>
      </c>
      <c r="HM31" s="148">
        <f t="shared" si="185"/>
        <v>0.7985846211104779</v>
      </c>
      <c r="HN31" s="148" t="str">
        <f t="shared" si="185"/>
        <v>NA</v>
      </c>
      <c r="HO31" s="148" t="str">
        <f t="shared" si="185"/>
        <v>NA</v>
      </c>
      <c r="HP31" s="149" t="str">
        <f t="shared" si="185"/>
        <v>NA</v>
      </c>
      <c r="HQ31" s="11"/>
      <c r="HR31" s="108"/>
      <c r="HT31" s="147">
        <f>IF(HT$24&lt;&gt;0,-(HT$29/ABS(HT$24))/$C$26,"NA")</f>
        <v>0.25285061933588532</v>
      </c>
      <c r="HU31" s="148">
        <f>IF(HU$24&lt;&gt;0,-(HU$29/ABS(HU$24))/$C$26,"NA")</f>
        <v>-0.21447587398451862</v>
      </c>
      <c r="HV31" s="148" t="str">
        <f t="shared" ref="HV31:IA31" si="186">IF(HV$24&lt;&gt;0,-(HV$29/ABS(HV$24))/$C$26,"NA")</f>
        <v>NA</v>
      </c>
      <c r="HW31" s="148">
        <f t="shared" si="186"/>
        <v>0.10492987045324605</v>
      </c>
      <c r="HX31" s="148">
        <f t="shared" si="186"/>
        <v>-0.21447587398451862</v>
      </c>
      <c r="HY31" s="148" t="str">
        <f t="shared" si="186"/>
        <v>NA</v>
      </c>
      <c r="HZ31" s="148" t="str">
        <f t="shared" si="186"/>
        <v>NA</v>
      </c>
      <c r="IA31" s="149" t="str">
        <f t="shared" si="186"/>
        <v>NA</v>
      </c>
      <c r="IB31" s="11"/>
      <c r="IC31" s="108"/>
      <c r="ID31" s="147" t="str">
        <f>IF(ID$24&lt;&gt;0,-(ID$29/ABS(ID$24))/$C$26,"NA")</f>
        <v>NA</v>
      </c>
      <c r="IE31" s="108"/>
      <c r="IF31" s="147" t="str">
        <f>IF(IF$24&lt;&gt;0,-(IF$29/ABS(IF$24))/$C$26,"NA")</f>
        <v>NA</v>
      </c>
      <c r="IG31" s="147" t="str">
        <f>IF(IG$24&lt;&gt;0,-(IG$29/ABS(IG$24))/$C$26,"NA")</f>
        <v>NA</v>
      </c>
      <c r="IH31" s="147" t="str">
        <f>IF(IH$24&lt;&gt;0,-(IH$29/ABS(IH$24))/$C$26,"NA")</f>
        <v>NA</v>
      </c>
      <c r="II31" s="108"/>
      <c r="IJ31" s="147" t="str">
        <f>IF(IJ$24&lt;&gt;0,-(IJ$29/ABS(IJ$24))/$C$26,"NA")</f>
        <v>NA</v>
      </c>
      <c r="IK31" s="108"/>
      <c r="IM31" s="16"/>
    </row>
    <row r="32" spans="1:247" ht="13.5" customHeight="1" thickTop="1" thickBot="1">
      <c r="C32" s="24" t="s">
        <v>401</v>
      </c>
      <c r="N32" s="24" t="s">
        <v>401</v>
      </c>
      <c r="O32" s="105"/>
      <c r="P32" s="11"/>
      <c r="Q32" s="108"/>
      <c r="S32" s="147">
        <f>IF(S$24&lt;&gt;0,-(S$30/ABS(S$24))/$C$26,"NA")</f>
        <v>0.67183684611773986</v>
      </c>
      <c r="T32" s="148">
        <f t="shared" ref="T32:Z32" si="187">IF(T$24&lt;&gt;0,-(T$30/ABS(T$24))/$C$26,"NA")</f>
        <v>-0.50483227940235376</v>
      </c>
      <c r="U32" s="148" t="str">
        <f t="shared" si="187"/>
        <v>NA</v>
      </c>
      <c r="V32" s="148">
        <f t="shared" si="187"/>
        <v>0.87298543815100815</v>
      </c>
      <c r="W32" s="148">
        <f t="shared" si="187"/>
        <v>0.67183684611773986</v>
      </c>
      <c r="X32" s="148" t="str">
        <f t="shared" si="187"/>
        <v>NA</v>
      </c>
      <c r="Y32" s="148" t="str">
        <f t="shared" si="187"/>
        <v>NA</v>
      </c>
      <c r="Z32" s="149" t="str">
        <f t="shared" si="187"/>
        <v>NA</v>
      </c>
      <c r="AA32" s="11"/>
      <c r="AB32" s="108"/>
      <c r="AD32" s="147">
        <f>IF(AD$24&lt;&gt;0,-(AD$30/ABS(AD$24))/$C$26,"NA")</f>
        <v>0.40339164096114533</v>
      </c>
      <c r="AE32" s="148">
        <f t="shared" ref="AE32:AK32" si="188">IF(AE$24&lt;&gt;0,-(AE$30/ABS(AE$24))/$C$26,"NA")</f>
        <v>0.85771112112622572</v>
      </c>
      <c r="AF32" s="148" t="str">
        <f t="shared" si="188"/>
        <v>NA</v>
      </c>
      <c r="AG32" s="148">
        <f t="shared" si="188"/>
        <v>0.87298543815100815</v>
      </c>
      <c r="AH32" s="148">
        <f t="shared" si="188"/>
        <v>0.40339164096114533</v>
      </c>
      <c r="AI32" s="148" t="str">
        <f t="shared" si="188"/>
        <v>NA</v>
      </c>
      <c r="AJ32" s="148" t="str">
        <f t="shared" si="188"/>
        <v>NA</v>
      </c>
      <c r="AK32" s="149" t="str">
        <f t="shared" si="188"/>
        <v>NA</v>
      </c>
      <c r="AL32" s="11"/>
      <c r="AM32" s="108"/>
      <c r="AO32" s="147">
        <f>IF(AO$24&lt;&gt;0,-(AO$30/ABS(AO$24))/$C$26,"NA")</f>
        <v>0.269169038382848</v>
      </c>
      <c r="AP32" s="148">
        <f t="shared" ref="AP32:AV32" si="189">IF(AP$24&lt;&gt;0,-(AP$30/ABS(AP$24))/$C$26,"NA")</f>
        <v>0.85771112112622572</v>
      </c>
      <c r="AQ32" s="148" t="str">
        <f t="shared" si="189"/>
        <v>NA</v>
      </c>
      <c r="AR32" s="148">
        <f t="shared" si="189"/>
        <v>-1.811466613414938</v>
      </c>
      <c r="AS32" s="148">
        <f t="shared" si="189"/>
        <v>0.269169038382848</v>
      </c>
      <c r="AT32" s="148" t="str">
        <f t="shared" si="189"/>
        <v>NA</v>
      </c>
      <c r="AU32" s="148" t="str">
        <f t="shared" si="189"/>
        <v>NA</v>
      </c>
      <c r="AV32" s="149" t="str">
        <f t="shared" si="189"/>
        <v>NA</v>
      </c>
      <c r="AW32" s="11"/>
      <c r="AX32" s="108"/>
      <c r="AZ32" s="147">
        <f>IF(AZ$24&lt;&gt;0,-(AZ$30/ABS(AZ$24))/$C$26,"NA")</f>
        <v>-0.34903535985716455</v>
      </c>
      <c r="BA32" s="148">
        <f t="shared" ref="BA32:BG32" si="190">IF(BA$24&lt;&gt;0,-(BA$30/ABS(BA$24))/$C$26,"NA")</f>
        <v>0.85771112112622572</v>
      </c>
      <c r="BB32" s="148" t="str">
        <f t="shared" si="190"/>
        <v>NA</v>
      </c>
      <c r="BC32" s="148">
        <f t="shared" si="190"/>
        <v>-0.34261178005104287</v>
      </c>
      <c r="BD32" s="148">
        <f t="shared" si="190"/>
        <v>-0.34903535985716455</v>
      </c>
      <c r="BE32" s="148" t="str">
        <f t="shared" si="190"/>
        <v>NA</v>
      </c>
      <c r="BF32" s="148" t="str">
        <f t="shared" si="190"/>
        <v>NA</v>
      </c>
      <c r="BG32" s="149" t="str">
        <f t="shared" si="190"/>
        <v>NA</v>
      </c>
      <c r="BH32" s="11"/>
      <c r="BI32" s="108"/>
      <c r="BK32" s="147">
        <f>IF(BK$24&lt;&gt;0,-(BK$30/ABS(BK$24))/$C$26,"NA")</f>
        <v>-0.40530919336543403</v>
      </c>
      <c r="BL32" s="148">
        <f t="shared" ref="BL32:BR32" si="191">IF(BL$24&lt;&gt;0,-(BL$30/ABS(BL$24))/$C$26,"NA")</f>
        <v>0.85771112112622572</v>
      </c>
      <c r="BM32" s="148" t="str">
        <f t="shared" si="191"/>
        <v>NA</v>
      </c>
      <c r="BN32" s="148">
        <f t="shared" si="191"/>
        <v>-0.18891241562699668</v>
      </c>
      <c r="BO32" s="148">
        <f t="shared" si="191"/>
        <v>-0.40530919336543403</v>
      </c>
      <c r="BP32" s="148" t="str">
        <f t="shared" si="191"/>
        <v>NA</v>
      </c>
      <c r="BQ32" s="148" t="str">
        <f t="shared" si="191"/>
        <v>NA</v>
      </c>
      <c r="BR32" s="149" t="str">
        <f t="shared" si="191"/>
        <v>NA</v>
      </c>
      <c r="BS32" s="11"/>
      <c r="BT32" s="108"/>
      <c r="BV32" s="147">
        <f>IF(BV$24&lt;&gt;0,-(BV$30/ABS(BV$24))/$C$26,"NA")</f>
        <v>0.40339164096114533</v>
      </c>
      <c r="BW32" s="148">
        <f t="shared" ref="BW32:CC32" si="192">IF(BW$24&lt;&gt;0,-(BW$30/ABS(BW$24))/$C$26,"NA")</f>
        <v>0.74755152641588518</v>
      </c>
      <c r="BX32" s="148" t="str">
        <f t="shared" si="192"/>
        <v>NA</v>
      </c>
      <c r="BY32" s="148">
        <f t="shared" si="192"/>
        <v>0.41975733155831835</v>
      </c>
      <c r="BZ32" s="148">
        <f t="shared" si="192"/>
        <v>0.40339164096114533</v>
      </c>
      <c r="CA32" s="148" t="str">
        <f t="shared" si="192"/>
        <v>NA</v>
      </c>
      <c r="CB32" s="148" t="str">
        <f t="shared" si="192"/>
        <v>NA</v>
      </c>
      <c r="CC32" s="149" t="str">
        <f t="shared" si="192"/>
        <v>NA</v>
      </c>
      <c r="CD32" s="11"/>
      <c r="CE32" s="108"/>
      <c r="CG32" s="147">
        <f>IF(CG$24&lt;&gt;0,-(CG$30/ABS(CG$24))/$C$26,"NA")</f>
        <v>0.269169038382848</v>
      </c>
      <c r="CH32" s="148">
        <f t="shared" ref="CH32:CN32" si="193">IF(CH$24&lt;&gt;0,-(CH$30/ABS(CH$24))/$C$26,"NA")</f>
        <v>0.74755152641588518</v>
      </c>
      <c r="CI32" s="148" t="str">
        <f t="shared" si="193"/>
        <v>NA</v>
      </c>
      <c r="CJ32" s="148">
        <f t="shared" si="193"/>
        <v>0.12148488138432424</v>
      </c>
      <c r="CK32" s="148">
        <f t="shared" si="193"/>
        <v>0.269169038382848</v>
      </c>
      <c r="CL32" s="148" t="str">
        <f t="shared" si="193"/>
        <v>NA</v>
      </c>
      <c r="CM32" s="148" t="str">
        <f t="shared" si="193"/>
        <v>NA</v>
      </c>
      <c r="CN32" s="149" t="str">
        <f t="shared" si="193"/>
        <v>NA</v>
      </c>
      <c r="CO32" s="11"/>
      <c r="CP32" s="108"/>
      <c r="CR32" s="147">
        <f>IF(CR$24&lt;&gt;0,-(CR$30/ABS(CR$24))/$C$26,"NA")</f>
        <v>0.50483227940235376</v>
      </c>
      <c r="CS32" s="148">
        <f t="shared" ref="CS32:CY32" si="194">IF(CS$24&lt;&gt;0,-(CS$30/ABS(CS$24))/$C$26,"NA")</f>
        <v>0.74755152641588518</v>
      </c>
      <c r="CT32" s="148" t="str">
        <f t="shared" si="194"/>
        <v>NA</v>
      </c>
      <c r="CU32" s="148">
        <f t="shared" si="194"/>
        <v>0.12148488138432424</v>
      </c>
      <c r="CV32" s="148">
        <f t="shared" si="194"/>
        <v>0.50483227940235376</v>
      </c>
      <c r="CW32" s="148" t="str">
        <f t="shared" si="194"/>
        <v>NA</v>
      </c>
      <c r="CX32" s="148" t="str">
        <f t="shared" si="194"/>
        <v>NA</v>
      </c>
      <c r="CY32" s="149" t="str">
        <f t="shared" si="194"/>
        <v>NA</v>
      </c>
      <c r="CZ32" s="11"/>
      <c r="DA32" s="108"/>
      <c r="DC32" s="147">
        <f>IF(DC$24&lt;&gt;0,-(DC$30/ABS(DC$24))/$C$26,"NA")</f>
        <v>0.269169038382848</v>
      </c>
      <c r="DD32" s="148">
        <f t="shared" ref="DD32:DJ32" si="195">IF(DD$24&lt;&gt;0,-(DD$30/ABS(DD$24))/$C$26,"NA")</f>
        <v>-0.21685194888224205</v>
      </c>
      <c r="DE32" s="148" t="str">
        <f t="shared" si="195"/>
        <v>NA</v>
      </c>
      <c r="DF32" s="148">
        <f t="shared" si="195"/>
        <v>-1.811466613414938</v>
      </c>
      <c r="DG32" s="148">
        <f t="shared" si="195"/>
        <v>0.269169038382848</v>
      </c>
      <c r="DH32" s="148" t="str">
        <f t="shared" si="195"/>
        <v>NA</v>
      </c>
      <c r="DI32" s="148" t="str">
        <f t="shared" si="195"/>
        <v>NA</v>
      </c>
      <c r="DJ32" s="149" t="str">
        <f t="shared" si="195"/>
        <v>NA</v>
      </c>
      <c r="DK32" s="11"/>
      <c r="DL32" s="108"/>
      <c r="DN32" s="147">
        <f>IF(DN$24&lt;&gt;0,-(DN$30/ABS(DN$24))/$C$26,"NA")</f>
        <v>0.50483227940235376</v>
      </c>
      <c r="DO32" s="148">
        <f t="shared" ref="DO32:DU32" si="196">IF(DO$24&lt;&gt;0,-(DO$30/ABS(DO$24))/$C$26,"NA")</f>
        <v>-0.21685194888224205</v>
      </c>
      <c r="DP32" s="148" t="str">
        <f t="shared" si="196"/>
        <v>NA</v>
      </c>
      <c r="DQ32" s="148">
        <f t="shared" si="196"/>
        <v>-1.811466613414938</v>
      </c>
      <c r="DR32" s="148">
        <f t="shared" si="196"/>
        <v>0.50483227940235376</v>
      </c>
      <c r="DS32" s="148" t="str">
        <f t="shared" si="196"/>
        <v>NA</v>
      </c>
      <c r="DT32" s="148" t="str">
        <f t="shared" si="196"/>
        <v>NA</v>
      </c>
      <c r="DU32" s="149" t="str">
        <f t="shared" si="196"/>
        <v>NA</v>
      </c>
      <c r="DV32" s="11"/>
      <c r="DW32" s="108"/>
      <c r="DY32" s="147">
        <f>IF(DY$24&lt;&gt;0,-(DY$30/ABS(DY$24))/$C$26,"NA")</f>
        <v>0.21685194888224205</v>
      </c>
      <c r="DZ32" s="148">
        <f t="shared" ref="DZ32:EF32" si="197">IF(DZ$24&lt;&gt;0,-(DZ$30/ABS(DZ$24))/$C$26,"NA")</f>
        <v>0.85771112112622572</v>
      </c>
      <c r="EA32" s="148" t="str">
        <f t="shared" si="197"/>
        <v>NA</v>
      </c>
      <c r="EB32" s="148">
        <f t="shared" si="197"/>
        <v>-0.34261178005104287</v>
      </c>
      <c r="EC32" s="148">
        <f t="shared" si="197"/>
        <v>0.21685194888224205</v>
      </c>
      <c r="ED32" s="148" t="str">
        <f t="shared" si="197"/>
        <v>NA</v>
      </c>
      <c r="EE32" s="148" t="str">
        <f t="shared" si="197"/>
        <v>NA</v>
      </c>
      <c r="EF32" s="149" t="str">
        <f t="shared" si="197"/>
        <v>NA</v>
      </c>
      <c r="EG32" s="11"/>
      <c r="EH32" s="108"/>
      <c r="EJ32" s="147">
        <f>IF(EJ$24&lt;&gt;0,-(EJ$30/ABS(EJ$24))/$C$26,"NA")</f>
        <v>0.21685194888224205</v>
      </c>
      <c r="EK32" s="148">
        <f t="shared" ref="EK32:EQ32" si="198">IF(EK$24&lt;&gt;0,-(EK$30/ABS(EK$24))/$C$26,"NA")</f>
        <v>0.74755152641588518</v>
      </c>
      <c r="EL32" s="148" t="str">
        <f t="shared" si="198"/>
        <v>NA</v>
      </c>
      <c r="EM32" s="148">
        <f t="shared" si="198"/>
        <v>-0.147931615006829</v>
      </c>
      <c r="EN32" s="148">
        <f t="shared" si="198"/>
        <v>0.21685194888224205</v>
      </c>
      <c r="EO32" s="148" t="str">
        <f t="shared" si="198"/>
        <v>NA</v>
      </c>
      <c r="EP32" s="148" t="str">
        <f t="shared" si="198"/>
        <v>NA</v>
      </c>
      <c r="EQ32" s="149" t="str">
        <f t="shared" si="198"/>
        <v>NA</v>
      </c>
      <c r="ER32" s="11"/>
      <c r="ES32" s="108"/>
      <c r="EU32" s="147">
        <f t="shared" ref="EU32:FB32" si="199">IF(EU$24&lt;&gt;0,-(EU$30/ABS(EU$24))/$C$26,"NA")</f>
        <v>-0.77006788619992761</v>
      </c>
      <c r="EV32" s="148">
        <f t="shared" si="199"/>
        <v>0.85771112112622572</v>
      </c>
      <c r="EW32" s="148" t="str">
        <f t="shared" si="199"/>
        <v>NA</v>
      </c>
      <c r="EX32" s="148">
        <f t="shared" si="199"/>
        <v>0.12148488138432424</v>
      </c>
      <c r="EY32" s="148">
        <f t="shared" si="199"/>
        <v>-0.77006788619992761</v>
      </c>
      <c r="EZ32" s="148" t="str">
        <f t="shared" si="199"/>
        <v>NA</v>
      </c>
      <c r="FA32" s="148" t="str">
        <f t="shared" si="199"/>
        <v>NA</v>
      </c>
      <c r="FB32" s="149" t="str">
        <f t="shared" si="199"/>
        <v>NA</v>
      </c>
      <c r="FC32" s="11"/>
      <c r="FD32" s="108"/>
      <c r="FF32" s="147">
        <f t="shared" ref="FF32:FM32" si="200">IF(FF$24&lt;&gt;0,-(FF$30/ABS(FF$24))/$C$26,"NA")</f>
        <v>-0.77006788619992761</v>
      </c>
      <c r="FG32" s="148">
        <f t="shared" si="200"/>
        <v>0.74755152641588518</v>
      </c>
      <c r="FH32" s="148" t="str">
        <f t="shared" si="200"/>
        <v>NA</v>
      </c>
      <c r="FI32" s="148">
        <f t="shared" si="200"/>
        <v>0.12148488138432424</v>
      </c>
      <c r="FJ32" s="148">
        <f t="shared" si="200"/>
        <v>-0.77006788619992761</v>
      </c>
      <c r="FK32" s="148" t="str">
        <f t="shared" si="200"/>
        <v>NA</v>
      </c>
      <c r="FL32" s="148" t="str">
        <f t="shared" si="200"/>
        <v>NA</v>
      </c>
      <c r="FM32" s="149" t="str">
        <f t="shared" si="200"/>
        <v>NA</v>
      </c>
      <c r="FN32" s="11"/>
      <c r="FO32" s="108"/>
      <c r="FQ32" s="147">
        <f>IF(FQ$24&lt;&gt;0,-(FQ$30/ABS(FQ$24))/$C$26,"NA")</f>
        <v>0.269169038382848</v>
      </c>
      <c r="FR32" s="148">
        <f t="shared" ref="FR32:FX32" si="201">IF(FR$24&lt;&gt;0,-(FR$30/ABS(FR$24))/$C$26,"NA")</f>
        <v>0.77006788619992761</v>
      </c>
      <c r="FS32" s="148" t="str">
        <f t="shared" si="201"/>
        <v>NA</v>
      </c>
      <c r="FT32" s="148">
        <f t="shared" si="201"/>
        <v>-1.811466613414938</v>
      </c>
      <c r="FU32" s="148">
        <f t="shared" si="201"/>
        <v>0.269169038382848</v>
      </c>
      <c r="FV32" s="148" t="str">
        <f t="shared" si="201"/>
        <v>NA</v>
      </c>
      <c r="FW32" s="148" t="str">
        <f t="shared" si="201"/>
        <v>NA</v>
      </c>
      <c r="FX32" s="149" t="str">
        <f t="shared" si="201"/>
        <v>NA</v>
      </c>
      <c r="FY32" s="11"/>
      <c r="FZ32" s="108"/>
      <c r="GB32" s="147">
        <f>IF(GB$24&lt;&gt;0,-(GB$30/ABS(GB$24))/$C$26,"NA")</f>
        <v>0.50483227940235376</v>
      </c>
      <c r="GC32" s="148">
        <f t="shared" ref="GC32:GI32" si="202">IF(GC$24&lt;&gt;0,-(GC$30/ABS(GC$24))/$C$26,"NA")</f>
        <v>0.77006788619992761</v>
      </c>
      <c r="GD32" s="148" t="str">
        <f t="shared" si="202"/>
        <v>NA</v>
      </c>
      <c r="GE32" s="148">
        <f t="shared" si="202"/>
        <v>-1.811466613414938</v>
      </c>
      <c r="GF32" s="148">
        <f t="shared" si="202"/>
        <v>0.50483227940235376</v>
      </c>
      <c r="GG32" s="148" t="str">
        <f t="shared" si="202"/>
        <v>NA</v>
      </c>
      <c r="GH32" s="148" t="str">
        <f t="shared" si="202"/>
        <v>NA</v>
      </c>
      <c r="GI32" s="149" t="str">
        <f t="shared" si="202"/>
        <v>NA</v>
      </c>
      <c r="GJ32" s="11"/>
      <c r="GK32" s="108"/>
      <c r="GM32" s="147">
        <f>IF(GM$24&lt;&gt;0,-(GM$30/ABS(GM$24))/$C$26,"NA")</f>
        <v>0.269169038382848</v>
      </c>
      <c r="GN32" s="148">
        <f t="shared" ref="GN32:GT32" si="203">IF(GN$24&lt;&gt;0,-(GN$30/ABS(GN$24))/$C$26,"NA")</f>
        <v>-0.24052143118519068</v>
      </c>
      <c r="GO32" s="148" t="str">
        <f t="shared" si="203"/>
        <v>NA</v>
      </c>
      <c r="GP32" s="148">
        <f t="shared" si="203"/>
        <v>-1.811466613414938</v>
      </c>
      <c r="GQ32" s="148">
        <f t="shared" si="203"/>
        <v>0.269169038382848</v>
      </c>
      <c r="GR32" s="148" t="str">
        <f t="shared" si="203"/>
        <v>NA</v>
      </c>
      <c r="GS32" s="148" t="str">
        <f t="shared" si="203"/>
        <v>NA</v>
      </c>
      <c r="GT32" s="149" t="str">
        <f t="shared" si="203"/>
        <v>NA</v>
      </c>
      <c r="GU32" s="11"/>
      <c r="GV32" s="108"/>
      <c r="GX32" s="147">
        <f>IF(GX$24&lt;&gt;0,-(GX$30/ABS(GX$24))/$C$26,"NA")</f>
        <v>0.50483227940235376</v>
      </c>
      <c r="GY32" s="148">
        <f t="shared" ref="GY32:HE32" si="204">IF(GY$24&lt;&gt;0,-(GY$30/ABS(GY$24))/$C$26,"NA")</f>
        <v>-0.25484523478401933</v>
      </c>
      <c r="GZ32" s="148" t="str">
        <f t="shared" si="204"/>
        <v>NA</v>
      </c>
      <c r="HA32" s="148">
        <f t="shared" si="204"/>
        <v>-0.34261178005104287</v>
      </c>
      <c r="HB32" s="148">
        <f t="shared" si="204"/>
        <v>0.50483227940235376</v>
      </c>
      <c r="HC32" s="148" t="str">
        <f t="shared" si="204"/>
        <v>NA</v>
      </c>
      <c r="HD32" s="148" t="str">
        <f t="shared" si="204"/>
        <v>NA</v>
      </c>
      <c r="HE32" s="149" t="str">
        <f t="shared" si="204"/>
        <v>NA</v>
      </c>
      <c r="HF32" s="11"/>
      <c r="HG32" s="108"/>
      <c r="HI32" s="147">
        <f>IF(HI$24&lt;&gt;0,-(HI$30/ABS(HI$24))/$C$26,"NA")</f>
        <v>0.25484523478401933</v>
      </c>
      <c r="HJ32" s="148">
        <f t="shared" ref="HJ32:HP32" si="205">IF(HJ$24&lt;&gt;0,-(HJ$30/ABS(HJ$24))/$C$26,"NA")</f>
        <v>0.85771112112622572</v>
      </c>
      <c r="HK32" s="148" t="str">
        <f t="shared" si="205"/>
        <v>NA</v>
      </c>
      <c r="HL32" s="148">
        <f t="shared" si="205"/>
        <v>0.15784010580467761</v>
      </c>
      <c r="HM32" s="148">
        <f t="shared" si="205"/>
        <v>0.85771112112622572</v>
      </c>
      <c r="HN32" s="148" t="str">
        <f t="shared" si="205"/>
        <v>NA</v>
      </c>
      <c r="HO32" s="148" t="str">
        <f t="shared" si="205"/>
        <v>NA</v>
      </c>
      <c r="HP32" s="149" t="str">
        <f t="shared" si="205"/>
        <v>NA</v>
      </c>
      <c r="HQ32" s="11"/>
      <c r="HR32" s="108"/>
      <c r="HT32" s="147">
        <f>IF(HT$24&lt;&gt;0,-(HT$30/ABS(HT$24))/$C$26,"NA")</f>
        <v>0.25484523478401933</v>
      </c>
      <c r="HU32" s="148">
        <f t="shared" ref="HU32:IA32" si="206">IF(HU$24&lt;&gt;0,-(HU$30/ABS(HU$24))/$C$26,"NA")</f>
        <v>-0.21685194888224205</v>
      </c>
      <c r="HV32" s="148" t="str">
        <f t="shared" si="206"/>
        <v>NA</v>
      </c>
      <c r="HW32" s="148">
        <f t="shared" si="206"/>
        <v>0.15784010580467761</v>
      </c>
      <c r="HX32" s="148">
        <f t="shared" si="206"/>
        <v>-0.21685194888224205</v>
      </c>
      <c r="HY32" s="148" t="str">
        <f t="shared" si="206"/>
        <v>NA</v>
      </c>
      <c r="HZ32" s="148" t="str">
        <f t="shared" si="206"/>
        <v>NA</v>
      </c>
      <c r="IA32" s="149" t="str">
        <f t="shared" si="206"/>
        <v>NA</v>
      </c>
      <c r="IB32" s="11"/>
      <c r="IC32" s="108"/>
      <c r="ID32" s="147" t="str">
        <f>IF(ID$24&lt;&gt;0,-(ID$30/ABS(ID$24))/$C$26,"NA")</f>
        <v>NA</v>
      </c>
      <c r="IE32" s="108"/>
      <c r="IF32" s="147" t="str">
        <f>IF(IF$24&lt;&gt;0,-(IF$30/ABS(IF$24))/$C$26,"NA")</f>
        <v>NA</v>
      </c>
      <c r="IG32" s="147" t="str">
        <f>IF(IG$24&lt;&gt;0,-(IG$30/ABS(IG$24))/$C$26,"NA")</f>
        <v>NA</v>
      </c>
      <c r="IH32" s="147" t="str">
        <f>IF(IH$24&lt;&gt;0,-(IH$30/ABS(IH$24))/$C$26,"NA")</f>
        <v>NA</v>
      </c>
      <c r="II32" s="108"/>
      <c r="IJ32" s="147" t="str">
        <f>IF(IJ$24&lt;&gt;0,-(IJ$30/ABS(IJ$24))/$C$26,"NA")</f>
        <v>NA</v>
      </c>
      <c r="IK32" s="108"/>
      <c r="IM32" s="16"/>
    </row>
    <row r="33" spans="2:256" ht="13.5" customHeight="1" thickTop="1" thickBot="1">
      <c r="C33" s="24" t="s">
        <v>393</v>
      </c>
      <c r="N33" s="24" t="s">
        <v>393</v>
      </c>
      <c r="O33" s="105"/>
      <c r="P33" s="11"/>
      <c r="Q33" s="108"/>
      <c r="S33" s="147">
        <f>IF(S$24&lt;&gt;0,-(S$34/ABS(S$24))/$C$26,"NA")</f>
        <v>0.15447997097994509</v>
      </c>
      <c r="T33" s="148">
        <f t="shared" ref="T33:Z33" si="207">IF(T$24&lt;&gt;0,-(T$34/ABS(T$24))/$C$26,"NA")</f>
        <v>-9.0946779292117946E-2</v>
      </c>
      <c r="U33" s="148" t="str">
        <f t="shared" si="207"/>
        <v>NA</v>
      </c>
      <c r="V33" s="148">
        <f t="shared" si="207"/>
        <v>0.87298543815100815</v>
      </c>
      <c r="W33" s="148">
        <f t="shared" si="207"/>
        <v>0.15447997097994509</v>
      </c>
      <c r="X33" s="148" t="str">
        <f t="shared" si="207"/>
        <v>NA</v>
      </c>
      <c r="Y33" s="148" t="str">
        <f t="shared" si="207"/>
        <v>NA</v>
      </c>
      <c r="Z33" s="149" t="str">
        <f t="shared" si="207"/>
        <v>NA</v>
      </c>
      <c r="AA33" s="11"/>
      <c r="AB33" s="108"/>
      <c r="AD33" s="147">
        <f>IF(AD$24&lt;&gt;0,-(AD$34/ABS(AD$24))/$C$26,"NA")</f>
        <v>-1.0493859149090514E-2</v>
      </c>
      <c r="AE33" s="148">
        <f t="shared" ref="AE33:AK33" si="208">IF(AE$24&lt;&gt;0,-(AE$34/ABS(AE$24))/$C$26,"NA")</f>
        <v>1.2715966212364616</v>
      </c>
      <c r="AF33" s="148" t="str">
        <f t="shared" si="208"/>
        <v>NA</v>
      </c>
      <c r="AG33" s="148">
        <f t="shared" si="208"/>
        <v>0.87298543815100815</v>
      </c>
      <c r="AH33" s="148">
        <f t="shared" si="208"/>
        <v>-1.0493859149090514E-2</v>
      </c>
      <c r="AI33" s="148" t="str">
        <f t="shared" si="208"/>
        <v>NA</v>
      </c>
      <c r="AJ33" s="148" t="str">
        <f t="shared" si="208"/>
        <v>NA</v>
      </c>
      <c r="AK33" s="149" t="str">
        <f t="shared" si="208"/>
        <v>NA</v>
      </c>
      <c r="AL33" s="11"/>
      <c r="AM33" s="108"/>
      <c r="AO33" s="147">
        <f>IF(AO$24&lt;&gt;0,-(AO$34/ABS(AO$24))/$C$26,"NA")</f>
        <v>-9.2980774213608383E-2</v>
      </c>
      <c r="AP33" s="148">
        <f t="shared" ref="AP33:AV33" si="209">IF(AP$24&lt;&gt;0,-(AP$34/ABS(AP$24))/$C$26,"NA")</f>
        <v>1.2715966212364616</v>
      </c>
      <c r="AQ33" s="148" t="str">
        <f t="shared" si="209"/>
        <v>NA</v>
      </c>
      <c r="AR33" s="148">
        <f t="shared" si="209"/>
        <v>-0.77675286313934833</v>
      </c>
      <c r="AS33" s="148">
        <f t="shared" si="209"/>
        <v>-9.2980774213608383E-2</v>
      </c>
      <c r="AT33" s="148" t="str">
        <f t="shared" si="209"/>
        <v>NA</v>
      </c>
      <c r="AU33" s="148" t="str">
        <f t="shared" si="209"/>
        <v>NA</v>
      </c>
      <c r="AV33" s="149" t="str">
        <f t="shared" si="209"/>
        <v>NA</v>
      </c>
      <c r="AW33" s="11"/>
      <c r="AX33" s="108"/>
      <c r="AZ33" s="147">
        <f>IF(AZ$24&lt;&gt;0,-(AZ$34/ABS(AZ$24))/$C$26,"NA")</f>
        <v>-0.90088269333747906</v>
      </c>
      <c r="BA33" s="148">
        <f t="shared" ref="BA33:BG33" si="210">IF(BA$24&lt;&gt;0,-(BA$34/ABS(BA$24))/$C$26,"NA")</f>
        <v>1.2715966212364616</v>
      </c>
      <c r="BB33" s="148" t="str">
        <f t="shared" si="210"/>
        <v>NA</v>
      </c>
      <c r="BC33" s="148">
        <f t="shared" si="210"/>
        <v>5.1564886720610305E-2</v>
      </c>
      <c r="BD33" s="148">
        <f t="shared" si="210"/>
        <v>-0.90088269333747906</v>
      </c>
      <c r="BE33" s="148" t="str">
        <f t="shared" si="210"/>
        <v>NA</v>
      </c>
      <c r="BF33" s="148" t="str">
        <f t="shared" si="210"/>
        <v>NA</v>
      </c>
      <c r="BG33" s="149" t="str">
        <f t="shared" si="210"/>
        <v>NA</v>
      </c>
      <c r="BH33" s="11"/>
      <c r="BI33" s="108"/>
      <c r="BK33" s="147">
        <f>IF(BK$24&lt;&gt;0,-(BK$34/ABS(BK$24))/$C$26,"NA")</f>
        <v>-0.81919469347566987</v>
      </c>
      <c r="BL33" s="148">
        <f t="shared" ref="BL33:BR33" si="211">IF(BL$24&lt;&gt;0,-(BL$34/ABS(BL$24))/$C$26,"NA")</f>
        <v>1.2715966212364616</v>
      </c>
      <c r="BM33" s="148" t="str">
        <f t="shared" si="211"/>
        <v>NA</v>
      </c>
      <c r="BN33" s="148">
        <f t="shared" si="211"/>
        <v>0.24030217707991453</v>
      </c>
      <c r="BO33" s="148">
        <f t="shared" si="211"/>
        <v>-0.81919469347566987</v>
      </c>
      <c r="BP33" s="148" t="str">
        <f t="shared" si="211"/>
        <v>NA</v>
      </c>
      <c r="BQ33" s="148" t="str">
        <f t="shared" si="211"/>
        <v>NA</v>
      </c>
      <c r="BR33" s="149" t="str">
        <f t="shared" si="211"/>
        <v>NA</v>
      </c>
      <c r="BS33" s="11"/>
      <c r="BT33" s="108"/>
      <c r="BV33" s="147">
        <f>IF(BV$24&lt;&gt;0,-(BV$34/ABS(BV$24))/$C$26,"NA")</f>
        <v>-1.0493859149090514E-2</v>
      </c>
      <c r="BW33" s="148">
        <f t="shared" ref="BW33:CC33" si="212">IF(BW$24&lt;&gt;0,-(BW$34/ABS(BW$24))/$C$26,"NA")</f>
        <v>1.2442141265481681</v>
      </c>
      <c r="BX33" s="148" t="str">
        <f t="shared" si="212"/>
        <v>NA</v>
      </c>
      <c r="BY33" s="148">
        <f t="shared" si="212"/>
        <v>0.87963010945858033</v>
      </c>
      <c r="BZ33" s="148">
        <f t="shared" si="212"/>
        <v>-1.0493859149090514E-2</v>
      </c>
      <c r="CA33" s="148" t="str">
        <f t="shared" si="212"/>
        <v>NA</v>
      </c>
      <c r="CB33" s="148" t="str">
        <f t="shared" si="212"/>
        <v>NA</v>
      </c>
      <c r="CC33" s="149" t="str">
        <f t="shared" si="212"/>
        <v>NA</v>
      </c>
      <c r="CD33" s="11"/>
      <c r="CE33" s="108"/>
      <c r="CG33" s="147">
        <f>IF(CG$24&lt;&gt;0,-(CG$34/ABS(CG$24))/$C$26,"NA")</f>
        <v>-9.2980774213608383E-2</v>
      </c>
      <c r="CH33" s="148">
        <f t="shared" ref="CH33:CN33" si="213">IF(CH$24&lt;&gt;0,-(CH$34/ABS(CH$24))/$C$26,"NA")</f>
        <v>1.2442141265481681</v>
      </c>
      <c r="CI33" s="148" t="str">
        <f t="shared" si="213"/>
        <v>NA</v>
      </c>
      <c r="CJ33" s="148">
        <f t="shared" si="213"/>
        <v>0.69632585375965195</v>
      </c>
      <c r="CK33" s="148">
        <f t="shared" si="213"/>
        <v>-9.2980774213608383E-2</v>
      </c>
      <c r="CL33" s="148" t="str">
        <f t="shared" si="213"/>
        <v>NA</v>
      </c>
      <c r="CM33" s="148" t="str">
        <f t="shared" si="213"/>
        <v>NA</v>
      </c>
      <c r="CN33" s="149" t="str">
        <f t="shared" si="213"/>
        <v>NA</v>
      </c>
      <c r="CO33" s="11"/>
      <c r="CP33" s="108"/>
      <c r="CR33" s="147">
        <f>IF(CR$24&lt;&gt;0,-(CR$34/ABS(CR$24))/$C$26,"NA")</f>
        <v>9.0946779292117946E-2</v>
      </c>
      <c r="CS33" s="148">
        <f t="shared" ref="CS33:CY33" si="214">IF(CS$24&lt;&gt;0,-(CS$34/ABS(CS$24))/$C$26,"NA")</f>
        <v>1.2442141265481681</v>
      </c>
      <c r="CT33" s="148" t="str">
        <f t="shared" si="214"/>
        <v>NA</v>
      </c>
      <c r="CU33" s="148">
        <f t="shared" si="214"/>
        <v>0.69632585375965195</v>
      </c>
      <c r="CV33" s="148">
        <f t="shared" si="214"/>
        <v>9.0946779292117946E-2</v>
      </c>
      <c r="CW33" s="148" t="str">
        <f t="shared" si="214"/>
        <v>NA</v>
      </c>
      <c r="CX33" s="148" t="str">
        <f t="shared" si="214"/>
        <v>NA</v>
      </c>
      <c r="CY33" s="149" t="str">
        <f t="shared" si="214"/>
        <v>NA</v>
      </c>
      <c r="CZ33" s="11"/>
      <c r="DA33" s="108"/>
      <c r="DC33" s="147">
        <f>IF(DC$24&lt;&gt;0,-(DC$34/ABS(DC$24))/$C$26,"NA")</f>
        <v>-9.2980774213608383E-2</v>
      </c>
      <c r="DD33" s="148">
        <f t="shared" ref="DD33:DJ33" si="215">IF(DD$24&lt;&gt;0,-(DD$34/ABS(DD$24))/$C$26,"NA")</f>
        <v>0.24876923874177331</v>
      </c>
      <c r="DE33" s="148" t="str">
        <f t="shared" si="215"/>
        <v>NA</v>
      </c>
      <c r="DF33" s="148">
        <f t="shared" si="215"/>
        <v>-0.77675286313934833</v>
      </c>
      <c r="DG33" s="148">
        <f t="shared" si="215"/>
        <v>-9.2980774213608383E-2</v>
      </c>
      <c r="DH33" s="148" t="str">
        <f t="shared" si="215"/>
        <v>NA</v>
      </c>
      <c r="DI33" s="148" t="str">
        <f t="shared" si="215"/>
        <v>NA</v>
      </c>
      <c r="DJ33" s="149" t="str">
        <f t="shared" si="215"/>
        <v>NA</v>
      </c>
      <c r="DK33" s="11"/>
      <c r="DL33" s="108"/>
      <c r="DN33" s="147">
        <f>IF(DN$24&lt;&gt;0,-(DN$34/ABS(DN$24))/$C$26,"NA")</f>
        <v>9.0946779292117946E-2</v>
      </c>
      <c r="DO33" s="148">
        <f t="shared" ref="DO33:DU33" si="216">IF(DO$24&lt;&gt;0,-(DO$34/ABS(DO$24))/$C$26,"NA")</f>
        <v>0.24876923874177331</v>
      </c>
      <c r="DP33" s="148" t="str">
        <f t="shared" si="216"/>
        <v>NA</v>
      </c>
      <c r="DQ33" s="148">
        <f t="shared" si="216"/>
        <v>-0.77675286313934833</v>
      </c>
      <c r="DR33" s="148">
        <f t="shared" si="216"/>
        <v>9.0946779292117946E-2</v>
      </c>
      <c r="DS33" s="148" t="str">
        <f t="shared" si="216"/>
        <v>NA</v>
      </c>
      <c r="DT33" s="148" t="str">
        <f t="shared" si="216"/>
        <v>NA</v>
      </c>
      <c r="DU33" s="149" t="str">
        <f t="shared" si="216"/>
        <v>NA</v>
      </c>
      <c r="DV33" s="11"/>
      <c r="DW33" s="108"/>
      <c r="DY33" s="147">
        <f>IF(DY$24&lt;&gt;0,-(DY$34/ABS(DY$24))/$C$26,"NA")</f>
        <v>-0.24876923874177331</v>
      </c>
      <c r="DZ33" s="148">
        <f t="shared" ref="DZ33:EF33" si="217">IF(DZ$24&lt;&gt;0,-(DZ$34/ABS(DZ$24))/$C$26,"NA")</f>
        <v>1.2715966212364616</v>
      </c>
      <c r="EA33" s="148" t="str">
        <f t="shared" si="217"/>
        <v>NA</v>
      </c>
      <c r="EB33" s="148">
        <f t="shared" si="217"/>
        <v>5.1564886720610305E-2</v>
      </c>
      <c r="EC33" s="148">
        <f t="shared" si="217"/>
        <v>-0.24876923874177331</v>
      </c>
      <c r="ED33" s="148" t="str">
        <f t="shared" si="217"/>
        <v>NA</v>
      </c>
      <c r="EE33" s="148" t="str">
        <f t="shared" si="217"/>
        <v>NA</v>
      </c>
      <c r="EF33" s="149" t="str">
        <f t="shared" si="217"/>
        <v>NA</v>
      </c>
      <c r="EG33" s="11"/>
      <c r="EH33" s="108"/>
      <c r="EJ33" s="147">
        <f>IF(EJ$24&lt;&gt;0,-(EJ$34/ABS(EJ$24))/$C$26,"NA")</f>
        <v>-0.24876923874177331</v>
      </c>
      <c r="EK33" s="148">
        <f t="shared" ref="EK33:EQ33" si="218">IF(EK$24&lt;&gt;0,-(EK$34/ABS(EK$24))/$C$26,"NA")</f>
        <v>1.2442141265481681</v>
      </c>
      <c r="EL33" s="148" t="str">
        <f t="shared" si="218"/>
        <v>NA</v>
      </c>
      <c r="EM33" s="148">
        <f t="shared" si="218"/>
        <v>0.28022579890031157</v>
      </c>
      <c r="EN33" s="148">
        <f t="shared" si="218"/>
        <v>-0.24876923874177331</v>
      </c>
      <c r="EO33" s="148" t="str">
        <f t="shared" si="218"/>
        <v>NA</v>
      </c>
      <c r="EP33" s="148" t="str">
        <f t="shared" si="218"/>
        <v>NA</v>
      </c>
      <c r="EQ33" s="149" t="str">
        <f t="shared" si="218"/>
        <v>NA</v>
      </c>
      <c r="ER33" s="11"/>
      <c r="ES33" s="108"/>
      <c r="EU33" s="147">
        <f t="shared" ref="EU33:FB33" si="219">IF(EU$24&lt;&gt;0,-(EU$34/ABS(EU$24))/$C$26,"NA")</f>
        <v>-0.77006788619992761</v>
      </c>
      <c r="EV33" s="148">
        <f t="shared" si="219"/>
        <v>1.2715966212364616</v>
      </c>
      <c r="EW33" s="148" t="str">
        <f t="shared" si="219"/>
        <v>NA</v>
      </c>
      <c r="EX33" s="148">
        <f t="shared" si="219"/>
        <v>0.69632585375965195</v>
      </c>
      <c r="EY33" s="148">
        <f t="shared" si="219"/>
        <v>-0.77006788619992761</v>
      </c>
      <c r="EZ33" s="148" t="str">
        <f t="shared" si="219"/>
        <v>NA</v>
      </c>
      <c r="FA33" s="148" t="str">
        <f t="shared" si="219"/>
        <v>NA</v>
      </c>
      <c r="FB33" s="149" t="str">
        <f t="shared" si="219"/>
        <v>NA</v>
      </c>
      <c r="FC33" s="11"/>
      <c r="FD33" s="108"/>
      <c r="FF33" s="147">
        <f t="shared" ref="FF33:FM33" si="220">IF(FF$24&lt;&gt;0,-(FF$34/ABS(FF$24))/$C$26,"NA")</f>
        <v>-0.77006788619992761</v>
      </c>
      <c r="FG33" s="148">
        <f t="shared" si="220"/>
        <v>1.2442141265481681</v>
      </c>
      <c r="FH33" s="148" t="str">
        <f t="shared" si="220"/>
        <v>NA</v>
      </c>
      <c r="FI33" s="148">
        <f t="shared" si="220"/>
        <v>0.69632585375965195</v>
      </c>
      <c r="FJ33" s="148">
        <f t="shared" si="220"/>
        <v>-0.77006788619992761</v>
      </c>
      <c r="FK33" s="148" t="str">
        <f t="shared" si="220"/>
        <v>NA</v>
      </c>
      <c r="FL33" s="148" t="str">
        <f t="shared" si="220"/>
        <v>NA</v>
      </c>
      <c r="FM33" s="149" t="str">
        <f t="shared" si="220"/>
        <v>NA</v>
      </c>
      <c r="FN33" s="11"/>
      <c r="FO33" s="108"/>
      <c r="FQ33" s="147">
        <f>IF(FQ$24&lt;&gt;0,-(FQ$34/ABS(FQ$24))/$C$26,"NA")</f>
        <v>-9.2980774213608383E-2</v>
      </c>
      <c r="FR33" s="148">
        <f t="shared" ref="FR33:FX33" si="221">IF(FR$24&lt;&gt;0,-(FR$34/ABS(FR$24))/$C$26,"NA")</f>
        <v>0.77006788619992761</v>
      </c>
      <c r="FS33" s="148" t="str">
        <f t="shared" si="221"/>
        <v>NA</v>
      </c>
      <c r="FT33" s="148">
        <f t="shared" si="221"/>
        <v>-0.77675286313934833</v>
      </c>
      <c r="FU33" s="148">
        <f t="shared" si="221"/>
        <v>-9.2980774213608383E-2</v>
      </c>
      <c r="FV33" s="148" t="str">
        <f t="shared" si="221"/>
        <v>NA</v>
      </c>
      <c r="FW33" s="148" t="str">
        <f t="shared" si="221"/>
        <v>NA</v>
      </c>
      <c r="FX33" s="149" t="str">
        <f t="shared" si="221"/>
        <v>NA</v>
      </c>
      <c r="FY33" s="11"/>
      <c r="FZ33" s="108"/>
      <c r="GB33" s="147">
        <f>IF(GB$24&lt;&gt;0,-(GB$34/ABS(GB$24))/$C$26,"NA")</f>
        <v>9.0946779292117946E-2</v>
      </c>
      <c r="GC33" s="148">
        <f t="shared" ref="GC33:GI33" si="222">IF(GC$24&lt;&gt;0,-(GC$34/ABS(GC$24))/$C$26,"NA")</f>
        <v>0.77006788619992761</v>
      </c>
      <c r="GD33" s="148" t="str">
        <f t="shared" si="222"/>
        <v>NA</v>
      </c>
      <c r="GE33" s="148">
        <f t="shared" si="222"/>
        <v>-0.77675286313934833</v>
      </c>
      <c r="GF33" s="148">
        <f t="shared" si="222"/>
        <v>9.0946779292117946E-2</v>
      </c>
      <c r="GG33" s="148" t="str">
        <f t="shared" si="222"/>
        <v>NA</v>
      </c>
      <c r="GH33" s="148" t="str">
        <f t="shared" si="222"/>
        <v>NA</v>
      </c>
      <c r="GI33" s="149" t="str">
        <f t="shared" si="222"/>
        <v>NA</v>
      </c>
      <c r="GJ33" s="11"/>
      <c r="GK33" s="108"/>
      <c r="GM33" s="147">
        <f>IF(GM$24&lt;&gt;0,-(GM$34/ABS(GM$24))/$C$26,"NA")</f>
        <v>-9.2980774213608383E-2</v>
      </c>
      <c r="GN33" s="148">
        <f t="shared" ref="GN33:GT33" si="223">IF(GN$24&lt;&gt;0,-(GN$34/ABS(GN$24))/$C$26,"NA")</f>
        <v>0.22509975643882468</v>
      </c>
      <c r="GO33" s="148" t="str">
        <f t="shared" si="223"/>
        <v>NA</v>
      </c>
      <c r="GP33" s="148">
        <f t="shared" si="223"/>
        <v>-0.77675286313934833</v>
      </c>
      <c r="GQ33" s="148">
        <f t="shared" si="223"/>
        <v>-9.2980774213608383E-2</v>
      </c>
      <c r="GR33" s="148" t="str">
        <f t="shared" si="223"/>
        <v>NA</v>
      </c>
      <c r="GS33" s="148" t="str">
        <f t="shared" si="223"/>
        <v>NA</v>
      </c>
      <c r="GT33" s="149" t="str">
        <f t="shared" si="223"/>
        <v>NA</v>
      </c>
      <c r="GU33" s="11"/>
      <c r="GV33" s="108"/>
      <c r="GX33" s="147">
        <f>IF(GX$24&lt;&gt;0,-(GX$34/ABS(GX$24))/$C$26,"NA")</f>
        <v>9.0946779292117946E-2</v>
      </c>
      <c r="GY33" s="148">
        <f t="shared" ref="GY33:HE33" si="224">IF(GY$24&lt;&gt;0,-(GY$34/ABS(GY$24))/$C$26,"NA")</f>
        <v>0.15904026532621651</v>
      </c>
      <c r="GZ33" s="148" t="str">
        <f t="shared" si="224"/>
        <v>NA</v>
      </c>
      <c r="HA33" s="148">
        <f t="shared" si="224"/>
        <v>5.1564886720610305E-2</v>
      </c>
      <c r="HB33" s="148">
        <f t="shared" si="224"/>
        <v>9.0946779292117946E-2</v>
      </c>
      <c r="HC33" s="148" t="str">
        <f t="shared" si="224"/>
        <v>NA</v>
      </c>
      <c r="HD33" s="148" t="str">
        <f t="shared" si="224"/>
        <v>NA</v>
      </c>
      <c r="HE33" s="149" t="str">
        <f t="shared" si="224"/>
        <v>NA</v>
      </c>
      <c r="HF33" s="11"/>
      <c r="HG33" s="108"/>
      <c r="HI33" s="147">
        <f>IF(HI$24&lt;&gt;0,-(HI$34/ABS(HI$24))/$C$26,"NA")</f>
        <v>-0.15904026532621651</v>
      </c>
      <c r="HJ33" s="148">
        <f t="shared" ref="HJ33:HP33" si="225">IF(HJ$24&lt;&gt;0,-(HJ$34/ABS(HJ$24))/$C$26,"NA")</f>
        <v>1.2715966212364616</v>
      </c>
      <c r="HK33" s="148" t="str">
        <f t="shared" si="225"/>
        <v>NA</v>
      </c>
      <c r="HL33" s="148">
        <f t="shared" si="225"/>
        <v>-0.27782884167978117</v>
      </c>
      <c r="HM33" s="148">
        <f t="shared" si="225"/>
        <v>1.2715966212364616</v>
      </c>
      <c r="HN33" s="148" t="str">
        <f t="shared" si="225"/>
        <v>NA</v>
      </c>
      <c r="HO33" s="148" t="str">
        <f t="shared" si="225"/>
        <v>NA</v>
      </c>
      <c r="HP33" s="149" t="str">
        <f t="shared" si="225"/>
        <v>NA</v>
      </c>
      <c r="HQ33" s="11"/>
      <c r="HR33" s="108"/>
      <c r="HT33" s="147">
        <f>IF(HT$24&lt;&gt;0,-(HT$34/ABS(HT$24))/$C$26,"NA")</f>
        <v>-0.15904026532621651</v>
      </c>
      <c r="HU33" s="148">
        <f t="shared" ref="HU33:IA33" si="226">IF(HU$24&lt;&gt;0,-(HU$34/ABS(HU$24))/$C$26,"NA")</f>
        <v>0.24876923874177331</v>
      </c>
      <c r="HV33" s="148" t="str">
        <f t="shared" si="226"/>
        <v>NA</v>
      </c>
      <c r="HW33" s="148">
        <f t="shared" si="226"/>
        <v>-0.27782884167978117</v>
      </c>
      <c r="HX33" s="148">
        <f t="shared" si="226"/>
        <v>0.24876923874177331</v>
      </c>
      <c r="HY33" s="148" t="str">
        <f t="shared" si="226"/>
        <v>NA</v>
      </c>
      <c r="HZ33" s="148" t="str">
        <f t="shared" si="226"/>
        <v>NA</v>
      </c>
      <c r="IA33" s="149" t="str">
        <f t="shared" si="226"/>
        <v>NA</v>
      </c>
      <c r="IB33" s="11"/>
      <c r="IC33" s="108"/>
      <c r="ID33" s="147" t="str">
        <f>IF(ID$24&lt;&gt;0,-(ID$34/ABS(ID$24))/$C$26,"NA")</f>
        <v>NA</v>
      </c>
      <c r="IE33" s="108"/>
      <c r="IF33" s="147" t="str">
        <f>IF(IF$24&lt;&gt;0,-(IF$34/ABS(IF$24))/$C$26,"NA")</f>
        <v>NA</v>
      </c>
      <c r="IG33" s="147" t="str">
        <f>IF(IG$24&lt;&gt;0,-(IG$34/ABS(IG$24))/$C$26,"NA")</f>
        <v>NA</v>
      </c>
      <c r="IH33" s="147" t="str">
        <f>IF(IH$24&lt;&gt;0,-(IH$34/ABS(IH$24))/$C$26,"NA")</f>
        <v>NA</v>
      </c>
      <c r="II33" s="108"/>
      <c r="IJ33" s="147" t="str">
        <f>IF(IJ$24&lt;&gt;0,-(IJ$34/ABS(IJ$24))/$C$26,"NA")</f>
        <v>NA</v>
      </c>
      <c r="IK33" s="108"/>
      <c r="IM33" s="16"/>
    </row>
    <row r="34" spans="2:256" ht="13.5" customHeight="1" thickTop="1" thickBot="1">
      <c r="C34" s="24" t="s">
        <v>202</v>
      </c>
      <c r="N34" s="24" t="s">
        <v>202</v>
      </c>
      <c r="O34" s="105"/>
      <c r="P34" s="11"/>
      <c r="Q34" s="108"/>
      <c r="S34" s="147">
        <f t="shared" ref="S34:Y34" si="227">+SUMPRODUCT($D$4:$D$24,S$4:S$24)</f>
        <v>-119.24000000000001</v>
      </c>
      <c r="T34" s="148">
        <f t="shared" si="227"/>
        <v>70.2</v>
      </c>
      <c r="U34" s="148">
        <f t="shared" si="227"/>
        <v>-49.039999999999964</v>
      </c>
      <c r="V34" s="148">
        <f t="shared" si="227"/>
        <v>-16.846000000000004</v>
      </c>
      <c r="W34" s="148">
        <f t="shared" si="227"/>
        <v>-119.24000000000001</v>
      </c>
      <c r="X34" s="148">
        <f t="shared" si="227"/>
        <v>-19.827000000000041</v>
      </c>
      <c r="Y34" s="148">
        <f t="shared" si="227"/>
        <v>-92.160999999999831</v>
      </c>
      <c r="Z34" s="149">
        <f>+SUMPRODUCT($D$4:$D$24,Y$4:Y$24)</f>
        <v>-92.160999999999831</v>
      </c>
      <c r="AA34" s="11"/>
      <c r="AB34" s="108"/>
      <c r="AD34" s="147">
        <f t="shared" ref="AD34:AJ34" si="228">+SUMPRODUCT($D$4:$D$24,AD$4:AD$24)</f>
        <v>24.299999999999955</v>
      </c>
      <c r="AE34" s="148">
        <f t="shared" si="228"/>
        <v>-490.76</v>
      </c>
      <c r="AF34" s="148">
        <f t="shared" si="228"/>
        <v>-2920.26</v>
      </c>
      <c r="AG34" s="148">
        <f t="shared" si="228"/>
        <v>-16.846000000000004</v>
      </c>
      <c r="AH34" s="148">
        <f t="shared" si="228"/>
        <v>24.299999999999955</v>
      </c>
      <c r="AI34" s="148">
        <f t="shared" si="228"/>
        <v>-16.643500000000031</v>
      </c>
      <c r="AJ34" s="148">
        <f t="shared" si="228"/>
        <v>-253.11326475726401</v>
      </c>
      <c r="AK34" s="149">
        <f>+SUMPRODUCT($D$4:$D$24,AJ$4:AJ$24)</f>
        <v>-253.11326475726401</v>
      </c>
      <c r="AL34" s="11"/>
      <c r="AM34" s="108"/>
      <c r="AO34" s="147">
        <f t="shared" ref="AO34:AU34" si="229">+SUMPRODUCT($D$4:$D$24,AO$4:AO$24)</f>
        <v>71.770000000000039</v>
      </c>
      <c r="AP34" s="148">
        <f t="shared" si="229"/>
        <v>-490.76</v>
      </c>
      <c r="AQ34" s="148">
        <f t="shared" si="229"/>
        <v>-909.75</v>
      </c>
      <c r="AR34" s="148">
        <f t="shared" si="229"/>
        <v>14.989000000000004</v>
      </c>
      <c r="AS34" s="148">
        <f t="shared" si="229"/>
        <v>71.770000000000039</v>
      </c>
      <c r="AT34" s="148">
        <f t="shared" si="229"/>
        <v>16.783249999999995</v>
      </c>
      <c r="AU34" s="148">
        <f t="shared" si="229"/>
        <v>-492.43143331452183</v>
      </c>
      <c r="AV34" s="149">
        <f>+SUMPRODUCT($D$4:$D$24,AU$4:AU$24)</f>
        <v>-492.43143331452183</v>
      </c>
      <c r="AW34" s="11"/>
      <c r="AX34" s="108"/>
      <c r="AZ34" s="147">
        <f t="shared" ref="AZ34:BF34" si="230">+SUMPRODUCT($D$4:$D$24,AZ$4:AZ$24)</f>
        <v>521.53</v>
      </c>
      <c r="BA34" s="148">
        <f t="shared" si="230"/>
        <v>-490.76</v>
      </c>
      <c r="BB34" s="148">
        <f t="shared" si="230"/>
        <v>-214.61</v>
      </c>
      <c r="BC34" s="148">
        <f t="shared" si="230"/>
        <v>-20.895999999999958</v>
      </c>
      <c r="BD34" s="148">
        <f t="shared" si="230"/>
        <v>521.53</v>
      </c>
      <c r="BE34" s="148">
        <f t="shared" si="230"/>
        <v>344.17500000000001</v>
      </c>
      <c r="BF34" s="148">
        <f t="shared" si="230"/>
        <v>-2410.8271641773867</v>
      </c>
      <c r="BG34" s="149">
        <f>+SUMPRODUCT($D$4:$D$24,BF$4:BF$24)</f>
        <v>-2410.8271641773867</v>
      </c>
      <c r="BH34" s="11"/>
      <c r="BI34" s="108"/>
      <c r="BK34" s="147">
        <f t="shared" ref="BK34:BQ34" si="231">+SUMPRODUCT($D$4:$D$24,BK$4:BK$24)</f>
        <v>158.08000000000001</v>
      </c>
      <c r="BL34" s="148">
        <f t="shared" si="231"/>
        <v>-490.76</v>
      </c>
      <c r="BM34" s="148">
        <f t="shared" si="231"/>
        <v>-87.3</v>
      </c>
      <c r="BN34" s="148">
        <f t="shared" si="231"/>
        <v>-125.202</v>
      </c>
      <c r="BO34" s="148">
        <f t="shared" si="231"/>
        <v>158.08000000000001</v>
      </c>
      <c r="BP34" s="148">
        <f t="shared" si="231"/>
        <v>301.61400000000003</v>
      </c>
      <c r="BQ34" s="148">
        <f t="shared" si="231"/>
        <v>-3507.9867557178045</v>
      </c>
      <c r="BR34" s="149">
        <f>+SUMPRODUCT($D$4:$D$24,BQ$4:BQ$24)</f>
        <v>-3507.9867557178045</v>
      </c>
      <c r="BS34" s="11"/>
      <c r="BT34" s="108"/>
      <c r="BV34" s="147">
        <f t="shared" ref="BV34:CB34" si="232">+SUMPRODUCT($D$4:$D$24,BV$4:BV$24)</f>
        <v>24.299999999999955</v>
      </c>
      <c r="BW34" s="148">
        <f t="shared" si="232"/>
        <v>-600.24</v>
      </c>
      <c r="BX34" s="148">
        <f t="shared" si="232"/>
        <v>-2856.8519999999999</v>
      </c>
      <c r="BY34" s="148">
        <f t="shared" si="232"/>
        <v>-152.76800000000003</v>
      </c>
      <c r="BZ34" s="148">
        <f t="shared" si="232"/>
        <v>24.299999999999955</v>
      </c>
      <c r="CA34" s="148">
        <f t="shared" si="232"/>
        <v>-150.94550000000004</v>
      </c>
      <c r="CB34" s="148">
        <f t="shared" si="232"/>
        <v>-277.58408570674067</v>
      </c>
      <c r="CC34" s="149">
        <f>+SUMPRODUCT($D$4:$D$24,CB$4:CB$24)</f>
        <v>-277.58408570674067</v>
      </c>
      <c r="CD34" s="11"/>
      <c r="CE34" s="108"/>
      <c r="CG34" s="147">
        <f t="shared" ref="CG34:CM34" si="233">+SUMPRODUCT($D$4:$D$24,CG$4:CG$24)</f>
        <v>71.770000000000039</v>
      </c>
      <c r="CH34" s="148">
        <f t="shared" si="233"/>
        <v>-600.24</v>
      </c>
      <c r="CI34" s="148">
        <f t="shared" si="233"/>
        <v>-888.61400000000015</v>
      </c>
      <c r="CJ34" s="148">
        <f t="shared" si="233"/>
        <v>-120.93300000000002</v>
      </c>
      <c r="CK34" s="148">
        <f t="shared" si="233"/>
        <v>71.770000000000039</v>
      </c>
      <c r="CL34" s="148">
        <f t="shared" si="233"/>
        <v>-104.78475000000005</v>
      </c>
      <c r="CM34" s="148">
        <f t="shared" si="233"/>
        <v>-545.53728233219022</v>
      </c>
      <c r="CN34" s="149">
        <f>+SUMPRODUCT($D$4:$D$24,CM$4:CM$24)</f>
        <v>-545.53728233219022</v>
      </c>
      <c r="CO34" s="11"/>
      <c r="CP34" s="108"/>
      <c r="CR34" s="147">
        <f t="shared" ref="CR34:CX34" si="234">+SUMPRODUCT($D$4:$D$24,CR$4:CR$24)</f>
        <v>-17.55</v>
      </c>
      <c r="CS34" s="148">
        <f t="shared" si="234"/>
        <v>-600.24</v>
      </c>
      <c r="CT34" s="148">
        <f t="shared" si="234"/>
        <v>-257.64600000000002</v>
      </c>
      <c r="CU34" s="148">
        <f t="shared" si="234"/>
        <v>-120.93300000000002</v>
      </c>
      <c r="CV34" s="148">
        <f t="shared" si="234"/>
        <v>-17.55</v>
      </c>
      <c r="CW34" s="148">
        <f t="shared" si="234"/>
        <v>-136.72800000000001</v>
      </c>
      <c r="CX34" s="148">
        <f t="shared" si="234"/>
        <v>-1163.1896504680749</v>
      </c>
      <c r="CY34" s="149">
        <f>+SUMPRODUCT($D$4:$D$24,CX$4:CX$24)</f>
        <v>-1163.1896504680749</v>
      </c>
      <c r="CZ34" s="11"/>
      <c r="DA34" s="108"/>
      <c r="DC34" s="147">
        <f t="shared" ref="DC34:DI34" si="235">+SUMPRODUCT($D$4:$D$24,DC$4:DC$24)</f>
        <v>71.770000000000039</v>
      </c>
      <c r="DD34" s="148">
        <f t="shared" si="235"/>
        <v>-192.01999999999998</v>
      </c>
      <c r="DE34" s="148">
        <f t="shared" si="235"/>
        <v>-120.24999999999994</v>
      </c>
      <c r="DF34" s="148">
        <f t="shared" si="235"/>
        <v>14.989000000000004</v>
      </c>
      <c r="DG34" s="148">
        <f t="shared" si="235"/>
        <v>71.770000000000039</v>
      </c>
      <c r="DH34" s="148">
        <f t="shared" si="235"/>
        <v>16.783249999999995</v>
      </c>
      <c r="DI34" s="148">
        <f t="shared" si="235"/>
        <v>-1432.9807450208837</v>
      </c>
      <c r="DJ34" s="149">
        <f>+SUMPRODUCT($D$4:$D$24,DI$4:DI$24)</f>
        <v>-1432.9807450208837</v>
      </c>
      <c r="DK34" s="11"/>
      <c r="DL34" s="108"/>
      <c r="DN34" s="147">
        <f t="shared" ref="DN34:DT34" si="236">+SUMPRODUCT($D$4:$D$24,DN$4:DN$24)</f>
        <v>-17.55</v>
      </c>
      <c r="DO34" s="148">
        <f t="shared" si="236"/>
        <v>-192.01999999999998</v>
      </c>
      <c r="DP34" s="148">
        <f t="shared" si="236"/>
        <v>-65.555000000000007</v>
      </c>
      <c r="DQ34" s="148">
        <f t="shared" si="236"/>
        <v>14.989000000000004</v>
      </c>
      <c r="DR34" s="148">
        <f t="shared" si="236"/>
        <v>-17.55</v>
      </c>
      <c r="DS34" s="148">
        <f t="shared" si="236"/>
        <v>13.234000000000009</v>
      </c>
      <c r="DT34" s="148">
        <f t="shared" si="236"/>
        <v>-3279.2657278534389</v>
      </c>
      <c r="DU34" s="149">
        <f>+SUMPRODUCT($D$4:$D$24,DT$4:DT$24)</f>
        <v>-3279.2657278534389</v>
      </c>
      <c r="DV34" s="11"/>
      <c r="DW34" s="108"/>
      <c r="DY34" s="147">
        <f t="shared" ref="DY34:EE34" si="237">+SUMPRODUCT($D$4:$D$24,DY$4:DY$24)</f>
        <v>192.01999999999998</v>
      </c>
      <c r="DZ34" s="148">
        <f t="shared" si="237"/>
        <v>-490.76</v>
      </c>
      <c r="EA34" s="148">
        <f t="shared" si="237"/>
        <v>-789.5</v>
      </c>
      <c r="EB34" s="148">
        <f t="shared" si="237"/>
        <v>-20.895999999999958</v>
      </c>
      <c r="EC34" s="148">
        <f t="shared" si="237"/>
        <v>192.01999999999998</v>
      </c>
      <c r="ED34" s="148">
        <f t="shared" si="237"/>
        <v>79.914500000000004</v>
      </c>
      <c r="EE34" s="148">
        <f t="shared" si="237"/>
        <v>-907.12265781787175</v>
      </c>
      <c r="EF34" s="149">
        <f>+SUMPRODUCT($D$4:$D$24,EE$4:EE$24)</f>
        <v>-907.12265781787175</v>
      </c>
      <c r="EG34" s="11"/>
      <c r="EH34" s="108"/>
      <c r="EJ34" s="147">
        <f t="shared" ref="EJ34:EP34" si="238">+SUMPRODUCT($D$4:$D$24,EJ$4:EJ$24)</f>
        <v>192.01999999999998</v>
      </c>
      <c r="EK34" s="148">
        <f t="shared" si="238"/>
        <v>-600.24</v>
      </c>
      <c r="EL34" s="148">
        <f t="shared" si="238"/>
        <v>-768.36400000000015</v>
      </c>
      <c r="EM34" s="148">
        <f t="shared" si="238"/>
        <v>-156.81800000000004</v>
      </c>
      <c r="EN34" s="148">
        <f t="shared" si="238"/>
        <v>192.01999999999998</v>
      </c>
      <c r="EO34" s="148">
        <f t="shared" si="238"/>
        <v>-17.603500000000054</v>
      </c>
      <c r="EP34" s="148">
        <f t="shared" si="238"/>
        <v>-995.52992431654536</v>
      </c>
      <c r="EQ34" s="149">
        <f>+SUMPRODUCT($D$4:$D$24,EP$4:EP$24)</f>
        <v>-995.52992431654536</v>
      </c>
      <c r="ER34" s="11"/>
      <c r="ES34" s="108"/>
      <c r="EU34" s="147">
        <f t="shared" ref="EU34:FA34" si="239">+SUMPRODUCT($D$4:$D$24,EU$4:EU$24)</f>
        <v>74.300000000000011</v>
      </c>
      <c r="EV34" s="148">
        <f t="shared" si="239"/>
        <v>-490.76</v>
      </c>
      <c r="EW34" s="148">
        <f t="shared" si="239"/>
        <v>-48.389999999999986</v>
      </c>
      <c r="EX34" s="148">
        <f t="shared" si="239"/>
        <v>-120.93300000000002</v>
      </c>
      <c r="EY34" s="148">
        <f t="shared" si="239"/>
        <v>74.300000000000011</v>
      </c>
      <c r="EZ34" s="148">
        <f t="shared" si="239"/>
        <v>12.807000000000016</v>
      </c>
      <c r="FA34" s="148">
        <f t="shared" si="239"/>
        <v>-1895.1000660836762</v>
      </c>
      <c r="FB34" s="149">
        <f>+SUMPRODUCT($D$4:$D$24,FA$4:FA$24)</f>
        <v>-1895.1000660836762</v>
      </c>
      <c r="FC34" s="11"/>
      <c r="FD34" s="108"/>
      <c r="FF34" s="147">
        <f t="shared" ref="FF34:FL34" si="240">+SUMPRODUCT($D$4:$D$24,FF$4:FF$24)</f>
        <v>74.300000000000011</v>
      </c>
      <c r="FG34" s="148">
        <f t="shared" si="240"/>
        <v>-600.24</v>
      </c>
      <c r="FH34" s="148">
        <f t="shared" si="240"/>
        <v>-45.748000000000005</v>
      </c>
      <c r="FI34" s="148">
        <f t="shared" si="240"/>
        <v>-120.93300000000002</v>
      </c>
      <c r="FJ34" s="148">
        <f t="shared" si="240"/>
        <v>74.300000000000011</v>
      </c>
      <c r="FK34" s="148">
        <f t="shared" si="240"/>
        <v>12.807000000000016</v>
      </c>
      <c r="FL34" s="148">
        <f t="shared" si="240"/>
        <v>-4254.304673050372</v>
      </c>
      <c r="FM34" s="149">
        <f>+SUMPRODUCT($D$4:$D$24,FL$4:FL$24)</f>
        <v>-4254.304673050372</v>
      </c>
      <c r="FN34" s="11"/>
      <c r="FO34" s="108"/>
      <c r="FQ34" s="147">
        <f t="shared" ref="FQ34:FW34" si="241">+SUMPRODUCT($D$4:$D$24,FQ$4:FQ$24)</f>
        <v>71.770000000000039</v>
      </c>
      <c r="FR34" s="148">
        <f t="shared" si="241"/>
        <v>-74.300000000000011</v>
      </c>
      <c r="FS34" s="148">
        <f t="shared" si="241"/>
        <v>-522.63</v>
      </c>
      <c r="FT34" s="148">
        <f t="shared" si="241"/>
        <v>14.989000000000004</v>
      </c>
      <c r="FU34" s="148">
        <f t="shared" si="241"/>
        <v>71.770000000000039</v>
      </c>
      <c r="FV34" s="148">
        <f t="shared" si="241"/>
        <v>16.783249999999995</v>
      </c>
      <c r="FW34" s="148">
        <f t="shared" si="241"/>
        <v>-336.85034398924836</v>
      </c>
      <c r="FX34" s="149">
        <f>+SUMPRODUCT($D$4:$D$24,FW$4:FW$24)</f>
        <v>-336.85034398924836</v>
      </c>
      <c r="FY34" s="11"/>
      <c r="FZ34" s="108"/>
      <c r="GB34" s="147">
        <f t="shared" ref="GB34:GH34" si="242">+SUMPRODUCT($D$4:$D$24,GB$4:GB$24)</f>
        <v>-17.55</v>
      </c>
      <c r="GC34" s="148">
        <f t="shared" si="242"/>
        <v>-74.300000000000011</v>
      </c>
      <c r="GD34" s="148">
        <f t="shared" si="242"/>
        <v>-166.15000000000003</v>
      </c>
      <c r="GE34" s="148">
        <f t="shared" si="242"/>
        <v>14.989000000000004</v>
      </c>
      <c r="GF34" s="148">
        <f t="shared" si="242"/>
        <v>-17.55</v>
      </c>
      <c r="GG34" s="148">
        <f t="shared" si="242"/>
        <v>13.234000000000009</v>
      </c>
      <c r="GH34" s="148">
        <f t="shared" si="242"/>
        <v>-768.76250912740272</v>
      </c>
      <c r="GI34" s="149">
        <f>+SUMPRODUCT($D$4:$D$24,GH$4:GH$24)</f>
        <v>-768.76250912740272</v>
      </c>
      <c r="GJ34" s="11"/>
      <c r="GK34" s="108"/>
      <c r="GM34" s="147">
        <f t="shared" ref="GM34:GS34" si="243">+SUMPRODUCT($D$4:$D$24,GM$4:GM$24)</f>
        <v>71.770000000000039</v>
      </c>
      <c r="GN34" s="148">
        <f t="shared" si="243"/>
        <v>-173.75</v>
      </c>
      <c r="GO34" s="148">
        <f t="shared" si="243"/>
        <v>-101.9799999999999</v>
      </c>
      <c r="GP34" s="148">
        <f t="shared" si="243"/>
        <v>14.989000000000004</v>
      </c>
      <c r="GQ34" s="148">
        <f t="shared" si="243"/>
        <v>71.770000000000039</v>
      </c>
      <c r="GR34" s="148">
        <f t="shared" si="243"/>
        <v>16.783249999999995</v>
      </c>
      <c r="GS34" s="148">
        <f t="shared" si="243"/>
        <v>-466.34699999999975</v>
      </c>
      <c r="GT34" s="149">
        <f>+SUMPRODUCT($D$4:$D$24,GS$4:GS$24)</f>
        <v>-466.34699999999975</v>
      </c>
      <c r="GU34" s="11"/>
      <c r="GV34" s="108"/>
      <c r="GX34" s="147">
        <f t="shared" ref="GX34:HD34" si="244">+SUMPRODUCT($D$4:$D$24,GX$4:GX$24)</f>
        <v>-17.55</v>
      </c>
      <c r="GY34" s="148">
        <f t="shared" si="244"/>
        <v>-122.75999999999999</v>
      </c>
      <c r="GZ34" s="148">
        <f t="shared" si="244"/>
        <v>-48.239999999999995</v>
      </c>
      <c r="HA34" s="148">
        <f t="shared" si="244"/>
        <v>-20.895999999999958</v>
      </c>
      <c r="HB34" s="148">
        <f t="shared" si="244"/>
        <v>-17.55</v>
      </c>
      <c r="HC34" s="148">
        <f t="shared" si="244"/>
        <v>-57.750999999999976</v>
      </c>
      <c r="HD34" s="148">
        <f t="shared" si="244"/>
        <v>-1564.4470000000001</v>
      </c>
      <c r="HE34" s="149">
        <f>+SUMPRODUCT($D$4:$D$24,HD$4:HD$24)</f>
        <v>-1564.4470000000001</v>
      </c>
      <c r="HF34" s="11"/>
      <c r="HG34" s="108"/>
      <c r="HI34" s="147">
        <f t="shared" ref="HI34:HO34" si="245">+SUMPRODUCT($D$4:$D$24,HI$4:HI$24)</f>
        <v>122.75999999999999</v>
      </c>
      <c r="HJ34" s="148">
        <f t="shared" si="245"/>
        <v>-490.76</v>
      </c>
      <c r="HK34" s="148">
        <f t="shared" si="245"/>
        <v>-858.76</v>
      </c>
      <c r="HL34" s="148">
        <f t="shared" si="245"/>
        <v>101.864</v>
      </c>
      <c r="HM34" s="148">
        <f t="shared" si="245"/>
        <v>-490.76</v>
      </c>
      <c r="HN34" s="148">
        <f t="shared" si="245"/>
        <v>-364.35799999999995</v>
      </c>
      <c r="HO34" s="148">
        <f t="shared" si="245"/>
        <v>-1105.1132627317793</v>
      </c>
      <c r="HP34" s="149">
        <f>+SUMPRODUCT($D$4:$D$24,HO$4:HO$24)</f>
        <v>-1105.1132627317793</v>
      </c>
      <c r="HQ34" s="11"/>
      <c r="HR34" s="108"/>
      <c r="HT34" s="147">
        <f t="shared" ref="HT34:HZ34" si="246">+SUMPRODUCT($D$4:$D$24,HT$4:HT$24)</f>
        <v>122.75999999999999</v>
      </c>
      <c r="HU34" s="148">
        <f t="shared" si="246"/>
        <v>-192.01999999999998</v>
      </c>
      <c r="HV34" s="148">
        <f t="shared" si="246"/>
        <v>-69.259999999999991</v>
      </c>
      <c r="HW34" s="148">
        <f t="shared" si="246"/>
        <v>101.864</v>
      </c>
      <c r="HX34" s="148">
        <f t="shared" si="246"/>
        <v>-192.01999999999998</v>
      </c>
      <c r="HY34" s="148">
        <f t="shared" si="246"/>
        <v>10.654500000000041</v>
      </c>
      <c r="HZ34" s="148">
        <f t="shared" si="246"/>
        <v>-2669.2590436941464</v>
      </c>
      <c r="IA34" s="149">
        <f>+SUMPRODUCT($D$4:$D$24,HZ$4:HZ$24)</f>
        <v>-2669.2590436941464</v>
      </c>
      <c r="IB34" s="11"/>
      <c r="IC34" s="108"/>
      <c r="ID34" s="147">
        <f>+SUMPRODUCT($D$4:$D$24,ID$4:ID$24)</f>
        <v>-217.64</v>
      </c>
      <c r="IE34" s="108"/>
      <c r="IF34" s="147">
        <f>+SUMPRODUCT($D$4:$D$24,IF$4:IF$24)</f>
        <v>22.331389999999999</v>
      </c>
      <c r="IG34" s="147">
        <f>+SUMPRODUCT($D$4:$D$24,IG$4:IG$24)</f>
        <v>3.7303899999999999</v>
      </c>
      <c r="IH34" s="147">
        <f>+SUMPRODUCT($D$4:$D$24,IH$4:IH$24)</f>
        <v>8.1016249999999914</v>
      </c>
      <c r="II34" s="108"/>
      <c r="IJ34" s="147">
        <f>+SUMPRODUCT($D$4:$D$24,IJ$4:IJ$24)</f>
        <v>18.600999999999999</v>
      </c>
      <c r="IK34" s="108"/>
      <c r="IM34" s="16"/>
    </row>
    <row r="35" spans="2:256" ht="13.5" customHeight="1" thickTop="1">
      <c r="B35" s="128"/>
      <c r="C35" s="41" t="s">
        <v>131</v>
      </c>
      <c r="N35" s="41" t="s">
        <v>131</v>
      </c>
      <c r="O35" s="105"/>
      <c r="P35" s="3"/>
      <c r="Q35" s="108"/>
      <c r="S35" s="153">
        <f>+SUMPRODUCT(MicroModelComponents!$H$4:$H$24,S$4:S$24)</f>
        <v>0</v>
      </c>
      <c r="T35" s="154">
        <f>+SUMPRODUCT(MicroModelComponents!$H$4:$H$24,T$4:T$24)</f>
        <v>0</v>
      </c>
      <c r="U35" s="154">
        <f>+SUMPRODUCT(MicroModelComponents!$H$4:$H$24,U$4:U$24)</f>
        <v>0</v>
      </c>
      <c r="V35" s="154">
        <f>+SUMPRODUCT(MicroModelComponents!$H$4:$H$24,V$4:V$24)</f>
        <v>0</v>
      </c>
      <c r="W35" s="154">
        <f>+SUMPRODUCT(MicroModelComponents!$H$4:$H$24,W$4:W$24)</f>
        <v>0</v>
      </c>
      <c r="X35" s="154">
        <f>+SUMPRODUCT(MicroModelComponents!$H$4:$H$24,X$4:X$24)</f>
        <v>2.2204460492503131E-16</v>
      </c>
      <c r="Y35" s="154">
        <f>+SUMPRODUCT(MicroModelComponents!$H$4:$H$24,Y$4:Y$24)</f>
        <v>0</v>
      </c>
      <c r="Z35" s="155">
        <f>+SUMPRODUCT(MicroModelComponents!$H$4:$H$24,Y$4:Y$24)</f>
        <v>0</v>
      </c>
      <c r="AA35" s="3"/>
      <c r="AB35" s="108"/>
      <c r="AD35" s="153">
        <f>+SUMPRODUCT(MicroModelComponents!$H$4:$H$24,AD$4:AD$24)</f>
        <v>0</v>
      </c>
      <c r="AE35" s="154">
        <f>+SUMPRODUCT(MicroModelComponents!$H$4:$H$24,AE$4:AE$24)</f>
        <v>0</v>
      </c>
      <c r="AF35" s="154">
        <f>+SUMPRODUCT(MicroModelComponents!$H$4:$H$24,AF$4:AF$24)</f>
        <v>0</v>
      </c>
      <c r="AG35" s="154">
        <f>+SUMPRODUCT(MicroModelComponents!$H$4:$H$24,AG$4:AG$24)</f>
        <v>0</v>
      </c>
      <c r="AH35" s="154">
        <f>+SUMPRODUCT(MicroModelComponents!$H$4:$H$24,AH$4:AH$24)</f>
        <v>0</v>
      </c>
      <c r="AI35" s="154">
        <f>+SUMPRODUCT(MicroModelComponents!$H$4:$H$24,AI$4:AI$24)</f>
        <v>2.2204460492503131E-16</v>
      </c>
      <c r="AJ35" s="154">
        <f>+SUMPRODUCT(MicroModelComponents!$H$4:$H$24,AJ$4:AJ$24)</f>
        <v>0</v>
      </c>
      <c r="AK35" s="155">
        <f>+SUMPRODUCT(MicroModelComponents!$H$4:$H$24,AJ$4:AJ$24)</f>
        <v>0</v>
      </c>
      <c r="AL35" s="3"/>
      <c r="AM35" s="108"/>
      <c r="AO35" s="153">
        <f>+SUMPRODUCT(MicroModelComponents!$H$4:$H$24,AO$4:AO$24)</f>
        <v>0</v>
      </c>
      <c r="AP35" s="154">
        <f>+SUMPRODUCT(MicroModelComponents!$H$4:$H$24,AP$4:AP$24)</f>
        <v>0</v>
      </c>
      <c r="AQ35" s="154">
        <f>+SUMPRODUCT(MicroModelComponents!$H$4:$H$24,AQ$4:AQ$24)</f>
        <v>0</v>
      </c>
      <c r="AR35" s="154">
        <f>+SUMPRODUCT(MicroModelComponents!$H$4:$H$24,AR$4:AR$24)</f>
        <v>0</v>
      </c>
      <c r="AS35" s="154">
        <f>+SUMPRODUCT(MicroModelComponents!$H$4:$H$24,AS$4:AS$24)</f>
        <v>0</v>
      </c>
      <c r="AT35" s="154">
        <f>+SUMPRODUCT(MicroModelComponents!$H$4:$H$24,AT$4:AT$24)</f>
        <v>0</v>
      </c>
      <c r="AU35" s="154">
        <f>+SUMPRODUCT(MicroModelComponents!$H$4:$H$24,AU$4:AU$24)</f>
        <v>-2.2204460492503131E-16</v>
      </c>
      <c r="AV35" s="155">
        <f>+SUMPRODUCT(MicroModelComponents!$H$4:$H$24,AU$4:AU$24)</f>
        <v>-2.2204460492503131E-16</v>
      </c>
      <c r="AW35" s="3"/>
      <c r="AX35" s="108"/>
      <c r="AZ35" s="153">
        <f>+SUMPRODUCT(MicroModelComponents!$H$4:$H$24,AZ$4:AZ$24)</f>
        <v>0</v>
      </c>
      <c r="BA35" s="154">
        <f>+SUMPRODUCT(MicroModelComponents!$H$4:$H$24,BA$4:BA$24)</f>
        <v>0</v>
      </c>
      <c r="BB35" s="154">
        <f>+SUMPRODUCT(MicroModelComponents!$H$4:$H$24,BB$4:BB$24)</f>
        <v>0</v>
      </c>
      <c r="BC35" s="154">
        <f>+SUMPRODUCT(MicroModelComponents!$H$4:$H$24,BC$4:BC$24)</f>
        <v>0</v>
      </c>
      <c r="BD35" s="154">
        <f>+SUMPRODUCT(MicroModelComponents!$H$4:$H$24,BD$4:BD$24)</f>
        <v>0</v>
      </c>
      <c r="BE35" s="154">
        <f>+SUMPRODUCT(MicroModelComponents!$H$4:$H$24,BE$4:BE$24)</f>
        <v>0</v>
      </c>
      <c r="BF35" s="154">
        <f>+SUMPRODUCT(MicroModelComponents!$H$4:$H$24,BF$4:BF$24)</f>
        <v>0</v>
      </c>
      <c r="BG35" s="155">
        <f>+SUMPRODUCT(MicroModelComponents!$H$4:$H$24,BF$4:BF$24)</f>
        <v>0</v>
      </c>
      <c r="BH35" s="3"/>
      <c r="BI35" s="108"/>
      <c r="BK35" s="153">
        <f>+SUMPRODUCT(MicroModelComponents!$H$4:$H$24,BK$4:BK$24)</f>
        <v>0</v>
      </c>
      <c r="BL35" s="154">
        <f>+SUMPRODUCT(MicroModelComponents!$H$4:$H$24,BL$4:BL$24)</f>
        <v>0</v>
      </c>
      <c r="BM35" s="154">
        <f>+SUMPRODUCT(MicroModelComponents!$H$4:$H$24,BM$4:BM$24)</f>
        <v>0</v>
      </c>
      <c r="BN35" s="154">
        <f>+SUMPRODUCT(MicroModelComponents!$H$4:$H$24,BN$4:BN$24)</f>
        <v>0</v>
      </c>
      <c r="BO35" s="154">
        <f>+SUMPRODUCT(MicroModelComponents!$H$4:$H$24,BO$4:BO$24)</f>
        <v>0</v>
      </c>
      <c r="BP35" s="154">
        <f>+SUMPRODUCT(MicroModelComponents!$H$4:$H$24,BP$4:BP$24)</f>
        <v>0</v>
      </c>
      <c r="BQ35" s="154">
        <f>+SUMPRODUCT(MicroModelComponents!$H$4:$H$24,BQ$4:BQ$24)</f>
        <v>0</v>
      </c>
      <c r="BR35" s="155">
        <f>+SUMPRODUCT(MicroModelComponents!$H$4:$H$24,BQ$4:BQ$24)</f>
        <v>0</v>
      </c>
      <c r="BS35" s="3"/>
      <c r="BT35" s="108"/>
      <c r="BV35" s="153">
        <f>+SUMPRODUCT(MicroModelComponents!$H$4:$H$24,BV$4:BV$24)</f>
        <v>0</v>
      </c>
      <c r="BW35" s="154">
        <f>+SUMPRODUCT(MicroModelComponents!$H$4:$H$24,BW$4:BW$24)</f>
        <v>0</v>
      </c>
      <c r="BX35" s="154">
        <f>+SUMPRODUCT(MicroModelComponents!$H$4:$H$24,BX$4:BX$24)</f>
        <v>0</v>
      </c>
      <c r="BY35" s="154">
        <f>+SUMPRODUCT(MicroModelComponents!$H$4:$H$24,BY$4:BY$24)</f>
        <v>0</v>
      </c>
      <c r="BZ35" s="154">
        <f>+SUMPRODUCT(MicroModelComponents!$H$4:$H$24,BZ$4:BZ$24)</f>
        <v>0</v>
      </c>
      <c r="CA35" s="154">
        <f>+SUMPRODUCT(MicroModelComponents!$H$4:$H$24,CA$4:CA$24)</f>
        <v>2.2204460492503131E-16</v>
      </c>
      <c r="CB35" s="154">
        <f>+SUMPRODUCT(MicroModelComponents!$H$4:$H$24,CB$4:CB$24)</f>
        <v>0</v>
      </c>
      <c r="CC35" s="155">
        <f>+SUMPRODUCT(MicroModelComponents!$H$4:$H$24,CB$4:CB$24)</f>
        <v>0</v>
      </c>
      <c r="CD35" s="3"/>
      <c r="CE35" s="108"/>
      <c r="CG35" s="153">
        <f>+SUMPRODUCT(MicroModelComponents!$H$4:$H$24,CG$4:CG$24)</f>
        <v>0</v>
      </c>
      <c r="CH35" s="154">
        <f>+SUMPRODUCT(MicroModelComponents!$H$4:$H$24,CH$4:CH$24)</f>
        <v>0</v>
      </c>
      <c r="CI35" s="154">
        <f>+SUMPRODUCT(MicroModelComponents!$H$4:$H$24,CI$4:CI$24)</f>
        <v>0</v>
      </c>
      <c r="CJ35" s="154">
        <f>+SUMPRODUCT(MicroModelComponents!$H$4:$H$24,CJ$4:CJ$24)</f>
        <v>0</v>
      </c>
      <c r="CK35" s="154">
        <f>+SUMPRODUCT(MicroModelComponents!$H$4:$H$24,CK$4:CK$24)</f>
        <v>0</v>
      </c>
      <c r="CL35" s="154">
        <f>+SUMPRODUCT(MicroModelComponents!$H$4:$H$24,CL$4:CL$24)</f>
        <v>0</v>
      </c>
      <c r="CM35" s="154">
        <f>+SUMPRODUCT(MicroModelComponents!$H$4:$H$24,CM$4:CM$24)</f>
        <v>-2.2204460492503131E-16</v>
      </c>
      <c r="CN35" s="155">
        <f>+SUMPRODUCT(MicroModelComponents!$H$4:$H$24,CM$4:CM$24)</f>
        <v>-2.2204460492503131E-16</v>
      </c>
      <c r="CO35" s="3"/>
      <c r="CP35" s="108"/>
      <c r="CR35" s="153">
        <f>+SUMPRODUCT(MicroModelComponents!$H$4:$H$24,CR$4:CR$24)</f>
        <v>0</v>
      </c>
      <c r="CS35" s="154">
        <f>+SUMPRODUCT(MicroModelComponents!$H$4:$H$24,CS$4:CS$24)</f>
        <v>0</v>
      </c>
      <c r="CT35" s="154">
        <f>+SUMPRODUCT(MicroModelComponents!$H$4:$H$24,CT$4:CT$24)</f>
        <v>0</v>
      </c>
      <c r="CU35" s="154">
        <f>+SUMPRODUCT(MicroModelComponents!$H$4:$H$24,CU$4:CU$24)</f>
        <v>0</v>
      </c>
      <c r="CV35" s="154">
        <f>+SUMPRODUCT(MicroModelComponents!$H$4:$H$24,CV$4:CV$24)</f>
        <v>0</v>
      </c>
      <c r="CW35" s="154">
        <f>+SUMPRODUCT(MicroModelComponents!$H$4:$H$24,CW$4:CW$24)</f>
        <v>0</v>
      </c>
      <c r="CX35" s="154">
        <f>+SUMPRODUCT(MicroModelComponents!$H$4:$H$24,CX$4:CX$24)</f>
        <v>0</v>
      </c>
      <c r="CY35" s="155">
        <f>+SUMPRODUCT(MicroModelComponents!$H$4:$H$24,CX$4:CX$24)</f>
        <v>0</v>
      </c>
      <c r="CZ35" s="3"/>
      <c r="DA35" s="108"/>
      <c r="DC35" s="153">
        <f>+SUMPRODUCT(MicroModelComponents!$H$4:$H$24,DC$4:DC$24)</f>
        <v>0</v>
      </c>
      <c r="DD35" s="154">
        <f>+SUMPRODUCT(MicroModelComponents!$H$4:$H$24,DD$4:DD$24)</f>
        <v>0</v>
      </c>
      <c r="DE35" s="154">
        <f>+SUMPRODUCT(MicroModelComponents!$H$4:$H$24,DE$4:DE$24)</f>
        <v>0</v>
      </c>
      <c r="DF35" s="154">
        <f>+SUMPRODUCT(MicroModelComponents!$H$4:$H$24,DF$4:DF$24)</f>
        <v>0</v>
      </c>
      <c r="DG35" s="154">
        <f>+SUMPRODUCT(MicroModelComponents!$H$4:$H$24,DG$4:DG$24)</f>
        <v>0</v>
      </c>
      <c r="DH35" s="154">
        <f>+SUMPRODUCT(MicroModelComponents!$H$4:$H$24,DH$4:DH$24)</f>
        <v>0</v>
      </c>
      <c r="DI35" s="154">
        <f>+SUMPRODUCT(MicroModelComponents!$H$4:$H$24,DI$4:DI$24)</f>
        <v>0</v>
      </c>
      <c r="DJ35" s="155">
        <f>+SUMPRODUCT(MicroModelComponents!$H$4:$H$24,DI$4:DI$24)</f>
        <v>0</v>
      </c>
      <c r="DK35" s="3"/>
      <c r="DL35" s="108"/>
      <c r="DN35" s="153">
        <f>+SUMPRODUCT(MicroModelComponents!$H$4:$H$24,DN$4:DN$24)</f>
        <v>0</v>
      </c>
      <c r="DO35" s="154">
        <f>+SUMPRODUCT(MicroModelComponents!$H$4:$H$24,DO$4:DO$24)</f>
        <v>0</v>
      </c>
      <c r="DP35" s="154">
        <f>+SUMPRODUCT(MicroModelComponents!$H$4:$H$24,DP$4:DP$24)</f>
        <v>0</v>
      </c>
      <c r="DQ35" s="154">
        <f>+SUMPRODUCT(MicroModelComponents!$H$4:$H$24,DQ$4:DQ$24)</f>
        <v>0</v>
      </c>
      <c r="DR35" s="154">
        <f>+SUMPRODUCT(MicroModelComponents!$H$4:$H$24,DR$4:DR$24)</f>
        <v>0</v>
      </c>
      <c r="DS35" s="154">
        <f>+SUMPRODUCT(MicroModelComponents!$H$4:$H$24,DS$4:DS$24)</f>
        <v>0</v>
      </c>
      <c r="DT35" s="154">
        <f>+SUMPRODUCT(MicroModelComponents!$H$4:$H$24,DT$4:DT$24)</f>
        <v>0</v>
      </c>
      <c r="DU35" s="155">
        <f>+SUMPRODUCT(MicroModelComponents!$H$4:$H$24,DT$4:DT$24)</f>
        <v>0</v>
      </c>
      <c r="DV35" s="3"/>
      <c r="DW35" s="108"/>
      <c r="DY35" s="153">
        <f>+SUMPRODUCT(MicroModelComponents!$H$4:$H$24,DY$4:DY$24)</f>
        <v>0</v>
      </c>
      <c r="DZ35" s="154">
        <f>+SUMPRODUCT(MicroModelComponents!$H$4:$H$24,DZ$4:DZ$24)</f>
        <v>0</v>
      </c>
      <c r="EA35" s="154">
        <f>+SUMPRODUCT(MicroModelComponents!$H$4:$H$24,EA$4:EA$24)</f>
        <v>0</v>
      </c>
      <c r="EB35" s="154">
        <f>+SUMPRODUCT(MicroModelComponents!$H$4:$H$24,EB$4:EB$24)</f>
        <v>0</v>
      </c>
      <c r="EC35" s="154">
        <f>+SUMPRODUCT(MicroModelComponents!$H$4:$H$24,EC$4:EC$24)</f>
        <v>0</v>
      </c>
      <c r="ED35" s="154">
        <f>+SUMPRODUCT(MicroModelComponents!$H$4:$H$24,ED$4:ED$24)</f>
        <v>0</v>
      </c>
      <c r="EE35" s="154">
        <f>+SUMPRODUCT(MicroModelComponents!$H$4:$H$24,EE$4:EE$24)</f>
        <v>0</v>
      </c>
      <c r="EF35" s="155">
        <f>+SUMPRODUCT(MicroModelComponents!$H$4:$H$24,EE$4:EE$24)</f>
        <v>0</v>
      </c>
      <c r="EG35" s="3"/>
      <c r="EH35" s="108"/>
      <c r="EJ35" s="153">
        <f>+SUMPRODUCT(MicroModelComponents!$H$4:$H$24,EJ$4:EJ$24)</f>
        <v>0</v>
      </c>
      <c r="EK35" s="154">
        <f>+SUMPRODUCT(MicroModelComponents!$H$4:$H$24,EK$4:EK$24)</f>
        <v>0</v>
      </c>
      <c r="EL35" s="154">
        <f>+SUMPRODUCT(MicroModelComponents!$H$4:$H$24,EL$4:EL$24)</f>
        <v>0</v>
      </c>
      <c r="EM35" s="154">
        <f>+SUMPRODUCT(MicroModelComponents!$H$4:$H$24,EM$4:EM$24)</f>
        <v>0</v>
      </c>
      <c r="EN35" s="154">
        <f>+SUMPRODUCT(MicroModelComponents!$H$4:$H$24,EN$4:EN$24)</f>
        <v>0</v>
      </c>
      <c r="EO35" s="154">
        <f>+SUMPRODUCT(MicroModelComponents!$H$4:$H$24,EO$4:EO$24)</f>
        <v>0</v>
      </c>
      <c r="EP35" s="154">
        <f>+SUMPRODUCT(MicroModelComponents!$H$4:$H$24,EP$4:EP$24)</f>
        <v>0</v>
      </c>
      <c r="EQ35" s="155">
        <f>+SUMPRODUCT(MicroModelComponents!$H$4:$H$24,EP$4:EP$24)</f>
        <v>0</v>
      </c>
      <c r="ER35" s="3"/>
      <c r="ES35" s="108"/>
      <c r="EU35" s="153">
        <f>+SUMPRODUCT(MicroModelComponents!$H$4:$H$24,EU$4:EU$24)</f>
        <v>0</v>
      </c>
      <c r="EV35" s="154">
        <f>+SUMPRODUCT(MicroModelComponents!$H$4:$H$24,EV$4:EV$24)</f>
        <v>0</v>
      </c>
      <c r="EW35" s="154">
        <f>+SUMPRODUCT(MicroModelComponents!$H$4:$H$24,EW$4:EW$24)</f>
        <v>0</v>
      </c>
      <c r="EX35" s="154">
        <f>+SUMPRODUCT(MicroModelComponents!$H$4:$H$24,EX$4:EX$24)</f>
        <v>0</v>
      </c>
      <c r="EY35" s="154">
        <f>+SUMPRODUCT(MicroModelComponents!$H$4:$H$24,EY$4:EY$24)</f>
        <v>0</v>
      </c>
      <c r="EZ35" s="154">
        <f>+SUMPRODUCT(MicroModelComponents!$H$4:$H$24,EZ$4:EZ$24)</f>
        <v>0</v>
      </c>
      <c r="FA35" s="154">
        <f>+SUMPRODUCT(MicroModelComponents!$H$4:$H$24,FA$4:FA$24)</f>
        <v>0</v>
      </c>
      <c r="FB35" s="155">
        <f>+SUMPRODUCT(MicroModelComponents!$H$4:$H$24,FA$4:FA$24)</f>
        <v>0</v>
      </c>
      <c r="FC35" s="3"/>
      <c r="FD35" s="108"/>
      <c r="FF35" s="153">
        <f>+SUMPRODUCT(MicroModelComponents!$H$4:$H$24,FF$4:FF$24)</f>
        <v>0</v>
      </c>
      <c r="FG35" s="154">
        <f>+SUMPRODUCT(MicroModelComponents!$H$4:$H$24,FG$4:FG$24)</f>
        <v>0</v>
      </c>
      <c r="FH35" s="154">
        <f>+SUMPRODUCT(MicroModelComponents!$H$4:$H$24,FH$4:FH$24)</f>
        <v>0</v>
      </c>
      <c r="FI35" s="154">
        <f>+SUMPRODUCT(MicroModelComponents!$H$4:$H$24,FI$4:FI$24)</f>
        <v>0</v>
      </c>
      <c r="FJ35" s="154">
        <f>+SUMPRODUCT(MicroModelComponents!$H$4:$H$24,FJ$4:FJ$24)</f>
        <v>0</v>
      </c>
      <c r="FK35" s="154">
        <f>+SUMPRODUCT(MicroModelComponents!$H$4:$H$24,FK$4:FK$24)</f>
        <v>0</v>
      </c>
      <c r="FL35" s="154">
        <f>+SUMPRODUCT(MicroModelComponents!$H$4:$H$24,FL$4:FL$24)</f>
        <v>0</v>
      </c>
      <c r="FM35" s="155">
        <f>+SUMPRODUCT(MicroModelComponents!$H$4:$H$24,FL$4:FL$24)</f>
        <v>0</v>
      </c>
      <c r="FN35" s="3"/>
      <c r="FO35" s="108"/>
      <c r="FQ35" s="153">
        <f>+SUMPRODUCT(MicroModelComponents!$H$4:$H$24,FQ$4:FQ$24)</f>
        <v>0</v>
      </c>
      <c r="FR35" s="154">
        <f>+SUMPRODUCT(MicroModelComponents!$H$4:$H$24,FR$4:FR$24)</f>
        <v>0</v>
      </c>
      <c r="FS35" s="154">
        <f>+SUMPRODUCT(MicroModelComponents!$H$4:$H$24,FS$4:FS$24)</f>
        <v>0</v>
      </c>
      <c r="FT35" s="154">
        <f>+SUMPRODUCT(MicroModelComponents!$H$4:$H$24,FT$4:FT$24)</f>
        <v>0</v>
      </c>
      <c r="FU35" s="154">
        <f>+SUMPRODUCT(MicroModelComponents!$H$4:$H$24,FU$4:FU$24)</f>
        <v>0</v>
      </c>
      <c r="FV35" s="154">
        <f>+SUMPRODUCT(MicroModelComponents!$H$4:$H$24,FV$4:FV$24)</f>
        <v>0</v>
      </c>
      <c r="FW35" s="154">
        <f>+SUMPRODUCT(MicroModelComponents!$H$4:$H$24,FW$4:FW$24)</f>
        <v>0</v>
      </c>
      <c r="FX35" s="155">
        <f>+SUMPRODUCT(MicroModelComponents!$H$4:$H$24,FW$4:FW$24)</f>
        <v>0</v>
      </c>
      <c r="FY35" s="3"/>
      <c r="FZ35" s="108"/>
      <c r="GB35" s="153">
        <f>+SUMPRODUCT(MicroModelComponents!$H$4:$H$24,GB$4:GB$24)</f>
        <v>0</v>
      </c>
      <c r="GC35" s="154">
        <f>+SUMPRODUCT(MicroModelComponents!$H$4:$H$24,GC$4:GC$24)</f>
        <v>0</v>
      </c>
      <c r="GD35" s="154">
        <f>+SUMPRODUCT(MicroModelComponents!$H$4:$H$24,GD$4:GD$24)</f>
        <v>0</v>
      </c>
      <c r="GE35" s="154">
        <f>+SUMPRODUCT(MicroModelComponents!$H$4:$H$24,GE$4:GE$24)</f>
        <v>0</v>
      </c>
      <c r="GF35" s="154">
        <f>+SUMPRODUCT(MicroModelComponents!$H$4:$H$24,GF$4:GF$24)</f>
        <v>0</v>
      </c>
      <c r="GG35" s="154">
        <f>+SUMPRODUCT(MicroModelComponents!$H$4:$H$24,GG$4:GG$24)</f>
        <v>0</v>
      </c>
      <c r="GH35" s="154">
        <f>+SUMPRODUCT(MicroModelComponents!$H$4:$H$24,GH$4:GH$24)</f>
        <v>0</v>
      </c>
      <c r="GI35" s="155">
        <f>+SUMPRODUCT(MicroModelComponents!$H$4:$H$24,GH$4:GH$24)</f>
        <v>0</v>
      </c>
      <c r="GJ35" s="3"/>
      <c r="GK35" s="108"/>
      <c r="GM35" s="153">
        <f>+SUMPRODUCT(MicroModelComponents!$H$4:$H$24,GM$4:GM$24)</f>
        <v>0</v>
      </c>
      <c r="GN35" s="154">
        <f>+SUMPRODUCT(MicroModelComponents!$H$4:$H$24,GN$4:GN$24)</f>
        <v>0</v>
      </c>
      <c r="GO35" s="154">
        <f>+SUMPRODUCT(MicroModelComponents!$H$4:$H$24,GO$4:GO$24)</f>
        <v>0</v>
      </c>
      <c r="GP35" s="154">
        <f>+SUMPRODUCT(MicroModelComponents!$H$4:$H$24,GP$4:GP$24)</f>
        <v>0</v>
      </c>
      <c r="GQ35" s="154">
        <f>+SUMPRODUCT(MicroModelComponents!$H$4:$H$24,GQ$4:GQ$24)</f>
        <v>0</v>
      </c>
      <c r="GR35" s="154">
        <f>+SUMPRODUCT(MicroModelComponents!$H$4:$H$24,GR$4:GR$24)</f>
        <v>0</v>
      </c>
      <c r="GS35" s="154">
        <f>+SUMPRODUCT(MicroModelComponents!$H$4:$H$24,GS$4:GS$24)</f>
        <v>0</v>
      </c>
      <c r="GT35" s="155">
        <f>+SUMPRODUCT(MicroModelComponents!$H$4:$H$24,GS$4:GS$24)</f>
        <v>0</v>
      </c>
      <c r="GU35" s="3"/>
      <c r="GV35" s="108"/>
      <c r="GX35" s="153">
        <f>+SUMPRODUCT(MicroModelComponents!$H$4:$H$24,GX$4:GX$24)</f>
        <v>0</v>
      </c>
      <c r="GY35" s="154">
        <f>+SUMPRODUCT(MicroModelComponents!$H$4:$H$24,GY$4:GY$24)</f>
        <v>0</v>
      </c>
      <c r="GZ35" s="154">
        <f>+SUMPRODUCT(MicroModelComponents!$H$4:$H$24,GZ$4:GZ$24)</f>
        <v>0</v>
      </c>
      <c r="HA35" s="154">
        <f>+SUMPRODUCT(MicroModelComponents!$H$4:$H$24,HA$4:HA$24)</f>
        <v>0</v>
      </c>
      <c r="HB35" s="154">
        <f>+SUMPRODUCT(MicroModelComponents!$H$4:$H$24,HB$4:HB$24)</f>
        <v>0</v>
      </c>
      <c r="HC35" s="154">
        <f>+SUMPRODUCT(MicroModelComponents!$H$4:$H$24,HC$4:HC$24)</f>
        <v>0</v>
      </c>
      <c r="HD35" s="154">
        <f>+SUMPRODUCT(MicroModelComponents!$H$4:$H$24,HD$4:HD$24)</f>
        <v>8.8817841970012523E-16</v>
      </c>
      <c r="HE35" s="155">
        <f>+SUMPRODUCT(MicroModelComponents!$H$4:$H$24,HD$4:HD$24)</f>
        <v>8.8817841970012523E-16</v>
      </c>
      <c r="HF35" s="3"/>
      <c r="HG35" s="108"/>
      <c r="HI35" s="153">
        <f>+SUMPRODUCT(MicroModelComponents!$H$4:$H$24,HI$4:HI$24)</f>
        <v>0</v>
      </c>
      <c r="HJ35" s="154">
        <f>+SUMPRODUCT(MicroModelComponents!$H$4:$H$24,HJ$4:HJ$24)</f>
        <v>0</v>
      </c>
      <c r="HK35" s="154">
        <f>+SUMPRODUCT(MicroModelComponents!$H$4:$H$24,HK$4:HK$24)</f>
        <v>0</v>
      </c>
      <c r="HL35" s="154">
        <f>+SUMPRODUCT(MicroModelComponents!$H$4:$H$24,HL$4:HL$24)</f>
        <v>0</v>
      </c>
      <c r="HM35" s="154">
        <f>+SUMPRODUCT(MicroModelComponents!$H$4:$H$24,HM$4:HM$24)</f>
        <v>0</v>
      </c>
      <c r="HN35" s="154">
        <f>+SUMPRODUCT(MicroModelComponents!$H$4:$H$24,HN$4:HN$24)</f>
        <v>0</v>
      </c>
      <c r="HO35" s="154">
        <f>+SUMPRODUCT(MicroModelComponents!$H$4:$H$24,HO$4:HO$24)</f>
        <v>0</v>
      </c>
      <c r="HP35" s="155">
        <f>+SUMPRODUCT(MicroModelComponents!$H$4:$H$24,HO$4:HO$24)</f>
        <v>0</v>
      </c>
      <c r="HQ35" s="3"/>
      <c r="HR35" s="108"/>
      <c r="HT35" s="153">
        <f>+SUMPRODUCT(MicroModelComponents!$H$4:$H$24,HT$4:HT$24)</f>
        <v>0</v>
      </c>
      <c r="HU35" s="154">
        <f>+SUMPRODUCT(MicroModelComponents!$H$4:$H$24,HU$4:HU$24)</f>
        <v>0</v>
      </c>
      <c r="HV35" s="154">
        <f>+SUMPRODUCT(MicroModelComponents!$H$4:$H$24,HV$4:HV$24)</f>
        <v>0</v>
      </c>
      <c r="HW35" s="154">
        <f>+SUMPRODUCT(MicroModelComponents!$H$4:$H$24,HW$4:HW$24)</f>
        <v>0</v>
      </c>
      <c r="HX35" s="154">
        <f>+SUMPRODUCT(MicroModelComponents!$H$4:$H$24,HX$4:HX$24)</f>
        <v>0</v>
      </c>
      <c r="HY35" s="154">
        <f>+SUMPRODUCT(MicroModelComponents!$H$4:$H$24,HY$4:HY$24)</f>
        <v>0</v>
      </c>
      <c r="HZ35" s="154">
        <f>+SUMPRODUCT(MicroModelComponents!$H$4:$H$24,HZ$4:HZ$24)</f>
        <v>0</v>
      </c>
      <c r="IA35" s="155">
        <f>+SUMPRODUCT(MicroModelComponents!$H$4:$H$24,HZ$4:HZ$24)</f>
        <v>0</v>
      </c>
      <c r="IB35" s="3"/>
      <c r="IC35" s="108"/>
      <c r="ID35" s="153">
        <f>+SUMPRODUCT(MicroModelComponents!$H$4:$H$24,ID$4:ID$24)</f>
        <v>0</v>
      </c>
      <c r="IE35" s="108"/>
      <c r="IF35" s="153">
        <f>+SUMPRODUCT(MicroModelComponents!$H$4:$H$24,IF$4:IF$24)</f>
        <v>0</v>
      </c>
      <c r="IG35" s="153">
        <f>+SUMPRODUCT(MicroModelComponents!$H$4:$H$24,IG$4:IG$24)</f>
        <v>0</v>
      </c>
      <c r="IH35" s="153">
        <f>+SUMPRODUCT(MicroModelComponents!$H$4:$H$24,IH$4:IH$24)</f>
        <v>0</v>
      </c>
      <c r="II35" s="108"/>
      <c r="IJ35" s="153">
        <f>+SUMPRODUCT(MicroModelComponents!$H$4:$H$24,IJ$4:IJ$24)</f>
        <v>0</v>
      </c>
      <c r="IK35" s="108"/>
    </row>
    <row r="36" spans="2:256" ht="13.5" customHeight="1">
      <c r="B36" s="128"/>
      <c r="C36" s="41" t="s">
        <v>133</v>
      </c>
      <c r="N36" s="41" t="s">
        <v>133</v>
      </c>
      <c r="O36" s="105"/>
      <c r="P36" s="3"/>
      <c r="Q36" s="108"/>
      <c r="S36" s="156">
        <f>+SUMPRODUCT(MicroModelComponents!$I$4:$I$24,S$4:S$24)</f>
        <v>0</v>
      </c>
      <c r="T36" s="157">
        <f>+SUMPRODUCT(MicroModelComponents!$I$4:$I$24,T$4:T$24)</f>
        <v>0</v>
      </c>
      <c r="U36" s="157">
        <f>+SUMPRODUCT(MicroModelComponents!$I$4:$I$24,U$4:U$24)</f>
        <v>0</v>
      </c>
      <c r="V36" s="157">
        <f>+SUMPRODUCT(MicroModelComponents!$I$4:$I$24,V$4:V$24)</f>
        <v>2.2204460492503131E-16</v>
      </c>
      <c r="W36" s="157">
        <f>+SUMPRODUCT(MicroModelComponents!$I$4:$I$24,W$4:W$24)</f>
        <v>0</v>
      </c>
      <c r="X36" s="157">
        <f>+SUMPRODUCT(MicroModelComponents!$I$4:$I$24,X$4:X$24)</f>
        <v>-2.2204460492503131E-16</v>
      </c>
      <c r="Y36" s="157">
        <f>+SUMPRODUCT(MicroModelComponents!$I$4:$I$24,Y$4:Y$24)</f>
        <v>1.1102230246251565E-15</v>
      </c>
      <c r="Z36" s="158">
        <f>+SUMPRODUCT(MicroModelComponents!$I$4:$I$24,Y$4:Y$24)</f>
        <v>1.1102230246251565E-15</v>
      </c>
      <c r="AA36" s="3"/>
      <c r="AB36" s="108"/>
      <c r="AD36" s="156">
        <f>+SUMPRODUCT(MicroModelComponents!$I$4:$I$24,AD$4:AD$24)</f>
        <v>0</v>
      </c>
      <c r="AE36" s="157">
        <f>+SUMPRODUCT(MicroModelComponents!$I$4:$I$24,AE$4:AE$24)</f>
        <v>0</v>
      </c>
      <c r="AF36" s="157">
        <f>+SUMPRODUCT(MicroModelComponents!$I$4:$I$24,AF$4:AF$24)</f>
        <v>0</v>
      </c>
      <c r="AG36" s="157">
        <f>+SUMPRODUCT(MicroModelComponents!$I$4:$I$24,AG$4:AG$24)</f>
        <v>2.2204460492503131E-16</v>
      </c>
      <c r="AH36" s="157">
        <f>+SUMPRODUCT(MicroModelComponents!$I$4:$I$24,AH$4:AH$24)</f>
        <v>0</v>
      </c>
      <c r="AI36" s="157">
        <f>+SUMPRODUCT(MicroModelComponents!$I$4:$I$24,AI$4:AI$24)</f>
        <v>4.4408920985006262E-16</v>
      </c>
      <c r="AJ36" s="157">
        <f>+SUMPRODUCT(MicroModelComponents!$I$4:$I$24,AJ$4:AJ$24)</f>
        <v>-4.4408920985006262E-16</v>
      </c>
      <c r="AK36" s="158">
        <f>+SUMPRODUCT(MicroModelComponents!$I$4:$I$24,AJ$4:AJ$24)</f>
        <v>-4.4408920985006262E-16</v>
      </c>
      <c r="AL36" s="3"/>
      <c r="AM36" s="108"/>
      <c r="AO36" s="156">
        <f>+SUMPRODUCT(MicroModelComponents!$I$4:$I$24,AO$4:AO$24)</f>
        <v>0</v>
      </c>
      <c r="AP36" s="157">
        <f>+SUMPRODUCT(MicroModelComponents!$I$4:$I$24,AP$4:AP$24)</f>
        <v>0</v>
      </c>
      <c r="AQ36" s="157">
        <f>+SUMPRODUCT(MicroModelComponents!$I$4:$I$24,AQ$4:AQ$24)</f>
        <v>0</v>
      </c>
      <c r="AR36" s="157">
        <f>+SUMPRODUCT(MicroModelComponents!$I$4:$I$24,AR$4:AR$24)</f>
        <v>2.2204460492503131E-16</v>
      </c>
      <c r="AS36" s="157">
        <f>+SUMPRODUCT(MicroModelComponents!$I$4:$I$24,AS$4:AS$24)</f>
        <v>0</v>
      </c>
      <c r="AT36" s="157">
        <f>+SUMPRODUCT(MicroModelComponents!$I$4:$I$24,AT$4:AT$24)</f>
        <v>0</v>
      </c>
      <c r="AU36" s="157">
        <f>+SUMPRODUCT(MicroModelComponents!$I$4:$I$24,AU$4:AU$24)</f>
        <v>-6.6613381477509392E-16</v>
      </c>
      <c r="AV36" s="158">
        <f>+SUMPRODUCT(MicroModelComponents!$I$4:$I$24,AU$4:AU$24)</f>
        <v>-6.6613381477509392E-16</v>
      </c>
      <c r="AW36" s="3"/>
      <c r="AX36" s="108"/>
      <c r="AZ36" s="156">
        <f>+SUMPRODUCT(MicroModelComponents!$I$4:$I$24,AZ$4:AZ$24)</f>
        <v>0</v>
      </c>
      <c r="BA36" s="157">
        <f>+SUMPRODUCT(MicroModelComponents!$I$4:$I$24,BA$4:BA$24)</f>
        <v>0</v>
      </c>
      <c r="BB36" s="157">
        <f>+SUMPRODUCT(MicroModelComponents!$I$4:$I$24,BB$4:BB$24)</f>
        <v>0</v>
      </c>
      <c r="BC36" s="157">
        <f>+SUMPRODUCT(MicroModelComponents!$I$4:$I$24,BC$4:BC$24)</f>
        <v>2.2204460492503131E-16</v>
      </c>
      <c r="BD36" s="157">
        <f>+SUMPRODUCT(MicroModelComponents!$I$4:$I$24,BD$4:BD$24)</f>
        <v>0</v>
      </c>
      <c r="BE36" s="157">
        <f>+SUMPRODUCT(MicroModelComponents!$I$4:$I$24,BE$4:BE$24)</f>
        <v>-2.2204460492503131E-16</v>
      </c>
      <c r="BF36" s="157">
        <f>+SUMPRODUCT(MicroModelComponents!$I$4:$I$24,BF$4:BF$24)</f>
        <v>-6.6613381477509392E-16</v>
      </c>
      <c r="BG36" s="158">
        <f>+SUMPRODUCT(MicroModelComponents!$I$4:$I$24,BF$4:BF$24)</f>
        <v>-6.6613381477509392E-16</v>
      </c>
      <c r="BH36" s="3"/>
      <c r="BI36" s="108"/>
      <c r="BK36" s="156">
        <f>+SUMPRODUCT(MicroModelComponents!$I$4:$I$24,BK$4:BK$24)</f>
        <v>0</v>
      </c>
      <c r="BL36" s="157">
        <f>+SUMPRODUCT(MicroModelComponents!$I$4:$I$24,BL$4:BL$24)</f>
        <v>0</v>
      </c>
      <c r="BM36" s="157">
        <f>+SUMPRODUCT(MicroModelComponents!$I$4:$I$24,BM$4:BM$24)</f>
        <v>0</v>
      </c>
      <c r="BN36" s="157">
        <f>+SUMPRODUCT(MicroModelComponents!$I$4:$I$24,BN$4:BN$24)</f>
        <v>2.2204460492503131E-16</v>
      </c>
      <c r="BO36" s="157">
        <f>+SUMPRODUCT(MicroModelComponents!$I$4:$I$24,BO$4:BO$24)</f>
        <v>0</v>
      </c>
      <c r="BP36" s="157">
        <f>+SUMPRODUCT(MicroModelComponents!$I$4:$I$24,BP$4:BP$24)</f>
        <v>2.2204460492503131E-16</v>
      </c>
      <c r="BQ36" s="157">
        <f>+SUMPRODUCT(MicroModelComponents!$I$4:$I$24,BQ$4:BQ$24)</f>
        <v>2.2204460492503131E-16</v>
      </c>
      <c r="BR36" s="158">
        <f>+SUMPRODUCT(MicroModelComponents!$I$4:$I$24,BQ$4:BQ$24)</f>
        <v>2.2204460492503131E-16</v>
      </c>
      <c r="BS36" s="3"/>
      <c r="BT36" s="108"/>
      <c r="BV36" s="156">
        <f>+SUMPRODUCT(MicroModelComponents!$I$4:$I$24,BV$4:BV$24)</f>
        <v>0</v>
      </c>
      <c r="BW36" s="157">
        <f>+SUMPRODUCT(MicroModelComponents!$I$4:$I$24,BW$4:BW$24)</f>
        <v>0</v>
      </c>
      <c r="BX36" s="157">
        <f>+SUMPRODUCT(MicroModelComponents!$I$4:$I$24,BX$4:BX$24)</f>
        <v>0</v>
      </c>
      <c r="BY36" s="157">
        <f>+SUMPRODUCT(MicroModelComponents!$I$4:$I$24,BY$4:BY$24)</f>
        <v>2.2204460492503131E-16</v>
      </c>
      <c r="BZ36" s="157">
        <f>+SUMPRODUCT(MicroModelComponents!$I$4:$I$24,BZ$4:BZ$24)</f>
        <v>0</v>
      </c>
      <c r="CA36" s="157">
        <f>+SUMPRODUCT(MicroModelComponents!$I$4:$I$24,CA$4:CA$24)</f>
        <v>6.6613381477509392E-16</v>
      </c>
      <c r="CB36" s="157">
        <f>+SUMPRODUCT(MicroModelComponents!$I$4:$I$24,CB$4:CB$24)</f>
        <v>0</v>
      </c>
      <c r="CC36" s="158">
        <f>+SUMPRODUCT(MicroModelComponents!$I$4:$I$24,CB$4:CB$24)</f>
        <v>0</v>
      </c>
      <c r="CD36" s="3"/>
      <c r="CE36" s="108"/>
      <c r="CG36" s="156">
        <f>+SUMPRODUCT(MicroModelComponents!$I$4:$I$24,CG$4:CG$24)</f>
        <v>0</v>
      </c>
      <c r="CH36" s="157">
        <f>+SUMPRODUCT(MicroModelComponents!$I$4:$I$24,CH$4:CH$24)</f>
        <v>0</v>
      </c>
      <c r="CI36" s="157">
        <f>+SUMPRODUCT(MicroModelComponents!$I$4:$I$24,CI$4:CI$24)</f>
        <v>0</v>
      </c>
      <c r="CJ36" s="157">
        <f>+SUMPRODUCT(MicroModelComponents!$I$4:$I$24,CJ$4:CJ$24)</f>
        <v>2.2204460492503131E-16</v>
      </c>
      <c r="CK36" s="157">
        <f>+SUMPRODUCT(MicroModelComponents!$I$4:$I$24,CK$4:CK$24)</f>
        <v>0</v>
      </c>
      <c r="CL36" s="157">
        <f>+SUMPRODUCT(MicroModelComponents!$I$4:$I$24,CL$4:CL$24)</f>
        <v>4.4408920985006262E-16</v>
      </c>
      <c r="CM36" s="157">
        <f>+SUMPRODUCT(MicroModelComponents!$I$4:$I$24,CM$4:CM$24)</f>
        <v>2.2204460492503131E-16</v>
      </c>
      <c r="CN36" s="158">
        <f>+SUMPRODUCT(MicroModelComponents!$I$4:$I$24,CM$4:CM$24)</f>
        <v>2.2204460492503131E-16</v>
      </c>
      <c r="CO36" s="3"/>
      <c r="CP36" s="108"/>
      <c r="CR36" s="156">
        <f>+SUMPRODUCT(MicroModelComponents!$I$4:$I$24,CR$4:CR$24)</f>
        <v>0</v>
      </c>
      <c r="CS36" s="157">
        <f>+SUMPRODUCT(MicroModelComponents!$I$4:$I$24,CS$4:CS$24)</f>
        <v>0</v>
      </c>
      <c r="CT36" s="157">
        <f>+SUMPRODUCT(MicroModelComponents!$I$4:$I$24,CT$4:CT$24)</f>
        <v>0</v>
      </c>
      <c r="CU36" s="157">
        <f>+SUMPRODUCT(MicroModelComponents!$I$4:$I$24,CU$4:CU$24)</f>
        <v>2.2204460492503131E-16</v>
      </c>
      <c r="CV36" s="157">
        <f>+SUMPRODUCT(MicroModelComponents!$I$4:$I$24,CV$4:CV$24)</f>
        <v>0</v>
      </c>
      <c r="CW36" s="157">
        <f>+SUMPRODUCT(MicroModelComponents!$I$4:$I$24,CW$4:CW$24)</f>
        <v>4.4408920985006262E-16</v>
      </c>
      <c r="CX36" s="157">
        <f>+SUMPRODUCT(MicroModelComponents!$I$4:$I$24,CX$4:CX$24)</f>
        <v>-6.6613381477509392E-16</v>
      </c>
      <c r="CY36" s="158">
        <f>+SUMPRODUCT(MicroModelComponents!$I$4:$I$24,CX$4:CX$24)</f>
        <v>-6.6613381477509392E-16</v>
      </c>
      <c r="CZ36" s="3"/>
      <c r="DA36" s="108"/>
      <c r="DC36" s="156">
        <f>+SUMPRODUCT(MicroModelComponents!$I$4:$I$24,DC$4:DC$24)</f>
        <v>0</v>
      </c>
      <c r="DD36" s="157">
        <f>+SUMPRODUCT(MicroModelComponents!$I$4:$I$24,DD$4:DD$24)</f>
        <v>0</v>
      </c>
      <c r="DE36" s="157">
        <f>+SUMPRODUCT(MicroModelComponents!$I$4:$I$24,DE$4:DE$24)</f>
        <v>0</v>
      </c>
      <c r="DF36" s="157">
        <f>+SUMPRODUCT(MicroModelComponents!$I$4:$I$24,DF$4:DF$24)</f>
        <v>2.2204460492503131E-16</v>
      </c>
      <c r="DG36" s="157">
        <f>+SUMPRODUCT(MicroModelComponents!$I$4:$I$24,DG$4:DG$24)</f>
        <v>0</v>
      </c>
      <c r="DH36" s="157">
        <f>+SUMPRODUCT(MicroModelComponents!$I$4:$I$24,DH$4:DH$24)</f>
        <v>0</v>
      </c>
      <c r="DI36" s="157">
        <f>+SUMPRODUCT(MicroModelComponents!$I$4:$I$24,DI$4:DI$24)</f>
        <v>2.886579864025407E-15</v>
      </c>
      <c r="DJ36" s="158">
        <f>+SUMPRODUCT(MicroModelComponents!$I$4:$I$24,DI$4:DI$24)</f>
        <v>2.886579864025407E-15</v>
      </c>
      <c r="DK36" s="3"/>
      <c r="DL36" s="108"/>
      <c r="DN36" s="156">
        <f>+SUMPRODUCT(MicroModelComponents!$I$4:$I$24,DN$4:DN$24)</f>
        <v>0</v>
      </c>
      <c r="DO36" s="157">
        <f>+SUMPRODUCT(MicroModelComponents!$I$4:$I$24,DO$4:DO$24)</f>
        <v>0</v>
      </c>
      <c r="DP36" s="157">
        <f>+SUMPRODUCT(MicroModelComponents!$I$4:$I$24,DP$4:DP$24)</f>
        <v>0</v>
      </c>
      <c r="DQ36" s="157">
        <f>+SUMPRODUCT(MicroModelComponents!$I$4:$I$24,DQ$4:DQ$24)</f>
        <v>2.2204460492503131E-16</v>
      </c>
      <c r="DR36" s="157">
        <f>+SUMPRODUCT(MicroModelComponents!$I$4:$I$24,DR$4:DR$24)</f>
        <v>0</v>
      </c>
      <c r="DS36" s="157">
        <f>+SUMPRODUCT(MicroModelComponents!$I$4:$I$24,DS$4:DS$24)</f>
        <v>0</v>
      </c>
      <c r="DT36" s="157">
        <f>+SUMPRODUCT(MicroModelComponents!$I$4:$I$24,DT$4:DT$24)</f>
        <v>-5.9952043329758453E-15</v>
      </c>
      <c r="DU36" s="158">
        <f>+SUMPRODUCT(MicroModelComponents!$I$4:$I$24,DT$4:DT$24)</f>
        <v>-5.9952043329758453E-15</v>
      </c>
      <c r="DV36" s="3"/>
      <c r="DW36" s="108"/>
      <c r="DY36" s="156">
        <f>+SUMPRODUCT(MicroModelComponents!$I$4:$I$24,DY$4:DY$24)</f>
        <v>0</v>
      </c>
      <c r="DZ36" s="157">
        <f>+SUMPRODUCT(MicroModelComponents!$I$4:$I$24,DZ$4:DZ$24)</f>
        <v>0</v>
      </c>
      <c r="EA36" s="157">
        <f>+SUMPRODUCT(MicroModelComponents!$I$4:$I$24,EA$4:EA$24)</f>
        <v>0</v>
      </c>
      <c r="EB36" s="157">
        <f>+SUMPRODUCT(MicroModelComponents!$I$4:$I$24,EB$4:EB$24)</f>
        <v>2.2204460492503131E-16</v>
      </c>
      <c r="EC36" s="157">
        <f>+SUMPRODUCT(MicroModelComponents!$I$4:$I$24,EC$4:EC$24)</f>
        <v>0</v>
      </c>
      <c r="ED36" s="157">
        <f>+SUMPRODUCT(MicroModelComponents!$I$4:$I$24,ED$4:ED$24)</f>
        <v>2.2204460492503131E-16</v>
      </c>
      <c r="EE36" s="157">
        <f>+SUMPRODUCT(MicroModelComponents!$I$4:$I$24,EE$4:EE$24)</f>
        <v>6.6613381477509392E-16</v>
      </c>
      <c r="EF36" s="158">
        <f>+SUMPRODUCT(MicroModelComponents!$I$4:$I$24,EE$4:EE$24)</f>
        <v>6.6613381477509392E-16</v>
      </c>
      <c r="EG36" s="3"/>
      <c r="EH36" s="108"/>
      <c r="EJ36" s="156">
        <f>+SUMPRODUCT(MicroModelComponents!$I$4:$I$24,EJ$4:EJ$24)</f>
        <v>0</v>
      </c>
      <c r="EK36" s="157">
        <f>+SUMPRODUCT(MicroModelComponents!$I$4:$I$24,EK$4:EK$24)</f>
        <v>0</v>
      </c>
      <c r="EL36" s="157">
        <f>+SUMPRODUCT(MicroModelComponents!$I$4:$I$24,EL$4:EL$24)</f>
        <v>0</v>
      </c>
      <c r="EM36" s="157">
        <f>+SUMPRODUCT(MicroModelComponents!$I$4:$I$24,EM$4:EM$24)</f>
        <v>2.2204460492503131E-16</v>
      </c>
      <c r="EN36" s="157">
        <f>+SUMPRODUCT(MicroModelComponents!$I$4:$I$24,EN$4:EN$24)</f>
        <v>0</v>
      </c>
      <c r="EO36" s="157">
        <f>+SUMPRODUCT(MicroModelComponents!$I$4:$I$24,EO$4:EO$24)</f>
        <v>-2.2204460492503131E-16</v>
      </c>
      <c r="EP36" s="157">
        <f>+SUMPRODUCT(MicroModelComponents!$I$4:$I$24,EP$4:EP$24)</f>
        <v>-2.2204460492503131E-16</v>
      </c>
      <c r="EQ36" s="158">
        <f>+SUMPRODUCT(MicroModelComponents!$I$4:$I$24,EP$4:EP$24)</f>
        <v>-2.2204460492503131E-16</v>
      </c>
      <c r="ER36" s="3"/>
      <c r="ES36" s="108"/>
      <c r="EU36" s="156">
        <f>+SUMPRODUCT(MicroModelComponents!$I$4:$I$24,EU$4:EU$24)</f>
        <v>0</v>
      </c>
      <c r="EV36" s="157">
        <f>+SUMPRODUCT(MicroModelComponents!$I$4:$I$24,EV$4:EV$24)</f>
        <v>0</v>
      </c>
      <c r="EW36" s="157">
        <f>+SUMPRODUCT(MicroModelComponents!$I$4:$I$24,EW$4:EW$24)</f>
        <v>0</v>
      </c>
      <c r="EX36" s="157">
        <f>+SUMPRODUCT(MicroModelComponents!$I$4:$I$24,EX$4:EX$24)</f>
        <v>2.2204460492503131E-16</v>
      </c>
      <c r="EY36" s="157">
        <f>+SUMPRODUCT(MicroModelComponents!$I$4:$I$24,EY$4:EY$24)</f>
        <v>0</v>
      </c>
      <c r="EZ36" s="157">
        <f>+SUMPRODUCT(MicroModelComponents!$I$4:$I$24,EZ$4:EZ$24)</f>
        <v>2.2204460492503131E-16</v>
      </c>
      <c r="FA36" s="157">
        <f>+SUMPRODUCT(MicroModelComponents!$I$4:$I$24,FA$4:FA$24)</f>
        <v>2.886579864025407E-15</v>
      </c>
      <c r="FB36" s="158">
        <f>+SUMPRODUCT(MicroModelComponents!$I$4:$I$24,FA$4:FA$24)</f>
        <v>2.886579864025407E-15</v>
      </c>
      <c r="FC36" s="3"/>
      <c r="FD36" s="108"/>
      <c r="FF36" s="156">
        <f>+SUMPRODUCT(MicroModelComponents!$I$4:$I$24,FF$4:FF$24)</f>
        <v>0</v>
      </c>
      <c r="FG36" s="157">
        <f>+SUMPRODUCT(MicroModelComponents!$I$4:$I$24,FG$4:FG$24)</f>
        <v>0</v>
      </c>
      <c r="FH36" s="157">
        <f>+SUMPRODUCT(MicroModelComponents!$I$4:$I$24,FH$4:FH$24)</f>
        <v>0</v>
      </c>
      <c r="FI36" s="157">
        <f>+SUMPRODUCT(MicroModelComponents!$I$4:$I$24,FI$4:FI$24)</f>
        <v>2.2204460492503131E-16</v>
      </c>
      <c r="FJ36" s="157">
        <f>+SUMPRODUCT(MicroModelComponents!$I$4:$I$24,FJ$4:FJ$24)</f>
        <v>0</v>
      </c>
      <c r="FK36" s="157">
        <f>+SUMPRODUCT(MicroModelComponents!$I$4:$I$24,FK$4:FK$24)</f>
        <v>2.2204460492503131E-16</v>
      </c>
      <c r="FL36" s="157">
        <f>+SUMPRODUCT(MicroModelComponents!$I$4:$I$24,FL$4:FL$24)</f>
        <v>2.886579864025407E-15</v>
      </c>
      <c r="FM36" s="158">
        <f>+SUMPRODUCT(MicroModelComponents!$I$4:$I$24,FL$4:FL$24)</f>
        <v>2.886579864025407E-15</v>
      </c>
      <c r="FN36" s="3"/>
      <c r="FO36" s="108"/>
      <c r="FQ36" s="156">
        <f>+SUMPRODUCT(MicroModelComponents!$I$4:$I$24,FQ$4:FQ$24)</f>
        <v>0</v>
      </c>
      <c r="FR36" s="157">
        <f>+SUMPRODUCT(MicroModelComponents!$I$4:$I$24,FR$4:FR$24)</f>
        <v>0</v>
      </c>
      <c r="FS36" s="157">
        <f>+SUMPRODUCT(MicroModelComponents!$I$4:$I$24,FS$4:FS$24)</f>
        <v>0</v>
      </c>
      <c r="FT36" s="157">
        <f>+SUMPRODUCT(MicroModelComponents!$I$4:$I$24,FT$4:FT$24)</f>
        <v>2.2204460492503131E-16</v>
      </c>
      <c r="FU36" s="157">
        <f>+SUMPRODUCT(MicroModelComponents!$I$4:$I$24,FU$4:FU$24)</f>
        <v>0</v>
      </c>
      <c r="FV36" s="157">
        <f>+SUMPRODUCT(MicroModelComponents!$I$4:$I$24,FV$4:FV$24)</f>
        <v>0</v>
      </c>
      <c r="FW36" s="157">
        <f>+SUMPRODUCT(MicroModelComponents!$I$4:$I$24,FW$4:FW$24)</f>
        <v>2.2204460492503131E-16</v>
      </c>
      <c r="FX36" s="158">
        <f>+SUMPRODUCT(MicroModelComponents!$I$4:$I$24,FW$4:FW$24)</f>
        <v>2.2204460492503131E-16</v>
      </c>
      <c r="FY36" s="3"/>
      <c r="FZ36" s="108"/>
      <c r="GB36" s="156">
        <f>+SUMPRODUCT(MicroModelComponents!$I$4:$I$24,GB$4:GB$24)</f>
        <v>0</v>
      </c>
      <c r="GC36" s="157">
        <f>+SUMPRODUCT(MicroModelComponents!$I$4:$I$24,GC$4:GC$24)</f>
        <v>0</v>
      </c>
      <c r="GD36" s="157">
        <f>+SUMPRODUCT(MicroModelComponents!$I$4:$I$24,GD$4:GD$24)</f>
        <v>0</v>
      </c>
      <c r="GE36" s="157">
        <f>+SUMPRODUCT(MicroModelComponents!$I$4:$I$24,GE$4:GE$24)</f>
        <v>2.2204460492503131E-16</v>
      </c>
      <c r="GF36" s="157">
        <f>+SUMPRODUCT(MicroModelComponents!$I$4:$I$24,GF$4:GF$24)</f>
        <v>0</v>
      </c>
      <c r="GG36" s="157">
        <f>+SUMPRODUCT(MicroModelComponents!$I$4:$I$24,GG$4:GG$24)</f>
        <v>0</v>
      </c>
      <c r="GH36" s="157">
        <f>+SUMPRODUCT(MicroModelComponents!$I$4:$I$24,GH$4:GH$24)</f>
        <v>-6.6613381477509392E-16</v>
      </c>
      <c r="GI36" s="158">
        <f>+SUMPRODUCT(MicroModelComponents!$I$4:$I$24,GH$4:GH$24)</f>
        <v>-6.6613381477509392E-16</v>
      </c>
      <c r="GJ36" s="3"/>
      <c r="GK36" s="108"/>
      <c r="GM36" s="156">
        <f>+SUMPRODUCT(MicroModelComponents!$I$4:$I$24,GM$4:GM$24)</f>
        <v>0</v>
      </c>
      <c r="GN36" s="157">
        <f>+SUMPRODUCT(MicroModelComponents!$I$4:$I$24,GN$4:GN$24)</f>
        <v>0</v>
      </c>
      <c r="GO36" s="157">
        <f>+SUMPRODUCT(MicroModelComponents!$I$4:$I$24,GO$4:GO$24)</f>
        <v>0</v>
      </c>
      <c r="GP36" s="157">
        <f>+SUMPRODUCT(MicroModelComponents!$I$4:$I$24,GP$4:GP$24)</f>
        <v>2.2204460492503131E-16</v>
      </c>
      <c r="GQ36" s="157">
        <f>+SUMPRODUCT(MicroModelComponents!$I$4:$I$24,GQ$4:GQ$24)</f>
        <v>0</v>
      </c>
      <c r="GR36" s="157">
        <f>+SUMPRODUCT(MicroModelComponents!$I$4:$I$24,GR$4:GR$24)</f>
        <v>0</v>
      </c>
      <c r="GS36" s="157">
        <f>+SUMPRODUCT(MicroModelComponents!$I$4:$I$24,GS$4:GS$24)</f>
        <v>2.2204460492503131E-16</v>
      </c>
      <c r="GT36" s="158">
        <f>+SUMPRODUCT(MicroModelComponents!$I$4:$I$24,GS$4:GS$24)</f>
        <v>2.2204460492503131E-16</v>
      </c>
      <c r="GU36" s="3"/>
      <c r="GV36" s="108"/>
      <c r="GX36" s="156">
        <f>+SUMPRODUCT(MicroModelComponents!$I$4:$I$24,GX$4:GX$24)</f>
        <v>0</v>
      </c>
      <c r="GY36" s="157">
        <f>+SUMPRODUCT(MicroModelComponents!$I$4:$I$24,GY$4:GY$24)</f>
        <v>0</v>
      </c>
      <c r="GZ36" s="157">
        <f>+SUMPRODUCT(MicroModelComponents!$I$4:$I$24,GZ$4:GZ$24)</f>
        <v>0</v>
      </c>
      <c r="HA36" s="157">
        <f>+SUMPRODUCT(MicroModelComponents!$I$4:$I$24,HA$4:HA$24)</f>
        <v>2.2204460492503131E-16</v>
      </c>
      <c r="HB36" s="157">
        <f>+SUMPRODUCT(MicroModelComponents!$I$4:$I$24,HB$4:HB$24)</f>
        <v>0</v>
      </c>
      <c r="HC36" s="157">
        <f>+SUMPRODUCT(MicroModelComponents!$I$4:$I$24,HC$4:HC$24)</f>
        <v>2.2204460492503131E-16</v>
      </c>
      <c r="HD36" s="157">
        <f>+SUMPRODUCT(MicroModelComponents!$I$4:$I$24,HD$4:HD$24)</f>
        <v>2.2204460492503131E-16</v>
      </c>
      <c r="HE36" s="158">
        <f>+SUMPRODUCT(MicroModelComponents!$I$4:$I$24,HD$4:HD$24)</f>
        <v>2.2204460492503131E-16</v>
      </c>
      <c r="HF36" s="3"/>
      <c r="HG36" s="108"/>
      <c r="HI36" s="156">
        <f>+SUMPRODUCT(MicroModelComponents!$I$4:$I$24,HI$4:HI$24)</f>
        <v>0</v>
      </c>
      <c r="HJ36" s="157">
        <f>+SUMPRODUCT(MicroModelComponents!$I$4:$I$24,HJ$4:HJ$24)</f>
        <v>0</v>
      </c>
      <c r="HK36" s="157">
        <f>+SUMPRODUCT(MicroModelComponents!$I$4:$I$24,HK$4:HK$24)</f>
        <v>0</v>
      </c>
      <c r="HL36" s="157">
        <f>+SUMPRODUCT(MicroModelComponents!$I$4:$I$24,HL$4:HL$24)</f>
        <v>2.2204460492503131E-16</v>
      </c>
      <c r="HM36" s="157">
        <f>+SUMPRODUCT(MicroModelComponents!$I$4:$I$24,HM$4:HM$24)</f>
        <v>0</v>
      </c>
      <c r="HN36" s="157">
        <f>+SUMPRODUCT(MicroModelComponents!$I$4:$I$24,HN$4:HN$24)</f>
        <v>2.2204460492503131E-16</v>
      </c>
      <c r="HO36" s="157">
        <f>+SUMPRODUCT(MicroModelComponents!$I$4:$I$24,HO$4:HO$24)</f>
        <v>-1.5543122344752192E-15</v>
      </c>
      <c r="HP36" s="158">
        <f>+SUMPRODUCT(MicroModelComponents!$I$4:$I$24,HO$4:HO$24)</f>
        <v>-1.5543122344752192E-15</v>
      </c>
      <c r="HQ36" s="3"/>
      <c r="HR36" s="108"/>
      <c r="HT36" s="156">
        <f>+SUMPRODUCT(MicroModelComponents!$I$4:$I$24,HT$4:HT$24)</f>
        <v>0</v>
      </c>
      <c r="HU36" s="157">
        <f>+SUMPRODUCT(MicroModelComponents!$I$4:$I$24,HU$4:HU$24)</f>
        <v>0</v>
      </c>
      <c r="HV36" s="157">
        <f>+SUMPRODUCT(MicroModelComponents!$I$4:$I$24,HV$4:HV$24)</f>
        <v>0</v>
      </c>
      <c r="HW36" s="157">
        <f>+SUMPRODUCT(MicroModelComponents!$I$4:$I$24,HW$4:HW$24)</f>
        <v>2.2204460492503131E-16</v>
      </c>
      <c r="HX36" s="157">
        <f>+SUMPRODUCT(MicroModelComponents!$I$4:$I$24,HX$4:HX$24)</f>
        <v>0</v>
      </c>
      <c r="HY36" s="157">
        <f>+SUMPRODUCT(MicroModelComponents!$I$4:$I$24,HY$4:HY$24)</f>
        <v>2.2204460492503131E-16</v>
      </c>
      <c r="HZ36" s="157">
        <f>+SUMPRODUCT(MicroModelComponents!$I$4:$I$24,HZ$4:HZ$24)</f>
        <v>9.9920072216264089E-15</v>
      </c>
      <c r="IA36" s="158">
        <f>+SUMPRODUCT(MicroModelComponents!$I$4:$I$24,HZ$4:HZ$24)</f>
        <v>9.9920072216264089E-15</v>
      </c>
      <c r="IB36" s="3"/>
      <c r="IC36" s="108"/>
      <c r="ID36" s="156">
        <f>+SUMPRODUCT(MicroModelComponents!$I$4:$I$24,ID$4:ID$24)</f>
        <v>0</v>
      </c>
      <c r="IE36" s="108"/>
      <c r="IF36" s="156">
        <f>+SUMPRODUCT(MicroModelComponents!$I$4:$I$24,IF$4:IF$24)</f>
        <v>2.2204460492503131E-16</v>
      </c>
      <c r="IG36" s="156">
        <f>+SUMPRODUCT(MicroModelComponents!$I$4:$I$24,IG$4:IG$24)</f>
        <v>0</v>
      </c>
      <c r="IH36" s="156">
        <f>+SUMPRODUCT(MicroModelComponents!$I$4:$I$24,IH$4:IH$24)</f>
        <v>0</v>
      </c>
      <c r="II36" s="108"/>
      <c r="IJ36" s="156">
        <f>+SUMPRODUCT(MicroModelComponents!$I$4:$I$24,IJ$4:IJ$24)</f>
        <v>0</v>
      </c>
      <c r="IK36" s="108"/>
      <c r="IQ36" s="1"/>
      <c r="IR36" s="1"/>
      <c r="IS36" s="1"/>
      <c r="IT36" s="1"/>
    </row>
    <row r="37" spans="2:256" ht="13.5" customHeight="1">
      <c r="B37" s="128"/>
      <c r="C37" s="41" t="s">
        <v>135</v>
      </c>
      <c r="N37" s="41" t="s">
        <v>135</v>
      </c>
      <c r="O37" s="105"/>
      <c r="P37" s="3"/>
      <c r="Q37" s="108"/>
      <c r="S37" s="156">
        <f>+SUMPRODUCT(MicroModelComponents!$J$4:$J$24,S$4:S$24)</f>
        <v>0</v>
      </c>
      <c r="T37" s="157">
        <f>+SUMPRODUCT(MicroModelComponents!$J$4:$J$24,T$4:T$24)</f>
        <v>0</v>
      </c>
      <c r="U37" s="157">
        <f>+SUMPRODUCT(MicroModelComponents!$J$4:$J$24,U$4:U$24)</f>
        <v>0</v>
      </c>
      <c r="V37" s="157">
        <f>+SUMPRODUCT(MicroModelComponents!$J$4:$J$24,V$4:V$24)</f>
        <v>0</v>
      </c>
      <c r="W37" s="157">
        <f>+SUMPRODUCT(MicroModelComponents!$J$4:$J$24,W$4:W$24)</f>
        <v>0</v>
      </c>
      <c r="X37" s="157">
        <f>+SUMPRODUCT(MicroModelComponents!$J$4:$J$24,X$4:X$24)</f>
        <v>1.6653345369377348E-16</v>
      </c>
      <c r="Y37" s="157">
        <f>+SUMPRODUCT(MicroModelComponents!$J$4:$J$24,Y$4:Y$24)</f>
        <v>0</v>
      </c>
      <c r="Z37" s="158">
        <f>+SUMPRODUCT(MicroModelComponents!$J$4:$J$24,Y$4:Y$24)</f>
        <v>0</v>
      </c>
      <c r="AA37" s="3"/>
      <c r="AB37" s="108"/>
      <c r="AD37" s="156">
        <f>+SUMPRODUCT(MicroModelComponents!$J$4:$J$24,AD$4:AD$24)</f>
        <v>0</v>
      </c>
      <c r="AE37" s="157">
        <f>+SUMPRODUCT(MicroModelComponents!$J$4:$J$24,AE$4:AE$24)</f>
        <v>0</v>
      </c>
      <c r="AF37" s="157">
        <f>+SUMPRODUCT(MicroModelComponents!$J$4:$J$24,AF$4:AF$24)</f>
        <v>0</v>
      </c>
      <c r="AG37" s="157">
        <f>+SUMPRODUCT(MicroModelComponents!$J$4:$J$24,AG$4:AG$24)</f>
        <v>0</v>
      </c>
      <c r="AH37" s="157">
        <f>+SUMPRODUCT(MicroModelComponents!$J$4:$J$24,AH$4:AH$24)</f>
        <v>0</v>
      </c>
      <c r="AI37" s="157">
        <f>+SUMPRODUCT(MicroModelComponents!$J$4:$J$24,AI$4:AI$24)</f>
        <v>1.6653345369377348E-16</v>
      </c>
      <c r="AJ37" s="157">
        <f>+SUMPRODUCT(MicroModelComponents!$J$4:$J$24,AJ$4:AJ$24)</f>
        <v>-2.2204460492503131E-16</v>
      </c>
      <c r="AK37" s="158">
        <f>+SUMPRODUCT(MicroModelComponents!$J$4:$J$24,AJ$4:AJ$24)</f>
        <v>-2.2204460492503131E-16</v>
      </c>
      <c r="AL37" s="3"/>
      <c r="AM37" s="108"/>
      <c r="AO37" s="156">
        <f>+SUMPRODUCT(MicroModelComponents!$J$4:$J$24,AO$4:AO$24)</f>
        <v>0</v>
      </c>
      <c r="AP37" s="157">
        <f>+SUMPRODUCT(MicroModelComponents!$J$4:$J$24,AP$4:AP$24)</f>
        <v>0</v>
      </c>
      <c r="AQ37" s="157">
        <f>+SUMPRODUCT(MicroModelComponents!$J$4:$J$24,AQ$4:AQ$24)</f>
        <v>0</v>
      </c>
      <c r="AR37" s="157">
        <f>+SUMPRODUCT(MicroModelComponents!$J$4:$J$24,AR$4:AR$24)</f>
        <v>0</v>
      </c>
      <c r="AS37" s="157">
        <f>+SUMPRODUCT(MicroModelComponents!$J$4:$J$24,AS$4:AS$24)</f>
        <v>0</v>
      </c>
      <c r="AT37" s="157">
        <f>+SUMPRODUCT(MicroModelComponents!$J$4:$J$24,AT$4:AT$24)</f>
        <v>0</v>
      </c>
      <c r="AU37" s="157">
        <f>+SUMPRODUCT(MicroModelComponents!$J$4:$J$24,AU$4:AU$24)</f>
        <v>-2.2204460492503131E-16</v>
      </c>
      <c r="AV37" s="158">
        <f>+SUMPRODUCT(MicroModelComponents!$J$4:$J$24,AU$4:AU$24)</f>
        <v>-2.2204460492503131E-16</v>
      </c>
      <c r="AW37" s="3"/>
      <c r="AX37" s="108"/>
      <c r="AZ37" s="156">
        <f>+SUMPRODUCT(MicroModelComponents!$J$4:$J$24,AZ$4:AZ$24)</f>
        <v>0</v>
      </c>
      <c r="BA37" s="157">
        <f>+SUMPRODUCT(MicroModelComponents!$J$4:$J$24,BA$4:BA$24)</f>
        <v>0</v>
      </c>
      <c r="BB37" s="157">
        <f>+SUMPRODUCT(MicroModelComponents!$J$4:$J$24,BB$4:BB$24)</f>
        <v>0</v>
      </c>
      <c r="BC37" s="157">
        <f>+SUMPRODUCT(MicroModelComponents!$J$4:$J$24,BC$4:BC$24)</f>
        <v>0</v>
      </c>
      <c r="BD37" s="157">
        <f>+SUMPRODUCT(MicroModelComponents!$J$4:$J$24,BD$4:BD$24)</f>
        <v>0</v>
      </c>
      <c r="BE37" s="157">
        <f>+SUMPRODUCT(MicroModelComponents!$J$4:$J$24,BE$4:BE$24)</f>
        <v>0</v>
      </c>
      <c r="BF37" s="157">
        <f>+SUMPRODUCT(MicroModelComponents!$J$4:$J$24,BF$4:BF$24)</f>
        <v>0</v>
      </c>
      <c r="BG37" s="158">
        <f>+SUMPRODUCT(MicroModelComponents!$J$4:$J$24,BF$4:BF$24)</f>
        <v>0</v>
      </c>
      <c r="BH37" s="3"/>
      <c r="BI37" s="108"/>
      <c r="BK37" s="156">
        <f>+SUMPRODUCT(MicroModelComponents!$J$4:$J$24,BK$4:BK$24)</f>
        <v>0</v>
      </c>
      <c r="BL37" s="157">
        <f>+SUMPRODUCT(MicroModelComponents!$J$4:$J$24,BL$4:BL$24)</f>
        <v>0</v>
      </c>
      <c r="BM37" s="157">
        <f>+SUMPRODUCT(MicroModelComponents!$J$4:$J$24,BM$4:BM$24)</f>
        <v>0</v>
      </c>
      <c r="BN37" s="157">
        <f>+SUMPRODUCT(MicroModelComponents!$J$4:$J$24,BN$4:BN$24)</f>
        <v>0</v>
      </c>
      <c r="BO37" s="157">
        <f>+SUMPRODUCT(MicroModelComponents!$J$4:$J$24,BO$4:BO$24)</f>
        <v>0</v>
      </c>
      <c r="BP37" s="157">
        <f>+SUMPRODUCT(MicroModelComponents!$J$4:$J$24,BP$4:BP$24)</f>
        <v>4.4408920985006262E-16</v>
      </c>
      <c r="BQ37" s="157">
        <f>+SUMPRODUCT(MicroModelComponents!$J$4:$J$24,BQ$4:BQ$24)</f>
        <v>1.1102230246251565E-14</v>
      </c>
      <c r="BR37" s="158">
        <f>+SUMPRODUCT(MicroModelComponents!$J$4:$J$24,BQ$4:BQ$24)</f>
        <v>1.1102230246251565E-14</v>
      </c>
      <c r="BS37" s="3"/>
      <c r="BT37" s="108"/>
      <c r="BV37" s="156">
        <f>+SUMPRODUCT(MicroModelComponents!$J$4:$J$24,BV$4:BV$24)</f>
        <v>0</v>
      </c>
      <c r="BW37" s="157">
        <f>+SUMPRODUCT(MicroModelComponents!$J$4:$J$24,BW$4:BW$24)</f>
        <v>0</v>
      </c>
      <c r="BX37" s="157">
        <f>+SUMPRODUCT(MicroModelComponents!$J$4:$J$24,BX$4:BX$24)</f>
        <v>0</v>
      </c>
      <c r="BY37" s="157">
        <f>+SUMPRODUCT(MicroModelComponents!$J$4:$J$24,BY$4:BY$24)</f>
        <v>0</v>
      </c>
      <c r="BZ37" s="157">
        <f>+SUMPRODUCT(MicroModelComponents!$J$4:$J$24,BZ$4:BZ$24)</f>
        <v>0</v>
      </c>
      <c r="CA37" s="157">
        <f>+SUMPRODUCT(MicroModelComponents!$J$4:$J$24,CA$4:CA$24)</f>
        <v>2.2204460492503131E-16</v>
      </c>
      <c r="CB37" s="157">
        <f>+SUMPRODUCT(MicroModelComponents!$J$4:$J$24,CB$4:CB$24)</f>
        <v>-2.2204460492503131E-16</v>
      </c>
      <c r="CC37" s="158">
        <f>+SUMPRODUCT(MicroModelComponents!$J$4:$J$24,CB$4:CB$24)</f>
        <v>-2.2204460492503131E-16</v>
      </c>
      <c r="CD37" s="3"/>
      <c r="CE37" s="108"/>
      <c r="CG37" s="156">
        <f>+SUMPRODUCT(MicroModelComponents!$J$4:$J$24,CG$4:CG$24)</f>
        <v>0</v>
      </c>
      <c r="CH37" s="157">
        <f>+SUMPRODUCT(MicroModelComponents!$J$4:$J$24,CH$4:CH$24)</f>
        <v>0</v>
      </c>
      <c r="CI37" s="157">
        <f>+SUMPRODUCT(MicroModelComponents!$J$4:$J$24,CI$4:CI$24)</f>
        <v>0</v>
      </c>
      <c r="CJ37" s="157">
        <f>+SUMPRODUCT(MicroModelComponents!$J$4:$J$24,CJ$4:CJ$24)</f>
        <v>0</v>
      </c>
      <c r="CK37" s="157">
        <f>+SUMPRODUCT(MicroModelComponents!$J$4:$J$24,CK$4:CK$24)</f>
        <v>0</v>
      </c>
      <c r="CL37" s="157">
        <f>+SUMPRODUCT(MicroModelComponents!$J$4:$J$24,CL$4:CL$24)</f>
        <v>2.2204460492503131E-16</v>
      </c>
      <c r="CM37" s="157">
        <f>+SUMPRODUCT(MicroModelComponents!$J$4:$J$24,CM$4:CM$24)</f>
        <v>0</v>
      </c>
      <c r="CN37" s="158">
        <f>+SUMPRODUCT(MicroModelComponents!$J$4:$J$24,CM$4:CM$24)</f>
        <v>0</v>
      </c>
      <c r="CO37" s="3"/>
      <c r="CP37" s="108"/>
      <c r="CR37" s="156">
        <f>+SUMPRODUCT(MicroModelComponents!$J$4:$J$24,CR$4:CR$24)</f>
        <v>0</v>
      </c>
      <c r="CS37" s="157">
        <f>+SUMPRODUCT(MicroModelComponents!$J$4:$J$24,CS$4:CS$24)</f>
        <v>0</v>
      </c>
      <c r="CT37" s="157">
        <f>+SUMPRODUCT(MicroModelComponents!$J$4:$J$24,CT$4:CT$24)</f>
        <v>0</v>
      </c>
      <c r="CU37" s="157">
        <f>+SUMPRODUCT(MicroModelComponents!$J$4:$J$24,CU$4:CU$24)</f>
        <v>0</v>
      </c>
      <c r="CV37" s="157">
        <f>+SUMPRODUCT(MicroModelComponents!$J$4:$J$24,CV$4:CV$24)</f>
        <v>0</v>
      </c>
      <c r="CW37" s="157">
        <f>+SUMPRODUCT(MicroModelComponents!$J$4:$J$24,CW$4:CW$24)</f>
        <v>0</v>
      </c>
      <c r="CX37" s="157">
        <f>+SUMPRODUCT(MicroModelComponents!$J$4:$J$24,CX$4:CX$24)</f>
        <v>0</v>
      </c>
      <c r="CY37" s="158">
        <f>+SUMPRODUCT(MicroModelComponents!$J$4:$J$24,CX$4:CX$24)</f>
        <v>0</v>
      </c>
      <c r="CZ37" s="3"/>
      <c r="DA37" s="108"/>
      <c r="DC37" s="156">
        <f>+SUMPRODUCT(MicroModelComponents!$J$4:$J$24,DC$4:DC$24)</f>
        <v>0</v>
      </c>
      <c r="DD37" s="157">
        <f>+SUMPRODUCT(MicroModelComponents!$J$4:$J$24,DD$4:DD$24)</f>
        <v>0</v>
      </c>
      <c r="DE37" s="157">
        <f>+SUMPRODUCT(MicroModelComponents!$J$4:$J$24,DE$4:DE$24)</f>
        <v>0</v>
      </c>
      <c r="DF37" s="157">
        <f>+SUMPRODUCT(MicroModelComponents!$J$4:$J$24,DF$4:DF$24)</f>
        <v>0</v>
      </c>
      <c r="DG37" s="157">
        <f>+SUMPRODUCT(MicroModelComponents!$J$4:$J$24,DG$4:DG$24)</f>
        <v>0</v>
      </c>
      <c r="DH37" s="157">
        <f>+SUMPRODUCT(MicroModelComponents!$J$4:$J$24,DH$4:DH$24)</f>
        <v>0</v>
      </c>
      <c r="DI37" s="157">
        <f>+SUMPRODUCT(MicroModelComponents!$J$4:$J$24,DI$4:DI$24)</f>
        <v>0</v>
      </c>
      <c r="DJ37" s="158">
        <f>+SUMPRODUCT(MicroModelComponents!$J$4:$J$24,DI$4:DI$24)</f>
        <v>0</v>
      </c>
      <c r="DK37" s="3"/>
      <c r="DL37" s="108"/>
      <c r="DN37" s="156">
        <f>+SUMPRODUCT(MicroModelComponents!$J$4:$J$24,DN$4:DN$24)</f>
        <v>0</v>
      </c>
      <c r="DO37" s="157">
        <f>+SUMPRODUCT(MicroModelComponents!$J$4:$J$24,DO$4:DO$24)</f>
        <v>0</v>
      </c>
      <c r="DP37" s="157">
        <f>+SUMPRODUCT(MicroModelComponents!$J$4:$J$24,DP$4:DP$24)</f>
        <v>0</v>
      </c>
      <c r="DQ37" s="157">
        <f>+SUMPRODUCT(MicroModelComponents!$J$4:$J$24,DQ$4:DQ$24)</f>
        <v>0</v>
      </c>
      <c r="DR37" s="157">
        <f>+SUMPRODUCT(MicroModelComponents!$J$4:$J$24,DR$4:DR$24)</f>
        <v>0</v>
      </c>
      <c r="DS37" s="157">
        <f>+SUMPRODUCT(MicroModelComponents!$J$4:$J$24,DS$4:DS$24)</f>
        <v>0</v>
      </c>
      <c r="DT37" s="157">
        <f>+SUMPRODUCT(MicroModelComponents!$J$4:$J$24,DT$4:DT$24)</f>
        <v>0</v>
      </c>
      <c r="DU37" s="158">
        <f>+SUMPRODUCT(MicroModelComponents!$J$4:$J$24,DT$4:DT$24)</f>
        <v>0</v>
      </c>
      <c r="DV37" s="3"/>
      <c r="DW37" s="108"/>
      <c r="DY37" s="156">
        <f>+SUMPRODUCT(MicroModelComponents!$J$4:$J$24,DY$4:DY$24)</f>
        <v>0</v>
      </c>
      <c r="DZ37" s="157">
        <f>+SUMPRODUCT(MicroModelComponents!$J$4:$J$24,DZ$4:DZ$24)</f>
        <v>0</v>
      </c>
      <c r="EA37" s="157">
        <f>+SUMPRODUCT(MicroModelComponents!$J$4:$J$24,EA$4:EA$24)</f>
        <v>0</v>
      </c>
      <c r="EB37" s="157">
        <f>+SUMPRODUCT(MicroModelComponents!$J$4:$J$24,EB$4:EB$24)</f>
        <v>0</v>
      </c>
      <c r="EC37" s="157">
        <f>+SUMPRODUCT(MicroModelComponents!$J$4:$J$24,EC$4:EC$24)</f>
        <v>0</v>
      </c>
      <c r="ED37" s="157">
        <f>+SUMPRODUCT(MicroModelComponents!$J$4:$J$24,ED$4:ED$24)</f>
        <v>0</v>
      </c>
      <c r="EE37" s="157">
        <f>+SUMPRODUCT(MicroModelComponents!$J$4:$J$24,EE$4:EE$24)</f>
        <v>-4.4408920985006262E-16</v>
      </c>
      <c r="EF37" s="158">
        <f>+SUMPRODUCT(MicroModelComponents!$J$4:$J$24,EE$4:EE$24)</f>
        <v>-4.4408920985006262E-16</v>
      </c>
      <c r="EG37" s="3"/>
      <c r="EH37" s="108"/>
      <c r="EJ37" s="156">
        <f>+SUMPRODUCT(MicroModelComponents!$J$4:$J$24,EJ$4:EJ$24)</f>
        <v>0</v>
      </c>
      <c r="EK37" s="157">
        <f>+SUMPRODUCT(MicroModelComponents!$J$4:$J$24,EK$4:EK$24)</f>
        <v>0</v>
      </c>
      <c r="EL37" s="157">
        <f>+SUMPRODUCT(MicroModelComponents!$J$4:$J$24,EL$4:EL$24)</f>
        <v>0</v>
      </c>
      <c r="EM37" s="157">
        <f>+SUMPRODUCT(MicroModelComponents!$J$4:$J$24,EM$4:EM$24)</f>
        <v>0</v>
      </c>
      <c r="EN37" s="157">
        <f>+SUMPRODUCT(MicroModelComponents!$J$4:$J$24,EN$4:EN$24)</f>
        <v>0</v>
      </c>
      <c r="EO37" s="157">
        <f>+SUMPRODUCT(MicroModelComponents!$J$4:$J$24,EO$4:EO$24)</f>
        <v>0</v>
      </c>
      <c r="EP37" s="157">
        <f>+SUMPRODUCT(MicroModelComponents!$J$4:$J$24,EP$4:EP$24)</f>
        <v>-2.2204460492503131E-16</v>
      </c>
      <c r="EQ37" s="158">
        <f>+SUMPRODUCT(MicroModelComponents!$J$4:$J$24,EP$4:EP$24)</f>
        <v>-2.2204460492503131E-16</v>
      </c>
      <c r="ER37" s="3"/>
      <c r="ES37" s="108"/>
      <c r="EU37" s="156">
        <f>+SUMPRODUCT(MicroModelComponents!$J$4:$J$24,EU$4:EU$24)</f>
        <v>0</v>
      </c>
      <c r="EV37" s="157">
        <f>+SUMPRODUCT(MicroModelComponents!$J$4:$J$24,EV$4:EV$24)</f>
        <v>0</v>
      </c>
      <c r="EW37" s="157">
        <f>+SUMPRODUCT(MicroModelComponents!$J$4:$J$24,EW$4:EW$24)</f>
        <v>0</v>
      </c>
      <c r="EX37" s="157">
        <f>+SUMPRODUCT(MicroModelComponents!$J$4:$J$24,EX$4:EX$24)</f>
        <v>0</v>
      </c>
      <c r="EY37" s="157">
        <f>+SUMPRODUCT(MicroModelComponents!$J$4:$J$24,EY$4:EY$24)</f>
        <v>0</v>
      </c>
      <c r="EZ37" s="157">
        <f>+SUMPRODUCT(MicroModelComponents!$J$4:$J$24,EZ$4:EZ$24)</f>
        <v>0</v>
      </c>
      <c r="FA37" s="157">
        <f>+SUMPRODUCT(MicroModelComponents!$J$4:$J$24,FA$4:FA$24)</f>
        <v>0</v>
      </c>
      <c r="FB37" s="158">
        <f>+SUMPRODUCT(MicroModelComponents!$J$4:$J$24,FA$4:FA$24)</f>
        <v>0</v>
      </c>
      <c r="FC37" s="3"/>
      <c r="FD37" s="108"/>
      <c r="FF37" s="156">
        <f>+SUMPRODUCT(MicroModelComponents!$J$4:$J$24,FF$4:FF$24)</f>
        <v>0</v>
      </c>
      <c r="FG37" s="157">
        <f>+SUMPRODUCT(MicroModelComponents!$J$4:$J$24,FG$4:FG$24)</f>
        <v>0</v>
      </c>
      <c r="FH37" s="157">
        <f>+SUMPRODUCT(MicroModelComponents!$J$4:$J$24,FH$4:FH$24)</f>
        <v>0</v>
      </c>
      <c r="FI37" s="157">
        <f>+SUMPRODUCT(MicroModelComponents!$J$4:$J$24,FI$4:FI$24)</f>
        <v>0</v>
      </c>
      <c r="FJ37" s="157">
        <f>+SUMPRODUCT(MicroModelComponents!$J$4:$J$24,FJ$4:FJ$24)</f>
        <v>0</v>
      </c>
      <c r="FK37" s="157">
        <f>+SUMPRODUCT(MicroModelComponents!$J$4:$J$24,FK$4:FK$24)</f>
        <v>0</v>
      </c>
      <c r="FL37" s="157">
        <f>+SUMPRODUCT(MicroModelComponents!$J$4:$J$24,FL$4:FL$24)</f>
        <v>1.4210854715202004E-14</v>
      </c>
      <c r="FM37" s="158">
        <f>+SUMPRODUCT(MicroModelComponents!$J$4:$J$24,FL$4:FL$24)</f>
        <v>1.4210854715202004E-14</v>
      </c>
      <c r="FN37" s="3"/>
      <c r="FO37" s="108"/>
      <c r="FQ37" s="156">
        <f>+SUMPRODUCT(MicroModelComponents!$J$4:$J$24,FQ$4:FQ$24)</f>
        <v>0</v>
      </c>
      <c r="FR37" s="157">
        <f>+SUMPRODUCT(MicroModelComponents!$J$4:$J$24,FR$4:FR$24)</f>
        <v>0</v>
      </c>
      <c r="FS37" s="157">
        <f>+SUMPRODUCT(MicroModelComponents!$J$4:$J$24,FS$4:FS$24)</f>
        <v>0</v>
      </c>
      <c r="FT37" s="157">
        <f>+SUMPRODUCT(MicroModelComponents!$J$4:$J$24,FT$4:FT$24)</f>
        <v>0</v>
      </c>
      <c r="FU37" s="157">
        <f>+SUMPRODUCT(MicroModelComponents!$J$4:$J$24,FU$4:FU$24)</f>
        <v>0</v>
      </c>
      <c r="FV37" s="157">
        <f>+SUMPRODUCT(MicroModelComponents!$J$4:$J$24,FV$4:FV$24)</f>
        <v>0</v>
      </c>
      <c r="FW37" s="157">
        <f>+SUMPRODUCT(MicroModelComponents!$J$4:$J$24,FW$4:FW$24)</f>
        <v>0</v>
      </c>
      <c r="FX37" s="158">
        <f>+SUMPRODUCT(MicroModelComponents!$J$4:$J$24,FW$4:FW$24)</f>
        <v>0</v>
      </c>
      <c r="FY37" s="3"/>
      <c r="FZ37" s="108"/>
      <c r="GB37" s="156">
        <f>+SUMPRODUCT(MicroModelComponents!$J$4:$J$24,GB$4:GB$24)</f>
        <v>0</v>
      </c>
      <c r="GC37" s="157">
        <f>+SUMPRODUCT(MicroModelComponents!$J$4:$J$24,GC$4:GC$24)</f>
        <v>0</v>
      </c>
      <c r="GD37" s="157">
        <f>+SUMPRODUCT(MicroModelComponents!$J$4:$J$24,GD$4:GD$24)</f>
        <v>0</v>
      </c>
      <c r="GE37" s="157">
        <f>+SUMPRODUCT(MicroModelComponents!$J$4:$J$24,GE$4:GE$24)</f>
        <v>0</v>
      </c>
      <c r="GF37" s="157">
        <f>+SUMPRODUCT(MicroModelComponents!$J$4:$J$24,GF$4:GF$24)</f>
        <v>0</v>
      </c>
      <c r="GG37" s="157">
        <f>+SUMPRODUCT(MicroModelComponents!$J$4:$J$24,GG$4:GG$24)</f>
        <v>0</v>
      </c>
      <c r="GH37" s="157">
        <f>+SUMPRODUCT(MicroModelComponents!$J$4:$J$24,GH$4:GH$24)</f>
        <v>0</v>
      </c>
      <c r="GI37" s="158">
        <f>+SUMPRODUCT(MicroModelComponents!$J$4:$J$24,GH$4:GH$24)</f>
        <v>0</v>
      </c>
      <c r="GJ37" s="3"/>
      <c r="GK37" s="108"/>
      <c r="GM37" s="156">
        <f>+SUMPRODUCT(MicroModelComponents!$J$4:$J$24,GM$4:GM$24)</f>
        <v>0</v>
      </c>
      <c r="GN37" s="157">
        <f>+SUMPRODUCT(MicroModelComponents!$J$4:$J$24,GN$4:GN$24)</f>
        <v>0</v>
      </c>
      <c r="GO37" s="157">
        <f>+SUMPRODUCT(MicroModelComponents!$J$4:$J$24,GO$4:GO$24)</f>
        <v>0</v>
      </c>
      <c r="GP37" s="157">
        <f>+SUMPRODUCT(MicroModelComponents!$J$4:$J$24,GP$4:GP$24)</f>
        <v>0</v>
      </c>
      <c r="GQ37" s="157">
        <f>+SUMPRODUCT(MicroModelComponents!$J$4:$J$24,GQ$4:GQ$24)</f>
        <v>0</v>
      </c>
      <c r="GR37" s="157">
        <f>+SUMPRODUCT(MicroModelComponents!$J$4:$J$24,GR$4:GR$24)</f>
        <v>0</v>
      </c>
      <c r="GS37" s="157">
        <f>+SUMPRODUCT(MicroModelComponents!$J$4:$J$24,GS$4:GS$24)</f>
        <v>7.2164496600635175E-16</v>
      </c>
      <c r="GT37" s="158">
        <f>+SUMPRODUCT(MicroModelComponents!$J$4:$J$24,GS$4:GS$24)</f>
        <v>7.2164496600635175E-16</v>
      </c>
      <c r="GU37" s="3"/>
      <c r="GV37" s="108"/>
      <c r="GX37" s="156">
        <f>+SUMPRODUCT(MicroModelComponents!$J$4:$J$24,GX$4:GX$24)</f>
        <v>0</v>
      </c>
      <c r="GY37" s="157">
        <f>+SUMPRODUCT(MicroModelComponents!$J$4:$J$24,GY$4:GY$24)</f>
        <v>0</v>
      </c>
      <c r="GZ37" s="157">
        <f>+SUMPRODUCT(MicroModelComponents!$J$4:$J$24,GZ$4:GZ$24)</f>
        <v>0</v>
      </c>
      <c r="HA37" s="157">
        <f>+SUMPRODUCT(MicroModelComponents!$J$4:$J$24,HA$4:HA$24)</f>
        <v>0</v>
      </c>
      <c r="HB37" s="157">
        <f>+SUMPRODUCT(MicroModelComponents!$J$4:$J$24,HB$4:HB$24)</f>
        <v>0</v>
      </c>
      <c r="HC37" s="157">
        <f>+SUMPRODUCT(MicroModelComponents!$J$4:$J$24,HC$4:HC$24)</f>
        <v>0</v>
      </c>
      <c r="HD37" s="157">
        <f>+SUMPRODUCT(MicroModelComponents!$J$4:$J$24,HD$4:HD$24)</f>
        <v>0</v>
      </c>
      <c r="HE37" s="158">
        <f>+SUMPRODUCT(MicroModelComponents!$J$4:$J$24,HD$4:HD$24)</f>
        <v>0</v>
      </c>
      <c r="HF37" s="3"/>
      <c r="HG37" s="108"/>
      <c r="HI37" s="156">
        <f>+SUMPRODUCT(MicroModelComponents!$J$4:$J$24,HI$4:HI$24)</f>
        <v>0</v>
      </c>
      <c r="HJ37" s="157">
        <f>+SUMPRODUCT(MicroModelComponents!$J$4:$J$24,HJ$4:HJ$24)</f>
        <v>0</v>
      </c>
      <c r="HK37" s="157">
        <f>+SUMPRODUCT(MicroModelComponents!$J$4:$J$24,HK$4:HK$24)</f>
        <v>0</v>
      </c>
      <c r="HL37" s="157">
        <f>+SUMPRODUCT(MicroModelComponents!$J$4:$J$24,HL$4:HL$24)</f>
        <v>0</v>
      </c>
      <c r="HM37" s="157">
        <f>+SUMPRODUCT(MicroModelComponents!$J$4:$J$24,HM$4:HM$24)</f>
        <v>0</v>
      </c>
      <c r="HN37" s="157">
        <f>+SUMPRODUCT(MicroModelComponents!$J$4:$J$24,HN$4:HN$24)</f>
        <v>0</v>
      </c>
      <c r="HO37" s="157">
        <f>+SUMPRODUCT(MicroModelComponents!$J$4:$J$24,HO$4:HO$24)</f>
        <v>0</v>
      </c>
      <c r="HP37" s="158">
        <f>+SUMPRODUCT(MicroModelComponents!$J$4:$J$24,HO$4:HO$24)</f>
        <v>0</v>
      </c>
      <c r="HQ37" s="3"/>
      <c r="HR37" s="108"/>
      <c r="HT37" s="156">
        <f>+SUMPRODUCT(MicroModelComponents!$J$4:$J$24,HT$4:HT$24)</f>
        <v>0</v>
      </c>
      <c r="HU37" s="157">
        <f>+SUMPRODUCT(MicroModelComponents!$J$4:$J$24,HU$4:HU$24)</f>
        <v>0</v>
      </c>
      <c r="HV37" s="157">
        <f>+SUMPRODUCT(MicroModelComponents!$J$4:$J$24,HV$4:HV$24)</f>
        <v>0</v>
      </c>
      <c r="HW37" s="157">
        <f>+SUMPRODUCT(MicroModelComponents!$J$4:$J$24,HW$4:HW$24)</f>
        <v>0</v>
      </c>
      <c r="HX37" s="157">
        <f>+SUMPRODUCT(MicroModelComponents!$J$4:$J$24,HX$4:HX$24)</f>
        <v>0</v>
      </c>
      <c r="HY37" s="157">
        <f>+SUMPRODUCT(MicroModelComponents!$J$4:$J$24,HY$4:HY$24)</f>
        <v>0</v>
      </c>
      <c r="HZ37" s="157">
        <f>+SUMPRODUCT(MicroModelComponents!$J$4:$J$24,HZ$4:HZ$24)</f>
        <v>0</v>
      </c>
      <c r="IA37" s="158">
        <f>+SUMPRODUCT(MicroModelComponents!$J$4:$J$24,HZ$4:HZ$24)</f>
        <v>0</v>
      </c>
      <c r="IB37" s="3"/>
      <c r="IC37" s="108"/>
      <c r="ID37" s="156">
        <f>+SUMPRODUCT(MicroModelComponents!$J$4:$J$24,ID$4:ID$24)</f>
        <v>0</v>
      </c>
      <c r="IE37" s="108"/>
      <c r="IF37" s="156">
        <f>+SUMPRODUCT(MicroModelComponents!$J$4:$J$24,IF$4:IF$24)</f>
        <v>0</v>
      </c>
      <c r="IG37" s="156">
        <f>+SUMPRODUCT(MicroModelComponents!$J$4:$J$24,IG$4:IG$24)</f>
        <v>0</v>
      </c>
      <c r="IH37" s="156">
        <f>+SUMPRODUCT(MicroModelComponents!$J$4:$J$24,IH$4:IH$24)</f>
        <v>0</v>
      </c>
      <c r="II37" s="108"/>
      <c r="IJ37" s="156">
        <f>+SUMPRODUCT(MicroModelComponents!$J$4:$J$24,IJ$4:IJ$24)</f>
        <v>0</v>
      </c>
      <c r="IK37" s="108"/>
    </row>
    <row r="38" spans="2:256" ht="13.5" customHeight="1">
      <c r="C38" s="41" t="s">
        <v>137</v>
      </c>
      <c r="N38" s="41" t="s">
        <v>137</v>
      </c>
      <c r="O38" s="105"/>
      <c r="P38" s="3"/>
      <c r="Q38" s="108"/>
      <c r="S38" s="156">
        <f>+SUMPRODUCT(MicroModelComponents!$K$4:$K$24,S$4:S$24)</f>
        <v>0</v>
      </c>
      <c r="T38" s="157">
        <f>+SUMPRODUCT(MicroModelComponents!$K$4:$K$24,T$4:T$24)</f>
        <v>0</v>
      </c>
      <c r="U38" s="157">
        <f>+SUMPRODUCT(MicroModelComponents!$K$4:$K$24,U$4:U$24)</f>
        <v>0</v>
      </c>
      <c r="V38" s="157">
        <f>+SUMPRODUCT(MicroModelComponents!$K$4:$K$24,V$4:V$24)</f>
        <v>0</v>
      </c>
      <c r="W38" s="157">
        <f>+SUMPRODUCT(MicroModelComponents!$K$4:$K$24,W$4:W$24)</f>
        <v>0</v>
      </c>
      <c r="X38" s="157">
        <f>+SUMPRODUCT(MicroModelComponents!$K$4:$K$24,X$4:X$24)</f>
        <v>0</v>
      </c>
      <c r="Y38" s="157">
        <f>+SUMPRODUCT(MicroModelComponents!$K$4:$K$24,Y$4:Y$24)</f>
        <v>0</v>
      </c>
      <c r="Z38" s="158">
        <f>+SUMPRODUCT(MicroModelComponents!$K$4:$K$24,Y$4:Y$24)</f>
        <v>0</v>
      </c>
      <c r="AA38" s="3"/>
      <c r="AB38" s="108"/>
      <c r="AD38" s="156">
        <f>+SUMPRODUCT(MicroModelComponents!$K$4:$K$24,AD$4:AD$24)</f>
        <v>0</v>
      </c>
      <c r="AE38" s="157">
        <f>+SUMPRODUCT(MicroModelComponents!$K$4:$K$24,AE$4:AE$24)</f>
        <v>0</v>
      </c>
      <c r="AF38" s="157">
        <f>+SUMPRODUCT(MicroModelComponents!$K$4:$K$24,AF$4:AF$24)</f>
        <v>0</v>
      </c>
      <c r="AG38" s="157">
        <f>+SUMPRODUCT(MicroModelComponents!$K$4:$K$24,AG$4:AG$24)</f>
        <v>0</v>
      </c>
      <c r="AH38" s="157">
        <f>+SUMPRODUCT(MicroModelComponents!$K$4:$K$24,AH$4:AH$24)</f>
        <v>0</v>
      </c>
      <c r="AI38" s="157">
        <f>+SUMPRODUCT(MicroModelComponents!$K$4:$K$24,AI$4:AI$24)</f>
        <v>0</v>
      </c>
      <c r="AJ38" s="157">
        <f>+SUMPRODUCT(MicroModelComponents!$K$4:$K$24,AJ$4:AJ$24)</f>
        <v>0</v>
      </c>
      <c r="AK38" s="158">
        <f>+SUMPRODUCT(MicroModelComponents!$K$4:$K$24,AJ$4:AJ$24)</f>
        <v>0</v>
      </c>
      <c r="AL38" s="3"/>
      <c r="AM38" s="108"/>
      <c r="AO38" s="156">
        <f>+SUMPRODUCT(MicroModelComponents!$K$4:$K$24,AO$4:AO$24)</f>
        <v>0</v>
      </c>
      <c r="AP38" s="157">
        <f>+SUMPRODUCT(MicroModelComponents!$K$4:$K$24,AP$4:AP$24)</f>
        <v>0</v>
      </c>
      <c r="AQ38" s="157">
        <f>+SUMPRODUCT(MicroModelComponents!$K$4:$K$24,AQ$4:AQ$24)</f>
        <v>0</v>
      </c>
      <c r="AR38" s="157">
        <f>+SUMPRODUCT(MicroModelComponents!$K$4:$K$24,AR$4:AR$24)</f>
        <v>0</v>
      </c>
      <c r="AS38" s="157">
        <f>+SUMPRODUCT(MicroModelComponents!$K$4:$K$24,AS$4:AS$24)</f>
        <v>0</v>
      </c>
      <c r="AT38" s="157">
        <f>+SUMPRODUCT(MicroModelComponents!$K$4:$K$24,AT$4:AT$24)</f>
        <v>0</v>
      </c>
      <c r="AU38" s="157">
        <f>+SUMPRODUCT(MicroModelComponents!$K$4:$K$24,AU$4:AU$24)</f>
        <v>0</v>
      </c>
      <c r="AV38" s="158">
        <f>+SUMPRODUCT(MicroModelComponents!$K$4:$K$24,AU$4:AU$24)</f>
        <v>0</v>
      </c>
      <c r="AW38" s="3"/>
      <c r="AX38" s="108"/>
      <c r="AZ38" s="156">
        <f>+SUMPRODUCT(MicroModelComponents!$K$4:$K$24,AZ$4:AZ$24)</f>
        <v>0</v>
      </c>
      <c r="BA38" s="157">
        <f>+SUMPRODUCT(MicroModelComponents!$K$4:$K$24,BA$4:BA$24)</f>
        <v>0</v>
      </c>
      <c r="BB38" s="157">
        <f>+SUMPRODUCT(MicroModelComponents!$K$4:$K$24,BB$4:BB$24)</f>
        <v>0</v>
      </c>
      <c r="BC38" s="157">
        <f>+SUMPRODUCT(MicroModelComponents!$K$4:$K$24,BC$4:BC$24)</f>
        <v>0</v>
      </c>
      <c r="BD38" s="157">
        <f>+SUMPRODUCT(MicroModelComponents!$K$4:$K$24,BD$4:BD$24)</f>
        <v>0</v>
      </c>
      <c r="BE38" s="157">
        <f>+SUMPRODUCT(MicroModelComponents!$K$4:$K$24,BE$4:BE$24)</f>
        <v>-5.5511151231257827E-17</v>
      </c>
      <c r="BF38" s="157">
        <f>+SUMPRODUCT(MicroModelComponents!$K$4:$K$24,BF$4:BF$24)</f>
        <v>-1.0547118733938987E-15</v>
      </c>
      <c r="BG38" s="158">
        <f>+SUMPRODUCT(MicroModelComponents!$K$4:$K$24,BF$4:BF$24)</f>
        <v>-1.0547118733938987E-15</v>
      </c>
      <c r="BH38" s="3"/>
      <c r="BI38" s="108"/>
      <c r="BK38" s="156">
        <f>+SUMPRODUCT(MicroModelComponents!$K$4:$K$24,BK$4:BK$24)</f>
        <v>0</v>
      </c>
      <c r="BL38" s="157">
        <f>+SUMPRODUCT(MicroModelComponents!$K$4:$K$24,BL$4:BL$24)</f>
        <v>0</v>
      </c>
      <c r="BM38" s="157">
        <f>+SUMPRODUCT(MicroModelComponents!$K$4:$K$24,BM$4:BM$24)</f>
        <v>0</v>
      </c>
      <c r="BN38" s="157">
        <f>+SUMPRODUCT(MicroModelComponents!$K$4:$K$24,BN$4:BN$24)</f>
        <v>0</v>
      </c>
      <c r="BO38" s="157">
        <f>+SUMPRODUCT(MicroModelComponents!$K$4:$K$24,BO$4:BO$24)</f>
        <v>0</v>
      </c>
      <c r="BP38" s="157">
        <f>+SUMPRODUCT(MicroModelComponents!$K$4:$K$24,BP$4:BP$24)</f>
        <v>-1.6653345369377348E-16</v>
      </c>
      <c r="BQ38" s="157">
        <f>+SUMPRODUCT(MicroModelComponents!$K$4:$K$24,BQ$4:BQ$24)</f>
        <v>4.2743586448068527E-15</v>
      </c>
      <c r="BR38" s="158">
        <f>+SUMPRODUCT(MicroModelComponents!$K$4:$K$24,BQ$4:BQ$24)</f>
        <v>4.2743586448068527E-15</v>
      </c>
      <c r="BS38" s="3"/>
      <c r="BT38" s="108"/>
      <c r="BV38" s="156">
        <f>+SUMPRODUCT(MicroModelComponents!$K$4:$K$24,BV$4:BV$24)</f>
        <v>0</v>
      </c>
      <c r="BW38" s="157">
        <f>+SUMPRODUCT(MicroModelComponents!$K$4:$K$24,BW$4:BW$24)</f>
        <v>0</v>
      </c>
      <c r="BX38" s="157">
        <f>+SUMPRODUCT(MicroModelComponents!$K$4:$K$24,BX$4:BX$24)</f>
        <v>0</v>
      </c>
      <c r="BY38" s="157">
        <f>+SUMPRODUCT(MicroModelComponents!$K$4:$K$24,BY$4:BY$24)</f>
        <v>0</v>
      </c>
      <c r="BZ38" s="157">
        <f>+SUMPRODUCT(MicroModelComponents!$K$4:$K$24,BZ$4:BZ$24)</f>
        <v>0</v>
      </c>
      <c r="CA38" s="157">
        <f>+SUMPRODUCT(MicroModelComponents!$K$4:$K$24,CA$4:CA$24)</f>
        <v>0</v>
      </c>
      <c r="CB38" s="157">
        <f>+SUMPRODUCT(MicroModelComponents!$K$4:$K$24,CB$4:CB$24)</f>
        <v>-2.7755575615628914E-17</v>
      </c>
      <c r="CC38" s="158">
        <f>+SUMPRODUCT(MicroModelComponents!$K$4:$K$24,CB$4:CB$24)</f>
        <v>-2.7755575615628914E-17</v>
      </c>
      <c r="CD38" s="3"/>
      <c r="CE38" s="108"/>
      <c r="CG38" s="156">
        <f>+SUMPRODUCT(MicroModelComponents!$K$4:$K$24,CG$4:CG$24)</f>
        <v>0</v>
      </c>
      <c r="CH38" s="157">
        <f>+SUMPRODUCT(MicroModelComponents!$K$4:$K$24,CH$4:CH$24)</f>
        <v>0</v>
      </c>
      <c r="CI38" s="157">
        <f>+SUMPRODUCT(MicroModelComponents!$K$4:$K$24,CI$4:CI$24)</f>
        <v>0</v>
      </c>
      <c r="CJ38" s="157">
        <f>+SUMPRODUCT(MicroModelComponents!$K$4:$K$24,CJ$4:CJ$24)</f>
        <v>0</v>
      </c>
      <c r="CK38" s="157">
        <f>+SUMPRODUCT(MicroModelComponents!$K$4:$K$24,CK$4:CK$24)</f>
        <v>0</v>
      </c>
      <c r="CL38" s="157">
        <f>+SUMPRODUCT(MicroModelComponents!$K$4:$K$24,CL$4:CL$24)</f>
        <v>0</v>
      </c>
      <c r="CM38" s="157">
        <f>+SUMPRODUCT(MicroModelComponents!$K$4:$K$24,CM$4:CM$24)</f>
        <v>-5.5511151231257827E-17</v>
      </c>
      <c r="CN38" s="158">
        <f>+SUMPRODUCT(MicroModelComponents!$K$4:$K$24,CM$4:CM$24)</f>
        <v>-5.5511151231257827E-17</v>
      </c>
      <c r="CO38" s="3"/>
      <c r="CP38" s="108"/>
      <c r="CR38" s="156">
        <f>+SUMPRODUCT(MicroModelComponents!$K$4:$K$24,CR$4:CR$24)</f>
        <v>0</v>
      </c>
      <c r="CS38" s="157">
        <f>+SUMPRODUCT(MicroModelComponents!$K$4:$K$24,CS$4:CS$24)</f>
        <v>0</v>
      </c>
      <c r="CT38" s="157">
        <f>+SUMPRODUCT(MicroModelComponents!$K$4:$K$24,CT$4:CT$24)</f>
        <v>0</v>
      </c>
      <c r="CU38" s="157">
        <f>+SUMPRODUCT(MicroModelComponents!$K$4:$K$24,CU$4:CU$24)</f>
        <v>0</v>
      </c>
      <c r="CV38" s="157">
        <f>+SUMPRODUCT(MicroModelComponents!$K$4:$K$24,CV$4:CV$24)</f>
        <v>0</v>
      </c>
      <c r="CW38" s="157">
        <f>+SUMPRODUCT(MicroModelComponents!$K$4:$K$24,CW$4:CW$24)</f>
        <v>0</v>
      </c>
      <c r="CX38" s="157">
        <f>+SUMPRODUCT(MicroModelComponents!$K$4:$K$24,CX$4:CX$24)</f>
        <v>5.5511151231257827E-17</v>
      </c>
      <c r="CY38" s="158">
        <f>+SUMPRODUCT(MicroModelComponents!$K$4:$K$24,CX$4:CX$24)</f>
        <v>5.5511151231257827E-17</v>
      </c>
      <c r="CZ38" s="3"/>
      <c r="DA38" s="108"/>
      <c r="DC38" s="156">
        <f>+SUMPRODUCT(MicroModelComponents!$K$4:$K$24,DC$4:DC$24)</f>
        <v>0</v>
      </c>
      <c r="DD38" s="157">
        <f>+SUMPRODUCT(MicroModelComponents!$K$4:$K$24,DD$4:DD$24)</f>
        <v>0</v>
      </c>
      <c r="DE38" s="157">
        <f>+SUMPRODUCT(MicroModelComponents!$K$4:$K$24,DE$4:DE$24)</f>
        <v>0</v>
      </c>
      <c r="DF38" s="157">
        <f>+SUMPRODUCT(MicroModelComponents!$K$4:$K$24,DF$4:DF$24)</f>
        <v>0</v>
      </c>
      <c r="DG38" s="157">
        <f>+SUMPRODUCT(MicroModelComponents!$K$4:$K$24,DG$4:DG$24)</f>
        <v>0</v>
      </c>
      <c r="DH38" s="157">
        <f>+SUMPRODUCT(MicroModelComponents!$K$4:$K$24,DH$4:DH$24)</f>
        <v>0</v>
      </c>
      <c r="DI38" s="157">
        <f>+SUMPRODUCT(MicroModelComponents!$K$4:$K$24,DI$4:DI$24)</f>
        <v>0</v>
      </c>
      <c r="DJ38" s="158">
        <f>+SUMPRODUCT(MicroModelComponents!$K$4:$K$24,DI$4:DI$24)</f>
        <v>0</v>
      </c>
      <c r="DK38" s="3"/>
      <c r="DL38" s="108"/>
      <c r="DN38" s="156">
        <f>+SUMPRODUCT(MicroModelComponents!$K$4:$K$24,DN$4:DN$24)</f>
        <v>0</v>
      </c>
      <c r="DO38" s="157">
        <f>+SUMPRODUCT(MicroModelComponents!$K$4:$K$24,DO$4:DO$24)</f>
        <v>0</v>
      </c>
      <c r="DP38" s="157">
        <f>+SUMPRODUCT(MicroModelComponents!$K$4:$K$24,DP$4:DP$24)</f>
        <v>0</v>
      </c>
      <c r="DQ38" s="157">
        <f>+SUMPRODUCT(MicroModelComponents!$K$4:$K$24,DQ$4:DQ$24)</f>
        <v>0</v>
      </c>
      <c r="DR38" s="157">
        <f>+SUMPRODUCT(MicroModelComponents!$K$4:$K$24,DR$4:DR$24)</f>
        <v>0</v>
      </c>
      <c r="DS38" s="157">
        <f>+SUMPRODUCT(MicroModelComponents!$K$4:$K$24,DS$4:DS$24)</f>
        <v>0</v>
      </c>
      <c r="DT38" s="157">
        <f>+SUMPRODUCT(MicroModelComponents!$K$4:$K$24,DT$4:DT$24)</f>
        <v>0</v>
      </c>
      <c r="DU38" s="158">
        <f>+SUMPRODUCT(MicroModelComponents!$K$4:$K$24,DT$4:DT$24)</f>
        <v>0</v>
      </c>
      <c r="DV38" s="3"/>
      <c r="DW38" s="108"/>
      <c r="DY38" s="156">
        <f>+SUMPRODUCT(MicroModelComponents!$K$4:$K$24,DY$4:DY$24)</f>
        <v>0</v>
      </c>
      <c r="DZ38" s="157">
        <f>+SUMPRODUCT(MicroModelComponents!$K$4:$K$24,DZ$4:DZ$24)</f>
        <v>0</v>
      </c>
      <c r="EA38" s="157">
        <f>+SUMPRODUCT(MicroModelComponents!$K$4:$K$24,EA$4:EA$24)</f>
        <v>0</v>
      </c>
      <c r="EB38" s="157">
        <f>+SUMPRODUCT(MicroModelComponents!$K$4:$K$24,EB$4:EB$24)</f>
        <v>0</v>
      </c>
      <c r="EC38" s="157">
        <f>+SUMPRODUCT(MicroModelComponents!$K$4:$K$24,EC$4:EC$24)</f>
        <v>0</v>
      </c>
      <c r="ED38" s="157">
        <f>+SUMPRODUCT(MicroModelComponents!$K$4:$K$24,ED$4:ED$24)</f>
        <v>0</v>
      </c>
      <c r="EE38" s="157">
        <f>+SUMPRODUCT(MicroModelComponents!$K$4:$K$24,EE$4:EE$24)</f>
        <v>0</v>
      </c>
      <c r="EF38" s="158">
        <f>+SUMPRODUCT(MicroModelComponents!$K$4:$K$24,EE$4:EE$24)</f>
        <v>0</v>
      </c>
      <c r="EG38" s="3"/>
      <c r="EH38" s="108"/>
      <c r="EJ38" s="156">
        <f>+SUMPRODUCT(MicroModelComponents!$K$4:$K$24,EJ$4:EJ$24)</f>
        <v>0</v>
      </c>
      <c r="EK38" s="157">
        <f>+SUMPRODUCT(MicroModelComponents!$K$4:$K$24,EK$4:EK$24)</f>
        <v>0</v>
      </c>
      <c r="EL38" s="157">
        <f>+SUMPRODUCT(MicroModelComponents!$K$4:$K$24,EL$4:EL$24)</f>
        <v>0</v>
      </c>
      <c r="EM38" s="157">
        <f>+SUMPRODUCT(MicroModelComponents!$K$4:$K$24,EM$4:EM$24)</f>
        <v>0</v>
      </c>
      <c r="EN38" s="157">
        <f>+SUMPRODUCT(MicroModelComponents!$K$4:$K$24,EN$4:EN$24)</f>
        <v>0</v>
      </c>
      <c r="EO38" s="157">
        <f>+SUMPRODUCT(MicroModelComponents!$K$4:$K$24,EO$4:EO$24)</f>
        <v>0</v>
      </c>
      <c r="EP38" s="157">
        <f>+SUMPRODUCT(MicroModelComponents!$K$4:$K$24,EP$4:EP$24)</f>
        <v>-1.6653345369377348E-16</v>
      </c>
      <c r="EQ38" s="158">
        <f>+SUMPRODUCT(MicroModelComponents!$K$4:$K$24,EP$4:EP$24)</f>
        <v>-1.6653345369377348E-16</v>
      </c>
      <c r="ER38" s="3"/>
      <c r="ES38" s="108"/>
      <c r="EU38" s="156">
        <f>+SUMPRODUCT(MicroModelComponents!$K$4:$K$24,EU$4:EU$24)</f>
        <v>0</v>
      </c>
      <c r="EV38" s="157">
        <f>+SUMPRODUCT(MicroModelComponents!$K$4:$K$24,EV$4:EV$24)</f>
        <v>0</v>
      </c>
      <c r="EW38" s="157">
        <f>+SUMPRODUCT(MicroModelComponents!$K$4:$K$24,EW$4:EW$24)</f>
        <v>0</v>
      </c>
      <c r="EX38" s="157">
        <f>+SUMPRODUCT(MicroModelComponents!$K$4:$K$24,EX$4:EX$24)</f>
        <v>0</v>
      </c>
      <c r="EY38" s="157">
        <f>+SUMPRODUCT(MicroModelComponents!$K$4:$K$24,EY$4:EY$24)</f>
        <v>0</v>
      </c>
      <c r="EZ38" s="157">
        <f>+SUMPRODUCT(MicroModelComponents!$K$4:$K$24,EZ$4:EZ$24)</f>
        <v>0</v>
      </c>
      <c r="FA38" s="157">
        <f>+SUMPRODUCT(MicroModelComponents!$K$4:$K$24,FA$4:FA$24)</f>
        <v>0</v>
      </c>
      <c r="FB38" s="158">
        <f>+SUMPRODUCT(MicroModelComponents!$K$4:$K$24,FA$4:FA$24)</f>
        <v>0</v>
      </c>
      <c r="FC38" s="3"/>
      <c r="FD38" s="108"/>
      <c r="FF38" s="156">
        <f>+SUMPRODUCT(MicroModelComponents!$K$4:$K$24,FF$4:FF$24)</f>
        <v>0</v>
      </c>
      <c r="FG38" s="157">
        <f>+SUMPRODUCT(MicroModelComponents!$K$4:$K$24,FG$4:FG$24)</f>
        <v>0</v>
      </c>
      <c r="FH38" s="157">
        <f>+SUMPRODUCT(MicroModelComponents!$K$4:$K$24,FH$4:FH$24)</f>
        <v>0</v>
      </c>
      <c r="FI38" s="157">
        <f>+SUMPRODUCT(MicroModelComponents!$K$4:$K$24,FI$4:FI$24)</f>
        <v>0</v>
      </c>
      <c r="FJ38" s="157">
        <f>+SUMPRODUCT(MicroModelComponents!$K$4:$K$24,FJ$4:FJ$24)</f>
        <v>0</v>
      </c>
      <c r="FK38" s="157">
        <f>+SUMPRODUCT(MicroModelComponents!$K$4:$K$24,FK$4:FK$24)</f>
        <v>0</v>
      </c>
      <c r="FL38" s="157">
        <f>+SUMPRODUCT(MicroModelComponents!$K$4:$K$24,FL$4:FL$24)</f>
        <v>7.2164496600635175E-16</v>
      </c>
      <c r="FM38" s="158">
        <f>+SUMPRODUCT(MicroModelComponents!$K$4:$K$24,FL$4:FL$24)</f>
        <v>7.2164496600635175E-16</v>
      </c>
      <c r="FN38" s="3"/>
      <c r="FO38" s="108"/>
      <c r="FQ38" s="156">
        <f>+SUMPRODUCT(MicroModelComponents!$K$4:$K$24,FQ$4:FQ$24)</f>
        <v>0</v>
      </c>
      <c r="FR38" s="157">
        <f>+SUMPRODUCT(MicroModelComponents!$K$4:$K$24,FR$4:FR$24)</f>
        <v>0</v>
      </c>
      <c r="FS38" s="157">
        <f>+SUMPRODUCT(MicroModelComponents!$K$4:$K$24,FS$4:FS$24)</f>
        <v>0</v>
      </c>
      <c r="FT38" s="157">
        <f>+SUMPRODUCT(MicroModelComponents!$K$4:$K$24,FT$4:FT$24)</f>
        <v>0</v>
      </c>
      <c r="FU38" s="157">
        <f>+SUMPRODUCT(MicroModelComponents!$K$4:$K$24,FU$4:FU$24)</f>
        <v>0</v>
      </c>
      <c r="FV38" s="157">
        <f>+SUMPRODUCT(MicroModelComponents!$K$4:$K$24,FV$4:FV$24)</f>
        <v>0</v>
      </c>
      <c r="FW38" s="157">
        <f>+SUMPRODUCT(MicroModelComponents!$K$4:$K$24,FW$4:FW$24)</f>
        <v>0</v>
      </c>
      <c r="FX38" s="158">
        <f>+SUMPRODUCT(MicroModelComponents!$K$4:$K$24,FW$4:FW$24)</f>
        <v>0</v>
      </c>
      <c r="FY38" s="3"/>
      <c r="FZ38" s="108"/>
      <c r="GB38" s="156">
        <f>+SUMPRODUCT(MicroModelComponents!$K$4:$K$24,GB$4:GB$24)</f>
        <v>0</v>
      </c>
      <c r="GC38" s="157">
        <f>+SUMPRODUCT(MicroModelComponents!$K$4:$K$24,GC$4:GC$24)</f>
        <v>0</v>
      </c>
      <c r="GD38" s="157">
        <f>+SUMPRODUCT(MicroModelComponents!$K$4:$K$24,GD$4:GD$24)</f>
        <v>0</v>
      </c>
      <c r="GE38" s="157">
        <f>+SUMPRODUCT(MicroModelComponents!$K$4:$K$24,GE$4:GE$24)</f>
        <v>0</v>
      </c>
      <c r="GF38" s="157">
        <f>+SUMPRODUCT(MicroModelComponents!$K$4:$K$24,GF$4:GF$24)</f>
        <v>0</v>
      </c>
      <c r="GG38" s="157">
        <f>+SUMPRODUCT(MicroModelComponents!$K$4:$K$24,GG$4:GG$24)</f>
        <v>0</v>
      </c>
      <c r="GH38" s="157">
        <f>+SUMPRODUCT(MicroModelComponents!$K$4:$K$24,GH$4:GH$24)</f>
        <v>0</v>
      </c>
      <c r="GI38" s="158">
        <f>+SUMPRODUCT(MicroModelComponents!$K$4:$K$24,GH$4:GH$24)</f>
        <v>0</v>
      </c>
      <c r="GJ38" s="3"/>
      <c r="GK38" s="108"/>
      <c r="GM38" s="156">
        <f>+SUMPRODUCT(MicroModelComponents!$K$4:$K$24,GM$4:GM$24)</f>
        <v>0</v>
      </c>
      <c r="GN38" s="157">
        <f>+SUMPRODUCT(MicroModelComponents!$K$4:$K$24,GN$4:GN$24)</f>
        <v>0</v>
      </c>
      <c r="GO38" s="157">
        <f>+SUMPRODUCT(MicroModelComponents!$K$4:$K$24,GO$4:GO$24)</f>
        <v>0</v>
      </c>
      <c r="GP38" s="157">
        <f>+SUMPRODUCT(MicroModelComponents!$K$4:$K$24,GP$4:GP$24)</f>
        <v>0</v>
      </c>
      <c r="GQ38" s="157">
        <f>+SUMPRODUCT(MicroModelComponents!$K$4:$K$24,GQ$4:GQ$24)</f>
        <v>0</v>
      </c>
      <c r="GR38" s="157">
        <f>+SUMPRODUCT(MicroModelComponents!$K$4:$K$24,GR$4:GR$24)</f>
        <v>0</v>
      </c>
      <c r="GS38" s="157">
        <f>+SUMPRODUCT(MicroModelComponents!$K$4:$K$24,GS$4:GS$24)</f>
        <v>0</v>
      </c>
      <c r="GT38" s="158">
        <f>+SUMPRODUCT(MicroModelComponents!$K$4:$K$24,GS$4:GS$24)</f>
        <v>0</v>
      </c>
      <c r="GU38" s="3"/>
      <c r="GV38" s="108"/>
      <c r="GX38" s="156">
        <f>+SUMPRODUCT(MicroModelComponents!$K$4:$K$24,GX$4:GX$24)</f>
        <v>0</v>
      </c>
      <c r="GY38" s="157">
        <f>+SUMPRODUCT(MicroModelComponents!$K$4:$K$24,GY$4:GY$24)</f>
        <v>0</v>
      </c>
      <c r="GZ38" s="157">
        <f>+SUMPRODUCT(MicroModelComponents!$K$4:$K$24,GZ$4:GZ$24)</f>
        <v>0</v>
      </c>
      <c r="HA38" s="157">
        <f>+SUMPRODUCT(MicroModelComponents!$K$4:$K$24,HA$4:HA$24)</f>
        <v>0</v>
      </c>
      <c r="HB38" s="157">
        <f>+SUMPRODUCT(MicroModelComponents!$K$4:$K$24,HB$4:HB$24)</f>
        <v>0</v>
      </c>
      <c r="HC38" s="157">
        <f>+SUMPRODUCT(MicroModelComponents!$K$4:$K$24,HC$4:HC$24)</f>
        <v>0</v>
      </c>
      <c r="HD38" s="157">
        <f>+SUMPRODUCT(MicroModelComponents!$K$4:$K$24,HD$4:HD$24)</f>
        <v>0</v>
      </c>
      <c r="HE38" s="158">
        <f>+SUMPRODUCT(MicroModelComponents!$K$4:$K$24,HD$4:HD$24)</f>
        <v>0</v>
      </c>
      <c r="HF38" s="3"/>
      <c r="HG38" s="108"/>
      <c r="HI38" s="156">
        <f>+SUMPRODUCT(MicroModelComponents!$K$4:$K$24,HI$4:HI$24)</f>
        <v>0</v>
      </c>
      <c r="HJ38" s="157">
        <f>+SUMPRODUCT(MicroModelComponents!$K$4:$K$24,HJ$4:HJ$24)</f>
        <v>0</v>
      </c>
      <c r="HK38" s="157">
        <f>+SUMPRODUCT(MicroModelComponents!$K$4:$K$24,HK$4:HK$24)</f>
        <v>0</v>
      </c>
      <c r="HL38" s="157">
        <f>+SUMPRODUCT(MicroModelComponents!$K$4:$K$24,HL$4:HL$24)</f>
        <v>0</v>
      </c>
      <c r="HM38" s="157">
        <f>+SUMPRODUCT(MicroModelComponents!$K$4:$K$24,HM$4:HM$24)</f>
        <v>0</v>
      </c>
      <c r="HN38" s="157">
        <f>+SUMPRODUCT(MicroModelComponents!$K$4:$K$24,HN$4:HN$24)</f>
        <v>0</v>
      </c>
      <c r="HO38" s="157">
        <f>+SUMPRODUCT(MicroModelComponents!$K$4:$K$24,HO$4:HO$24)</f>
        <v>0</v>
      </c>
      <c r="HP38" s="158">
        <f>+SUMPRODUCT(MicroModelComponents!$K$4:$K$24,HO$4:HO$24)</f>
        <v>0</v>
      </c>
      <c r="HQ38" s="3"/>
      <c r="HR38" s="108"/>
      <c r="HT38" s="156">
        <f>+SUMPRODUCT(MicroModelComponents!$K$4:$K$24,HT$4:HT$24)</f>
        <v>0</v>
      </c>
      <c r="HU38" s="157">
        <f>+SUMPRODUCT(MicroModelComponents!$K$4:$K$24,HU$4:HU$24)</f>
        <v>0</v>
      </c>
      <c r="HV38" s="157">
        <f>+SUMPRODUCT(MicroModelComponents!$K$4:$K$24,HV$4:HV$24)</f>
        <v>0</v>
      </c>
      <c r="HW38" s="157">
        <f>+SUMPRODUCT(MicroModelComponents!$K$4:$K$24,HW$4:HW$24)</f>
        <v>0</v>
      </c>
      <c r="HX38" s="157">
        <f>+SUMPRODUCT(MicroModelComponents!$K$4:$K$24,HX$4:HX$24)</f>
        <v>0</v>
      </c>
      <c r="HY38" s="157">
        <f>+SUMPRODUCT(MicroModelComponents!$K$4:$K$24,HY$4:HY$24)</f>
        <v>0</v>
      </c>
      <c r="HZ38" s="157">
        <f>+SUMPRODUCT(MicroModelComponents!$K$4:$K$24,HZ$4:HZ$24)</f>
        <v>0</v>
      </c>
      <c r="IA38" s="158">
        <f>+SUMPRODUCT(MicroModelComponents!$K$4:$K$24,HZ$4:HZ$24)</f>
        <v>0</v>
      </c>
      <c r="IB38" s="3"/>
      <c r="IC38" s="108"/>
      <c r="ID38" s="156">
        <f>+SUMPRODUCT(MicroModelComponents!$K$4:$K$24,ID$4:ID$24)</f>
        <v>0</v>
      </c>
      <c r="IE38" s="108"/>
      <c r="IF38" s="156">
        <f>+SUMPRODUCT(MicroModelComponents!$K$4:$K$24,IF$4:IF$24)</f>
        <v>0</v>
      </c>
      <c r="IG38" s="156">
        <f>+SUMPRODUCT(MicroModelComponents!$K$4:$K$24,IG$4:IG$24)</f>
        <v>0</v>
      </c>
      <c r="IH38" s="156">
        <f>+SUMPRODUCT(MicroModelComponents!$K$4:$K$24,IH$4:IH$24)</f>
        <v>2.7755575615628914E-17</v>
      </c>
      <c r="II38" s="108"/>
      <c r="IJ38" s="156">
        <f>+SUMPRODUCT(MicroModelComponents!$K$4:$K$24,IJ$4:IJ$24)</f>
        <v>0</v>
      </c>
      <c r="IK38" s="108"/>
    </row>
    <row r="39" spans="2:256" ht="13.5" customHeight="1">
      <c r="C39" s="41" t="s">
        <v>139</v>
      </c>
      <c r="N39" s="41" t="s">
        <v>139</v>
      </c>
      <c r="O39" s="105"/>
      <c r="P39" s="3"/>
      <c r="Q39" s="108"/>
      <c r="S39" s="156">
        <f>+SUMPRODUCT(MicroModelComponents!$L$4:$L$24,S$4:S$24)</f>
        <v>0</v>
      </c>
      <c r="T39" s="157">
        <f>+SUMPRODUCT(MicroModelComponents!$L$4:$L$24,T$4:T$24)</f>
        <v>0</v>
      </c>
      <c r="U39" s="157">
        <f>+SUMPRODUCT(MicroModelComponents!$L$4:$L$24,U$4:U$24)</f>
        <v>0</v>
      </c>
      <c r="V39" s="157">
        <f>+SUMPRODUCT(MicroModelComponents!$L$4:$L$24,V$4:V$24)</f>
        <v>0</v>
      </c>
      <c r="W39" s="157">
        <f>+SUMPRODUCT(MicroModelComponents!$L$4:$L$24,W$4:W$24)</f>
        <v>0</v>
      </c>
      <c r="X39" s="157">
        <f>+SUMPRODUCT(MicroModelComponents!$L$4:$L$24,X$4:X$24)</f>
        <v>0</v>
      </c>
      <c r="Y39" s="157">
        <f>+SUMPRODUCT(MicroModelComponents!$L$4:$L$24,Y$4:Y$24)</f>
        <v>0</v>
      </c>
      <c r="Z39" s="158">
        <f>+SUMPRODUCT(MicroModelComponents!$L$4:$L$24,Y$4:Y$24)</f>
        <v>0</v>
      </c>
      <c r="AA39" s="3"/>
      <c r="AB39" s="108"/>
      <c r="AD39" s="156">
        <f>+SUMPRODUCT(MicroModelComponents!$L$4:$L$24,AD$4:AD$24)</f>
        <v>0</v>
      </c>
      <c r="AE39" s="157">
        <f>+SUMPRODUCT(MicroModelComponents!$L$4:$L$24,AE$4:AE$24)</f>
        <v>0</v>
      </c>
      <c r="AF39" s="157">
        <f>+SUMPRODUCT(MicroModelComponents!$L$4:$L$24,AF$4:AF$24)</f>
        <v>0</v>
      </c>
      <c r="AG39" s="157">
        <f>+SUMPRODUCT(MicroModelComponents!$L$4:$L$24,AG$4:AG$24)</f>
        <v>0</v>
      </c>
      <c r="AH39" s="157">
        <f>+SUMPRODUCT(MicroModelComponents!$L$4:$L$24,AH$4:AH$24)</f>
        <v>0</v>
      </c>
      <c r="AI39" s="157">
        <f>+SUMPRODUCT(MicroModelComponents!$L$4:$L$24,AI$4:AI$24)</f>
        <v>0</v>
      </c>
      <c r="AJ39" s="157">
        <f>+SUMPRODUCT(MicroModelComponents!$L$4:$L$24,AJ$4:AJ$24)</f>
        <v>0</v>
      </c>
      <c r="AK39" s="158">
        <f>+SUMPRODUCT(MicroModelComponents!$L$4:$L$24,AJ$4:AJ$24)</f>
        <v>0</v>
      </c>
      <c r="AL39" s="3"/>
      <c r="AM39" s="108"/>
      <c r="AO39" s="156">
        <f>+SUMPRODUCT(MicroModelComponents!$L$4:$L$24,AO$4:AO$24)</f>
        <v>0</v>
      </c>
      <c r="AP39" s="157">
        <f>+SUMPRODUCT(MicroModelComponents!$L$4:$L$24,AP$4:AP$24)</f>
        <v>0</v>
      </c>
      <c r="AQ39" s="157">
        <f>+SUMPRODUCT(MicroModelComponents!$L$4:$L$24,AQ$4:AQ$24)</f>
        <v>0</v>
      </c>
      <c r="AR39" s="157">
        <f>+SUMPRODUCT(MicroModelComponents!$L$4:$L$24,AR$4:AR$24)</f>
        <v>0</v>
      </c>
      <c r="AS39" s="157">
        <f>+SUMPRODUCT(MicroModelComponents!$L$4:$L$24,AS$4:AS$24)</f>
        <v>0</v>
      </c>
      <c r="AT39" s="157">
        <f>+SUMPRODUCT(MicroModelComponents!$L$4:$L$24,AT$4:AT$24)</f>
        <v>0</v>
      </c>
      <c r="AU39" s="157">
        <f>+SUMPRODUCT(MicroModelComponents!$L$4:$L$24,AU$4:AU$24)</f>
        <v>0</v>
      </c>
      <c r="AV39" s="158">
        <f>+SUMPRODUCT(MicroModelComponents!$L$4:$L$24,AU$4:AU$24)</f>
        <v>0</v>
      </c>
      <c r="AW39" s="3"/>
      <c r="AX39" s="108"/>
      <c r="AZ39" s="156">
        <f>+SUMPRODUCT(MicroModelComponents!$L$4:$L$24,AZ$4:AZ$24)</f>
        <v>0</v>
      </c>
      <c r="BA39" s="157">
        <f>+SUMPRODUCT(MicroModelComponents!$L$4:$L$24,BA$4:BA$24)</f>
        <v>0</v>
      </c>
      <c r="BB39" s="157">
        <f>+SUMPRODUCT(MicroModelComponents!$L$4:$L$24,BB$4:BB$24)</f>
        <v>0</v>
      </c>
      <c r="BC39" s="157">
        <f>+SUMPRODUCT(MicroModelComponents!$L$4:$L$24,BC$4:BC$24)</f>
        <v>0</v>
      </c>
      <c r="BD39" s="157">
        <f>+SUMPRODUCT(MicroModelComponents!$L$4:$L$24,BD$4:BD$24)</f>
        <v>0</v>
      </c>
      <c r="BE39" s="157">
        <f>+SUMPRODUCT(MicroModelComponents!$L$4:$L$24,BE$4:BE$24)</f>
        <v>0</v>
      </c>
      <c r="BF39" s="157">
        <f>+SUMPRODUCT(MicroModelComponents!$L$4:$L$24,BF$4:BF$24)</f>
        <v>0</v>
      </c>
      <c r="BG39" s="158">
        <f>+SUMPRODUCT(MicroModelComponents!$L$4:$L$24,BF$4:BF$24)</f>
        <v>0</v>
      </c>
      <c r="BH39" s="3"/>
      <c r="BI39" s="108"/>
      <c r="BK39" s="156">
        <f>+SUMPRODUCT(MicroModelComponents!$L$4:$L$24,BK$4:BK$24)</f>
        <v>0</v>
      </c>
      <c r="BL39" s="157">
        <f>+SUMPRODUCT(MicroModelComponents!$L$4:$L$24,BL$4:BL$24)</f>
        <v>0</v>
      </c>
      <c r="BM39" s="157">
        <f>+SUMPRODUCT(MicroModelComponents!$L$4:$L$24,BM$4:BM$24)</f>
        <v>0</v>
      </c>
      <c r="BN39" s="157">
        <f>+SUMPRODUCT(MicroModelComponents!$L$4:$L$24,BN$4:BN$24)</f>
        <v>0</v>
      </c>
      <c r="BO39" s="157">
        <f>+SUMPRODUCT(MicroModelComponents!$L$4:$L$24,BO$4:BO$24)</f>
        <v>0</v>
      </c>
      <c r="BP39" s="157">
        <f>+SUMPRODUCT(MicroModelComponents!$L$4:$L$24,BP$4:BP$24)</f>
        <v>0</v>
      </c>
      <c r="BQ39" s="157">
        <f>+SUMPRODUCT(MicroModelComponents!$L$4:$L$24,BQ$4:BQ$24)</f>
        <v>0</v>
      </c>
      <c r="BR39" s="158">
        <f>+SUMPRODUCT(MicroModelComponents!$L$4:$L$24,BQ$4:BQ$24)</f>
        <v>0</v>
      </c>
      <c r="BS39" s="3"/>
      <c r="BT39" s="108"/>
      <c r="BV39" s="156">
        <f>+SUMPRODUCT(MicroModelComponents!$L$4:$L$24,BV$4:BV$24)</f>
        <v>0</v>
      </c>
      <c r="BW39" s="157">
        <f>+SUMPRODUCT(MicroModelComponents!$L$4:$L$24,BW$4:BW$24)</f>
        <v>0</v>
      </c>
      <c r="BX39" s="157">
        <f>+SUMPRODUCT(MicroModelComponents!$L$4:$L$24,BX$4:BX$24)</f>
        <v>0</v>
      </c>
      <c r="BY39" s="157">
        <f>+SUMPRODUCT(MicroModelComponents!$L$4:$L$24,BY$4:BY$24)</f>
        <v>0</v>
      </c>
      <c r="BZ39" s="157">
        <f>+SUMPRODUCT(MicroModelComponents!$L$4:$L$24,BZ$4:BZ$24)</f>
        <v>0</v>
      </c>
      <c r="CA39" s="157">
        <f>+SUMPRODUCT(MicroModelComponents!$L$4:$L$24,CA$4:CA$24)</f>
        <v>0</v>
      </c>
      <c r="CB39" s="157">
        <f>+SUMPRODUCT(MicroModelComponents!$L$4:$L$24,CB$4:CB$24)</f>
        <v>0</v>
      </c>
      <c r="CC39" s="158">
        <f>+SUMPRODUCT(MicroModelComponents!$L$4:$L$24,CB$4:CB$24)</f>
        <v>0</v>
      </c>
      <c r="CD39" s="3"/>
      <c r="CE39" s="108"/>
      <c r="CG39" s="156">
        <f>+SUMPRODUCT(MicroModelComponents!$L$4:$L$24,CG$4:CG$24)</f>
        <v>0</v>
      </c>
      <c r="CH39" s="157">
        <f>+SUMPRODUCT(MicroModelComponents!$L$4:$L$24,CH$4:CH$24)</f>
        <v>0</v>
      </c>
      <c r="CI39" s="157">
        <f>+SUMPRODUCT(MicroModelComponents!$L$4:$L$24,CI$4:CI$24)</f>
        <v>0</v>
      </c>
      <c r="CJ39" s="157">
        <f>+SUMPRODUCT(MicroModelComponents!$L$4:$L$24,CJ$4:CJ$24)</f>
        <v>0</v>
      </c>
      <c r="CK39" s="157">
        <f>+SUMPRODUCT(MicroModelComponents!$L$4:$L$24,CK$4:CK$24)</f>
        <v>0</v>
      </c>
      <c r="CL39" s="157">
        <f>+SUMPRODUCT(MicroModelComponents!$L$4:$L$24,CL$4:CL$24)</f>
        <v>0</v>
      </c>
      <c r="CM39" s="157">
        <f>+SUMPRODUCT(MicroModelComponents!$L$4:$L$24,CM$4:CM$24)</f>
        <v>0</v>
      </c>
      <c r="CN39" s="158">
        <f>+SUMPRODUCT(MicroModelComponents!$L$4:$L$24,CM$4:CM$24)</f>
        <v>0</v>
      </c>
      <c r="CO39" s="3"/>
      <c r="CP39" s="108"/>
      <c r="CR39" s="156">
        <f>+SUMPRODUCT(MicroModelComponents!$L$4:$L$24,CR$4:CR$24)</f>
        <v>0</v>
      </c>
      <c r="CS39" s="157">
        <f>+SUMPRODUCT(MicroModelComponents!$L$4:$L$24,CS$4:CS$24)</f>
        <v>0</v>
      </c>
      <c r="CT39" s="157">
        <f>+SUMPRODUCT(MicroModelComponents!$L$4:$L$24,CT$4:CT$24)</f>
        <v>0</v>
      </c>
      <c r="CU39" s="157">
        <f>+SUMPRODUCT(MicroModelComponents!$L$4:$L$24,CU$4:CU$24)</f>
        <v>0</v>
      </c>
      <c r="CV39" s="157">
        <f>+SUMPRODUCT(MicroModelComponents!$L$4:$L$24,CV$4:CV$24)</f>
        <v>0</v>
      </c>
      <c r="CW39" s="157">
        <f>+SUMPRODUCT(MicroModelComponents!$L$4:$L$24,CW$4:CW$24)</f>
        <v>0</v>
      </c>
      <c r="CX39" s="157">
        <f>+SUMPRODUCT(MicroModelComponents!$L$4:$L$24,CX$4:CX$24)</f>
        <v>0</v>
      </c>
      <c r="CY39" s="158">
        <f>+SUMPRODUCT(MicroModelComponents!$L$4:$L$24,CX$4:CX$24)</f>
        <v>0</v>
      </c>
      <c r="CZ39" s="3"/>
      <c r="DA39" s="108"/>
      <c r="DC39" s="156">
        <f>+SUMPRODUCT(MicroModelComponents!$L$4:$L$24,DC$4:DC$24)</f>
        <v>0</v>
      </c>
      <c r="DD39" s="157">
        <f>+SUMPRODUCT(MicroModelComponents!$L$4:$L$24,DD$4:DD$24)</f>
        <v>0</v>
      </c>
      <c r="DE39" s="157">
        <f>+SUMPRODUCT(MicroModelComponents!$L$4:$L$24,DE$4:DE$24)</f>
        <v>0</v>
      </c>
      <c r="DF39" s="157">
        <f>+SUMPRODUCT(MicroModelComponents!$L$4:$L$24,DF$4:DF$24)</f>
        <v>0</v>
      </c>
      <c r="DG39" s="157">
        <f>+SUMPRODUCT(MicroModelComponents!$L$4:$L$24,DG$4:DG$24)</f>
        <v>0</v>
      </c>
      <c r="DH39" s="157">
        <f>+SUMPRODUCT(MicroModelComponents!$L$4:$L$24,DH$4:DH$24)</f>
        <v>0</v>
      </c>
      <c r="DI39" s="157">
        <f>+SUMPRODUCT(MicroModelComponents!$L$4:$L$24,DI$4:DI$24)</f>
        <v>0</v>
      </c>
      <c r="DJ39" s="158">
        <f>+SUMPRODUCT(MicroModelComponents!$L$4:$L$24,DI$4:DI$24)</f>
        <v>0</v>
      </c>
      <c r="DK39" s="3"/>
      <c r="DL39" s="108"/>
      <c r="DN39" s="156">
        <f>+SUMPRODUCT(MicroModelComponents!$L$4:$L$24,DN$4:DN$24)</f>
        <v>0</v>
      </c>
      <c r="DO39" s="157">
        <f>+SUMPRODUCT(MicroModelComponents!$L$4:$L$24,DO$4:DO$24)</f>
        <v>0</v>
      </c>
      <c r="DP39" s="157">
        <f>+SUMPRODUCT(MicroModelComponents!$L$4:$L$24,DP$4:DP$24)</f>
        <v>0</v>
      </c>
      <c r="DQ39" s="157">
        <f>+SUMPRODUCT(MicroModelComponents!$L$4:$L$24,DQ$4:DQ$24)</f>
        <v>0</v>
      </c>
      <c r="DR39" s="157">
        <f>+SUMPRODUCT(MicroModelComponents!$L$4:$L$24,DR$4:DR$24)</f>
        <v>0</v>
      </c>
      <c r="DS39" s="157">
        <f>+SUMPRODUCT(MicroModelComponents!$L$4:$L$24,DS$4:DS$24)</f>
        <v>0</v>
      </c>
      <c r="DT39" s="157">
        <f>+SUMPRODUCT(MicroModelComponents!$L$4:$L$24,DT$4:DT$24)</f>
        <v>0</v>
      </c>
      <c r="DU39" s="158">
        <f>+SUMPRODUCT(MicroModelComponents!$L$4:$L$24,DT$4:DT$24)</f>
        <v>0</v>
      </c>
      <c r="DV39" s="3"/>
      <c r="DW39" s="108"/>
      <c r="DY39" s="156">
        <f>+SUMPRODUCT(MicroModelComponents!$L$4:$L$24,DY$4:DY$24)</f>
        <v>0</v>
      </c>
      <c r="DZ39" s="157">
        <f>+SUMPRODUCT(MicroModelComponents!$L$4:$L$24,DZ$4:DZ$24)</f>
        <v>0</v>
      </c>
      <c r="EA39" s="157">
        <f>+SUMPRODUCT(MicroModelComponents!$L$4:$L$24,EA$4:EA$24)</f>
        <v>0</v>
      </c>
      <c r="EB39" s="157">
        <f>+SUMPRODUCT(MicroModelComponents!$L$4:$L$24,EB$4:EB$24)</f>
        <v>0</v>
      </c>
      <c r="EC39" s="157">
        <f>+SUMPRODUCT(MicroModelComponents!$L$4:$L$24,EC$4:EC$24)</f>
        <v>0</v>
      </c>
      <c r="ED39" s="157">
        <f>+SUMPRODUCT(MicroModelComponents!$L$4:$L$24,ED$4:ED$24)</f>
        <v>0</v>
      </c>
      <c r="EE39" s="157">
        <f>+SUMPRODUCT(MicroModelComponents!$L$4:$L$24,EE$4:EE$24)</f>
        <v>0</v>
      </c>
      <c r="EF39" s="158">
        <f>+SUMPRODUCT(MicroModelComponents!$L$4:$L$24,EE$4:EE$24)</f>
        <v>0</v>
      </c>
      <c r="EG39" s="3"/>
      <c r="EH39" s="108"/>
      <c r="EJ39" s="156">
        <f>+SUMPRODUCT(MicroModelComponents!$L$4:$L$24,EJ$4:EJ$24)</f>
        <v>0</v>
      </c>
      <c r="EK39" s="157">
        <f>+SUMPRODUCT(MicroModelComponents!$L$4:$L$24,EK$4:EK$24)</f>
        <v>0</v>
      </c>
      <c r="EL39" s="157">
        <f>+SUMPRODUCT(MicroModelComponents!$L$4:$L$24,EL$4:EL$24)</f>
        <v>0</v>
      </c>
      <c r="EM39" s="157">
        <f>+SUMPRODUCT(MicroModelComponents!$L$4:$L$24,EM$4:EM$24)</f>
        <v>0</v>
      </c>
      <c r="EN39" s="157">
        <f>+SUMPRODUCT(MicroModelComponents!$L$4:$L$24,EN$4:EN$24)</f>
        <v>0</v>
      </c>
      <c r="EO39" s="157">
        <f>+SUMPRODUCT(MicroModelComponents!$L$4:$L$24,EO$4:EO$24)</f>
        <v>0</v>
      </c>
      <c r="EP39" s="157">
        <f>+SUMPRODUCT(MicroModelComponents!$L$4:$L$24,EP$4:EP$24)</f>
        <v>0</v>
      </c>
      <c r="EQ39" s="158">
        <f>+SUMPRODUCT(MicroModelComponents!$L$4:$L$24,EP$4:EP$24)</f>
        <v>0</v>
      </c>
      <c r="ER39" s="3"/>
      <c r="ES39" s="108"/>
      <c r="EU39" s="156">
        <f>+SUMPRODUCT(MicroModelComponents!$L$4:$L$24,EU$4:EU$24)</f>
        <v>0</v>
      </c>
      <c r="EV39" s="157">
        <f>+SUMPRODUCT(MicroModelComponents!$L$4:$L$24,EV$4:EV$24)</f>
        <v>0</v>
      </c>
      <c r="EW39" s="157">
        <f>+SUMPRODUCT(MicroModelComponents!$L$4:$L$24,EW$4:EW$24)</f>
        <v>0</v>
      </c>
      <c r="EX39" s="157">
        <f>+SUMPRODUCT(MicroModelComponents!$L$4:$L$24,EX$4:EX$24)</f>
        <v>0</v>
      </c>
      <c r="EY39" s="157">
        <f>+SUMPRODUCT(MicroModelComponents!$L$4:$L$24,EY$4:EY$24)</f>
        <v>0</v>
      </c>
      <c r="EZ39" s="157">
        <f>+SUMPRODUCT(MicroModelComponents!$L$4:$L$24,EZ$4:EZ$24)</f>
        <v>0</v>
      </c>
      <c r="FA39" s="157">
        <f>+SUMPRODUCT(MicroModelComponents!$L$4:$L$24,FA$4:FA$24)</f>
        <v>0</v>
      </c>
      <c r="FB39" s="158">
        <f>+SUMPRODUCT(MicroModelComponents!$L$4:$L$24,FA$4:FA$24)</f>
        <v>0</v>
      </c>
      <c r="FC39" s="3"/>
      <c r="FD39" s="108"/>
      <c r="FF39" s="156">
        <f>+SUMPRODUCT(MicroModelComponents!$L$4:$L$24,FF$4:FF$24)</f>
        <v>0</v>
      </c>
      <c r="FG39" s="157">
        <f>+SUMPRODUCT(MicroModelComponents!$L$4:$L$24,FG$4:FG$24)</f>
        <v>0</v>
      </c>
      <c r="FH39" s="157">
        <f>+SUMPRODUCT(MicroModelComponents!$L$4:$L$24,FH$4:FH$24)</f>
        <v>0</v>
      </c>
      <c r="FI39" s="157">
        <f>+SUMPRODUCT(MicroModelComponents!$L$4:$L$24,FI$4:FI$24)</f>
        <v>0</v>
      </c>
      <c r="FJ39" s="157">
        <f>+SUMPRODUCT(MicroModelComponents!$L$4:$L$24,FJ$4:FJ$24)</f>
        <v>0</v>
      </c>
      <c r="FK39" s="157">
        <f>+SUMPRODUCT(MicroModelComponents!$L$4:$L$24,FK$4:FK$24)</f>
        <v>0</v>
      </c>
      <c r="FL39" s="157">
        <f>+SUMPRODUCT(MicroModelComponents!$L$4:$L$24,FL$4:FL$24)</f>
        <v>0</v>
      </c>
      <c r="FM39" s="158">
        <f>+SUMPRODUCT(MicroModelComponents!$L$4:$L$24,FL$4:FL$24)</f>
        <v>0</v>
      </c>
      <c r="FN39" s="3"/>
      <c r="FO39" s="108"/>
      <c r="FQ39" s="156">
        <f>+SUMPRODUCT(MicroModelComponents!$L$4:$L$24,FQ$4:FQ$24)</f>
        <v>0</v>
      </c>
      <c r="FR39" s="157">
        <f>+SUMPRODUCT(MicroModelComponents!$L$4:$L$24,FR$4:FR$24)</f>
        <v>0</v>
      </c>
      <c r="FS39" s="157">
        <f>+SUMPRODUCT(MicroModelComponents!$L$4:$L$24,FS$4:FS$24)</f>
        <v>0</v>
      </c>
      <c r="FT39" s="157">
        <f>+SUMPRODUCT(MicroModelComponents!$L$4:$L$24,FT$4:FT$24)</f>
        <v>0</v>
      </c>
      <c r="FU39" s="157">
        <f>+SUMPRODUCT(MicroModelComponents!$L$4:$L$24,FU$4:FU$24)</f>
        <v>0</v>
      </c>
      <c r="FV39" s="157">
        <f>+SUMPRODUCT(MicroModelComponents!$L$4:$L$24,FV$4:FV$24)</f>
        <v>0</v>
      </c>
      <c r="FW39" s="157">
        <f>+SUMPRODUCT(MicroModelComponents!$L$4:$L$24,FW$4:FW$24)</f>
        <v>0</v>
      </c>
      <c r="FX39" s="158">
        <f>+SUMPRODUCT(MicroModelComponents!$L$4:$L$24,FW$4:FW$24)</f>
        <v>0</v>
      </c>
      <c r="FY39" s="3"/>
      <c r="FZ39" s="108"/>
      <c r="GB39" s="156">
        <f>+SUMPRODUCT(MicroModelComponents!$L$4:$L$24,GB$4:GB$24)</f>
        <v>0</v>
      </c>
      <c r="GC39" s="157">
        <f>+SUMPRODUCT(MicroModelComponents!$L$4:$L$24,GC$4:GC$24)</f>
        <v>0</v>
      </c>
      <c r="GD39" s="157">
        <f>+SUMPRODUCT(MicroModelComponents!$L$4:$L$24,GD$4:GD$24)</f>
        <v>0</v>
      </c>
      <c r="GE39" s="157">
        <f>+SUMPRODUCT(MicroModelComponents!$L$4:$L$24,GE$4:GE$24)</f>
        <v>0</v>
      </c>
      <c r="GF39" s="157">
        <f>+SUMPRODUCT(MicroModelComponents!$L$4:$L$24,GF$4:GF$24)</f>
        <v>0</v>
      </c>
      <c r="GG39" s="157">
        <f>+SUMPRODUCT(MicroModelComponents!$L$4:$L$24,GG$4:GG$24)</f>
        <v>0</v>
      </c>
      <c r="GH39" s="157">
        <f>+SUMPRODUCT(MicroModelComponents!$L$4:$L$24,GH$4:GH$24)</f>
        <v>0</v>
      </c>
      <c r="GI39" s="158">
        <f>+SUMPRODUCT(MicroModelComponents!$L$4:$L$24,GH$4:GH$24)</f>
        <v>0</v>
      </c>
      <c r="GJ39" s="3"/>
      <c r="GK39" s="108"/>
      <c r="GM39" s="156">
        <f>+SUMPRODUCT(MicroModelComponents!$L$4:$L$24,GM$4:GM$24)</f>
        <v>0</v>
      </c>
      <c r="GN39" s="157">
        <f>+SUMPRODUCT(MicroModelComponents!$L$4:$L$24,GN$4:GN$24)</f>
        <v>0</v>
      </c>
      <c r="GO39" s="157">
        <f>+SUMPRODUCT(MicroModelComponents!$L$4:$L$24,GO$4:GO$24)</f>
        <v>0</v>
      </c>
      <c r="GP39" s="157">
        <f>+SUMPRODUCT(MicroModelComponents!$L$4:$L$24,GP$4:GP$24)</f>
        <v>0</v>
      </c>
      <c r="GQ39" s="157">
        <f>+SUMPRODUCT(MicroModelComponents!$L$4:$L$24,GQ$4:GQ$24)</f>
        <v>0</v>
      </c>
      <c r="GR39" s="157">
        <f>+SUMPRODUCT(MicroModelComponents!$L$4:$L$24,GR$4:GR$24)</f>
        <v>0</v>
      </c>
      <c r="GS39" s="157">
        <f>+SUMPRODUCT(MicroModelComponents!$L$4:$L$24,GS$4:GS$24)</f>
        <v>0</v>
      </c>
      <c r="GT39" s="158">
        <f>+SUMPRODUCT(MicroModelComponents!$L$4:$L$24,GS$4:GS$24)</f>
        <v>0</v>
      </c>
      <c r="GU39" s="3"/>
      <c r="GV39" s="108"/>
      <c r="GX39" s="156">
        <f>+SUMPRODUCT(MicroModelComponents!$L$4:$L$24,GX$4:GX$24)</f>
        <v>0</v>
      </c>
      <c r="GY39" s="157">
        <f>+SUMPRODUCT(MicroModelComponents!$L$4:$L$24,GY$4:GY$24)</f>
        <v>0</v>
      </c>
      <c r="GZ39" s="157">
        <f>+SUMPRODUCT(MicroModelComponents!$L$4:$L$24,GZ$4:GZ$24)</f>
        <v>0</v>
      </c>
      <c r="HA39" s="157">
        <f>+SUMPRODUCT(MicroModelComponents!$L$4:$L$24,HA$4:HA$24)</f>
        <v>0</v>
      </c>
      <c r="HB39" s="157">
        <f>+SUMPRODUCT(MicroModelComponents!$L$4:$L$24,HB$4:HB$24)</f>
        <v>0</v>
      </c>
      <c r="HC39" s="157">
        <f>+SUMPRODUCT(MicroModelComponents!$L$4:$L$24,HC$4:HC$24)</f>
        <v>0</v>
      </c>
      <c r="HD39" s="157">
        <f>+SUMPRODUCT(MicroModelComponents!$L$4:$L$24,HD$4:HD$24)</f>
        <v>0</v>
      </c>
      <c r="HE39" s="158">
        <f>+SUMPRODUCT(MicroModelComponents!$L$4:$L$24,HD$4:HD$24)</f>
        <v>0</v>
      </c>
      <c r="HF39" s="3"/>
      <c r="HG39" s="108"/>
      <c r="HI39" s="156">
        <f>+SUMPRODUCT(MicroModelComponents!$L$4:$L$24,HI$4:HI$24)</f>
        <v>0</v>
      </c>
      <c r="HJ39" s="157">
        <f>+SUMPRODUCT(MicroModelComponents!$L$4:$L$24,HJ$4:HJ$24)</f>
        <v>0</v>
      </c>
      <c r="HK39" s="157">
        <f>+SUMPRODUCT(MicroModelComponents!$L$4:$L$24,HK$4:HK$24)</f>
        <v>0</v>
      </c>
      <c r="HL39" s="157">
        <f>+SUMPRODUCT(MicroModelComponents!$L$4:$L$24,HL$4:HL$24)</f>
        <v>0</v>
      </c>
      <c r="HM39" s="157">
        <f>+SUMPRODUCT(MicroModelComponents!$L$4:$L$24,HM$4:HM$24)</f>
        <v>0</v>
      </c>
      <c r="HN39" s="157">
        <f>+SUMPRODUCT(MicroModelComponents!$L$4:$L$24,HN$4:HN$24)</f>
        <v>0</v>
      </c>
      <c r="HO39" s="157">
        <f>+SUMPRODUCT(MicroModelComponents!$L$4:$L$24,HO$4:HO$24)</f>
        <v>0</v>
      </c>
      <c r="HP39" s="158">
        <f>+SUMPRODUCT(MicroModelComponents!$L$4:$L$24,HO$4:HO$24)</f>
        <v>0</v>
      </c>
      <c r="HQ39" s="3"/>
      <c r="HR39" s="108"/>
      <c r="HT39" s="156">
        <f>+SUMPRODUCT(MicroModelComponents!$L$4:$L$24,HT$4:HT$24)</f>
        <v>0</v>
      </c>
      <c r="HU39" s="157">
        <f>+SUMPRODUCT(MicroModelComponents!$L$4:$L$24,HU$4:HU$24)</f>
        <v>0</v>
      </c>
      <c r="HV39" s="157">
        <f>+SUMPRODUCT(MicroModelComponents!$L$4:$L$24,HV$4:HV$24)</f>
        <v>0</v>
      </c>
      <c r="HW39" s="157">
        <f>+SUMPRODUCT(MicroModelComponents!$L$4:$L$24,HW$4:HW$24)</f>
        <v>0</v>
      </c>
      <c r="HX39" s="157">
        <f>+SUMPRODUCT(MicroModelComponents!$L$4:$L$24,HX$4:HX$24)</f>
        <v>0</v>
      </c>
      <c r="HY39" s="157">
        <f>+SUMPRODUCT(MicroModelComponents!$L$4:$L$24,HY$4:HY$24)</f>
        <v>0</v>
      </c>
      <c r="HZ39" s="157">
        <f>+SUMPRODUCT(MicroModelComponents!$L$4:$L$24,HZ$4:HZ$24)</f>
        <v>0</v>
      </c>
      <c r="IA39" s="158">
        <f>+SUMPRODUCT(MicroModelComponents!$L$4:$L$24,HZ$4:HZ$24)</f>
        <v>0</v>
      </c>
      <c r="IB39" s="3"/>
      <c r="IC39" s="108"/>
      <c r="ID39" s="156">
        <f>+SUMPRODUCT(MicroModelComponents!$L$4:$L$24,ID$4:ID$24)</f>
        <v>0</v>
      </c>
      <c r="IE39" s="108"/>
      <c r="IF39" s="156">
        <f>+SUMPRODUCT(MicroModelComponents!$L$4:$L$24,IF$4:IF$24)</f>
        <v>0</v>
      </c>
      <c r="IG39" s="156">
        <f>+SUMPRODUCT(MicroModelComponents!$L$4:$L$24,IG$4:IG$24)</f>
        <v>0</v>
      </c>
      <c r="IH39" s="156">
        <f>+SUMPRODUCT(MicroModelComponents!$L$4:$L$24,IH$4:IH$24)</f>
        <v>0</v>
      </c>
      <c r="II39" s="108"/>
      <c r="IJ39" s="156">
        <f>+SUMPRODUCT(MicroModelComponents!$L$4:$L$24,IJ$4:IJ$24)</f>
        <v>0</v>
      </c>
      <c r="IK39" s="108"/>
    </row>
    <row r="40" spans="2:256" ht="13.5" customHeight="1">
      <c r="C40" s="41" t="s">
        <v>322</v>
      </c>
      <c r="N40" s="41" t="s">
        <v>322</v>
      </c>
      <c r="O40" s="105"/>
      <c r="P40" s="3"/>
      <c r="Q40" s="108"/>
      <c r="S40" s="156">
        <f>+SUMPRODUCT(MicroModelComponents!$M$4:$M$24,S$4:S$24)</f>
        <v>0</v>
      </c>
      <c r="T40" s="157">
        <f>+SUMPRODUCT(MicroModelComponents!$M$4:$M$24,T$4:T$24)</f>
        <v>0</v>
      </c>
      <c r="U40" s="157">
        <f>+SUMPRODUCT(MicroModelComponents!$M$4:$M$24,U$4:U$24)</f>
        <v>0</v>
      </c>
      <c r="V40" s="157">
        <f>+SUMPRODUCT(MicroModelComponents!$M$4:$M$24,V$4:V$24)</f>
        <v>0</v>
      </c>
      <c r="W40" s="157">
        <f>+SUMPRODUCT(MicroModelComponents!$M$4:$M$24,W$4:W$24)</f>
        <v>0</v>
      </c>
      <c r="X40" s="157">
        <f>+SUMPRODUCT(MicroModelComponents!$M$4:$M$24,X$4:X$24)</f>
        <v>0</v>
      </c>
      <c r="Y40" s="157">
        <f>+SUMPRODUCT(MicroModelComponents!$M$4:$M$24,Y$4:Y$24)</f>
        <v>0</v>
      </c>
      <c r="Z40" s="158">
        <f>+SUMPRODUCT(MicroModelComponents!$M$4:$M$24,Y$4:Y$24)</f>
        <v>0</v>
      </c>
      <c r="AA40" s="3"/>
      <c r="AB40" s="108"/>
      <c r="AD40" s="156">
        <f>+SUMPRODUCT(MicroModelComponents!$M$4:$M$24,AD$4:AD$24)</f>
        <v>0</v>
      </c>
      <c r="AE40" s="157">
        <f>+SUMPRODUCT(MicroModelComponents!$M$4:$M$24,AE$4:AE$24)</f>
        <v>0</v>
      </c>
      <c r="AF40" s="157">
        <f>+SUMPRODUCT(MicroModelComponents!$M$4:$M$24,AF$4:AF$24)</f>
        <v>0</v>
      </c>
      <c r="AG40" s="157">
        <f>+SUMPRODUCT(MicroModelComponents!$M$4:$M$24,AG$4:AG$24)</f>
        <v>0</v>
      </c>
      <c r="AH40" s="157">
        <f>+SUMPRODUCT(MicroModelComponents!$M$4:$M$24,AH$4:AH$24)</f>
        <v>0</v>
      </c>
      <c r="AI40" s="157">
        <f>+SUMPRODUCT(MicroModelComponents!$M$4:$M$24,AI$4:AI$24)</f>
        <v>0</v>
      </c>
      <c r="AJ40" s="157">
        <f>+SUMPRODUCT(MicroModelComponents!$M$4:$M$24,AJ$4:AJ$24)</f>
        <v>0</v>
      </c>
      <c r="AK40" s="158">
        <f>+SUMPRODUCT(MicroModelComponents!$M$4:$M$24,AJ$4:AJ$24)</f>
        <v>0</v>
      </c>
      <c r="AL40" s="3"/>
      <c r="AM40" s="108"/>
      <c r="AO40" s="156">
        <f>+SUMPRODUCT(MicroModelComponents!$M$4:$M$24,AO$4:AO$24)</f>
        <v>0</v>
      </c>
      <c r="AP40" s="157">
        <f>+SUMPRODUCT(MicroModelComponents!$M$4:$M$24,AP$4:AP$24)</f>
        <v>0</v>
      </c>
      <c r="AQ40" s="157">
        <f>+SUMPRODUCT(MicroModelComponents!$M$4:$M$24,AQ$4:AQ$24)</f>
        <v>0</v>
      </c>
      <c r="AR40" s="157">
        <f>+SUMPRODUCT(MicroModelComponents!$M$4:$M$24,AR$4:AR$24)</f>
        <v>0</v>
      </c>
      <c r="AS40" s="157">
        <f>+SUMPRODUCT(MicroModelComponents!$M$4:$M$24,AS$4:AS$24)</f>
        <v>0</v>
      </c>
      <c r="AT40" s="157">
        <f>+SUMPRODUCT(MicroModelComponents!$M$4:$M$24,AT$4:AT$24)</f>
        <v>0</v>
      </c>
      <c r="AU40" s="157">
        <f>+SUMPRODUCT(MicroModelComponents!$M$4:$M$24,AU$4:AU$24)</f>
        <v>0</v>
      </c>
      <c r="AV40" s="158">
        <f>+SUMPRODUCT(MicroModelComponents!$M$4:$M$24,AU$4:AU$24)</f>
        <v>0</v>
      </c>
      <c r="AW40" s="3"/>
      <c r="AX40" s="108"/>
      <c r="AZ40" s="156">
        <f>+SUMPRODUCT(MicroModelComponents!$M$4:$M$24,AZ$4:AZ$24)</f>
        <v>0</v>
      </c>
      <c r="BA40" s="157">
        <f>+SUMPRODUCT(MicroModelComponents!$M$4:$M$24,BA$4:BA$24)</f>
        <v>0</v>
      </c>
      <c r="BB40" s="157">
        <f>+SUMPRODUCT(MicroModelComponents!$M$4:$M$24,BB$4:BB$24)</f>
        <v>0</v>
      </c>
      <c r="BC40" s="157">
        <f>+SUMPRODUCT(MicroModelComponents!$M$4:$M$24,BC$4:BC$24)</f>
        <v>0</v>
      </c>
      <c r="BD40" s="157">
        <f>+SUMPRODUCT(MicroModelComponents!$M$4:$M$24,BD$4:BD$24)</f>
        <v>0</v>
      </c>
      <c r="BE40" s="157">
        <f>+SUMPRODUCT(MicroModelComponents!$M$4:$M$24,BE$4:BE$24)</f>
        <v>0</v>
      </c>
      <c r="BF40" s="157">
        <f>+SUMPRODUCT(MicroModelComponents!$M$4:$M$24,BF$4:BF$24)</f>
        <v>0</v>
      </c>
      <c r="BG40" s="158">
        <f>+SUMPRODUCT(MicroModelComponents!$M$4:$M$24,BF$4:BF$24)</f>
        <v>0</v>
      </c>
      <c r="BH40" s="3"/>
      <c r="BI40" s="108"/>
      <c r="BK40" s="156">
        <f>+SUMPRODUCT(MicroModelComponents!$M$4:$M$24,BK$4:BK$24)</f>
        <v>0</v>
      </c>
      <c r="BL40" s="157">
        <f>+SUMPRODUCT(MicroModelComponents!$M$4:$M$24,BL$4:BL$24)</f>
        <v>0</v>
      </c>
      <c r="BM40" s="157">
        <f>+SUMPRODUCT(MicroModelComponents!$M$4:$M$24,BM$4:BM$24)</f>
        <v>0</v>
      </c>
      <c r="BN40" s="157">
        <f>+SUMPRODUCT(MicroModelComponents!$M$4:$M$24,BN$4:BN$24)</f>
        <v>0</v>
      </c>
      <c r="BO40" s="157">
        <f>+SUMPRODUCT(MicroModelComponents!$M$4:$M$24,BO$4:BO$24)</f>
        <v>0</v>
      </c>
      <c r="BP40" s="157">
        <f>+SUMPRODUCT(MicroModelComponents!$M$4:$M$24,BP$4:BP$24)</f>
        <v>0</v>
      </c>
      <c r="BQ40" s="157">
        <f>+SUMPRODUCT(MicroModelComponents!$M$4:$M$24,BQ$4:BQ$24)</f>
        <v>0</v>
      </c>
      <c r="BR40" s="158">
        <f>+SUMPRODUCT(MicroModelComponents!$M$4:$M$24,BQ$4:BQ$24)</f>
        <v>0</v>
      </c>
      <c r="BS40" s="3"/>
      <c r="BT40" s="108"/>
      <c r="BV40" s="156">
        <f>+SUMPRODUCT(MicroModelComponents!$M$4:$M$24,BV$4:BV$24)</f>
        <v>0</v>
      </c>
      <c r="BW40" s="157">
        <f>+SUMPRODUCT(MicroModelComponents!$M$4:$M$24,BW$4:BW$24)</f>
        <v>0</v>
      </c>
      <c r="BX40" s="157">
        <f>+SUMPRODUCT(MicroModelComponents!$M$4:$M$24,BX$4:BX$24)</f>
        <v>0</v>
      </c>
      <c r="BY40" s="157">
        <f>+SUMPRODUCT(MicroModelComponents!$M$4:$M$24,BY$4:BY$24)</f>
        <v>0</v>
      </c>
      <c r="BZ40" s="157">
        <f>+SUMPRODUCT(MicroModelComponents!$M$4:$M$24,BZ$4:BZ$24)</f>
        <v>0</v>
      </c>
      <c r="CA40" s="157">
        <f>+SUMPRODUCT(MicroModelComponents!$M$4:$M$24,CA$4:CA$24)</f>
        <v>0</v>
      </c>
      <c r="CB40" s="157">
        <f>+SUMPRODUCT(MicroModelComponents!$M$4:$M$24,CB$4:CB$24)</f>
        <v>0</v>
      </c>
      <c r="CC40" s="158">
        <f>+SUMPRODUCT(MicroModelComponents!$M$4:$M$24,CB$4:CB$24)</f>
        <v>0</v>
      </c>
      <c r="CD40" s="3"/>
      <c r="CE40" s="108"/>
      <c r="CG40" s="156">
        <f>+SUMPRODUCT(MicroModelComponents!$M$4:$M$24,CG$4:CG$24)</f>
        <v>0</v>
      </c>
      <c r="CH40" s="157">
        <f>+SUMPRODUCT(MicroModelComponents!$M$4:$M$24,CH$4:CH$24)</f>
        <v>0</v>
      </c>
      <c r="CI40" s="157">
        <f>+SUMPRODUCT(MicroModelComponents!$M$4:$M$24,CI$4:CI$24)</f>
        <v>0</v>
      </c>
      <c r="CJ40" s="157">
        <f>+SUMPRODUCT(MicroModelComponents!$M$4:$M$24,CJ$4:CJ$24)</f>
        <v>0</v>
      </c>
      <c r="CK40" s="157">
        <f>+SUMPRODUCT(MicroModelComponents!$M$4:$M$24,CK$4:CK$24)</f>
        <v>0</v>
      </c>
      <c r="CL40" s="157">
        <f>+SUMPRODUCT(MicroModelComponents!$M$4:$M$24,CL$4:CL$24)</f>
        <v>0</v>
      </c>
      <c r="CM40" s="157">
        <f>+SUMPRODUCT(MicroModelComponents!$M$4:$M$24,CM$4:CM$24)</f>
        <v>0</v>
      </c>
      <c r="CN40" s="158">
        <f>+SUMPRODUCT(MicroModelComponents!$M$4:$M$24,CM$4:CM$24)</f>
        <v>0</v>
      </c>
      <c r="CO40" s="3"/>
      <c r="CP40" s="108"/>
      <c r="CR40" s="156">
        <f>+SUMPRODUCT(MicroModelComponents!$M$4:$M$24,CR$4:CR$24)</f>
        <v>0</v>
      </c>
      <c r="CS40" s="157">
        <f>+SUMPRODUCT(MicroModelComponents!$M$4:$M$24,CS$4:CS$24)</f>
        <v>0</v>
      </c>
      <c r="CT40" s="157">
        <f>+SUMPRODUCT(MicroModelComponents!$M$4:$M$24,CT$4:CT$24)</f>
        <v>0</v>
      </c>
      <c r="CU40" s="157">
        <f>+SUMPRODUCT(MicroModelComponents!$M$4:$M$24,CU$4:CU$24)</f>
        <v>0</v>
      </c>
      <c r="CV40" s="157">
        <f>+SUMPRODUCT(MicroModelComponents!$M$4:$M$24,CV$4:CV$24)</f>
        <v>0</v>
      </c>
      <c r="CW40" s="157">
        <f>+SUMPRODUCT(MicroModelComponents!$M$4:$M$24,CW$4:CW$24)</f>
        <v>0</v>
      </c>
      <c r="CX40" s="157">
        <f>+SUMPRODUCT(MicroModelComponents!$M$4:$M$24,CX$4:CX$24)</f>
        <v>0</v>
      </c>
      <c r="CY40" s="158">
        <f>+SUMPRODUCT(MicroModelComponents!$M$4:$M$24,CX$4:CX$24)</f>
        <v>0</v>
      </c>
      <c r="CZ40" s="3"/>
      <c r="DA40" s="108"/>
      <c r="DC40" s="156">
        <f>+SUMPRODUCT(MicroModelComponents!$M$4:$M$24,DC$4:DC$24)</f>
        <v>0</v>
      </c>
      <c r="DD40" s="157">
        <f>+SUMPRODUCT(MicroModelComponents!$M$4:$M$24,DD$4:DD$24)</f>
        <v>0</v>
      </c>
      <c r="DE40" s="157">
        <f>+SUMPRODUCT(MicroModelComponents!$M$4:$M$24,DE$4:DE$24)</f>
        <v>0</v>
      </c>
      <c r="DF40" s="157">
        <f>+SUMPRODUCT(MicroModelComponents!$M$4:$M$24,DF$4:DF$24)</f>
        <v>0</v>
      </c>
      <c r="DG40" s="157">
        <f>+SUMPRODUCT(MicroModelComponents!$M$4:$M$24,DG$4:DG$24)</f>
        <v>0</v>
      </c>
      <c r="DH40" s="157">
        <f>+SUMPRODUCT(MicroModelComponents!$M$4:$M$24,DH$4:DH$24)</f>
        <v>0</v>
      </c>
      <c r="DI40" s="157">
        <f>+SUMPRODUCT(MicroModelComponents!$M$4:$M$24,DI$4:DI$24)</f>
        <v>0</v>
      </c>
      <c r="DJ40" s="158">
        <f>+SUMPRODUCT(MicroModelComponents!$M$4:$M$24,DI$4:DI$24)</f>
        <v>0</v>
      </c>
      <c r="DK40" s="3"/>
      <c r="DL40" s="108"/>
      <c r="DN40" s="156">
        <f>+SUMPRODUCT(MicroModelComponents!$M$4:$M$24,DN$4:DN$24)</f>
        <v>0</v>
      </c>
      <c r="DO40" s="157">
        <f>+SUMPRODUCT(MicroModelComponents!$M$4:$M$24,DO$4:DO$24)</f>
        <v>0</v>
      </c>
      <c r="DP40" s="157">
        <f>+SUMPRODUCT(MicroModelComponents!$M$4:$M$24,DP$4:DP$24)</f>
        <v>0</v>
      </c>
      <c r="DQ40" s="157">
        <f>+SUMPRODUCT(MicroModelComponents!$M$4:$M$24,DQ$4:DQ$24)</f>
        <v>0</v>
      </c>
      <c r="DR40" s="157">
        <f>+SUMPRODUCT(MicroModelComponents!$M$4:$M$24,DR$4:DR$24)</f>
        <v>0</v>
      </c>
      <c r="DS40" s="157">
        <f>+SUMPRODUCT(MicroModelComponents!$M$4:$M$24,DS$4:DS$24)</f>
        <v>0</v>
      </c>
      <c r="DT40" s="157">
        <f>+SUMPRODUCT(MicroModelComponents!$M$4:$M$24,DT$4:DT$24)</f>
        <v>0</v>
      </c>
      <c r="DU40" s="158">
        <f>+SUMPRODUCT(MicroModelComponents!$M$4:$M$24,DT$4:DT$24)</f>
        <v>0</v>
      </c>
      <c r="DV40" s="3"/>
      <c r="DW40" s="108"/>
      <c r="DY40" s="156">
        <f>+SUMPRODUCT(MicroModelComponents!$M$4:$M$24,DY$4:DY$24)</f>
        <v>0</v>
      </c>
      <c r="DZ40" s="157">
        <f>+SUMPRODUCT(MicroModelComponents!$M$4:$M$24,DZ$4:DZ$24)</f>
        <v>0</v>
      </c>
      <c r="EA40" s="157">
        <f>+SUMPRODUCT(MicroModelComponents!$M$4:$M$24,EA$4:EA$24)</f>
        <v>0</v>
      </c>
      <c r="EB40" s="157">
        <f>+SUMPRODUCT(MicroModelComponents!$M$4:$M$24,EB$4:EB$24)</f>
        <v>0</v>
      </c>
      <c r="EC40" s="157">
        <f>+SUMPRODUCT(MicroModelComponents!$M$4:$M$24,EC$4:EC$24)</f>
        <v>0</v>
      </c>
      <c r="ED40" s="157">
        <f>+SUMPRODUCT(MicroModelComponents!$M$4:$M$24,ED$4:ED$24)</f>
        <v>0</v>
      </c>
      <c r="EE40" s="157">
        <f>+SUMPRODUCT(MicroModelComponents!$M$4:$M$24,EE$4:EE$24)</f>
        <v>0</v>
      </c>
      <c r="EF40" s="158">
        <f>+SUMPRODUCT(MicroModelComponents!$M$4:$M$24,EE$4:EE$24)</f>
        <v>0</v>
      </c>
      <c r="EG40" s="3"/>
      <c r="EH40" s="108"/>
      <c r="EJ40" s="156">
        <f>+SUMPRODUCT(MicroModelComponents!$M$4:$M$24,EJ$4:EJ$24)</f>
        <v>0</v>
      </c>
      <c r="EK40" s="157">
        <f>+SUMPRODUCT(MicroModelComponents!$M$4:$M$24,EK$4:EK$24)</f>
        <v>0</v>
      </c>
      <c r="EL40" s="157">
        <f>+SUMPRODUCT(MicroModelComponents!$M$4:$M$24,EL$4:EL$24)</f>
        <v>0</v>
      </c>
      <c r="EM40" s="157">
        <f>+SUMPRODUCT(MicroModelComponents!$M$4:$M$24,EM$4:EM$24)</f>
        <v>0</v>
      </c>
      <c r="EN40" s="157">
        <f>+SUMPRODUCT(MicroModelComponents!$M$4:$M$24,EN$4:EN$24)</f>
        <v>0</v>
      </c>
      <c r="EO40" s="157">
        <f>+SUMPRODUCT(MicroModelComponents!$M$4:$M$24,EO$4:EO$24)</f>
        <v>0</v>
      </c>
      <c r="EP40" s="157">
        <f>+SUMPRODUCT(MicroModelComponents!$M$4:$M$24,EP$4:EP$24)</f>
        <v>0</v>
      </c>
      <c r="EQ40" s="158">
        <f>+SUMPRODUCT(MicroModelComponents!$M$4:$M$24,EP$4:EP$24)</f>
        <v>0</v>
      </c>
      <c r="ER40" s="3"/>
      <c r="ES40" s="108"/>
      <c r="EU40" s="156">
        <f>+SUMPRODUCT(MicroModelComponents!$M$4:$M$24,EU$4:EU$24)</f>
        <v>0</v>
      </c>
      <c r="EV40" s="157">
        <f>+SUMPRODUCT(MicroModelComponents!$M$4:$M$24,EV$4:EV$24)</f>
        <v>0</v>
      </c>
      <c r="EW40" s="157">
        <f>+SUMPRODUCT(MicroModelComponents!$M$4:$M$24,EW$4:EW$24)</f>
        <v>0</v>
      </c>
      <c r="EX40" s="157">
        <f>+SUMPRODUCT(MicroModelComponents!$M$4:$M$24,EX$4:EX$24)</f>
        <v>0</v>
      </c>
      <c r="EY40" s="157">
        <f>+SUMPRODUCT(MicroModelComponents!$M$4:$M$24,EY$4:EY$24)</f>
        <v>0</v>
      </c>
      <c r="EZ40" s="157">
        <f>+SUMPRODUCT(MicroModelComponents!$M$4:$M$24,EZ$4:EZ$24)</f>
        <v>0</v>
      </c>
      <c r="FA40" s="157">
        <f>+SUMPRODUCT(MicroModelComponents!$M$4:$M$24,FA$4:FA$24)</f>
        <v>0</v>
      </c>
      <c r="FB40" s="158">
        <f>+SUMPRODUCT(MicroModelComponents!$M$4:$M$24,FA$4:FA$24)</f>
        <v>0</v>
      </c>
      <c r="FC40" s="3"/>
      <c r="FD40" s="108"/>
      <c r="FF40" s="156">
        <f>+SUMPRODUCT(MicroModelComponents!$M$4:$M$24,FF$4:FF$24)</f>
        <v>0</v>
      </c>
      <c r="FG40" s="157">
        <f>+SUMPRODUCT(MicroModelComponents!$M$4:$M$24,FG$4:FG$24)</f>
        <v>0</v>
      </c>
      <c r="FH40" s="157">
        <f>+SUMPRODUCT(MicroModelComponents!$M$4:$M$24,FH$4:FH$24)</f>
        <v>0</v>
      </c>
      <c r="FI40" s="157">
        <f>+SUMPRODUCT(MicroModelComponents!$M$4:$M$24,FI$4:FI$24)</f>
        <v>0</v>
      </c>
      <c r="FJ40" s="157">
        <f>+SUMPRODUCT(MicroModelComponents!$M$4:$M$24,FJ$4:FJ$24)</f>
        <v>0</v>
      </c>
      <c r="FK40" s="157">
        <f>+SUMPRODUCT(MicroModelComponents!$M$4:$M$24,FK$4:FK$24)</f>
        <v>0</v>
      </c>
      <c r="FL40" s="157">
        <f>+SUMPRODUCT(MicroModelComponents!$M$4:$M$24,FL$4:FL$24)</f>
        <v>0</v>
      </c>
      <c r="FM40" s="158">
        <f>+SUMPRODUCT(MicroModelComponents!$M$4:$M$24,FL$4:FL$24)</f>
        <v>0</v>
      </c>
      <c r="FN40" s="3"/>
      <c r="FO40" s="108"/>
      <c r="FQ40" s="156">
        <f>+SUMPRODUCT(MicroModelComponents!$M$4:$M$24,FQ$4:FQ$24)</f>
        <v>0</v>
      </c>
      <c r="FR40" s="157">
        <f>+SUMPRODUCT(MicroModelComponents!$M$4:$M$24,FR$4:FR$24)</f>
        <v>0</v>
      </c>
      <c r="FS40" s="157">
        <f>+SUMPRODUCT(MicroModelComponents!$M$4:$M$24,FS$4:FS$24)</f>
        <v>0</v>
      </c>
      <c r="FT40" s="157">
        <f>+SUMPRODUCT(MicroModelComponents!$M$4:$M$24,FT$4:FT$24)</f>
        <v>0</v>
      </c>
      <c r="FU40" s="157">
        <f>+SUMPRODUCT(MicroModelComponents!$M$4:$M$24,FU$4:FU$24)</f>
        <v>0</v>
      </c>
      <c r="FV40" s="157">
        <f>+SUMPRODUCT(MicroModelComponents!$M$4:$M$24,FV$4:FV$24)</f>
        <v>0</v>
      </c>
      <c r="FW40" s="157">
        <f>+SUMPRODUCT(MicroModelComponents!$M$4:$M$24,FW$4:FW$24)</f>
        <v>0</v>
      </c>
      <c r="FX40" s="158">
        <f>+SUMPRODUCT(MicroModelComponents!$M$4:$M$24,FW$4:FW$24)</f>
        <v>0</v>
      </c>
      <c r="FY40" s="3"/>
      <c r="FZ40" s="108"/>
      <c r="GB40" s="156">
        <f>+SUMPRODUCT(MicroModelComponents!$M$4:$M$24,GB$4:GB$24)</f>
        <v>0</v>
      </c>
      <c r="GC40" s="157">
        <f>+SUMPRODUCT(MicroModelComponents!$M$4:$M$24,GC$4:GC$24)</f>
        <v>0</v>
      </c>
      <c r="GD40" s="157">
        <f>+SUMPRODUCT(MicroModelComponents!$M$4:$M$24,GD$4:GD$24)</f>
        <v>0</v>
      </c>
      <c r="GE40" s="157">
        <f>+SUMPRODUCT(MicroModelComponents!$M$4:$M$24,GE$4:GE$24)</f>
        <v>0</v>
      </c>
      <c r="GF40" s="157">
        <f>+SUMPRODUCT(MicroModelComponents!$M$4:$M$24,GF$4:GF$24)</f>
        <v>0</v>
      </c>
      <c r="GG40" s="157">
        <f>+SUMPRODUCT(MicroModelComponents!$M$4:$M$24,GG$4:GG$24)</f>
        <v>0</v>
      </c>
      <c r="GH40" s="157">
        <f>+SUMPRODUCT(MicroModelComponents!$M$4:$M$24,GH$4:GH$24)</f>
        <v>0</v>
      </c>
      <c r="GI40" s="158">
        <f>+SUMPRODUCT(MicroModelComponents!$M$4:$M$24,GH$4:GH$24)</f>
        <v>0</v>
      </c>
      <c r="GJ40" s="3"/>
      <c r="GK40" s="108"/>
      <c r="GM40" s="156">
        <f>+SUMPRODUCT(MicroModelComponents!$M$4:$M$24,GM$4:GM$24)</f>
        <v>0</v>
      </c>
      <c r="GN40" s="157">
        <f>+SUMPRODUCT(MicroModelComponents!$M$4:$M$24,GN$4:GN$24)</f>
        <v>0</v>
      </c>
      <c r="GO40" s="157">
        <f>+SUMPRODUCT(MicroModelComponents!$M$4:$M$24,GO$4:GO$24)</f>
        <v>0</v>
      </c>
      <c r="GP40" s="157">
        <f>+SUMPRODUCT(MicroModelComponents!$M$4:$M$24,GP$4:GP$24)</f>
        <v>0</v>
      </c>
      <c r="GQ40" s="157">
        <f>+SUMPRODUCT(MicroModelComponents!$M$4:$M$24,GQ$4:GQ$24)</f>
        <v>0</v>
      </c>
      <c r="GR40" s="157">
        <f>+SUMPRODUCT(MicroModelComponents!$M$4:$M$24,GR$4:GR$24)</f>
        <v>0</v>
      </c>
      <c r="GS40" s="157">
        <f>+SUMPRODUCT(MicroModelComponents!$M$4:$M$24,GS$4:GS$24)</f>
        <v>0</v>
      </c>
      <c r="GT40" s="158">
        <f>+SUMPRODUCT(MicroModelComponents!$M$4:$M$24,GS$4:GS$24)</f>
        <v>0</v>
      </c>
      <c r="GU40" s="3"/>
      <c r="GV40" s="108"/>
      <c r="GX40" s="156">
        <f>+SUMPRODUCT(MicroModelComponents!$M$4:$M$24,GX$4:GX$24)</f>
        <v>0</v>
      </c>
      <c r="GY40" s="157">
        <f>+SUMPRODUCT(MicroModelComponents!$M$4:$M$24,GY$4:GY$24)</f>
        <v>0</v>
      </c>
      <c r="GZ40" s="157">
        <f>+SUMPRODUCT(MicroModelComponents!$M$4:$M$24,GZ$4:GZ$24)</f>
        <v>0</v>
      </c>
      <c r="HA40" s="157">
        <f>+SUMPRODUCT(MicroModelComponents!$M$4:$M$24,HA$4:HA$24)</f>
        <v>0</v>
      </c>
      <c r="HB40" s="157">
        <f>+SUMPRODUCT(MicroModelComponents!$M$4:$M$24,HB$4:HB$24)</f>
        <v>0</v>
      </c>
      <c r="HC40" s="157">
        <f>+SUMPRODUCT(MicroModelComponents!$M$4:$M$24,HC$4:HC$24)</f>
        <v>0</v>
      </c>
      <c r="HD40" s="157">
        <f>+SUMPRODUCT(MicroModelComponents!$M$4:$M$24,HD$4:HD$24)</f>
        <v>0</v>
      </c>
      <c r="HE40" s="158">
        <f>+SUMPRODUCT(MicroModelComponents!$M$4:$M$24,HD$4:HD$24)</f>
        <v>0</v>
      </c>
      <c r="HF40" s="3"/>
      <c r="HG40" s="108"/>
      <c r="HI40" s="156">
        <f>+SUMPRODUCT(MicroModelComponents!$M$4:$M$24,HI$4:HI$24)</f>
        <v>0</v>
      </c>
      <c r="HJ40" s="157">
        <f>+SUMPRODUCT(MicroModelComponents!$M$4:$M$24,HJ$4:HJ$24)</f>
        <v>0</v>
      </c>
      <c r="HK40" s="157">
        <f>+SUMPRODUCT(MicroModelComponents!$M$4:$M$24,HK$4:HK$24)</f>
        <v>0</v>
      </c>
      <c r="HL40" s="157">
        <f>+SUMPRODUCT(MicroModelComponents!$M$4:$M$24,HL$4:HL$24)</f>
        <v>0</v>
      </c>
      <c r="HM40" s="157">
        <f>+SUMPRODUCT(MicroModelComponents!$M$4:$M$24,HM$4:HM$24)</f>
        <v>0</v>
      </c>
      <c r="HN40" s="157">
        <f>+SUMPRODUCT(MicroModelComponents!$M$4:$M$24,HN$4:HN$24)</f>
        <v>0</v>
      </c>
      <c r="HO40" s="157">
        <f>+SUMPRODUCT(MicroModelComponents!$M$4:$M$24,HO$4:HO$24)</f>
        <v>0</v>
      </c>
      <c r="HP40" s="158">
        <f>+SUMPRODUCT(MicroModelComponents!$M$4:$M$24,HO$4:HO$24)</f>
        <v>0</v>
      </c>
      <c r="HQ40" s="3"/>
      <c r="HR40" s="108"/>
      <c r="HT40" s="156">
        <f>+SUMPRODUCT(MicroModelComponents!$M$4:$M$24,HT$4:HT$24)</f>
        <v>0</v>
      </c>
      <c r="HU40" s="157">
        <f>+SUMPRODUCT(MicroModelComponents!$M$4:$M$24,HU$4:HU$24)</f>
        <v>0</v>
      </c>
      <c r="HV40" s="157">
        <f>+SUMPRODUCT(MicroModelComponents!$M$4:$M$24,HV$4:HV$24)</f>
        <v>0</v>
      </c>
      <c r="HW40" s="157">
        <f>+SUMPRODUCT(MicroModelComponents!$M$4:$M$24,HW$4:HW$24)</f>
        <v>0</v>
      </c>
      <c r="HX40" s="157">
        <f>+SUMPRODUCT(MicroModelComponents!$M$4:$M$24,HX$4:HX$24)</f>
        <v>0</v>
      </c>
      <c r="HY40" s="157">
        <f>+SUMPRODUCT(MicroModelComponents!$M$4:$M$24,HY$4:HY$24)</f>
        <v>0</v>
      </c>
      <c r="HZ40" s="157">
        <f>+SUMPRODUCT(MicroModelComponents!$M$4:$M$24,HZ$4:HZ$24)</f>
        <v>0</v>
      </c>
      <c r="IA40" s="158">
        <f>+SUMPRODUCT(MicroModelComponents!$M$4:$M$24,HZ$4:HZ$24)</f>
        <v>0</v>
      </c>
      <c r="IB40" s="3"/>
      <c r="IC40" s="108"/>
      <c r="ID40" s="156">
        <f>+SUMPRODUCT(MicroModelComponents!$M$4:$M$24,ID$4:ID$24)</f>
        <v>0</v>
      </c>
      <c r="IE40" s="108"/>
      <c r="IF40" s="156">
        <f>+SUMPRODUCT(MicroModelComponents!$M$4:$M$24,IF$4:IF$24)</f>
        <v>0</v>
      </c>
      <c r="IG40" s="156">
        <f>+SUMPRODUCT(MicroModelComponents!$M$4:$M$24,IG$4:IG$24)</f>
        <v>0</v>
      </c>
      <c r="IH40" s="156">
        <f>+SUMPRODUCT(MicroModelComponents!$M$4:$M$24,IH$4:IH$24)</f>
        <v>0</v>
      </c>
      <c r="II40" s="108"/>
      <c r="IJ40" s="156">
        <f>+SUMPRODUCT(MicroModelComponents!$M$4:$M$24,IJ$4:IJ$24)</f>
        <v>0</v>
      </c>
      <c r="IK40" s="108"/>
      <c r="IS40" s="84"/>
      <c r="IT40" s="84"/>
      <c r="IU40" s="84"/>
      <c r="IV40" s="84"/>
    </row>
    <row r="41" spans="2:256" ht="13.5" customHeight="1">
      <c r="C41" s="41" t="s">
        <v>323</v>
      </c>
      <c r="N41" s="41" t="s">
        <v>323</v>
      </c>
      <c r="O41" s="105"/>
      <c r="P41" s="3"/>
      <c r="Q41" s="108"/>
      <c r="S41" s="156">
        <f>+SUMPRODUCT(MicroModelComponents!$N$4:$N$24,S$4:S$24)</f>
        <v>0</v>
      </c>
      <c r="T41" s="157">
        <f>+SUMPRODUCT(MicroModelComponents!$N$4:$N$24,T$4:T$24)</f>
        <v>0</v>
      </c>
      <c r="U41" s="157">
        <f>+SUMPRODUCT(MicroModelComponents!$N$4:$N$24,U$4:U$24)</f>
        <v>0</v>
      </c>
      <c r="V41" s="157">
        <f>+SUMPRODUCT(MicroModelComponents!$N$4:$N$24,V$4:V$24)</f>
        <v>0</v>
      </c>
      <c r="W41" s="157">
        <f>+SUMPRODUCT(MicroModelComponents!$N$4:$N$24,W$4:W$24)</f>
        <v>0</v>
      </c>
      <c r="X41" s="157">
        <f>+SUMPRODUCT(MicroModelComponents!$N$4:$N$24,X$4:X$24)</f>
        <v>0</v>
      </c>
      <c r="Y41" s="157">
        <f>+SUMPRODUCT(MicroModelComponents!$N$4:$N$24,Y$4:Y$24)</f>
        <v>0</v>
      </c>
      <c r="Z41" s="158">
        <f>+SUMPRODUCT(MicroModelComponents!$N$4:$N$24,Y$4:Y$24)</f>
        <v>0</v>
      </c>
      <c r="AA41" s="3"/>
      <c r="AB41" s="108"/>
      <c r="AD41" s="156">
        <f>+SUMPRODUCT(MicroModelComponents!$N$4:$N$24,AD$4:AD$24)</f>
        <v>0</v>
      </c>
      <c r="AE41" s="157">
        <f>+SUMPRODUCT(MicroModelComponents!$N$4:$N$24,AE$4:AE$24)</f>
        <v>0</v>
      </c>
      <c r="AF41" s="157">
        <f>+SUMPRODUCT(MicroModelComponents!$N$4:$N$24,AF$4:AF$24)</f>
        <v>0</v>
      </c>
      <c r="AG41" s="157">
        <f>+SUMPRODUCT(MicroModelComponents!$N$4:$N$24,AG$4:AG$24)</f>
        <v>0</v>
      </c>
      <c r="AH41" s="157">
        <f>+SUMPRODUCT(MicroModelComponents!$N$4:$N$24,AH$4:AH$24)</f>
        <v>0</v>
      </c>
      <c r="AI41" s="157">
        <f>+SUMPRODUCT(MicroModelComponents!$N$4:$N$24,AI$4:AI$24)</f>
        <v>0</v>
      </c>
      <c r="AJ41" s="157">
        <f>+SUMPRODUCT(MicroModelComponents!$N$4:$N$24,AJ$4:AJ$24)</f>
        <v>0</v>
      </c>
      <c r="AK41" s="158">
        <f>+SUMPRODUCT(MicroModelComponents!$N$4:$N$24,AJ$4:AJ$24)</f>
        <v>0</v>
      </c>
      <c r="AL41" s="3"/>
      <c r="AM41" s="108"/>
      <c r="AO41" s="156">
        <f>+SUMPRODUCT(MicroModelComponents!$N$4:$N$24,AO$4:AO$24)</f>
        <v>0</v>
      </c>
      <c r="AP41" s="157">
        <f>+SUMPRODUCT(MicroModelComponents!$N$4:$N$24,AP$4:AP$24)</f>
        <v>0</v>
      </c>
      <c r="AQ41" s="157">
        <f>+SUMPRODUCT(MicroModelComponents!$N$4:$N$24,AQ$4:AQ$24)</f>
        <v>0</v>
      </c>
      <c r="AR41" s="157">
        <f>+SUMPRODUCT(MicroModelComponents!$N$4:$N$24,AR$4:AR$24)</f>
        <v>0</v>
      </c>
      <c r="AS41" s="157">
        <f>+SUMPRODUCT(MicroModelComponents!$N$4:$N$24,AS$4:AS$24)</f>
        <v>0</v>
      </c>
      <c r="AT41" s="157">
        <f>+SUMPRODUCT(MicroModelComponents!$N$4:$N$24,AT$4:AT$24)</f>
        <v>0</v>
      </c>
      <c r="AU41" s="157">
        <f>+SUMPRODUCT(MicroModelComponents!$N$4:$N$24,AU$4:AU$24)</f>
        <v>0</v>
      </c>
      <c r="AV41" s="158">
        <f>+SUMPRODUCT(MicroModelComponents!$N$4:$N$24,AU$4:AU$24)</f>
        <v>0</v>
      </c>
      <c r="AW41" s="3"/>
      <c r="AX41" s="108"/>
      <c r="AZ41" s="156">
        <f>+SUMPRODUCT(MicroModelComponents!$N$4:$N$24,AZ$4:AZ$24)</f>
        <v>0</v>
      </c>
      <c r="BA41" s="157">
        <f>+SUMPRODUCT(MicroModelComponents!$N$4:$N$24,BA$4:BA$24)</f>
        <v>0</v>
      </c>
      <c r="BB41" s="157">
        <f>+SUMPRODUCT(MicroModelComponents!$N$4:$N$24,BB$4:BB$24)</f>
        <v>0</v>
      </c>
      <c r="BC41" s="157">
        <f>+SUMPRODUCT(MicroModelComponents!$N$4:$N$24,BC$4:BC$24)</f>
        <v>0</v>
      </c>
      <c r="BD41" s="157">
        <f>+SUMPRODUCT(MicroModelComponents!$N$4:$N$24,BD$4:BD$24)</f>
        <v>0</v>
      </c>
      <c r="BE41" s="157">
        <f>+SUMPRODUCT(MicroModelComponents!$N$4:$N$24,BE$4:BE$24)</f>
        <v>0</v>
      </c>
      <c r="BF41" s="157">
        <f>+SUMPRODUCT(MicroModelComponents!$N$4:$N$24,BF$4:BF$24)</f>
        <v>0</v>
      </c>
      <c r="BG41" s="158">
        <f>+SUMPRODUCT(MicroModelComponents!$N$4:$N$24,BF$4:BF$24)</f>
        <v>0</v>
      </c>
      <c r="BH41" s="3"/>
      <c r="BI41" s="108"/>
      <c r="BK41" s="156">
        <f>+SUMPRODUCT(MicroModelComponents!$N$4:$N$24,BK$4:BK$24)</f>
        <v>0</v>
      </c>
      <c r="BL41" s="157">
        <f>+SUMPRODUCT(MicroModelComponents!$N$4:$N$24,BL$4:BL$24)</f>
        <v>0</v>
      </c>
      <c r="BM41" s="157">
        <f>+SUMPRODUCT(MicroModelComponents!$N$4:$N$24,BM$4:BM$24)</f>
        <v>0</v>
      </c>
      <c r="BN41" s="157">
        <f>+SUMPRODUCT(MicroModelComponents!$N$4:$N$24,BN$4:BN$24)</f>
        <v>0</v>
      </c>
      <c r="BO41" s="157">
        <f>+SUMPRODUCT(MicroModelComponents!$N$4:$N$24,BO$4:BO$24)</f>
        <v>0</v>
      </c>
      <c r="BP41" s="157">
        <f>+SUMPRODUCT(MicroModelComponents!$N$4:$N$24,BP$4:BP$24)</f>
        <v>0</v>
      </c>
      <c r="BQ41" s="157">
        <f>+SUMPRODUCT(MicroModelComponents!$N$4:$N$24,BQ$4:BQ$24)</f>
        <v>0</v>
      </c>
      <c r="BR41" s="158">
        <f>+SUMPRODUCT(MicroModelComponents!$N$4:$N$24,BQ$4:BQ$24)</f>
        <v>0</v>
      </c>
      <c r="BS41" s="3"/>
      <c r="BT41" s="108"/>
      <c r="BV41" s="156">
        <f>+SUMPRODUCT(MicroModelComponents!$N$4:$N$24,BV$4:BV$24)</f>
        <v>0</v>
      </c>
      <c r="BW41" s="157">
        <f>+SUMPRODUCT(MicroModelComponents!$N$4:$N$24,BW$4:BW$24)</f>
        <v>0</v>
      </c>
      <c r="BX41" s="157">
        <f>+SUMPRODUCT(MicroModelComponents!$N$4:$N$24,BX$4:BX$24)</f>
        <v>0</v>
      </c>
      <c r="BY41" s="157">
        <f>+SUMPRODUCT(MicroModelComponents!$N$4:$N$24,BY$4:BY$24)</f>
        <v>0</v>
      </c>
      <c r="BZ41" s="157">
        <f>+SUMPRODUCT(MicroModelComponents!$N$4:$N$24,BZ$4:BZ$24)</f>
        <v>0</v>
      </c>
      <c r="CA41" s="157">
        <f>+SUMPRODUCT(MicroModelComponents!$N$4:$N$24,CA$4:CA$24)</f>
        <v>0</v>
      </c>
      <c r="CB41" s="157">
        <f>+SUMPRODUCT(MicroModelComponents!$N$4:$N$24,CB$4:CB$24)</f>
        <v>0</v>
      </c>
      <c r="CC41" s="158">
        <f>+SUMPRODUCT(MicroModelComponents!$N$4:$N$24,CB$4:CB$24)</f>
        <v>0</v>
      </c>
      <c r="CD41" s="3"/>
      <c r="CE41" s="108"/>
      <c r="CG41" s="156">
        <f>+SUMPRODUCT(MicroModelComponents!$N$4:$N$24,CG$4:CG$24)</f>
        <v>0</v>
      </c>
      <c r="CH41" s="157">
        <f>+SUMPRODUCT(MicroModelComponents!$N$4:$N$24,CH$4:CH$24)</f>
        <v>0</v>
      </c>
      <c r="CI41" s="157">
        <f>+SUMPRODUCT(MicroModelComponents!$N$4:$N$24,CI$4:CI$24)</f>
        <v>0</v>
      </c>
      <c r="CJ41" s="157">
        <f>+SUMPRODUCT(MicroModelComponents!$N$4:$N$24,CJ$4:CJ$24)</f>
        <v>0</v>
      </c>
      <c r="CK41" s="157">
        <f>+SUMPRODUCT(MicroModelComponents!$N$4:$N$24,CK$4:CK$24)</f>
        <v>0</v>
      </c>
      <c r="CL41" s="157">
        <f>+SUMPRODUCT(MicroModelComponents!$N$4:$N$24,CL$4:CL$24)</f>
        <v>0</v>
      </c>
      <c r="CM41" s="157">
        <f>+SUMPRODUCT(MicroModelComponents!$N$4:$N$24,CM$4:CM$24)</f>
        <v>0</v>
      </c>
      <c r="CN41" s="158">
        <f>+SUMPRODUCT(MicroModelComponents!$N$4:$N$24,CM$4:CM$24)</f>
        <v>0</v>
      </c>
      <c r="CO41" s="3"/>
      <c r="CP41" s="108"/>
      <c r="CR41" s="156">
        <f>+SUMPRODUCT(MicroModelComponents!$N$4:$N$24,CR$4:CR$24)</f>
        <v>0</v>
      </c>
      <c r="CS41" s="157">
        <f>+SUMPRODUCT(MicroModelComponents!$N$4:$N$24,CS$4:CS$24)</f>
        <v>0</v>
      </c>
      <c r="CT41" s="157">
        <f>+SUMPRODUCT(MicroModelComponents!$N$4:$N$24,CT$4:CT$24)</f>
        <v>0</v>
      </c>
      <c r="CU41" s="157">
        <f>+SUMPRODUCT(MicroModelComponents!$N$4:$N$24,CU$4:CU$24)</f>
        <v>0</v>
      </c>
      <c r="CV41" s="157">
        <f>+SUMPRODUCT(MicroModelComponents!$N$4:$N$24,CV$4:CV$24)</f>
        <v>0</v>
      </c>
      <c r="CW41" s="157">
        <f>+SUMPRODUCT(MicroModelComponents!$N$4:$N$24,CW$4:CW$24)</f>
        <v>0</v>
      </c>
      <c r="CX41" s="157">
        <f>+SUMPRODUCT(MicroModelComponents!$N$4:$N$24,CX$4:CX$24)</f>
        <v>0</v>
      </c>
      <c r="CY41" s="158">
        <f>+SUMPRODUCT(MicroModelComponents!$N$4:$N$24,CX$4:CX$24)</f>
        <v>0</v>
      </c>
      <c r="CZ41" s="3"/>
      <c r="DA41" s="108"/>
      <c r="DC41" s="156">
        <f>+SUMPRODUCT(MicroModelComponents!$N$4:$N$24,DC$4:DC$24)</f>
        <v>0</v>
      </c>
      <c r="DD41" s="157">
        <f>+SUMPRODUCT(MicroModelComponents!$N$4:$N$24,DD$4:DD$24)</f>
        <v>0</v>
      </c>
      <c r="DE41" s="157">
        <f>+SUMPRODUCT(MicroModelComponents!$N$4:$N$24,DE$4:DE$24)</f>
        <v>0</v>
      </c>
      <c r="DF41" s="157">
        <f>+SUMPRODUCT(MicroModelComponents!$N$4:$N$24,DF$4:DF$24)</f>
        <v>0</v>
      </c>
      <c r="DG41" s="157">
        <f>+SUMPRODUCT(MicroModelComponents!$N$4:$N$24,DG$4:DG$24)</f>
        <v>0</v>
      </c>
      <c r="DH41" s="157">
        <f>+SUMPRODUCT(MicroModelComponents!$N$4:$N$24,DH$4:DH$24)</f>
        <v>0</v>
      </c>
      <c r="DI41" s="157">
        <f>+SUMPRODUCT(MicroModelComponents!$N$4:$N$24,DI$4:DI$24)</f>
        <v>0</v>
      </c>
      <c r="DJ41" s="158">
        <f>+SUMPRODUCT(MicroModelComponents!$N$4:$N$24,DI$4:DI$24)</f>
        <v>0</v>
      </c>
      <c r="DK41" s="3"/>
      <c r="DL41" s="108"/>
      <c r="DN41" s="156">
        <f>+SUMPRODUCT(MicroModelComponents!$N$4:$N$24,DN$4:DN$24)</f>
        <v>0</v>
      </c>
      <c r="DO41" s="157">
        <f>+SUMPRODUCT(MicroModelComponents!$N$4:$N$24,DO$4:DO$24)</f>
        <v>0</v>
      </c>
      <c r="DP41" s="157">
        <f>+SUMPRODUCT(MicroModelComponents!$N$4:$N$24,DP$4:DP$24)</f>
        <v>0</v>
      </c>
      <c r="DQ41" s="157">
        <f>+SUMPRODUCT(MicroModelComponents!$N$4:$N$24,DQ$4:DQ$24)</f>
        <v>0</v>
      </c>
      <c r="DR41" s="157">
        <f>+SUMPRODUCT(MicroModelComponents!$N$4:$N$24,DR$4:DR$24)</f>
        <v>0</v>
      </c>
      <c r="DS41" s="157">
        <f>+SUMPRODUCT(MicroModelComponents!$N$4:$N$24,DS$4:DS$24)</f>
        <v>0</v>
      </c>
      <c r="DT41" s="157">
        <f>+SUMPRODUCT(MicroModelComponents!$N$4:$N$24,DT$4:DT$24)</f>
        <v>0</v>
      </c>
      <c r="DU41" s="158">
        <f>+SUMPRODUCT(MicroModelComponents!$N$4:$N$24,DT$4:DT$24)</f>
        <v>0</v>
      </c>
      <c r="DV41" s="3"/>
      <c r="DW41" s="108"/>
      <c r="DY41" s="156">
        <f>+SUMPRODUCT(MicroModelComponents!$N$4:$N$24,DY$4:DY$24)</f>
        <v>0</v>
      </c>
      <c r="DZ41" s="157">
        <f>+SUMPRODUCT(MicroModelComponents!$N$4:$N$24,DZ$4:DZ$24)</f>
        <v>0</v>
      </c>
      <c r="EA41" s="157">
        <f>+SUMPRODUCT(MicroModelComponents!$N$4:$N$24,EA$4:EA$24)</f>
        <v>0</v>
      </c>
      <c r="EB41" s="157">
        <f>+SUMPRODUCT(MicroModelComponents!$N$4:$N$24,EB$4:EB$24)</f>
        <v>0</v>
      </c>
      <c r="EC41" s="157">
        <f>+SUMPRODUCT(MicroModelComponents!$N$4:$N$24,EC$4:EC$24)</f>
        <v>0</v>
      </c>
      <c r="ED41" s="157">
        <f>+SUMPRODUCT(MicroModelComponents!$N$4:$N$24,ED$4:ED$24)</f>
        <v>0</v>
      </c>
      <c r="EE41" s="157">
        <f>+SUMPRODUCT(MicroModelComponents!$N$4:$N$24,EE$4:EE$24)</f>
        <v>0</v>
      </c>
      <c r="EF41" s="158">
        <f>+SUMPRODUCT(MicroModelComponents!$N$4:$N$24,EE$4:EE$24)</f>
        <v>0</v>
      </c>
      <c r="EG41" s="3"/>
      <c r="EH41" s="108"/>
      <c r="EJ41" s="156">
        <f>+SUMPRODUCT(MicroModelComponents!$N$4:$N$24,EJ$4:EJ$24)</f>
        <v>0</v>
      </c>
      <c r="EK41" s="157">
        <f>+SUMPRODUCT(MicroModelComponents!$N$4:$N$24,EK$4:EK$24)</f>
        <v>0</v>
      </c>
      <c r="EL41" s="157">
        <f>+SUMPRODUCT(MicroModelComponents!$N$4:$N$24,EL$4:EL$24)</f>
        <v>0</v>
      </c>
      <c r="EM41" s="157">
        <f>+SUMPRODUCT(MicroModelComponents!$N$4:$N$24,EM$4:EM$24)</f>
        <v>0</v>
      </c>
      <c r="EN41" s="157">
        <f>+SUMPRODUCT(MicroModelComponents!$N$4:$N$24,EN$4:EN$24)</f>
        <v>0</v>
      </c>
      <c r="EO41" s="157">
        <f>+SUMPRODUCT(MicroModelComponents!$N$4:$N$24,EO$4:EO$24)</f>
        <v>0</v>
      </c>
      <c r="EP41" s="157">
        <f>+SUMPRODUCT(MicroModelComponents!$N$4:$N$24,EP$4:EP$24)</f>
        <v>0</v>
      </c>
      <c r="EQ41" s="158">
        <f>+SUMPRODUCT(MicroModelComponents!$N$4:$N$24,EP$4:EP$24)</f>
        <v>0</v>
      </c>
      <c r="ER41" s="3"/>
      <c r="ES41" s="108"/>
      <c r="EU41" s="156">
        <f>+SUMPRODUCT(MicroModelComponents!$N$4:$N$24,EU$4:EU$24)</f>
        <v>0</v>
      </c>
      <c r="EV41" s="157">
        <f>+SUMPRODUCT(MicroModelComponents!$N$4:$N$24,EV$4:EV$24)</f>
        <v>0</v>
      </c>
      <c r="EW41" s="157">
        <f>+SUMPRODUCT(MicroModelComponents!$N$4:$N$24,EW$4:EW$24)</f>
        <v>0</v>
      </c>
      <c r="EX41" s="157">
        <f>+SUMPRODUCT(MicroModelComponents!$N$4:$N$24,EX$4:EX$24)</f>
        <v>0</v>
      </c>
      <c r="EY41" s="157">
        <f>+SUMPRODUCT(MicroModelComponents!$N$4:$N$24,EY$4:EY$24)</f>
        <v>0</v>
      </c>
      <c r="EZ41" s="157">
        <f>+SUMPRODUCT(MicroModelComponents!$N$4:$N$24,EZ$4:EZ$24)</f>
        <v>0</v>
      </c>
      <c r="FA41" s="157">
        <f>+SUMPRODUCT(MicroModelComponents!$N$4:$N$24,FA$4:FA$24)</f>
        <v>0</v>
      </c>
      <c r="FB41" s="158">
        <f>+SUMPRODUCT(MicroModelComponents!$N$4:$N$24,FA$4:FA$24)</f>
        <v>0</v>
      </c>
      <c r="FC41" s="3"/>
      <c r="FD41" s="108"/>
      <c r="FF41" s="156">
        <f>+SUMPRODUCT(MicroModelComponents!$N$4:$N$24,FF$4:FF$24)</f>
        <v>0</v>
      </c>
      <c r="FG41" s="157">
        <f>+SUMPRODUCT(MicroModelComponents!$N$4:$N$24,FG$4:FG$24)</f>
        <v>0</v>
      </c>
      <c r="FH41" s="157">
        <f>+SUMPRODUCT(MicroModelComponents!$N$4:$N$24,FH$4:FH$24)</f>
        <v>0</v>
      </c>
      <c r="FI41" s="157">
        <f>+SUMPRODUCT(MicroModelComponents!$N$4:$N$24,FI$4:FI$24)</f>
        <v>0</v>
      </c>
      <c r="FJ41" s="157">
        <f>+SUMPRODUCT(MicroModelComponents!$N$4:$N$24,FJ$4:FJ$24)</f>
        <v>0</v>
      </c>
      <c r="FK41" s="157">
        <f>+SUMPRODUCT(MicroModelComponents!$N$4:$N$24,FK$4:FK$24)</f>
        <v>0</v>
      </c>
      <c r="FL41" s="157">
        <f>+SUMPRODUCT(MicroModelComponents!$N$4:$N$24,FL$4:FL$24)</f>
        <v>0</v>
      </c>
      <c r="FM41" s="158">
        <f>+SUMPRODUCT(MicroModelComponents!$N$4:$N$24,FL$4:FL$24)</f>
        <v>0</v>
      </c>
      <c r="FN41" s="3"/>
      <c r="FO41" s="108"/>
      <c r="FQ41" s="156">
        <f>+SUMPRODUCT(MicroModelComponents!$N$4:$N$24,FQ$4:FQ$24)</f>
        <v>0</v>
      </c>
      <c r="FR41" s="157">
        <f>+SUMPRODUCT(MicroModelComponents!$N$4:$N$24,FR$4:FR$24)</f>
        <v>0</v>
      </c>
      <c r="FS41" s="157">
        <f>+SUMPRODUCT(MicroModelComponents!$N$4:$N$24,FS$4:FS$24)</f>
        <v>0</v>
      </c>
      <c r="FT41" s="157">
        <f>+SUMPRODUCT(MicroModelComponents!$N$4:$N$24,FT$4:FT$24)</f>
        <v>0</v>
      </c>
      <c r="FU41" s="157">
        <f>+SUMPRODUCT(MicroModelComponents!$N$4:$N$24,FU$4:FU$24)</f>
        <v>0</v>
      </c>
      <c r="FV41" s="157">
        <f>+SUMPRODUCT(MicroModelComponents!$N$4:$N$24,FV$4:FV$24)</f>
        <v>0</v>
      </c>
      <c r="FW41" s="157">
        <f>+SUMPRODUCT(MicroModelComponents!$N$4:$N$24,FW$4:FW$24)</f>
        <v>0</v>
      </c>
      <c r="FX41" s="158">
        <f>+SUMPRODUCT(MicroModelComponents!$N$4:$N$24,FW$4:FW$24)</f>
        <v>0</v>
      </c>
      <c r="FY41" s="3"/>
      <c r="FZ41" s="108"/>
      <c r="GB41" s="156">
        <f>+SUMPRODUCT(MicroModelComponents!$N$4:$N$24,GB$4:GB$24)</f>
        <v>0</v>
      </c>
      <c r="GC41" s="157">
        <f>+SUMPRODUCT(MicroModelComponents!$N$4:$N$24,GC$4:GC$24)</f>
        <v>0</v>
      </c>
      <c r="GD41" s="157">
        <f>+SUMPRODUCT(MicroModelComponents!$N$4:$N$24,GD$4:GD$24)</f>
        <v>0</v>
      </c>
      <c r="GE41" s="157">
        <f>+SUMPRODUCT(MicroModelComponents!$N$4:$N$24,GE$4:GE$24)</f>
        <v>0</v>
      </c>
      <c r="GF41" s="157">
        <f>+SUMPRODUCT(MicroModelComponents!$N$4:$N$24,GF$4:GF$24)</f>
        <v>0</v>
      </c>
      <c r="GG41" s="157">
        <f>+SUMPRODUCT(MicroModelComponents!$N$4:$N$24,GG$4:GG$24)</f>
        <v>0</v>
      </c>
      <c r="GH41" s="157">
        <f>+SUMPRODUCT(MicroModelComponents!$N$4:$N$24,GH$4:GH$24)</f>
        <v>0</v>
      </c>
      <c r="GI41" s="158">
        <f>+SUMPRODUCT(MicroModelComponents!$N$4:$N$24,GH$4:GH$24)</f>
        <v>0</v>
      </c>
      <c r="GJ41" s="3"/>
      <c r="GK41" s="108"/>
      <c r="GM41" s="156">
        <f>+SUMPRODUCT(MicroModelComponents!$N$4:$N$24,GM$4:GM$24)</f>
        <v>0</v>
      </c>
      <c r="GN41" s="157">
        <f>+SUMPRODUCT(MicroModelComponents!$N$4:$N$24,GN$4:GN$24)</f>
        <v>0</v>
      </c>
      <c r="GO41" s="157">
        <f>+SUMPRODUCT(MicroModelComponents!$N$4:$N$24,GO$4:GO$24)</f>
        <v>0</v>
      </c>
      <c r="GP41" s="157">
        <f>+SUMPRODUCT(MicroModelComponents!$N$4:$N$24,GP$4:GP$24)</f>
        <v>0</v>
      </c>
      <c r="GQ41" s="157">
        <f>+SUMPRODUCT(MicroModelComponents!$N$4:$N$24,GQ$4:GQ$24)</f>
        <v>0</v>
      </c>
      <c r="GR41" s="157">
        <f>+SUMPRODUCT(MicroModelComponents!$N$4:$N$24,GR$4:GR$24)</f>
        <v>0</v>
      </c>
      <c r="GS41" s="157">
        <f>+SUMPRODUCT(MicroModelComponents!$N$4:$N$24,GS$4:GS$24)</f>
        <v>0</v>
      </c>
      <c r="GT41" s="158">
        <f>+SUMPRODUCT(MicroModelComponents!$N$4:$N$24,GS$4:GS$24)</f>
        <v>0</v>
      </c>
      <c r="GU41" s="3"/>
      <c r="GV41" s="108"/>
      <c r="GX41" s="156">
        <f>+SUMPRODUCT(MicroModelComponents!$N$4:$N$24,GX$4:GX$24)</f>
        <v>0</v>
      </c>
      <c r="GY41" s="157">
        <f>+SUMPRODUCT(MicroModelComponents!$N$4:$N$24,GY$4:GY$24)</f>
        <v>0</v>
      </c>
      <c r="GZ41" s="157">
        <f>+SUMPRODUCT(MicroModelComponents!$N$4:$N$24,GZ$4:GZ$24)</f>
        <v>0</v>
      </c>
      <c r="HA41" s="157">
        <f>+SUMPRODUCT(MicroModelComponents!$N$4:$N$24,HA$4:HA$24)</f>
        <v>0</v>
      </c>
      <c r="HB41" s="157">
        <f>+SUMPRODUCT(MicroModelComponents!$N$4:$N$24,HB$4:HB$24)</f>
        <v>0</v>
      </c>
      <c r="HC41" s="157">
        <f>+SUMPRODUCT(MicroModelComponents!$N$4:$N$24,HC$4:HC$24)</f>
        <v>0</v>
      </c>
      <c r="HD41" s="157">
        <f>+SUMPRODUCT(MicroModelComponents!$N$4:$N$24,HD$4:HD$24)</f>
        <v>0</v>
      </c>
      <c r="HE41" s="158">
        <f>+SUMPRODUCT(MicroModelComponents!$N$4:$N$24,HD$4:HD$24)</f>
        <v>0</v>
      </c>
      <c r="HF41" s="3"/>
      <c r="HG41" s="108"/>
      <c r="HI41" s="156">
        <f>+SUMPRODUCT(MicroModelComponents!$N$4:$N$24,HI$4:HI$24)</f>
        <v>0</v>
      </c>
      <c r="HJ41" s="157">
        <f>+SUMPRODUCT(MicroModelComponents!$N$4:$N$24,HJ$4:HJ$24)</f>
        <v>0</v>
      </c>
      <c r="HK41" s="157">
        <f>+SUMPRODUCT(MicroModelComponents!$N$4:$N$24,HK$4:HK$24)</f>
        <v>0</v>
      </c>
      <c r="HL41" s="157">
        <f>+SUMPRODUCT(MicroModelComponents!$N$4:$N$24,HL$4:HL$24)</f>
        <v>0</v>
      </c>
      <c r="HM41" s="157">
        <f>+SUMPRODUCT(MicroModelComponents!$N$4:$N$24,HM$4:HM$24)</f>
        <v>0</v>
      </c>
      <c r="HN41" s="157">
        <f>+SUMPRODUCT(MicroModelComponents!$N$4:$N$24,HN$4:HN$24)</f>
        <v>0</v>
      </c>
      <c r="HO41" s="157">
        <f>+SUMPRODUCT(MicroModelComponents!$N$4:$N$24,HO$4:HO$24)</f>
        <v>0</v>
      </c>
      <c r="HP41" s="158">
        <f>+SUMPRODUCT(MicroModelComponents!$N$4:$N$24,HO$4:HO$24)</f>
        <v>0</v>
      </c>
      <c r="HQ41" s="3"/>
      <c r="HR41" s="108"/>
      <c r="HT41" s="156">
        <f>+SUMPRODUCT(MicroModelComponents!$N$4:$N$24,HT$4:HT$24)</f>
        <v>0</v>
      </c>
      <c r="HU41" s="157">
        <f>+SUMPRODUCT(MicroModelComponents!$N$4:$N$24,HU$4:HU$24)</f>
        <v>0</v>
      </c>
      <c r="HV41" s="157">
        <f>+SUMPRODUCT(MicroModelComponents!$N$4:$N$24,HV$4:HV$24)</f>
        <v>0</v>
      </c>
      <c r="HW41" s="157">
        <f>+SUMPRODUCT(MicroModelComponents!$N$4:$N$24,HW$4:HW$24)</f>
        <v>0</v>
      </c>
      <c r="HX41" s="157">
        <f>+SUMPRODUCT(MicroModelComponents!$N$4:$N$24,HX$4:HX$24)</f>
        <v>0</v>
      </c>
      <c r="HY41" s="157">
        <f>+SUMPRODUCT(MicroModelComponents!$N$4:$N$24,HY$4:HY$24)</f>
        <v>0</v>
      </c>
      <c r="HZ41" s="157">
        <f>+SUMPRODUCT(MicroModelComponents!$N$4:$N$24,HZ$4:HZ$24)</f>
        <v>0</v>
      </c>
      <c r="IA41" s="158">
        <f>+SUMPRODUCT(MicroModelComponents!$N$4:$N$24,HZ$4:HZ$24)</f>
        <v>0</v>
      </c>
      <c r="IB41" s="3"/>
      <c r="IC41" s="108"/>
      <c r="ID41" s="156">
        <f>+SUMPRODUCT(MicroModelComponents!$N$4:$N$24,ID$4:ID$24)</f>
        <v>0</v>
      </c>
      <c r="IE41" s="108"/>
      <c r="IF41" s="156">
        <f>+SUMPRODUCT(MicroModelComponents!$N$4:$N$24,IF$4:IF$24)</f>
        <v>0</v>
      </c>
      <c r="IG41" s="156">
        <f>+SUMPRODUCT(MicroModelComponents!$N$4:$N$24,IG$4:IG$24)</f>
        <v>0</v>
      </c>
      <c r="IH41" s="156">
        <f>+SUMPRODUCT(MicroModelComponents!$N$4:$N$24,IH$4:IH$24)</f>
        <v>0</v>
      </c>
      <c r="II41" s="108"/>
      <c r="IJ41" s="156">
        <f>+SUMPRODUCT(MicroModelComponents!$N$4:$N$24,IJ$4:IJ$24)</f>
        <v>0</v>
      </c>
      <c r="IK41" s="108"/>
      <c r="IS41" s="84"/>
      <c r="IT41" s="84"/>
      <c r="IU41" s="84"/>
      <c r="IV41" s="84"/>
    </row>
    <row r="42" spans="2:256" ht="13.5" customHeight="1">
      <c r="C42" s="41" t="s">
        <v>337</v>
      </c>
      <c r="N42" s="41" t="s">
        <v>337</v>
      </c>
      <c r="O42" s="105"/>
      <c r="P42" s="3"/>
      <c r="Q42" s="108"/>
      <c r="S42" s="156">
        <f>+SUMPRODUCT(MicroModelComponents!$O$4:$O$24,S$4:S$24)</f>
        <v>0</v>
      </c>
      <c r="T42" s="157">
        <f>+SUMPRODUCT(MicroModelComponents!$O$4:$O$24,T$4:T$24)</f>
        <v>0</v>
      </c>
      <c r="U42" s="157">
        <f>+SUMPRODUCT(MicroModelComponents!$O$4:$O$24,U$4:U$24)</f>
        <v>0</v>
      </c>
      <c r="V42" s="157">
        <f>+SUMPRODUCT(MicroModelComponents!$O$4:$O$24,V$4:V$24)</f>
        <v>0</v>
      </c>
      <c r="W42" s="157">
        <f>+SUMPRODUCT(MicroModelComponents!$O$4:$O$24,W$4:W$24)</f>
        <v>0</v>
      </c>
      <c r="X42" s="157">
        <f>+SUMPRODUCT(MicroModelComponents!$O$4:$O$24,X$4:X$24)</f>
        <v>0</v>
      </c>
      <c r="Y42" s="157">
        <f>+SUMPRODUCT(MicroModelComponents!$O$4:$O$24,Y$4:Y$24)</f>
        <v>0</v>
      </c>
      <c r="Z42" s="158">
        <f>+SUMPRODUCT(MicroModelComponents!$O$4:$O$24,Z$4:Z$24)</f>
        <v>0</v>
      </c>
      <c r="AA42" s="3"/>
      <c r="AB42" s="108"/>
      <c r="AD42" s="156">
        <f>+SUMPRODUCT(MicroModelComponents!$O$4:$O$24,AD$4:AD$24)</f>
        <v>0</v>
      </c>
      <c r="AE42" s="157">
        <f>+SUMPRODUCT(MicroModelComponents!$O$4:$O$24,AE$4:AE$24)</f>
        <v>0</v>
      </c>
      <c r="AF42" s="157">
        <f>+SUMPRODUCT(MicroModelComponents!$O$4:$O$24,AF$4:AF$24)</f>
        <v>0</v>
      </c>
      <c r="AG42" s="157">
        <f>+SUMPRODUCT(MicroModelComponents!$O$4:$O$24,AG$4:AG$24)</f>
        <v>0</v>
      </c>
      <c r="AH42" s="157">
        <f>+SUMPRODUCT(MicroModelComponents!$O$4:$O$24,AH$4:AH$24)</f>
        <v>0</v>
      </c>
      <c r="AI42" s="157">
        <f>+SUMPRODUCT(MicroModelComponents!$O$4:$O$24,AI$4:AI$24)</f>
        <v>0</v>
      </c>
      <c r="AJ42" s="157">
        <f>+SUMPRODUCT(MicroModelComponents!$O$4:$O$24,AJ$4:AJ$24)</f>
        <v>0</v>
      </c>
      <c r="AK42" s="158">
        <f>+SUMPRODUCT(MicroModelComponents!$O$4:$O$24,AK$4:AK$24)</f>
        <v>0</v>
      </c>
      <c r="AL42" s="3"/>
      <c r="AM42" s="108"/>
      <c r="AO42" s="156">
        <f>+SUMPRODUCT(MicroModelComponents!$O$4:$O$24,AO$4:AO$24)</f>
        <v>0</v>
      </c>
      <c r="AP42" s="157">
        <f>+SUMPRODUCT(MicroModelComponents!$O$4:$O$24,AP$4:AP$24)</f>
        <v>0</v>
      </c>
      <c r="AQ42" s="157">
        <f>+SUMPRODUCT(MicroModelComponents!$O$4:$O$24,AQ$4:AQ$24)</f>
        <v>0</v>
      </c>
      <c r="AR42" s="157">
        <f>+SUMPRODUCT(MicroModelComponents!$O$4:$O$24,AR$4:AR$24)</f>
        <v>0</v>
      </c>
      <c r="AS42" s="157">
        <f>+SUMPRODUCT(MicroModelComponents!$O$4:$O$24,AS$4:AS$24)</f>
        <v>0</v>
      </c>
      <c r="AT42" s="157">
        <f>+SUMPRODUCT(MicroModelComponents!$O$4:$O$24,AT$4:AT$24)</f>
        <v>0</v>
      </c>
      <c r="AU42" s="157">
        <f>+SUMPRODUCT(MicroModelComponents!$O$4:$O$24,AU$4:AU$24)</f>
        <v>0</v>
      </c>
      <c r="AV42" s="158">
        <f>+SUMPRODUCT(MicroModelComponents!$O$4:$O$24,AV$4:AV$24)</f>
        <v>0</v>
      </c>
      <c r="AW42" s="3"/>
      <c r="AX42" s="108"/>
      <c r="AZ42" s="156">
        <f>+SUMPRODUCT(MicroModelComponents!$O$4:$O$24,AZ$4:AZ$24)</f>
        <v>0</v>
      </c>
      <c r="BA42" s="157">
        <f>+SUMPRODUCT(MicroModelComponents!$O$4:$O$24,BA$4:BA$24)</f>
        <v>0</v>
      </c>
      <c r="BB42" s="157">
        <f>+SUMPRODUCT(MicroModelComponents!$O$4:$O$24,BB$4:BB$24)</f>
        <v>0</v>
      </c>
      <c r="BC42" s="157">
        <f>+SUMPRODUCT(MicroModelComponents!$O$4:$O$24,BC$4:BC$24)</f>
        <v>0</v>
      </c>
      <c r="BD42" s="157">
        <f>+SUMPRODUCT(MicroModelComponents!$O$4:$O$24,BD$4:BD$24)</f>
        <v>0</v>
      </c>
      <c r="BE42" s="157">
        <f>+SUMPRODUCT(MicroModelComponents!$O$4:$O$24,BE$4:BE$24)</f>
        <v>0</v>
      </c>
      <c r="BF42" s="157">
        <f>+SUMPRODUCT(MicroModelComponents!$O$4:$O$24,BF$4:BF$24)</f>
        <v>0</v>
      </c>
      <c r="BG42" s="158">
        <f>+SUMPRODUCT(MicroModelComponents!$O$4:$O$24,BG$4:BG$24)</f>
        <v>0</v>
      </c>
      <c r="BH42" s="3"/>
      <c r="BI42" s="108"/>
      <c r="BK42" s="156">
        <f>+SUMPRODUCT(MicroModelComponents!$O$4:$O$24,BK$4:BK$24)</f>
        <v>0</v>
      </c>
      <c r="BL42" s="157">
        <f>+SUMPRODUCT(MicroModelComponents!$O$4:$O$24,BL$4:BL$24)</f>
        <v>0</v>
      </c>
      <c r="BM42" s="157">
        <f>+SUMPRODUCT(MicroModelComponents!$O$4:$O$24,BM$4:BM$24)</f>
        <v>0</v>
      </c>
      <c r="BN42" s="157">
        <f>+SUMPRODUCT(MicroModelComponents!$O$4:$O$24,BN$4:BN$24)</f>
        <v>0</v>
      </c>
      <c r="BO42" s="157">
        <f>+SUMPRODUCT(MicroModelComponents!$O$4:$O$24,BO$4:BO$24)</f>
        <v>0</v>
      </c>
      <c r="BP42" s="157">
        <f>+SUMPRODUCT(MicroModelComponents!$O$4:$O$24,BP$4:BP$24)</f>
        <v>0</v>
      </c>
      <c r="BQ42" s="157">
        <f>+SUMPRODUCT(MicroModelComponents!$O$4:$O$24,BQ$4:BQ$24)</f>
        <v>0</v>
      </c>
      <c r="BR42" s="158">
        <f>+SUMPRODUCT(MicroModelComponents!$O$4:$O$24,BR$4:BR$24)</f>
        <v>0</v>
      </c>
      <c r="BS42" s="3"/>
      <c r="BT42" s="108"/>
      <c r="BV42" s="156">
        <f>+SUMPRODUCT(MicroModelComponents!$O$4:$O$24,BV$4:BV$24)</f>
        <v>0</v>
      </c>
      <c r="BW42" s="157">
        <f>+SUMPRODUCT(MicroModelComponents!$O$4:$O$24,BW$4:BW$24)</f>
        <v>0</v>
      </c>
      <c r="BX42" s="157">
        <f>+SUMPRODUCT(MicroModelComponents!$O$4:$O$24,BX$4:BX$24)</f>
        <v>0</v>
      </c>
      <c r="BY42" s="157">
        <f>+SUMPRODUCT(MicroModelComponents!$O$4:$O$24,BY$4:BY$24)</f>
        <v>0</v>
      </c>
      <c r="BZ42" s="157">
        <f>+SUMPRODUCT(MicroModelComponents!$O$4:$O$24,BZ$4:BZ$24)</f>
        <v>0</v>
      </c>
      <c r="CA42" s="157">
        <f>+SUMPRODUCT(MicroModelComponents!$O$4:$O$24,CA$4:CA$24)</f>
        <v>0</v>
      </c>
      <c r="CB42" s="157">
        <f>+SUMPRODUCT(MicroModelComponents!$O$4:$O$24,CB$4:CB$24)</f>
        <v>0</v>
      </c>
      <c r="CC42" s="158">
        <f>+SUMPRODUCT(MicroModelComponents!$O$4:$O$24,CC$4:CC$24)</f>
        <v>0</v>
      </c>
      <c r="CD42" s="3"/>
      <c r="CE42" s="108"/>
      <c r="CG42" s="156">
        <f>+SUMPRODUCT(MicroModelComponents!$O$4:$O$24,CG$4:CG$24)</f>
        <v>0</v>
      </c>
      <c r="CH42" s="157">
        <f>+SUMPRODUCT(MicroModelComponents!$O$4:$O$24,CH$4:CH$24)</f>
        <v>0</v>
      </c>
      <c r="CI42" s="157">
        <f>+SUMPRODUCT(MicroModelComponents!$O$4:$O$24,CI$4:CI$24)</f>
        <v>0</v>
      </c>
      <c r="CJ42" s="157">
        <f>+SUMPRODUCT(MicroModelComponents!$O$4:$O$24,CJ$4:CJ$24)</f>
        <v>0</v>
      </c>
      <c r="CK42" s="157">
        <f>+SUMPRODUCT(MicroModelComponents!$O$4:$O$24,CK$4:CK$24)</f>
        <v>0</v>
      </c>
      <c r="CL42" s="157">
        <f>+SUMPRODUCT(MicroModelComponents!$O$4:$O$24,CL$4:CL$24)</f>
        <v>0</v>
      </c>
      <c r="CM42" s="157">
        <f>+SUMPRODUCT(MicroModelComponents!$O$4:$O$24,CM$4:CM$24)</f>
        <v>0</v>
      </c>
      <c r="CN42" s="158">
        <f>+SUMPRODUCT(MicroModelComponents!$O$4:$O$24,CN$4:CN$24)</f>
        <v>0</v>
      </c>
      <c r="CO42" s="3"/>
      <c r="CP42" s="108"/>
      <c r="CR42" s="156">
        <f>+SUMPRODUCT(MicroModelComponents!$O$4:$O$24,CR$4:CR$24)</f>
        <v>0</v>
      </c>
      <c r="CS42" s="157">
        <f>+SUMPRODUCT(MicroModelComponents!$O$4:$O$24,CS$4:CS$24)</f>
        <v>0</v>
      </c>
      <c r="CT42" s="157">
        <f>+SUMPRODUCT(MicroModelComponents!$O$4:$O$24,CT$4:CT$24)</f>
        <v>0</v>
      </c>
      <c r="CU42" s="157">
        <f>+SUMPRODUCT(MicroModelComponents!$O$4:$O$24,CU$4:CU$24)</f>
        <v>0</v>
      </c>
      <c r="CV42" s="157">
        <f>+SUMPRODUCT(MicroModelComponents!$O$4:$O$24,CV$4:CV$24)</f>
        <v>0</v>
      </c>
      <c r="CW42" s="157">
        <f>+SUMPRODUCT(MicroModelComponents!$O$4:$O$24,CW$4:CW$24)</f>
        <v>0</v>
      </c>
      <c r="CX42" s="157">
        <f>+SUMPRODUCT(MicroModelComponents!$O$4:$O$24,CX$4:CX$24)</f>
        <v>0</v>
      </c>
      <c r="CY42" s="158">
        <f>+SUMPRODUCT(MicroModelComponents!$O$4:$O$24,CY$4:CY$24)</f>
        <v>0</v>
      </c>
      <c r="CZ42" s="3"/>
      <c r="DA42" s="108"/>
      <c r="DC42" s="156">
        <f>+SUMPRODUCT(MicroModelComponents!$O$4:$O$24,DC$4:DC$24)</f>
        <v>0</v>
      </c>
      <c r="DD42" s="157">
        <f>+SUMPRODUCT(MicroModelComponents!$O$4:$O$24,DD$4:DD$24)</f>
        <v>0</v>
      </c>
      <c r="DE42" s="157">
        <f>+SUMPRODUCT(MicroModelComponents!$O$4:$O$24,DE$4:DE$24)</f>
        <v>0</v>
      </c>
      <c r="DF42" s="157">
        <f>+SUMPRODUCT(MicroModelComponents!$O$4:$O$24,DF$4:DF$24)</f>
        <v>0</v>
      </c>
      <c r="DG42" s="157">
        <f>+SUMPRODUCT(MicroModelComponents!$O$4:$O$24,DG$4:DG$24)</f>
        <v>0</v>
      </c>
      <c r="DH42" s="157">
        <f>+SUMPRODUCT(MicroModelComponents!$O$4:$O$24,DH$4:DH$24)</f>
        <v>0</v>
      </c>
      <c r="DI42" s="157">
        <f>+SUMPRODUCT(MicroModelComponents!$O$4:$O$24,DI$4:DI$24)</f>
        <v>0</v>
      </c>
      <c r="DJ42" s="158">
        <f>+SUMPRODUCT(MicroModelComponents!$O$4:$O$24,DJ$4:DJ$24)</f>
        <v>0</v>
      </c>
      <c r="DK42" s="3"/>
      <c r="DL42" s="108"/>
      <c r="DN42" s="156">
        <f>+SUMPRODUCT(MicroModelComponents!$O$4:$O$24,DN$4:DN$24)</f>
        <v>0</v>
      </c>
      <c r="DO42" s="157">
        <f>+SUMPRODUCT(MicroModelComponents!$O$4:$O$24,DO$4:DO$24)</f>
        <v>0</v>
      </c>
      <c r="DP42" s="157">
        <f>+SUMPRODUCT(MicroModelComponents!$O$4:$O$24,DP$4:DP$24)</f>
        <v>0</v>
      </c>
      <c r="DQ42" s="157">
        <f>+SUMPRODUCT(MicroModelComponents!$O$4:$O$24,DQ$4:DQ$24)</f>
        <v>0</v>
      </c>
      <c r="DR42" s="157">
        <f>+SUMPRODUCT(MicroModelComponents!$O$4:$O$24,DR$4:DR$24)</f>
        <v>0</v>
      </c>
      <c r="DS42" s="157">
        <f>+SUMPRODUCT(MicroModelComponents!$O$4:$O$24,DS$4:DS$24)</f>
        <v>0</v>
      </c>
      <c r="DT42" s="157">
        <f>+SUMPRODUCT(MicroModelComponents!$O$4:$O$24,DT$4:DT$24)</f>
        <v>0</v>
      </c>
      <c r="DU42" s="158">
        <f>+SUMPRODUCT(MicroModelComponents!$O$4:$O$24,DU$4:DU$24)</f>
        <v>0</v>
      </c>
      <c r="DV42" s="3"/>
      <c r="DW42" s="108"/>
      <c r="DY42" s="156">
        <f>+SUMPRODUCT(MicroModelComponents!$O$4:$O$24,DY$4:DY$24)</f>
        <v>0</v>
      </c>
      <c r="DZ42" s="157">
        <f>+SUMPRODUCT(MicroModelComponents!$O$4:$O$24,DZ$4:DZ$24)</f>
        <v>0</v>
      </c>
      <c r="EA42" s="157">
        <f>+SUMPRODUCT(MicroModelComponents!$O$4:$O$24,EA$4:EA$24)</f>
        <v>0</v>
      </c>
      <c r="EB42" s="157">
        <f>+SUMPRODUCT(MicroModelComponents!$O$4:$O$24,EB$4:EB$24)</f>
        <v>0</v>
      </c>
      <c r="EC42" s="157">
        <f>+SUMPRODUCT(MicroModelComponents!$O$4:$O$24,EC$4:EC$24)</f>
        <v>0</v>
      </c>
      <c r="ED42" s="157">
        <f>+SUMPRODUCT(MicroModelComponents!$O$4:$O$24,ED$4:ED$24)</f>
        <v>0</v>
      </c>
      <c r="EE42" s="157">
        <f>+SUMPRODUCT(MicroModelComponents!$O$4:$O$24,EE$4:EE$24)</f>
        <v>0</v>
      </c>
      <c r="EF42" s="158">
        <f>+SUMPRODUCT(MicroModelComponents!$O$4:$O$24,EF$4:EF$24)</f>
        <v>0</v>
      </c>
      <c r="EG42" s="3"/>
      <c r="EH42" s="108"/>
      <c r="EJ42" s="156">
        <f>+SUMPRODUCT(MicroModelComponents!$O$4:$O$24,EJ$4:EJ$24)</f>
        <v>0</v>
      </c>
      <c r="EK42" s="157">
        <f>+SUMPRODUCT(MicroModelComponents!$O$4:$O$24,EK$4:EK$24)</f>
        <v>0</v>
      </c>
      <c r="EL42" s="157">
        <f>+SUMPRODUCT(MicroModelComponents!$O$4:$O$24,EL$4:EL$24)</f>
        <v>0</v>
      </c>
      <c r="EM42" s="157">
        <f>+SUMPRODUCT(MicroModelComponents!$O$4:$O$24,EM$4:EM$24)</f>
        <v>0</v>
      </c>
      <c r="EN42" s="157">
        <f>+SUMPRODUCT(MicroModelComponents!$O$4:$O$24,EN$4:EN$24)</f>
        <v>0</v>
      </c>
      <c r="EO42" s="157">
        <f>+SUMPRODUCT(MicroModelComponents!$O$4:$O$24,EO$4:EO$24)</f>
        <v>0</v>
      </c>
      <c r="EP42" s="157">
        <f>+SUMPRODUCT(MicroModelComponents!$O$4:$O$24,EP$4:EP$24)</f>
        <v>0</v>
      </c>
      <c r="EQ42" s="158">
        <f>+SUMPRODUCT(MicroModelComponents!$O$4:$O$24,EQ$4:EQ$24)</f>
        <v>0</v>
      </c>
      <c r="ER42" s="3"/>
      <c r="ES42" s="108"/>
      <c r="EU42" s="156">
        <f>+SUMPRODUCT(MicroModelComponents!$O$4:$O$24,EU$4:EU$24)</f>
        <v>0</v>
      </c>
      <c r="EV42" s="157">
        <f>+SUMPRODUCT(MicroModelComponents!$O$4:$O$24,EV$4:EV$24)</f>
        <v>0</v>
      </c>
      <c r="EW42" s="157">
        <f>+SUMPRODUCT(MicroModelComponents!$O$4:$O$24,EW$4:EW$24)</f>
        <v>0</v>
      </c>
      <c r="EX42" s="157">
        <f>+SUMPRODUCT(MicroModelComponents!$O$4:$O$24,EX$4:EX$24)</f>
        <v>0</v>
      </c>
      <c r="EY42" s="157">
        <f>+SUMPRODUCT(MicroModelComponents!$O$4:$O$24,EY$4:EY$24)</f>
        <v>0</v>
      </c>
      <c r="EZ42" s="157">
        <f>+SUMPRODUCT(MicroModelComponents!$O$4:$O$24,EZ$4:EZ$24)</f>
        <v>0</v>
      </c>
      <c r="FA42" s="157">
        <f>+SUMPRODUCT(MicroModelComponents!$O$4:$O$24,FA$4:FA$24)</f>
        <v>0</v>
      </c>
      <c r="FB42" s="158">
        <f>+SUMPRODUCT(MicroModelComponents!$O$4:$O$24,FB$4:FB$24)</f>
        <v>0</v>
      </c>
      <c r="FC42" s="3"/>
      <c r="FD42" s="108"/>
      <c r="FF42" s="156">
        <f>+SUMPRODUCT(MicroModelComponents!$O$4:$O$24,FF$4:FF$24)</f>
        <v>0</v>
      </c>
      <c r="FG42" s="157">
        <f>+SUMPRODUCT(MicroModelComponents!$O$4:$O$24,FG$4:FG$24)</f>
        <v>0</v>
      </c>
      <c r="FH42" s="157">
        <f>+SUMPRODUCT(MicroModelComponents!$O$4:$O$24,FH$4:FH$24)</f>
        <v>0</v>
      </c>
      <c r="FI42" s="157">
        <f>+SUMPRODUCT(MicroModelComponents!$O$4:$O$24,FI$4:FI$24)</f>
        <v>0</v>
      </c>
      <c r="FJ42" s="157">
        <f>+SUMPRODUCT(MicroModelComponents!$O$4:$O$24,FJ$4:FJ$24)</f>
        <v>0</v>
      </c>
      <c r="FK42" s="157">
        <f>+SUMPRODUCT(MicroModelComponents!$O$4:$O$24,FK$4:FK$24)</f>
        <v>0</v>
      </c>
      <c r="FL42" s="157">
        <f>+SUMPRODUCT(MicroModelComponents!$O$4:$O$24,FL$4:FL$24)</f>
        <v>0</v>
      </c>
      <c r="FM42" s="158">
        <f>+SUMPRODUCT(MicroModelComponents!$O$4:$O$24,FM$4:FM$24)</f>
        <v>0</v>
      </c>
      <c r="FN42" s="3"/>
      <c r="FO42" s="108"/>
      <c r="FQ42" s="156">
        <f>+SUMPRODUCT(MicroModelComponents!$O$4:$O$24,FQ$4:FQ$24)</f>
        <v>0</v>
      </c>
      <c r="FR42" s="157">
        <f>+SUMPRODUCT(MicroModelComponents!$O$4:$O$24,FR$4:FR$24)</f>
        <v>0</v>
      </c>
      <c r="FS42" s="157">
        <f>+SUMPRODUCT(MicroModelComponents!$O$4:$O$24,FS$4:FS$24)</f>
        <v>0</v>
      </c>
      <c r="FT42" s="157">
        <f>+SUMPRODUCT(MicroModelComponents!$O$4:$O$24,FT$4:FT$24)</f>
        <v>0</v>
      </c>
      <c r="FU42" s="157">
        <f>+SUMPRODUCT(MicroModelComponents!$O$4:$O$24,FU$4:FU$24)</f>
        <v>0</v>
      </c>
      <c r="FV42" s="157">
        <f>+SUMPRODUCT(MicroModelComponents!$O$4:$O$24,FV$4:FV$24)</f>
        <v>0</v>
      </c>
      <c r="FW42" s="157">
        <f>+SUMPRODUCT(MicroModelComponents!$O$4:$O$24,FW$4:FW$24)</f>
        <v>0</v>
      </c>
      <c r="FX42" s="158">
        <f>+SUMPRODUCT(MicroModelComponents!$O$4:$O$24,FX$4:FX$24)</f>
        <v>0</v>
      </c>
      <c r="FY42" s="3"/>
      <c r="FZ42" s="108"/>
      <c r="GB42" s="156">
        <f>+SUMPRODUCT(MicroModelComponents!$O$4:$O$24,GB$4:GB$24)</f>
        <v>0</v>
      </c>
      <c r="GC42" s="157">
        <f>+SUMPRODUCT(MicroModelComponents!$O$4:$O$24,GC$4:GC$24)</f>
        <v>0</v>
      </c>
      <c r="GD42" s="157">
        <f>+SUMPRODUCT(MicroModelComponents!$O$4:$O$24,GD$4:GD$24)</f>
        <v>0</v>
      </c>
      <c r="GE42" s="157">
        <f>+SUMPRODUCT(MicroModelComponents!$O$4:$O$24,GE$4:GE$24)</f>
        <v>0</v>
      </c>
      <c r="GF42" s="157">
        <f>+SUMPRODUCT(MicroModelComponents!$O$4:$O$24,GF$4:GF$24)</f>
        <v>0</v>
      </c>
      <c r="GG42" s="157">
        <f>+SUMPRODUCT(MicroModelComponents!$O$4:$O$24,GG$4:GG$24)</f>
        <v>0</v>
      </c>
      <c r="GH42" s="157">
        <f>+SUMPRODUCT(MicroModelComponents!$O$4:$O$24,GH$4:GH$24)</f>
        <v>0</v>
      </c>
      <c r="GI42" s="158">
        <f>+SUMPRODUCT(MicroModelComponents!$O$4:$O$24,GI$4:GI$24)</f>
        <v>0</v>
      </c>
      <c r="GJ42" s="3"/>
      <c r="GK42" s="108"/>
      <c r="GM42" s="156">
        <f>+SUMPRODUCT(MicroModelComponents!$O$4:$O$24,GM$4:GM$24)</f>
        <v>0</v>
      </c>
      <c r="GN42" s="157">
        <f>+SUMPRODUCT(MicroModelComponents!$O$4:$O$24,GN$4:GN$24)</f>
        <v>0</v>
      </c>
      <c r="GO42" s="157">
        <f>+SUMPRODUCT(MicroModelComponents!$O$4:$O$24,GO$4:GO$24)</f>
        <v>0</v>
      </c>
      <c r="GP42" s="157">
        <f>+SUMPRODUCT(MicroModelComponents!$O$4:$O$24,GP$4:GP$24)</f>
        <v>0</v>
      </c>
      <c r="GQ42" s="157">
        <f>+SUMPRODUCT(MicroModelComponents!$O$4:$O$24,GQ$4:GQ$24)</f>
        <v>0</v>
      </c>
      <c r="GR42" s="157">
        <f>+SUMPRODUCT(MicroModelComponents!$O$4:$O$24,GR$4:GR$24)</f>
        <v>0</v>
      </c>
      <c r="GS42" s="157">
        <f>+SUMPRODUCT(MicroModelComponents!$O$4:$O$24,GS$4:GS$24)</f>
        <v>0</v>
      </c>
      <c r="GT42" s="158">
        <f>+SUMPRODUCT(MicroModelComponents!$O$4:$O$24,GT$4:GT$24)</f>
        <v>0</v>
      </c>
      <c r="GU42" s="3"/>
      <c r="GV42" s="108"/>
      <c r="GX42" s="156">
        <f>+SUMPRODUCT(MicroModelComponents!$O$4:$O$24,GX$4:GX$24)</f>
        <v>0</v>
      </c>
      <c r="GY42" s="157">
        <f>+SUMPRODUCT(MicroModelComponents!$O$4:$O$24,GY$4:GY$24)</f>
        <v>0</v>
      </c>
      <c r="GZ42" s="157">
        <f>+SUMPRODUCT(MicroModelComponents!$O$4:$O$24,GZ$4:GZ$24)</f>
        <v>0</v>
      </c>
      <c r="HA42" s="157">
        <f>+SUMPRODUCT(MicroModelComponents!$O$4:$O$24,HA$4:HA$24)</f>
        <v>0</v>
      </c>
      <c r="HB42" s="157">
        <f>+SUMPRODUCT(MicroModelComponents!$O$4:$O$24,HB$4:HB$24)</f>
        <v>0</v>
      </c>
      <c r="HC42" s="157">
        <f>+SUMPRODUCT(MicroModelComponents!$O$4:$O$24,HC$4:HC$24)</f>
        <v>0</v>
      </c>
      <c r="HD42" s="157">
        <f>+SUMPRODUCT(MicroModelComponents!$O$4:$O$24,HD$4:HD$24)</f>
        <v>0</v>
      </c>
      <c r="HE42" s="158">
        <f>+SUMPRODUCT(MicroModelComponents!$O$4:$O$24,HE$4:HE$24)</f>
        <v>0</v>
      </c>
      <c r="HF42" s="3"/>
      <c r="HG42" s="108"/>
      <c r="HI42" s="156">
        <f>+SUMPRODUCT(MicroModelComponents!$O$4:$O$24,HI$4:HI$24)</f>
        <v>0</v>
      </c>
      <c r="HJ42" s="157">
        <f>+SUMPRODUCT(MicroModelComponents!$O$4:$O$24,HJ$4:HJ$24)</f>
        <v>0</v>
      </c>
      <c r="HK42" s="157">
        <f>+SUMPRODUCT(MicroModelComponents!$O$4:$O$24,HK$4:HK$24)</f>
        <v>0</v>
      </c>
      <c r="HL42" s="157">
        <f>+SUMPRODUCT(MicroModelComponents!$O$4:$O$24,HL$4:HL$24)</f>
        <v>0</v>
      </c>
      <c r="HM42" s="157">
        <f>+SUMPRODUCT(MicroModelComponents!$O$4:$O$24,HM$4:HM$24)</f>
        <v>0</v>
      </c>
      <c r="HN42" s="157">
        <f>+SUMPRODUCT(MicroModelComponents!$O$4:$O$24,HN$4:HN$24)</f>
        <v>0</v>
      </c>
      <c r="HO42" s="157">
        <f>+SUMPRODUCT(MicroModelComponents!$O$4:$O$24,HO$4:HO$24)</f>
        <v>0</v>
      </c>
      <c r="HP42" s="158">
        <f>+SUMPRODUCT(MicroModelComponents!$O$4:$O$24,HP$4:HP$24)</f>
        <v>0</v>
      </c>
      <c r="HQ42" s="3"/>
      <c r="HR42" s="108"/>
      <c r="HT42" s="156">
        <f>+SUMPRODUCT(MicroModelComponents!$O$4:$O$24,HT$4:HT$24)</f>
        <v>0</v>
      </c>
      <c r="HU42" s="157">
        <f>+SUMPRODUCT(MicroModelComponents!$O$4:$O$24,HU$4:HU$24)</f>
        <v>0</v>
      </c>
      <c r="HV42" s="157">
        <f>+SUMPRODUCT(MicroModelComponents!$O$4:$O$24,HV$4:HV$24)</f>
        <v>0</v>
      </c>
      <c r="HW42" s="157">
        <f>+SUMPRODUCT(MicroModelComponents!$O$4:$O$24,HW$4:HW$24)</f>
        <v>0</v>
      </c>
      <c r="HX42" s="157">
        <f>+SUMPRODUCT(MicroModelComponents!$O$4:$O$24,HX$4:HX$24)</f>
        <v>0</v>
      </c>
      <c r="HY42" s="157">
        <f>+SUMPRODUCT(MicroModelComponents!$O$4:$O$24,HY$4:HY$24)</f>
        <v>0</v>
      </c>
      <c r="HZ42" s="157">
        <f>+SUMPRODUCT(MicroModelComponents!$O$4:$O$24,HZ$4:HZ$24)</f>
        <v>0</v>
      </c>
      <c r="IA42" s="158">
        <f>+SUMPRODUCT(MicroModelComponents!$O$4:$O$24,IA$4:IA$24)</f>
        <v>0</v>
      </c>
      <c r="IB42" s="3"/>
      <c r="IC42" s="108"/>
      <c r="ID42" s="156">
        <f>+SUMPRODUCT(MicroModelComponents!$O$4:$O$24,ID$4:ID$24)</f>
        <v>0</v>
      </c>
      <c r="IE42" s="108"/>
      <c r="IF42" s="156">
        <f>+SUMPRODUCT(MicroModelComponents!$O$4:$O$24,IF$4:IF$24)</f>
        <v>0</v>
      </c>
      <c r="IG42" s="156">
        <f>+SUMPRODUCT(MicroModelComponents!$O$4:$O$24,IG$4:IG$24)</f>
        <v>0</v>
      </c>
      <c r="IH42" s="156">
        <f>+SUMPRODUCT(MicroModelComponents!$O$4:$O$24,IH$4:IH$24)</f>
        <v>0</v>
      </c>
      <c r="II42" s="108"/>
      <c r="IJ42" s="156">
        <f>+SUMPRODUCT(MicroModelComponents!$O$4:$O$24,IJ$4:IJ$24)</f>
        <v>0</v>
      </c>
      <c r="IK42" s="108"/>
      <c r="IS42" s="84"/>
      <c r="IT42" s="84"/>
      <c r="IU42" s="84"/>
      <c r="IV42" s="84"/>
    </row>
    <row r="43" spans="2:256" ht="13.5" customHeight="1">
      <c r="C43" s="41" t="s">
        <v>140</v>
      </c>
      <c r="N43" s="41" t="s">
        <v>140</v>
      </c>
      <c r="O43" s="105"/>
      <c r="P43" s="3"/>
      <c r="Q43" s="108"/>
      <c r="S43" s="156">
        <f>+SUMPRODUCT(MicroModelComponents!$P$4:$P$24,S$4:S$24)</f>
        <v>0</v>
      </c>
      <c r="T43" s="157">
        <f>+SUMPRODUCT(MicroModelComponents!$P$4:$P$24,T$4:T$24)</f>
        <v>0</v>
      </c>
      <c r="U43" s="157">
        <f>+SUMPRODUCT(MicroModelComponents!$P$4:$P$24,U$4:U$24)</f>
        <v>0</v>
      </c>
      <c r="V43" s="157">
        <f>+SUMPRODUCT(MicroModelComponents!$P$4:$P$24,V$4:V$24)</f>
        <v>0</v>
      </c>
      <c r="W43" s="157">
        <f>+SUMPRODUCT(MicroModelComponents!$P$4:$P$24,W$4:W$24)</f>
        <v>0</v>
      </c>
      <c r="X43" s="157">
        <f>+SUMPRODUCT(MicroModelComponents!$P$4:$P$24,X$4:X$24)</f>
        <v>0</v>
      </c>
      <c r="Y43" s="157">
        <f>+SUMPRODUCT(MicroModelComponents!$P$4:$P$24,Y$4:Y$24)</f>
        <v>0</v>
      </c>
      <c r="Z43" s="158">
        <f>+SUMPRODUCT(MicroModelComponents!$P$4:$P$24,Y$4:Y$24)</f>
        <v>0</v>
      </c>
      <c r="AA43" s="3"/>
      <c r="AB43" s="108"/>
      <c r="AD43" s="156">
        <f>+SUMPRODUCT(MicroModelComponents!$P$4:$P$24,AD$4:AD$24)</f>
        <v>0</v>
      </c>
      <c r="AE43" s="157">
        <f>+SUMPRODUCT(MicroModelComponents!$P$4:$P$24,AE$4:AE$24)</f>
        <v>0</v>
      </c>
      <c r="AF43" s="157">
        <f>+SUMPRODUCT(MicroModelComponents!$P$4:$P$24,AF$4:AF$24)</f>
        <v>0</v>
      </c>
      <c r="AG43" s="157">
        <f>+SUMPRODUCT(MicroModelComponents!$P$4:$P$24,AG$4:AG$24)</f>
        <v>0</v>
      </c>
      <c r="AH43" s="157">
        <f>+SUMPRODUCT(MicroModelComponents!$P$4:$P$24,AH$4:AH$24)</f>
        <v>0</v>
      </c>
      <c r="AI43" s="157">
        <f>+SUMPRODUCT(MicroModelComponents!$P$4:$P$24,AI$4:AI$24)</f>
        <v>0</v>
      </c>
      <c r="AJ43" s="157">
        <f>+SUMPRODUCT(MicroModelComponents!$P$4:$P$24,AJ$4:AJ$24)</f>
        <v>0</v>
      </c>
      <c r="AK43" s="158">
        <f>+SUMPRODUCT(MicroModelComponents!$P$4:$P$24,AJ$4:AJ$24)</f>
        <v>0</v>
      </c>
      <c r="AL43" s="3"/>
      <c r="AM43" s="108"/>
      <c r="AO43" s="156">
        <f>+SUMPRODUCT(MicroModelComponents!$P$4:$P$24,AO$4:AO$24)</f>
        <v>0</v>
      </c>
      <c r="AP43" s="157">
        <f>+SUMPRODUCT(MicroModelComponents!$P$4:$P$24,AP$4:AP$24)</f>
        <v>0</v>
      </c>
      <c r="AQ43" s="157">
        <f>+SUMPRODUCT(MicroModelComponents!$P$4:$P$24,AQ$4:AQ$24)</f>
        <v>0</v>
      </c>
      <c r="AR43" s="157">
        <f>+SUMPRODUCT(MicroModelComponents!$P$4:$P$24,AR$4:AR$24)</f>
        <v>0</v>
      </c>
      <c r="AS43" s="157">
        <f>+SUMPRODUCT(MicroModelComponents!$P$4:$P$24,AS$4:AS$24)</f>
        <v>0</v>
      </c>
      <c r="AT43" s="157">
        <f>+SUMPRODUCT(MicroModelComponents!$P$4:$P$24,AT$4:AT$24)</f>
        <v>0</v>
      </c>
      <c r="AU43" s="157">
        <f>+SUMPRODUCT(MicroModelComponents!$P$4:$P$24,AU$4:AU$24)</f>
        <v>0</v>
      </c>
      <c r="AV43" s="158">
        <f>+SUMPRODUCT(MicroModelComponents!$P$4:$P$24,AU$4:AU$24)</f>
        <v>0</v>
      </c>
      <c r="AW43" s="3"/>
      <c r="AX43" s="108"/>
      <c r="AZ43" s="156">
        <f>+SUMPRODUCT(MicroModelComponents!$P$4:$P$24,AZ$4:AZ$24)</f>
        <v>0</v>
      </c>
      <c r="BA43" s="157">
        <f>+SUMPRODUCT(MicroModelComponents!$P$4:$P$24,BA$4:BA$24)</f>
        <v>0</v>
      </c>
      <c r="BB43" s="157">
        <f>+SUMPRODUCT(MicroModelComponents!$P$4:$P$24,BB$4:BB$24)</f>
        <v>0</v>
      </c>
      <c r="BC43" s="157">
        <f>+SUMPRODUCT(MicroModelComponents!$P$4:$P$24,BC$4:BC$24)</f>
        <v>0</v>
      </c>
      <c r="BD43" s="157">
        <f>+SUMPRODUCT(MicroModelComponents!$P$4:$P$24,BD$4:BD$24)</f>
        <v>0</v>
      </c>
      <c r="BE43" s="157">
        <f>+SUMPRODUCT(MicroModelComponents!$P$4:$P$24,BE$4:BE$24)</f>
        <v>0</v>
      </c>
      <c r="BF43" s="157">
        <f>+SUMPRODUCT(MicroModelComponents!$P$4:$P$24,BF$4:BF$24)</f>
        <v>0</v>
      </c>
      <c r="BG43" s="158">
        <f>+SUMPRODUCT(MicroModelComponents!$P$4:$P$24,BF$4:BF$24)</f>
        <v>0</v>
      </c>
      <c r="BH43" s="3"/>
      <c r="BI43" s="108"/>
      <c r="BK43" s="156">
        <f>+SUMPRODUCT(MicroModelComponents!$P$4:$P$24,BK$4:BK$24)</f>
        <v>0</v>
      </c>
      <c r="BL43" s="157">
        <f>+SUMPRODUCT(MicroModelComponents!$P$4:$P$24,BL$4:BL$24)</f>
        <v>0</v>
      </c>
      <c r="BM43" s="157">
        <f>+SUMPRODUCT(MicroModelComponents!$P$4:$P$24,BM$4:BM$24)</f>
        <v>0</v>
      </c>
      <c r="BN43" s="157">
        <f>+SUMPRODUCT(MicroModelComponents!$P$4:$P$24,BN$4:BN$24)</f>
        <v>0</v>
      </c>
      <c r="BO43" s="157">
        <f>+SUMPRODUCT(MicroModelComponents!$P$4:$P$24,BO$4:BO$24)</f>
        <v>0</v>
      </c>
      <c r="BP43" s="157">
        <f>+SUMPRODUCT(MicroModelComponents!$P$4:$P$24,BP$4:BP$24)</f>
        <v>0</v>
      </c>
      <c r="BQ43" s="157">
        <f>+SUMPRODUCT(MicroModelComponents!$P$4:$P$24,BQ$4:BQ$24)</f>
        <v>0</v>
      </c>
      <c r="BR43" s="158">
        <f>+SUMPRODUCT(MicroModelComponents!$P$4:$P$24,BQ$4:BQ$24)</f>
        <v>0</v>
      </c>
      <c r="BS43" s="3"/>
      <c r="BT43" s="108"/>
      <c r="BV43" s="156">
        <f>+SUMPRODUCT(MicroModelComponents!$P$4:$P$24,BV$4:BV$24)</f>
        <v>0</v>
      </c>
      <c r="BW43" s="157">
        <f>+SUMPRODUCT(MicroModelComponents!$P$4:$P$24,BW$4:BW$24)</f>
        <v>0</v>
      </c>
      <c r="BX43" s="157">
        <f>+SUMPRODUCT(MicroModelComponents!$P$4:$P$24,BX$4:BX$24)</f>
        <v>0</v>
      </c>
      <c r="BY43" s="157">
        <f>+SUMPRODUCT(MicroModelComponents!$P$4:$P$24,BY$4:BY$24)</f>
        <v>0</v>
      </c>
      <c r="BZ43" s="157">
        <f>+SUMPRODUCT(MicroModelComponents!$P$4:$P$24,BZ$4:BZ$24)</f>
        <v>0</v>
      </c>
      <c r="CA43" s="157">
        <f>+SUMPRODUCT(MicroModelComponents!$P$4:$P$24,CA$4:CA$24)</f>
        <v>0</v>
      </c>
      <c r="CB43" s="157">
        <f>+SUMPRODUCT(MicroModelComponents!$P$4:$P$24,CB$4:CB$24)</f>
        <v>0</v>
      </c>
      <c r="CC43" s="158">
        <f>+SUMPRODUCT(MicroModelComponents!$P$4:$P$24,CB$4:CB$24)</f>
        <v>0</v>
      </c>
      <c r="CD43" s="3"/>
      <c r="CE43" s="108"/>
      <c r="CG43" s="156">
        <f>+SUMPRODUCT(MicroModelComponents!$P$4:$P$24,CG$4:CG$24)</f>
        <v>0</v>
      </c>
      <c r="CH43" s="157">
        <f>+SUMPRODUCT(MicroModelComponents!$P$4:$P$24,CH$4:CH$24)</f>
        <v>0</v>
      </c>
      <c r="CI43" s="157">
        <f>+SUMPRODUCT(MicroModelComponents!$P$4:$P$24,CI$4:CI$24)</f>
        <v>0</v>
      </c>
      <c r="CJ43" s="157">
        <f>+SUMPRODUCT(MicroModelComponents!$P$4:$P$24,CJ$4:CJ$24)</f>
        <v>0</v>
      </c>
      <c r="CK43" s="157">
        <f>+SUMPRODUCT(MicroModelComponents!$P$4:$P$24,CK$4:CK$24)</f>
        <v>0</v>
      </c>
      <c r="CL43" s="157">
        <f>+SUMPRODUCT(MicroModelComponents!$P$4:$P$24,CL$4:CL$24)</f>
        <v>0</v>
      </c>
      <c r="CM43" s="157">
        <f>+SUMPRODUCT(MicroModelComponents!$P$4:$P$24,CM$4:CM$24)</f>
        <v>0</v>
      </c>
      <c r="CN43" s="158">
        <f>+SUMPRODUCT(MicroModelComponents!$P$4:$P$24,CM$4:CM$24)</f>
        <v>0</v>
      </c>
      <c r="CO43" s="3"/>
      <c r="CP43" s="108"/>
      <c r="CR43" s="156">
        <f>+SUMPRODUCT(MicroModelComponents!$P$4:$P$24,CR$4:CR$24)</f>
        <v>0</v>
      </c>
      <c r="CS43" s="157">
        <f>+SUMPRODUCT(MicroModelComponents!$P$4:$P$24,CS$4:CS$24)</f>
        <v>0</v>
      </c>
      <c r="CT43" s="157">
        <f>+SUMPRODUCT(MicroModelComponents!$P$4:$P$24,CT$4:CT$24)</f>
        <v>0</v>
      </c>
      <c r="CU43" s="157">
        <f>+SUMPRODUCT(MicroModelComponents!$P$4:$P$24,CU$4:CU$24)</f>
        <v>0</v>
      </c>
      <c r="CV43" s="157">
        <f>+SUMPRODUCT(MicroModelComponents!$P$4:$P$24,CV$4:CV$24)</f>
        <v>0</v>
      </c>
      <c r="CW43" s="157">
        <f>+SUMPRODUCT(MicroModelComponents!$P$4:$P$24,CW$4:CW$24)</f>
        <v>0</v>
      </c>
      <c r="CX43" s="157">
        <f>+SUMPRODUCT(MicroModelComponents!$P$4:$P$24,CX$4:CX$24)</f>
        <v>0</v>
      </c>
      <c r="CY43" s="158">
        <f>+SUMPRODUCT(MicroModelComponents!$P$4:$P$24,CX$4:CX$24)</f>
        <v>0</v>
      </c>
      <c r="CZ43" s="3"/>
      <c r="DA43" s="108"/>
      <c r="DC43" s="156">
        <f>+SUMPRODUCT(MicroModelComponents!$P$4:$P$24,DC$4:DC$24)</f>
        <v>0</v>
      </c>
      <c r="DD43" s="157">
        <f>+SUMPRODUCT(MicroModelComponents!$P$4:$P$24,DD$4:DD$24)</f>
        <v>0</v>
      </c>
      <c r="DE43" s="157">
        <f>+SUMPRODUCT(MicroModelComponents!$P$4:$P$24,DE$4:DE$24)</f>
        <v>0</v>
      </c>
      <c r="DF43" s="157">
        <f>+SUMPRODUCT(MicroModelComponents!$P$4:$P$24,DF$4:DF$24)</f>
        <v>0</v>
      </c>
      <c r="DG43" s="157">
        <f>+SUMPRODUCT(MicroModelComponents!$P$4:$P$24,DG$4:DG$24)</f>
        <v>0</v>
      </c>
      <c r="DH43" s="157">
        <f>+SUMPRODUCT(MicroModelComponents!$P$4:$P$24,DH$4:DH$24)</f>
        <v>0</v>
      </c>
      <c r="DI43" s="157">
        <f>+SUMPRODUCT(MicroModelComponents!$P$4:$P$24,DI$4:DI$24)</f>
        <v>0</v>
      </c>
      <c r="DJ43" s="158">
        <f>+SUMPRODUCT(MicroModelComponents!$P$4:$P$24,DI$4:DI$24)</f>
        <v>0</v>
      </c>
      <c r="DK43" s="3"/>
      <c r="DL43" s="108"/>
      <c r="DN43" s="156">
        <f>+SUMPRODUCT(MicroModelComponents!$P$4:$P$24,DN$4:DN$24)</f>
        <v>0</v>
      </c>
      <c r="DO43" s="157">
        <f>+SUMPRODUCT(MicroModelComponents!$P$4:$P$24,DO$4:DO$24)</f>
        <v>0</v>
      </c>
      <c r="DP43" s="157">
        <f>+SUMPRODUCT(MicroModelComponents!$P$4:$P$24,DP$4:DP$24)</f>
        <v>0</v>
      </c>
      <c r="DQ43" s="157">
        <f>+SUMPRODUCT(MicroModelComponents!$P$4:$P$24,DQ$4:DQ$24)</f>
        <v>0</v>
      </c>
      <c r="DR43" s="157">
        <f>+SUMPRODUCT(MicroModelComponents!$P$4:$P$24,DR$4:DR$24)</f>
        <v>0</v>
      </c>
      <c r="DS43" s="157">
        <f>+SUMPRODUCT(MicroModelComponents!$P$4:$P$24,DS$4:DS$24)</f>
        <v>0</v>
      </c>
      <c r="DT43" s="157">
        <f>+SUMPRODUCT(MicroModelComponents!$P$4:$P$24,DT$4:DT$24)</f>
        <v>0</v>
      </c>
      <c r="DU43" s="158">
        <f>+SUMPRODUCT(MicroModelComponents!$P$4:$P$24,DT$4:DT$24)</f>
        <v>0</v>
      </c>
      <c r="DV43" s="3"/>
      <c r="DW43" s="108"/>
      <c r="DY43" s="156">
        <f>+SUMPRODUCT(MicroModelComponents!$P$4:$P$24,DY$4:DY$24)</f>
        <v>0</v>
      </c>
      <c r="DZ43" s="157">
        <f>+SUMPRODUCT(MicroModelComponents!$P$4:$P$24,DZ$4:DZ$24)</f>
        <v>0</v>
      </c>
      <c r="EA43" s="157">
        <f>+SUMPRODUCT(MicroModelComponents!$P$4:$P$24,EA$4:EA$24)</f>
        <v>0</v>
      </c>
      <c r="EB43" s="157">
        <f>+SUMPRODUCT(MicroModelComponents!$P$4:$P$24,EB$4:EB$24)</f>
        <v>0</v>
      </c>
      <c r="EC43" s="157">
        <f>+SUMPRODUCT(MicroModelComponents!$P$4:$P$24,EC$4:EC$24)</f>
        <v>0</v>
      </c>
      <c r="ED43" s="157">
        <f>+SUMPRODUCT(MicroModelComponents!$P$4:$P$24,ED$4:ED$24)</f>
        <v>0</v>
      </c>
      <c r="EE43" s="157">
        <f>+SUMPRODUCT(MicroModelComponents!$P$4:$P$24,EE$4:EE$24)</f>
        <v>0</v>
      </c>
      <c r="EF43" s="158">
        <f>+SUMPRODUCT(MicroModelComponents!$P$4:$P$24,EE$4:EE$24)</f>
        <v>0</v>
      </c>
      <c r="EG43" s="3"/>
      <c r="EH43" s="108"/>
      <c r="EJ43" s="156">
        <f>+SUMPRODUCT(MicroModelComponents!$P$4:$P$24,EJ$4:EJ$24)</f>
        <v>0</v>
      </c>
      <c r="EK43" s="157">
        <f>+SUMPRODUCT(MicroModelComponents!$P$4:$P$24,EK$4:EK$24)</f>
        <v>0</v>
      </c>
      <c r="EL43" s="157">
        <f>+SUMPRODUCT(MicroModelComponents!$P$4:$P$24,EL$4:EL$24)</f>
        <v>0</v>
      </c>
      <c r="EM43" s="157">
        <f>+SUMPRODUCT(MicroModelComponents!$P$4:$P$24,EM$4:EM$24)</f>
        <v>0</v>
      </c>
      <c r="EN43" s="157">
        <f>+SUMPRODUCT(MicroModelComponents!$P$4:$P$24,EN$4:EN$24)</f>
        <v>0</v>
      </c>
      <c r="EO43" s="157">
        <f>+SUMPRODUCT(MicroModelComponents!$P$4:$P$24,EO$4:EO$24)</f>
        <v>0</v>
      </c>
      <c r="EP43" s="157">
        <f>+SUMPRODUCT(MicroModelComponents!$P$4:$P$24,EP$4:EP$24)</f>
        <v>0</v>
      </c>
      <c r="EQ43" s="158">
        <f>+SUMPRODUCT(MicroModelComponents!$P$4:$P$24,EP$4:EP$24)</f>
        <v>0</v>
      </c>
      <c r="ER43" s="3"/>
      <c r="ES43" s="108"/>
      <c r="EU43" s="156">
        <f>+SUMPRODUCT(MicroModelComponents!$P$4:$P$24,EU$4:EU$24)</f>
        <v>0</v>
      </c>
      <c r="EV43" s="157">
        <f>+SUMPRODUCT(MicroModelComponents!$P$4:$P$24,EV$4:EV$24)</f>
        <v>0</v>
      </c>
      <c r="EW43" s="157">
        <f>+SUMPRODUCT(MicroModelComponents!$P$4:$P$24,EW$4:EW$24)</f>
        <v>0</v>
      </c>
      <c r="EX43" s="157">
        <f>+SUMPRODUCT(MicroModelComponents!$P$4:$P$24,EX$4:EX$24)</f>
        <v>0</v>
      </c>
      <c r="EY43" s="157">
        <f>+SUMPRODUCT(MicroModelComponents!$P$4:$P$24,EY$4:EY$24)</f>
        <v>0</v>
      </c>
      <c r="EZ43" s="157">
        <f>+SUMPRODUCT(MicroModelComponents!$P$4:$P$24,EZ$4:EZ$24)</f>
        <v>0</v>
      </c>
      <c r="FA43" s="157">
        <f>+SUMPRODUCT(MicroModelComponents!$P$4:$P$24,FA$4:FA$24)</f>
        <v>0</v>
      </c>
      <c r="FB43" s="158">
        <f>+SUMPRODUCT(MicroModelComponents!$P$4:$P$24,FA$4:FA$24)</f>
        <v>0</v>
      </c>
      <c r="FC43" s="3"/>
      <c r="FD43" s="108"/>
      <c r="FF43" s="156">
        <f>+SUMPRODUCT(MicroModelComponents!$P$4:$P$24,FF$4:FF$24)</f>
        <v>0</v>
      </c>
      <c r="FG43" s="157">
        <f>+SUMPRODUCT(MicroModelComponents!$P$4:$P$24,FG$4:FG$24)</f>
        <v>0</v>
      </c>
      <c r="FH43" s="157">
        <f>+SUMPRODUCT(MicroModelComponents!$P$4:$P$24,FH$4:FH$24)</f>
        <v>0</v>
      </c>
      <c r="FI43" s="157">
        <f>+SUMPRODUCT(MicroModelComponents!$P$4:$P$24,FI$4:FI$24)</f>
        <v>0</v>
      </c>
      <c r="FJ43" s="157">
        <f>+SUMPRODUCT(MicroModelComponents!$P$4:$P$24,FJ$4:FJ$24)</f>
        <v>0</v>
      </c>
      <c r="FK43" s="157">
        <f>+SUMPRODUCT(MicroModelComponents!$P$4:$P$24,FK$4:FK$24)</f>
        <v>0</v>
      </c>
      <c r="FL43" s="157">
        <f>+SUMPRODUCT(MicroModelComponents!$P$4:$P$24,FL$4:FL$24)</f>
        <v>0</v>
      </c>
      <c r="FM43" s="158">
        <f>+SUMPRODUCT(MicroModelComponents!$P$4:$P$24,FL$4:FL$24)</f>
        <v>0</v>
      </c>
      <c r="FN43" s="3"/>
      <c r="FO43" s="108"/>
      <c r="FQ43" s="156">
        <f>+SUMPRODUCT(MicroModelComponents!$P$4:$P$24,FQ$4:FQ$24)</f>
        <v>0</v>
      </c>
      <c r="FR43" s="157">
        <f>+SUMPRODUCT(MicroModelComponents!$P$4:$P$24,FR$4:FR$24)</f>
        <v>0</v>
      </c>
      <c r="FS43" s="157">
        <f>+SUMPRODUCT(MicroModelComponents!$P$4:$P$24,FS$4:FS$24)</f>
        <v>0</v>
      </c>
      <c r="FT43" s="157">
        <f>+SUMPRODUCT(MicroModelComponents!$P$4:$P$24,FT$4:FT$24)</f>
        <v>0</v>
      </c>
      <c r="FU43" s="157">
        <f>+SUMPRODUCT(MicroModelComponents!$P$4:$P$24,FU$4:FU$24)</f>
        <v>0</v>
      </c>
      <c r="FV43" s="157">
        <f>+SUMPRODUCT(MicroModelComponents!$P$4:$P$24,FV$4:FV$24)</f>
        <v>0</v>
      </c>
      <c r="FW43" s="157">
        <f>+SUMPRODUCT(MicroModelComponents!$P$4:$P$24,FW$4:FW$24)</f>
        <v>0</v>
      </c>
      <c r="FX43" s="158">
        <f>+SUMPRODUCT(MicroModelComponents!$P$4:$P$24,FW$4:FW$24)</f>
        <v>0</v>
      </c>
      <c r="FY43" s="3"/>
      <c r="FZ43" s="108"/>
      <c r="GB43" s="156">
        <f>+SUMPRODUCT(MicroModelComponents!$P$4:$P$24,GB$4:GB$24)</f>
        <v>0</v>
      </c>
      <c r="GC43" s="157">
        <f>+SUMPRODUCT(MicroModelComponents!$P$4:$P$24,GC$4:GC$24)</f>
        <v>0</v>
      </c>
      <c r="GD43" s="157">
        <f>+SUMPRODUCT(MicroModelComponents!$P$4:$P$24,GD$4:GD$24)</f>
        <v>0</v>
      </c>
      <c r="GE43" s="157">
        <f>+SUMPRODUCT(MicroModelComponents!$P$4:$P$24,GE$4:GE$24)</f>
        <v>0</v>
      </c>
      <c r="GF43" s="157">
        <f>+SUMPRODUCT(MicroModelComponents!$P$4:$P$24,GF$4:GF$24)</f>
        <v>0</v>
      </c>
      <c r="GG43" s="157">
        <f>+SUMPRODUCT(MicroModelComponents!$P$4:$P$24,GG$4:GG$24)</f>
        <v>0</v>
      </c>
      <c r="GH43" s="157">
        <f>+SUMPRODUCT(MicroModelComponents!$P$4:$P$24,GH$4:GH$24)</f>
        <v>0</v>
      </c>
      <c r="GI43" s="158">
        <f>+SUMPRODUCT(MicroModelComponents!$P$4:$P$24,GH$4:GH$24)</f>
        <v>0</v>
      </c>
      <c r="GJ43" s="3"/>
      <c r="GK43" s="108"/>
      <c r="GM43" s="156">
        <f>+SUMPRODUCT(MicroModelComponents!$P$4:$P$24,GM$4:GM$24)</f>
        <v>0</v>
      </c>
      <c r="GN43" s="157">
        <f>+SUMPRODUCT(MicroModelComponents!$P$4:$P$24,GN$4:GN$24)</f>
        <v>0</v>
      </c>
      <c r="GO43" s="157">
        <f>+SUMPRODUCT(MicroModelComponents!$P$4:$P$24,GO$4:GO$24)</f>
        <v>0</v>
      </c>
      <c r="GP43" s="157">
        <f>+SUMPRODUCT(MicroModelComponents!$P$4:$P$24,GP$4:GP$24)</f>
        <v>0</v>
      </c>
      <c r="GQ43" s="157">
        <f>+SUMPRODUCT(MicroModelComponents!$P$4:$P$24,GQ$4:GQ$24)</f>
        <v>0</v>
      </c>
      <c r="GR43" s="157">
        <f>+SUMPRODUCT(MicroModelComponents!$P$4:$P$24,GR$4:GR$24)</f>
        <v>0</v>
      </c>
      <c r="GS43" s="157">
        <f>+SUMPRODUCT(MicroModelComponents!$P$4:$P$24,GS$4:GS$24)</f>
        <v>0</v>
      </c>
      <c r="GT43" s="158">
        <f>+SUMPRODUCT(MicroModelComponents!$P$4:$P$24,GS$4:GS$24)</f>
        <v>0</v>
      </c>
      <c r="GU43" s="3"/>
      <c r="GV43" s="108"/>
      <c r="GX43" s="156">
        <f>+SUMPRODUCT(MicroModelComponents!$P$4:$P$24,GX$4:GX$24)</f>
        <v>0</v>
      </c>
      <c r="GY43" s="157">
        <f>+SUMPRODUCT(MicroModelComponents!$P$4:$P$24,GY$4:GY$24)</f>
        <v>0</v>
      </c>
      <c r="GZ43" s="157">
        <f>+SUMPRODUCT(MicroModelComponents!$P$4:$P$24,GZ$4:GZ$24)</f>
        <v>0</v>
      </c>
      <c r="HA43" s="157">
        <f>+SUMPRODUCT(MicroModelComponents!$P$4:$P$24,HA$4:HA$24)</f>
        <v>0</v>
      </c>
      <c r="HB43" s="157">
        <f>+SUMPRODUCT(MicroModelComponents!$P$4:$P$24,HB$4:HB$24)</f>
        <v>0</v>
      </c>
      <c r="HC43" s="157">
        <f>+SUMPRODUCT(MicroModelComponents!$P$4:$P$24,HC$4:HC$24)</f>
        <v>0</v>
      </c>
      <c r="HD43" s="157">
        <f>+SUMPRODUCT(MicroModelComponents!$P$4:$P$24,HD$4:HD$24)</f>
        <v>0</v>
      </c>
      <c r="HE43" s="158">
        <f>+SUMPRODUCT(MicroModelComponents!$P$4:$P$24,HD$4:HD$24)</f>
        <v>0</v>
      </c>
      <c r="HF43" s="3"/>
      <c r="HG43" s="108"/>
      <c r="HI43" s="156">
        <f>+SUMPRODUCT(MicroModelComponents!$P$4:$P$24,HI$4:HI$24)</f>
        <v>0</v>
      </c>
      <c r="HJ43" s="157">
        <f>+SUMPRODUCT(MicroModelComponents!$P$4:$P$24,HJ$4:HJ$24)</f>
        <v>0</v>
      </c>
      <c r="HK43" s="157">
        <f>+SUMPRODUCT(MicroModelComponents!$P$4:$P$24,HK$4:HK$24)</f>
        <v>0</v>
      </c>
      <c r="HL43" s="157">
        <f>+SUMPRODUCT(MicroModelComponents!$P$4:$P$24,HL$4:HL$24)</f>
        <v>0</v>
      </c>
      <c r="HM43" s="157">
        <f>+SUMPRODUCT(MicroModelComponents!$P$4:$P$24,HM$4:HM$24)</f>
        <v>0</v>
      </c>
      <c r="HN43" s="157">
        <f>+SUMPRODUCT(MicroModelComponents!$P$4:$P$24,HN$4:HN$24)</f>
        <v>0</v>
      </c>
      <c r="HO43" s="157">
        <f>+SUMPRODUCT(MicroModelComponents!$P$4:$P$24,HO$4:HO$24)</f>
        <v>0</v>
      </c>
      <c r="HP43" s="158">
        <f>+SUMPRODUCT(MicroModelComponents!$P$4:$P$24,HO$4:HO$24)</f>
        <v>0</v>
      </c>
      <c r="HQ43" s="3"/>
      <c r="HR43" s="108"/>
      <c r="HT43" s="156">
        <f>+SUMPRODUCT(MicroModelComponents!$P$4:$P$24,HT$4:HT$24)</f>
        <v>0</v>
      </c>
      <c r="HU43" s="157">
        <f>+SUMPRODUCT(MicroModelComponents!$P$4:$P$24,HU$4:HU$24)</f>
        <v>0</v>
      </c>
      <c r="HV43" s="157">
        <f>+SUMPRODUCT(MicroModelComponents!$P$4:$P$24,HV$4:HV$24)</f>
        <v>0</v>
      </c>
      <c r="HW43" s="157">
        <f>+SUMPRODUCT(MicroModelComponents!$P$4:$P$24,HW$4:HW$24)</f>
        <v>0</v>
      </c>
      <c r="HX43" s="157">
        <f>+SUMPRODUCT(MicroModelComponents!$P$4:$P$24,HX$4:HX$24)</f>
        <v>0</v>
      </c>
      <c r="HY43" s="157">
        <f>+SUMPRODUCT(MicroModelComponents!$P$4:$P$24,HY$4:HY$24)</f>
        <v>0</v>
      </c>
      <c r="HZ43" s="157">
        <f>+SUMPRODUCT(MicroModelComponents!$P$4:$P$24,HZ$4:HZ$24)</f>
        <v>0</v>
      </c>
      <c r="IA43" s="158">
        <f>+SUMPRODUCT(MicroModelComponents!$P$4:$P$24,HZ$4:HZ$24)</f>
        <v>0</v>
      </c>
      <c r="IB43" s="3"/>
      <c r="IC43" s="108"/>
      <c r="ID43" s="156">
        <f>+SUMPRODUCT(MicroModelComponents!$P$4:$P$24,ID$4:ID$24)</f>
        <v>0</v>
      </c>
      <c r="IE43" s="108"/>
      <c r="IF43" s="156">
        <f>+SUMPRODUCT(MicroModelComponents!$P$4:$P$24,IF$4:IF$24)</f>
        <v>0</v>
      </c>
      <c r="IG43" s="156">
        <f>+SUMPRODUCT(MicroModelComponents!$P$4:$P$24,IG$4:IG$24)</f>
        <v>0</v>
      </c>
      <c r="IH43" s="156">
        <f>+SUMPRODUCT(MicroModelComponents!$P$4:$P$24,IH$4:IH$24)</f>
        <v>0</v>
      </c>
      <c r="II43" s="108"/>
      <c r="IJ43" s="156">
        <f>+SUMPRODUCT(MicroModelComponents!$P$4:$P$24,IJ$4:IJ$24)</f>
        <v>0</v>
      </c>
      <c r="IK43" s="108"/>
    </row>
    <row r="44" spans="2:256" ht="13.5" customHeight="1">
      <c r="C44" s="41" t="s">
        <v>219</v>
      </c>
      <c r="N44" s="41" t="s">
        <v>219</v>
      </c>
      <c r="O44" s="105"/>
      <c r="P44" s="3"/>
      <c r="Q44" s="108"/>
      <c r="S44" s="156">
        <f>+SUMPRODUCT(MicroModelComponents!$Q$4:$Q$24,S$4:S$24)+SUMPRODUCT(MicroModelComponents!$R$4:$R$24,S$4:S$24)</f>
        <v>0</v>
      </c>
      <c r="T44" s="157">
        <f>+SUMPRODUCT(MicroModelComponents!$Q$4:$Q$24,T$4:T$24)+SUMPRODUCT(MicroModelComponents!$R$4:$R$24,T$4:T$24)</f>
        <v>0</v>
      </c>
      <c r="U44" s="157">
        <f>+SUMPRODUCT(MicroModelComponents!$Q$4:$Q$24,U$4:U$24)+SUMPRODUCT(MicroModelComponents!$R$4:$R$24,U$4:U$24)</f>
        <v>0</v>
      </c>
      <c r="V44" s="157">
        <f>+SUMPRODUCT(MicroModelComponents!$Q$4:$Q$24,V$4:V$24)+SUMPRODUCT(MicroModelComponents!$R$4:$R$24,V$4:V$24)</f>
        <v>0</v>
      </c>
      <c r="W44" s="157">
        <f>+SUMPRODUCT(MicroModelComponents!$Q$4:$Q$24,W$4:W$24)+SUMPRODUCT(MicroModelComponents!$R$4:$R$24,W$4:W$24)</f>
        <v>0</v>
      </c>
      <c r="X44" s="157">
        <f>+SUMPRODUCT(MicroModelComponents!$Q$4:$Q$24,X$4:X$24)+SUMPRODUCT(MicroModelComponents!$R$4:$R$24,X$4:X$24)</f>
        <v>0</v>
      </c>
      <c r="Y44" s="157">
        <f>+SUMPRODUCT(MicroModelComponents!$Q$4:$Q$24,Y$4:Y$24)+SUMPRODUCT(MicroModelComponents!$R$4:$R$24,Y$4:Y$24)</f>
        <v>0</v>
      </c>
      <c r="Z44" s="158">
        <f>+SUMPRODUCT(MicroModelComponents!$Q$4:$Q$24,Y$4:Y$24)+SUMPRODUCT(MicroModelComponents!$R$4:$R$24,Y$4:Y$24)</f>
        <v>0</v>
      </c>
      <c r="AA44" s="3"/>
      <c r="AB44" s="108"/>
      <c r="AD44" s="156">
        <f>+SUMPRODUCT(MicroModelComponents!$Q$4:$Q$24,AD$4:AD$24)+SUMPRODUCT(MicroModelComponents!$R$4:$R$24,AD$4:AD$24)</f>
        <v>0</v>
      </c>
      <c r="AE44" s="157">
        <f>+SUMPRODUCT(MicroModelComponents!$Q$4:$Q$24,AE$4:AE$24)+SUMPRODUCT(MicroModelComponents!$R$4:$R$24,AE$4:AE$24)</f>
        <v>0</v>
      </c>
      <c r="AF44" s="157">
        <f>+SUMPRODUCT(MicroModelComponents!$Q$4:$Q$24,AF$4:AF$24)+SUMPRODUCT(MicroModelComponents!$R$4:$R$24,AF$4:AF$24)</f>
        <v>0</v>
      </c>
      <c r="AG44" s="157">
        <f>+SUMPRODUCT(MicroModelComponents!$Q$4:$Q$24,AG$4:AG$24)+SUMPRODUCT(MicroModelComponents!$R$4:$R$24,AG$4:AG$24)</f>
        <v>0</v>
      </c>
      <c r="AH44" s="157">
        <f>+SUMPRODUCT(MicroModelComponents!$Q$4:$Q$24,AH$4:AH$24)+SUMPRODUCT(MicroModelComponents!$R$4:$R$24,AH$4:AH$24)</f>
        <v>0</v>
      </c>
      <c r="AI44" s="157">
        <f>+SUMPRODUCT(MicroModelComponents!$Q$4:$Q$24,AI$4:AI$24)+SUMPRODUCT(MicroModelComponents!$R$4:$R$24,AI$4:AI$24)</f>
        <v>0</v>
      </c>
      <c r="AJ44" s="157">
        <f>+SUMPRODUCT(MicroModelComponents!$Q$4:$Q$24,AJ$4:AJ$24)+SUMPRODUCT(MicroModelComponents!$R$4:$R$24,AJ$4:AJ$24)</f>
        <v>0</v>
      </c>
      <c r="AK44" s="158">
        <f>+SUMPRODUCT(MicroModelComponents!$Q$4:$Q$24,AJ$4:AJ$24)+SUMPRODUCT(MicroModelComponents!$R$4:$R$24,AJ$4:AJ$24)</f>
        <v>0</v>
      </c>
      <c r="AL44" s="3"/>
      <c r="AM44" s="108"/>
      <c r="AO44" s="156">
        <f>+SUMPRODUCT(MicroModelComponents!$Q$4:$Q$24,AO$4:AO$24)+SUMPRODUCT(MicroModelComponents!$R$4:$R$24,AO$4:AO$24)</f>
        <v>0</v>
      </c>
      <c r="AP44" s="157">
        <f>+SUMPRODUCT(MicroModelComponents!$Q$4:$Q$24,AP$4:AP$24)+SUMPRODUCT(MicroModelComponents!$R$4:$R$24,AP$4:AP$24)</f>
        <v>0</v>
      </c>
      <c r="AQ44" s="157">
        <f>+SUMPRODUCT(MicroModelComponents!$Q$4:$Q$24,AQ$4:AQ$24)+SUMPRODUCT(MicroModelComponents!$R$4:$R$24,AQ$4:AQ$24)</f>
        <v>0</v>
      </c>
      <c r="AR44" s="157">
        <f>+SUMPRODUCT(MicroModelComponents!$Q$4:$Q$24,AR$4:AR$24)+SUMPRODUCT(MicroModelComponents!$R$4:$R$24,AR$4:AR$24)</f>
        <v>0</v>
      </c>
      <c r="AS44" s="157">
        <f>+SUMPRODUCT(MicroModelComponents!$Q$4:$Q$24,AS$4:AS$24)+SUMPRODUCT(MicroModelComponents!$R$4:$R$24,AS$4:AS$24)</f>
        <v>0</v>
      </c>
      <c r="AT44" s="157">
        <f>+SUMPRODUCT(MicroModelComponents!$Q$4:$Q$24,AT$4:AT$24)+SUMPRODUCT(MicroModelComponents!$R$4:$R$24,AT$4:AT$24)</f>
        <v>0</v>
      </c>
      <c r="AU44" s="157">
        <f>+SUMPRODUCT(MicroModelComponents!$Q$4:$Q$24,AU$4:AU$24)+SUMPRODUCT(MicroModelComponents!$R$4:$R$24,AU$4:AU$24)</f>
        <v>0</v>
      </c>
      <c r="AV44" s="158">
        <f>+SUMPRODUCT(MicroModelComponents!$Q$4:$Q$24,AU$4:AU$24)+SUMPRODUCT(MicroModelComponents!$R$4:$R$24,AU$4:AU$24)</f>
        <v>0</v>
      </c>
      <c r="AW44" s="3"/>
      <c r="AX44" s="108"/>
      <c r="AZ44" s="156">
        <f>+SUMPRODUCT(MicroModelComponents!$Q$4:$Q$24,AZ$4:AZ$24)+SUMPRODUCT(MicroModelComponents!$R$4:$R$24,AZ$4:AZ$24)</f>
        <v>0</v>
      </c>
      <c r="BA44" s="157">
        <f>+SUMPRODUCT(MicroModelComponents!$Q$4:$Q$24,BA$4:BA$24)+SUMPRODUCT(MicroModelComponents!$R$4:$R$24,BA$4:BA$24)</f>
        <v>0</v>
      </c>
      <c r="BB44" s="157">
        <f>+SUMPRODUCT(MicroModelComponents!$Q$4:$Q$24,BB$4:BB$24)+SUMPRODUCT(MicroModelComponents!$R$4:$R$24,BB$4:BB$24)</f>
        <v>0</v>
      </c>
      <c r="BC44" s="157">
        <f>+SUMPRODUCT(MicroModelComponents!$Q$4:$Q$24,BC$4:BC$24)+SUMPRODUCT(MicroModelComponents!$R$4:$R$24,BC$4:BC$24)</f>
        <v>0</v>
      </c>
      <c r="BD44" s="157">
        <f>+SUMPRODUCT(MicroModelComponents!$Q$4:$Q$24,BD$4:BD$24)+SUMPRODUCT(MicroModelComponents!$R$4:$R$24,BD$4:BD$24)</f>
        <v>0</v>
      </c>
      <c r="BE44" s="157">
        <f>+SUMPRODUCT(MicroModelComponents!$Q$4:$Q$24,BE$4:BE$24)+SUMPRODUCT(MicroModelComponents!$R$4:$R$24,BE$4:BE$24)</f>
        <v>0</v>
      </c>
      <c r="BF44" s="157">
        <f>+SUMPRODUCT(MicroModelComponents!$Q$4:$Q$24,BF$4:BF$24)+SUMPRODUCT(MicroModelComponents!$R$4:$R$24,BF$4:BF$24)</f>
        <v>0</v>
      </c>
      <c r="BG44" s="158">
        <f>+SUMPRODUCT(MicroModelComponents!$Q$4:$Q$24,BF$4:BF$24)+SUMPRODUCT(MicroModelComponents!$R$4:$R$24,BF$4:BF$24)</f>
        <v>0</v>
      </c>
      <c r="BH44" s="3"/>
      <c r="BI44" s="108"/>
      <c r="BK44" s="156">
        <f>+SUMPRODUCT(MicroModelComponents!$Q$4:$Q$24,BK$4:BK$24)+SUMPRODUCT(MicroModelComponents!$R$4:$R$24,BK$4:BK$24)</f>
        <v>0</v>
      </c>
      <c r="BL44" s="157">
        <f>+SUMPRODUCT(MicroModelComponents!$Q$4:$Q$24,BL$4:BL$24)+SUMPRODUCT(MicroModelComponents!$R$4:$R$24,BL$4:BL$24)</f>
        <v>0</v>
      </c>
      <c r="BM44" s="157">
        <f>+SUMPRODUCT(MicroModelComponents!$Q$4:$Q$24,BM$4:BM$24)+SUMPRODUCT(MicroModelComponents!$R$4:$R$24,BM$4:BM$24)</f>
        <v>0</v>
      </c>
      <c r="BN44" s="157">
        <f>+SUMPRODUCT(MicroModelComponents!$Q$4:$Q$24,BN$4:BN$24)+SUMPRODUCT(MicroModelComponents!$R$4:$R$24,BN$4:BN$24)</f>
        <v>0</v>
      </c>
      <c r="BO44" s="157">
        <f>+SUMPRODUCT(MicroModelComponents!$Q$4:$Q$24,BO$4:BO$24)+SUMPRODUCT(MicroModelComponents!$R$4:$R$24,BO$4:BO$24)</f>
        <v>0</v>
      </c>
      <c r="BP44" s="157">
        <f>+SUMPRODUCT(MicroModelComponents!$Q$4:$Q$24,BP$4:BP$24)+SUMPRODUCT(MicroModelComponents!$R$4:$R$24,BP$4:BP$24)</f>
        <v>0</v>
      </c>
      <c r="BQ44" s="157">
        <f>+SUMPRODUCT(MicroModelComponents!$Q$4:$Q$24,BQ$4:BQ$24)+SUMPRODUCT(MicroModelComponents!$R$4:$R$24,BQ$4:BQ$24)</f>
        <v>0</v>
      </c>
      <c r="BR44" s="158">
        <f>+SUMPRODUCT(MicroModelComponents!$Q$4:$Q$24,BQ$4:BQ$24)+SUMPRODUCT(MicroModelComponents!$R$4:$R$24,BQ$4:BQ$24)</f>
        <v>0</v>
      </c>
      <c r="BS44" s="3"/>
      <c r="BT44" s="108"/>
      <c r="BV44" s="156">
        <f>+SUMPRODUCT(MicroModelComponents!$Q$4:$Q$24,BV$4:BV$24)+SUMPRODUCT(MicroModelComponents!$R$4:$R$24,BV$4:BV$24)</f>
        <v>0</v>
      </c>
      <c r="BW44" s="157">
        <f>+SUMPRODUCT(MicroModelComponents!$Q$4:$Q$24,BW$4:BW$24)+SUMPRODUCT(MicroModelComponents!$R$4:$R$24,BW$4:BW$24)</f>
        <v>0</v>
      </c>
      <c r="BX44" s="157">
        <f>+SUMPRODUCT(MicroModelComponents!$Q$4:$Q$24,BX$4:BX$24)+SUMPRODUCT(MicroModelComponents!$R$4:$R$24,BX$4:BX$24)</f>
        <v>0</v>
      </c>
      <c r="BY44" s="157">
        <f>+SUMPRODUCT(MicroModelComponents!$Q$4:$Q$24,BY$4:BY$24)+SUMPRODUCT(MicroModelComponents!$R$4:$R$24,BY$4:BY$24)</f>
        <v>0</v>
      </c>
      <c r="BZ44" s="157">
        <f>+SUMPRODUCT(MicroModelComponents!$Q$4:$Q$24,BZ$4:BZ$24)+SUMPRODUCT(MicroModelComponents!$R$4:$R$24,BZ$4:BZ$24)</f>
        <v>0</v>
      </c>
      <c r="CA44" s="157">
        <f>+SUMPRODUCT(MicroModelComponents!$Q$4:$Q$24,CA$4:CA$24)+SUMPRODUCT(MicroModelComponents!$R$4:$R$24,CA$4:CA$24)</f>
        <v>0</v>
      </c>
      <c r="CB44" s="157">
        <f>+SUMPRODUCT(MicroModelComponents!$Q$4:$Q$24,CB$4:CB$24)+SUMPRODUCT(MicroModelComponents!$R$4:$R$24,CB$4:CB$24)</f>
        <v>0</v>
      </c>
      <c r="CC44" s="158">
        <f>+SUMPRODUCT(MicroModelComponents!$Q$4:$Q$24,CB$4:CB$24)+SUMPRODUCT(MicroModelComponents!$R$4:$R$24,CB$4:CB$24)</f>
        <v>0</v>
      </c>
      <c r="CD44" s="3"/>
      <c r="CE44" s="108"/>
      <c r="CG44" s="156">
        <f>+SUMPRODUCT(MicroModelComponents!$Q$4:$Q$24,CG$4:CG$24)+SUMPRODUCT(MicroModelComponents!$R$4:$R$24,CG$4:CG$24)</f>
        <v>0</v>
      </c>
      <c r="CH44" s="157">
        <f>+SUMPRODUCT(MicroModelComponents!$Q$4:$Q$24,CH$4:CH$24)+SUMPRODUCT(MicroModelComponents!$R$4:$R$24,CH$4:CH$24)</f>
        <v>0</v>
      </c>
      <c r="CI44" s="157">
        <f>+SUMPRODUCT(MicroModelComponents!$Q$4:$Q$24,CI$4:CI$24)+SUMPRODUCT(MicroModelComponents!$R$4:$R$24,CI$4:CI$24)</f>
        <v>0</v>
      </c>
      <c r="CJ44" s="157">
        <f>+SUMPRODUCT(MicroModelComponents!$Q$4:$Q$24,CJ$4:CJ$24)+SUMPRODUCT(MicroModelComponents!$R$4:$R$24,CJ$4:CJ$24)</f>
        <v>0</v>
      </c>
      <c r="CK44" s="157">
        <f>+SUMPRODUCT(MicroModelComponents!$Q$4:$Q$24,CK$4:CK$24)+SUMPRODUCT(MicroModelComponents!$R$4:$R$24,CK$4:CK$24)</f>
        <v>0</v>
      </c>
      <c r="CL44" s="157">
        <f>+SUMPRODUCT(MicroModelComponents!$Q$4:$Q$24,CL$4:CL$24)+SUMPRODUCT(MicroModelComponents!$R$4:$R$24,CL$4:CL$24)</f>
        <v>0</v>
      </c>
      <c r="CM44" s="157">
        <f>+SUMPRODUCT(MicroModelComponents!$Q$4:$Q$24,CM$4:CM$24)+SUMPRODUCT(MicroModelComponents!$R$4:$R$24,CM$4:CM$24)</f>
        <v>0</v>
      </c>
      <c r="CN44" s="158">
        <f>+SUMPRODUCT(MicroModelComponents!$Q$4:$Q$24,CM$4:CM$24)+SUMPRODUCT(MicroModelComponents!$R$4:$R$24,CM$4:CM$24)</f>
        <v>0</v>
      </c>
      <c r="CO44" s="3"/>
      <c r="CP44" s="108"/>
      <c r="CR44" s="156">
        <f>+SUMPRODUCT(MicroModelComponents!$Q$4:$Q$24,CR$4:CR$24)+SUMPRODUCT(MicroModelComponents!$R$4:$R$24,CR$4:CR$24)</f>
        <v>0</v>
      </c>
      <c r="CS44" s="157">
        <f>+SUMPRODUCT(MicroModelComponents!$Q$4:$Q$24,CS$4:CS$24)+SUMPRODUCT(MicroModelComponents!$R$4:$R$24,CS$4:CS$24)</f>
        <v>0</v>
      </c>
      <c r="CT44" s="157">
        <f>+SUMPRODUCT(MicroModelComponents!$Q$4:$Q$24,CT$4:CT$24)+SUMPRODUCT(MicroModelComponents!$R$4:$R$24,CT$4:CT$24)</f>
        <v>0</v>
      </c>
      <c r="CU44" s="157">
        <f>+SUMPRODUCT(MicroModelComponents!$Q$4:$Q$24,CU$4:CU$24)+SUMPRODUCT(MicroModelComponents!$R$4:$R$24,CU$4:CU$24)</f>
        <v>0</v>
      </c>
      <c r="CV44" s="157">
        <f>+SUMPRODUCT(MicroModelComponents!$Q$4:$Q$24,CV$4:CV$24)+SUMPRODUCT(MicroModelComponents!$R$4:$R$24,CV$4:CV$24)</f>
        <v>0</v>
      </c>
      <c r="CW44" s="157">
        <f>+SUMPRODUCT(MicroModelComponents!$Q$4:$Q$24,CW$4:CW$24)+SUMPRODUCT(MicroModelComponents!$R$4:$R$24,CW$4:CW$24)</f>
        <v>0</v>
      </c>
      <c r="CX44" s="157">
        <f>+SUMPRODUCT(MicroModelComponents!$Q$4:$Q$24,CX$4:CX$24)+SUMPRODUCT(MicroModelComponents!$R$4:$R$24,CX$4:CX$24)</f>
        <v>0</v>
      </c>
      <c r="CY44" s="158">
        <f>+SUMPRODUCT(MicroModelComponents!$Q$4:$Q$24,CX$4:CX$24)+SUMPRODUCT(MicroModelComponents!$R$4:$R$24,CX$4:CX$24)</f>
        <v>0</v>
      </c>
      <c r="CZ44" s="3"/>
      <c r="DA44" s="108"/>
      <c r="DC44" s="156">
        <f>+SUMPRODUCT(MicroModelComponents!$Q$4:$Q$24,DC$4:DC$24)+SUMPRODUCT(MicroModelComponents!$R$4:$R$24,DC$4:DC$24)</f>
        <v>0</v>
      </c>
      <c r="DD44" s="157">
        <f>+SUMPRODUCT(MicroModelComponents!$Q$4:$Q$24,DD$4:DD$24)+SUMPRODUCT(MicroModelComponents!$R$4:$R$24,DD$4:DD$24)</f>
        <v>0</v>
      </c>
      <c r="DE44" s="157">
        <f>+SUMPRODUCT(MicroModelComponents!$Q$4:$Q$24,DE$4:DE$24)+SUMPRODUCT(MicroModelComponents!$R$4:$R$24,DE$4:DE$24)</f>
        <v>0</v>
      </c>
      <c r="DF44" s="157">
        <f>+SUMPRODUCT(MicroModelComponents!$Q$4:$Q$24,DF$4:DF$24)+SUMPRODUCT(MicroModelComponents!$R$4:$R$24,DF$4:DF$24)</f>
        <v>0</v>
      </c>
      <c r="DG44" s="157">
        <f>+SUMPRODUCT(MicroModelComponents!$Q$4:$Q$24,DG$4:DG$24)+SUMPRODUCT(MicroModelComponents!$R$4:$R$24,DG$4:DG$24)</f>
        <v>0</v>
      </c>
      <c r="DH44" s="157">
        <f>+SUMPRODUCT(MicroModelComponents!$Q$4:$Q$24,DH$4:DH$24)+SUMPRODUCT(MicroModelComponents!$R$4:$R$24,DH$4:DH$24)</f>
        <v>0</v>
      </c>
      <c r="DI44" s="157">
        <f>+SUMPRODUCT(MicroModelComponents!$Q$4:$Q$24,DI$4:DI$24)+SUMPRODUCT(MicroModelComponents!$R$4:$R$24,DI$4:DI$24)</f>
        <v>0</v>
      </c>
      <c r="DJ44" s="158">
        <f>+SUMPRODUCT(MicroModelComponents!$Q$4:$Q$24,DI$4:DI$24)+SUMPRODUCT(MicroModelComponents!$R$4:$R$24,DI$4:DI$24)</f>
        <v>0</v>
      </c>
      <c r="DK44" s="3"/>
      <c r="DL44" s="108"/>
      <c r="DN44" s="156">
        <f>+SUMPRODUCT(MicroModelComponents!$Q$4:$Q$24,DN$4:DN$24)+SUMPRODUCT(MicroModelComponents!$R$4:$R$24,DN$4:DN$24)</f>
        <v>0</v>
      </c>
      <c r="DO44" s="157">
        <f>+SUMPRODUCT(MicroModelComponents!$Q$4:$Q$24,DO$4:DO$24)+SUMPRODUCT(MicroModelComponents!$R$4:$R$24,DO$4:DO$24)</f>
        <v>0</v>
      </c>
      <c r="DP44" s="157">
        <f>+SUMPRODUCT(MicroModelComponents!$Q$4:$Q$24,DP$4:DP$24)+SUMPRODUCT(MicroModelComponents!$R$4:$R$24,DP$4:DP$24)</f>
        <v>0</v>
      </c>
      <c r="DQ44" s="157">
        <f>+SUMPRODUCT(MicroModelComponents!$Q$4:$Q$24,DQ$4:DQ$24)+SUMPRODUCT(MicroModelComponents!$R$4:$R$24,DQ$4:DQ$24)</f>
        <v>0</v>
      </c>
      <c r="DR44" s="157">
        <f>+SUMPRODUCT(MicroModelComponents!$Q$4:$Q$24,DR$4:DR$24)+SUMPRODUCT(MicroModelComponents!$R$4:$R$24,DR$4:DR$24)</f>
        <v>0</v>
      </c>
      <c r="DS44" s="157">
        <f>+SUMPRODUCT(MicroModelComponents!$Q$4:$Q$24,DS$4:DS$24)+SUMPRODUCT(MicroModelComponents!$R$4:$R$24,DS$4:DS$24)</f>
        <v>0</v>
      </c>
      <c r="DT44" s="157">
        <f>+SUMPRODUCT(MicroModelComponents!$Q$4:$Q$24,DT$4:DT$24)+SUMPRODUCT(MicroModelComponents!$R$4:$R$24,DT$4:DT$24)</f>
        <v>0</v>
      </c>
      <c r="DU44" s="158">
        <f>+SUMPRODUCT(MicroModelComponents!$Q$4:$Q$24,DT$4:DT$24)+SUMPRODUCT(MicroModelComponents!$R$4:$R$24,DT$4:DT$24)</f>
        <v>0</v>
      </c>
      <c r="DV44" s="3"/>
      <c r="DW44" s="108"/>
      <c r="DY44" s="156">
        <f>+SUMPRODUCT(MicroModelComponents!$Q$4:$Q$24,DY$4:DY$24)+SUMPRODUCT(MicroModelComponents!$R$4:$R$24,DY$4:DY$24)</f>
        <v>0</v>
      </c>
      <c r="DZ44" s="157">
        <f>+SUMPRODUCT(MicroModelComponents!$Q$4:$Q$24,DZ$4:DZ$24)+SUMPRODUCT(MicroModelComponents!$R$4:$R$24,DZ$4:DZ$24)</f>
        <v>0</v>
      </c>
      <c r="EA44" s="157">
        <f>+SUMPRODUCT(MicroModelComponents!$Q$4:$Q$24,EA$4:EA$24)+SUMPRODUCT(MicroModelComponents!$R$4:$R$24,EA$4:EA$24)</f>
        <v>0</v>
      </c>
      <c r="EB44" s="157">
        <f>+SUMPRODUCT(MicroModelComponents!$Q$4:$Q$24,EB$4:EB$24)+SUMPRODUCT(MicroModelComponents!$R$4:$R$24,EB$4:EB$24)</f>
        <v>0</v>
      </c>
      <c r="EC44" s="157">
        <f>+SUMPRODUCT(MicroModelComponents!$Q$4:$Q$24,EC$4:EC$24)+SUMPRODUCT(MicroModelComponents!$R$4:$R$24,EC$4:EC$24)</f>
        <v>0</v>
      </c>
      <c r="ED44" s="157">
        <f>+SUMPRODUCT(MicroModelComponents!$Q$4:$Q$24,ED$4:ED$24)+SUMPRODUCT(MicroModelComponents!$R$4:$R$24,ED$4:ED$24)</f>
        <v>0</v>
      </c>
      <c r="EE44" s="157">
        <f>+SUMPRODUCT(MicroModelComponents!$Q$4:$Q$24,EE$4:EE$24)+SUMPRODUCT(MicroModelComponents!$R$4:$R$24,EE$4:EE$24)</f>
        <v>0</v>
      </c>
      <c r="EF44" s="158">
        <f>+SUMPRODUCT(MicroModelComponents!$Q$4:$Q$24,EE$4:EE$24)+SUMPRODUCT(MicroModelComponents!$R$4:$R$24,EE$4:EE$24)</f>
        <v>0</v>
      </c>
      <c r="EG44" s="3"/>
      <c r="EH44" s="108"/>
      <c r="EJ44" s="156">
        <f>+SUMPRODUCT(MicroModelComponents!$Q$4:$Q$24,EJ$4:EJ$24)+SUMPRODUCT(MicroModelComponents!$R$4:$R$24,EJ$4:EJ$24)</f>
        <v>0</v>
      </c>
      <c r="EK44" s="157">
        <f>+SUMPRODUCT(MicroModelComponents!$Q$4:$Q$24,EK$4:EK$24)+SUMPRODUCT(MicroModelComponents!$R$4:$R$24,EK$4:EK$24)</f>
        <v>0</v>
      </c>
      <c r="EL44" s="157">
        <f>+SUMPRODUCT(MicroModelComponents!$Q$4:$Q$24,EL$4:EL$24)+SUMPRODUCT(MicroModelComponents!$R$4:$R$24,EL$4:EL$24)</f>
        <v>0</v>
      </c>
      <c r="EM44" s="157">
        <f>+SUMPRODUCT(MicroModelComponents!$Q$4:$Q$24,EM$4:EM$24)+SUMPRODUCT(MicroModelComponents!$R$4:$R$24,EM$4:EM$24)</f>
        <v>0</v>
      </c>
      <c r="EN44" s="157">
        <f>+SUMPRODUCT(MicroModelComponents!$Q$4:$Q$24,EN$4:EN$24)+SUMPRODUCT(MicroModelComponents!$R$4:$R$24,EN$4:EN$24)</f>
        <v>0</v>
      </c>
      <c r="EO44" s="157">
        <f>+SUMPRODUCT(MicroModelComponents!$Q$4:$Q$24,EO$4:EO$24)+SUMPRODUCT(MicroModelComponents!$R$4:$R$24,EO$4:EO$24)</f>
        <v>0</v>
      </c>
      <c r="EP44" s="157">
        <f>+SUMPRODUCT(MicroModelComponents!$Q$4:$Q$24,EP$4:EP$24)+SUMPRODUCT(MicroModelComponents!$R$4:$R$24,EP$4:EP$24)</f>
        <v>0</v>
      </c>
      <c r="EQ44" s="158">
        <f>+SUMPRODUCT(MicroModelComponents!$Q$4:$Q$24,EP$4:EP$24)+SUMPRODUCT(MicroModelComponents!$R$4:$R$24,EP$4:EP$24)</f>
        <v>0</v>
      </c>
      <c r="ER44" s="3"/>
      <c r="ES44" s="108"/>
      <c r="EU44" s="156">
        <f>+SUMPRODUCT(MicroModelComponents!$Q$4:$Q$24,EU$4:EU$24)+SUMPRODUCT(MicroModelComponents!$R$4:$R$24,EU$4:EU$24)</f>
        <v>0</v>
      </c>
      <c r="EV44" s="157">
        <f>+SUMPRODUCT(MicroModelComponents!$Q$4:$Q$24,EV$4:EV$24)+SUMPRODUCT(MicroModelComponents!$R$4:$R$24,EV$4:EV$24)</f>
        <v>0</v>
      </c>
      <c r="EW44" s="157">
        <f>+SUMPRODUCT(MicroModelComponents!$Q$4:$Q$24,EW$4:EW$24)+SUMPRODUCT(MicroModelComponents!$R$4:$R$24,EW$4:EW$24)</f>
        <v>0</v>
      </c>
      <c r="EX44" s="157">
        <f>+SUMPRODUCT(MicroModelComponents!$Q$4:$Q$24,EX$4:EX$24)+SUMPRODUCT(MicroModelComponents!$R$4:$R$24,EX$4:EX$24)</f>
        <v>0</v>
      </c>
      <c r="EY44" s="157">
        <f>+SUMPRODUCT(MicroModelComponents!$Q$4:$Q$24,EY$4:EY$24)+SUMPRODUCT(MicroModelComponents!$R$4:$R$24,EY$4:EY$24)</f>
        <v>0</v>
      </c>
      <c r="EZ44" s="157">
        <f>+SUMPRODUCT(MicroModelComponents!$Q$4:$Q$24,EZ$4:EZ$24)+SUMPRODUCT(MicroModelComponents!$R$4:$R$24,EZ$4:EZ$24)</f>
        <v>0</v>
      </c>
      <c r="FA44" s="157">
        <f>+SUMPRODUCT(MicroModelComponents!$Q$4:$Q$24,FA$4:FA$24)+SUMPRODUCT(MicroModelComponents!$R$4:$R$24,FA$4:FA$24)</f>
        <v>0</v>
      </c>
      <c r="FB44" s="158">
        <f>+SUMPRODUCT(MicroModelComponents!$Q$4:$Q$24,FA$4:FA$24)+SUMPRODUCT(MicroModelComponents!$R$4:$R$24,FA$4:FA$24)</f>
        <v>0</v>
      </c>
      <c r="FC44" s="3"/>
      <c r="FD44" s="108"/>
      <c r="FF44" s="156">
        <f>+SUMPRODUCT(MicroModelComponents!$Q$4:$Q$24,FF$4:FF$24)+SUMPRODUCT(MicroModelComponents!$R$4:$R$24,FF$4:FF$24)</f>
        <v>0</v>
      </c>
      <c r="FG44" s="157">
        <f>+SUMPRODUCT(MicroModelComponents!$Q$4:$Q$24,FG$4:FG$24)+SUMPRODUCT(MicroModelComponents!$R$4:$R$24,FG$4:FG$24)</f>
        <v>0</v>
      </c>
      <c r="FH44" s="157">
        <f>+SUMPRODUCT(MicroModelComponents!$Q$4:$Q$24,FH$4:FH$24)+SUMPRODUCT(MicroModelComponents!$R$4:$R$24,FH$4:FH$24)</f>
        <v>0</v>
      </c>
      <c r="FI44" s="157">
        <f>+SUMPRODUCT(MicroModelComponents!$Q$4:$Q$24,FI$4:FI$24)+SUMPRODUCT(MicroModelComponents!$R$4:$R$24,FI$4:FI$24)</f>
        <v>0</v>
      </c>
      <c r="FJ44" s="157">
        <f>+SUMPRODUCT(MicroModelComponents!$Q$4:$Q$24,FJ$4:FJ$24)+SUMPRODUCT(MicroModelComponents!$R$4:$R$24,FJ$4:FJ$24)</f>
        <v>0</v>
      </c>
      <c r="FK44" s="157">
        <f>+SUMPRODUCT(MicroModelComponents!$Q$4:$Q$24,FK$4:FK$24)+SUMPRODUCT(MicroModelComponents!$R$4:$R$24,FK$4:FK$24)</f>
        <v>0</v>
      </c>
      <c r="FL44" s="157">
        <f>+SUMPRODUCT(MicroModelComponents!$Q$4:$Q$24,FL$4:FL$24)+SUMPRODUCT(MicroModelComponents!$R$4:$R$24,FL$4:FL$24)</f>
        <v>0</v>
      </c>
      <c r="FM44" s="158">
        <f>+SUMPRODUCT(MicroModelComponents!$Q$4:$Q$24,FL$4:FL$24)+SUMPRODUCT(MicroModelComponents!$R$4:$R$24,FL$4:FL$24)</f>
        <v>0</v>
      </c>
      <c r="FN44" s="3"/>
      <c r="FO44" s="108"/>
      <c r="FQ44" s="156">
        <f>+SUMPRODUCT(MicroModelComponents!$Q$4:$Q$24,FQ$4:FQ$24)+SUMPRODUCT(MicroModelComponents!$R$4:$R$24,FQ$4:FQ$24)</f>
        <v>0</v>
      </c>
      <c r="FR44" s="157">
        <f>+SUMPRODUCT(MicroModelComponents!$Q$4:$Q$24,FR$4:FR$24)+SUMPRODUCT(MicroModelComponents!$R$4:$R$24,FR$4:FR$24)</f>
        <v>0</v>
      </c>
      <c r="FS44" s="157">
        <f>+SUMPRODUCT(MicroModelComponents!$Q$4:$Q$24,FS$4:FS$24)+SUMPRODUCT(MicroModelComponents!$R$4:$R$24,FS$4:FS$24)</f>
        <v>0</v>
      </c>
      <c r="FT44" s="157">
        <f>+SUMPRODUCT(MicroModelComponents!$Q$4:$Q$24,FT$4:FT$24)+SUMPRODUCT(MicroModelComponents!$R$4:$R$24,FT$4:FT$24)</f>
        <v>0</v>
      </c>
      <c r="FU44" s="157">
        <f>+SUMPRODUCT(MicroModelComponents!$Q$4:$Q$24,FU$4:FU$24)+SUMPRODUCT(MicroModelComponents!$R$4:$R$24,FU$4:FU$24)</f>
        <v>0</v>
      </c>
      <c r="FV44" s="157">
        <f>+SUMPRODUCT(MicroModelComponents!$Q$4:$Q$24,FV$4:FV$24)+SUMPRODUCT(MicroModelComponents!$R$4:$R$24,FV$4:FV$24)</f>
        <v>0</v>
      </c>
      <c r="FW44" s="157">
        <f>+SUMPRODUCT(MicroModelComponents!$Q$4:$Q$24,FW$4:FW$24)+SUMPRODUCT(MicroModelComponents!$R$4:$R$24,FW$4:FW$24)</f>
        <v>0</v>
      </c>
      <c r="FX44" s="158">
        <f>+SUMPRODUCT(MicroModelComponents!$Q$4:$Q$24,FW$4:FW$24)+SUMPRODUCT(MicroModelComponents!$R$4:$R$24,FW$4:FW$24)</f>
        <v>0</v>
      </c>
      <c r="FY44" s="3"/>
      <c r="FZ44" s="108"/>
      <c r="GB44" s="156">
        <f>+SUMPRODUCT(MicroModelComponents!$Q$4:$Q$24,GB$4:GB$24)+SUMPRODUCT(MicroModelComponents!$R$4:$R$24,GB$4:GB$24)</f>
        <v>0</v>
      </c>
      <c r="GC44" s="157">
        <f>+SUMPRODUCT(MicroModelComponents!$Q$4:$Q$24,GC$4:GC$24)+SUMPRODUCT(MicroModelComponents!$R$4:$R$24,GC$4:GC$24)</f>
        <v>0</v>
      </c>
      <c r="GD44" s="157">
        <f>+SUMPRODUCT(MicroModelComponents!$Q$4:$Q$24,GD$4:GD$24)+SUMPRODUCT(MicroModelComponents!$R$4:$R$24,GD$4:GD$24)</f>
        <v>0</v>
      </c>
      <c r="GE44" s="157">
        <f>+SUMPRODUCT(MicroModelComponents!$Q$4:$Q$24,GE$4:GE$24)+SUMPRODUCT(MicroModelComponents!$R$4:$R$24,GE$4:GE$24)</f>
        <v>0</v>
      </c>
      <c r="GF44" s="157">
        <f>+SUMPRODUCT(MicroModelComponents!$Q$4:$Q$24,GF$4:GF$24)+SUMPRODUCT(MicroModelComponents!$R$4:$R$24,GF$4:GF$24)</f>
        <v>0</v>
      </c>
      <c r="GG44" s="157">
        <f>+SUMPRODUCT(MicroModelComponents!$Q$4:$Q$24,GG$4:GG$24)+SUMPRODUCT(MicroModelComponents!$R$4:$R$24,GG$4:GG$24)</f>
        <v>0</v>
      </c>
      <c r="GH44" s="157">
        <f>+SUMPRODUCT(MicroModelComponents!$Q$4:$Q$24,GH$4:GH$24)+SUMPRODUCT(MicroModelComponents!$R$4:$R$24,GH$4:GH$24)</f>
        <v>0</v>
      </c>
      <c r="GI44" s="158">
        <f>+SUMPRODUCT(MicroModelComponents!$Q$4:$Q$24,GH$4:GH$24)+SUMPRODUCT(MicroModelComponents!$R$4:$R$24,GH$4:GH$24)</f>
        <v>0</v>
      </c>
      <c r="GJ44" s="3"/>
      <c r="GK44" s="108"/>
      <c r="GM44" s="156">
        <f>+SUMPRODUCT(MicroModelComponents!$Q$4:$Q$24,GM$4:GM$24)+SUMPRODUCT(MicroModelComponents!$R$4:$R$24,GM$4:GM$24)</f>
        <v>0</v>
      </c>
      <c r="GN44" s="157">
        <f>+SUMPRODUCT(MicroModelComponents!$Q$4:$Q$24,GN$4:GN$24)+SUMPRODUCT(MicroModelComponents!$R$4:$R$24,GN$4:GN$24)</f>
        <v>0</v>
      </c>
      <c r="GO44" s="157">
        <f>+SUMPRODUCT(MicroModelComponents!$Q$4:$Q$24,GO$4:GO$24)+SUMPRODUCT(MicroModelComponents!$R$4:$R$24,GO$4:GO$24)</f>
        <v>0</v>
      </c>
      <c r="GP44" s="157">
        <f>+SUMPRODUCT(MicroModelComponents!$Q$4:$Q$24,GP$4:GP$24)+SUMPRODUCT(MicroModelComponents!$R$4:$R$24,GP$4:GP$24)</f>
        <v>0</v>
      </c>
      <c r="GQ44" s="157">
        <f>+SUMPRODUCT(MicroModelComponents!$Q$4:$Q$24,GQ$4:GQ$24)+SUMPRODUCT(MicroModelComponents!$R$4:$R$24,GQ$4:GQ$24)</f>
        <v>0</v>
      </c>
      <c r="GR44" s="157">
        <f>+SUMPRODUCT(MicroModelComponents!$Q$4:$Q$24,GR$4:GR$24)+SUMPRODUCT(MicroModelComponents!$R$4:$R$24,GR$4:GR$24)</f>
        <v>0</v>
      </c>
      <c r="GS44" s="157">
        <f>+SUMPRODUCT(MicroModelComponents!$Q$4:$Q$24,GS$4:GS$24)+SUMPRODUCT(MicroModelComponents!$R$4:$R$24,GS$4:GS$24)</f>
        <v>0</v>
      </c>
      <c r="GT44" s="158">
        <f>+SUMPRODUCT(MicroModelComponents!$Q$4:$Q$24,GS$4:GS$24)+SUMPRODUCT(MicroModelComponents!$R$4:$R$24,GS$4:GS$24)</f>
        <v>0</v>
      </c>
      <c r="GU44" s="3"/>
      <c r="GV44" s="108"/>
      <c r="GX44" s="156">
        <f>+SUMPRODUCT(MicroModelComponents!$Q$4:$Q$24,GX$4:GX$24)+SUMPRODUCT(MicroModelComponents!$R$4:$R$24,GX$4:GX$24)</f>
        <v>0</v>
      </c>
      <c r="GY44" s="157">
        <f>+SUMPRODUCT(MicroModelComponents!$Q$4:$Q$24,GY$4:GY$24)+SUMPRODUCT(MicroModelComponents!$R$4:$R$24,GY$4:GY$24)</f>
        <v>0</v>
      </c>
      <c r="GZ44" s="157">
        <f>+SUMPRODUCT(MicroModelComponents!$Q$4:$Q$24,GZ$4:GZ$24)+SUMPRODUCT(MicroModelComponents!$R$4:$R$24,GZ$4:GZ$24)</f>
        <v>0</v>
      </c>
      <c r="HA44" s="157">
        <f>+SUMPRODUCT(MicroModelComponents!$Q$4:$Q$24,HA$4:HA$24)+SUMPRODUCT(MicroModelComponents!$R$4:$R$24,HA$4:HA$24)</f>
        <v>0</v>
      </c>
      <c r="HB44" s="157">
        <f>+SUMPRODUCT(MicroModelComponents!$Q$4:$Q$24,HB$4:HB$24)+SUMPRODUCT(MicroModelComponents!$R$4:$R$24,HB$4:HB$24)</f>
        <v>0</v>
      </c>
      <c r="HC44" s="157">
        <f>+SUMPRODUCT(MicroModelComponents!$Q$4:$Q$24,HC$4:HC$24)+SUMPRODUCT(MicroModelComponents!$R$4:$R$24,HC$4:HC$24)</f>
        <v>0</v>
      </c>
      <c r="HD44" s="157">
        <f>+SUMPRODUCT(MicroModelComponents!$Q$4:$Q$24,HD$4:HD$24)+SUMPRODUCT(MicroModelComponents!$R$4:$R$24,HD$4:HD$24)</f>
        <v>0</v>
      </c>
      <c r="HE44" s="158">
        <f>+SUMPRODUCT(MicroModelComponents!$Q$4:$Q$24,HD$4:HD$24)+SUMPRODUCT(MicroModelComponents!$R$4:$R$24,HD$4:HD$24)</f>
        <v>0</v>
      </c>
      <c r="HF44" s="3"/>
      <c r="HG44" s="108"/>
      <c r="HI44" s="156">
        <f>+SUMPRODUCT(MicroModelComponents!$Q$4:$Q$24,HI$4:HI$24)+SUMPRODUCT(MicroModelComponents!$R$4:$R$24,HI$4:HI$24)</f>
        <v>0</v>
      </c>
      <c r="HJ44" s="157">
        <f>+SUMPRODUCT(MicroModelComponents!$Q$4:$Q$24,HJ$4:HJ$24)+SUMPRODUCT(MicroModelComponents!$R$4:$R$24,HJ$4:HJ$24)</f>
        <v>0</v>
      </c>
      <c r="HK44" s="157">
        <f>+SUMPRODUCT(MicroModelComponents!$Q$4:$Q$24,HK$4:HK$24)+SUMPRODUCT(MicroModelComponents!$R$4:$R$24,HK$4:HK$24)</f>
        <v>0</v>
      </c>
      <c r="HL44" s="157">
        <f>+SUMPRODUCT(MicroModelComponents!$Q$4:$Q$24,HL$4:HL$24)+SUMPRODUCT(MicroModelComponents!$R$4:$R$24,HL$4:HL$24)</f>
        <v>0</v>
      </c>
      <c r="HM44" s="157">
        <f>+SUMPRODUCT(MicroModelComponents!$Q$4:$Q$24,HM$4:HM$24)+SUMPRODUCT(MicroModelComponents!$R$4:$R$24,HM$4:HM$24)</f>
        <v>0</v>
      </c>
      <c r="HN44" s="157">
        <f>+SUMPRODUCT(MicroModelComponents!$Q$4:$Q$24,HN$4:HN$24)+SUMPRODUCT(MicroModelComponents!$R$4:$R$24,HN$4:HN$24)</f>
        <v>0</v>
      </c>
      <c r="HO44" s="157">
        <f>+SUMPRODUCT(MicroModelComponents!$Q$4:$Q$24,HO$4:HO$24)+SUMPRODUCT(MicroModelComponents!$R$4:$R$24,HO$4:HO$24)</f>
        <v>0</v>
      </c>
      <c r="HP44" s="158">
        <f>+SUMPRODUCT(MicroModelComponents!$Q$4:$Q$24,HO$4:HO$24)+SUMPRODUCT(MicroModelComponents!$R$4:$R$24,HO$4:HO$24)</f>
        <v>0</v>
      </c>
      <c r="HQ44" s="3"/>
      <c r="HR44" s="108"/>
      <c r="HT44" s="156">
        <f>+SUMPRODUCT(MicroModelComponents!$Q$4:$Q$24,HT$4:HT$24)+SUMPRODUCT(MicroModelComponents!$R$4:$R$24,HT$4:HT$24)</f>
        <v>0</v>
      </c>
      <c r="HU44" s="157">
        <f>+SUMPRODUCT(MicroModelComponents!$Q$4:$Q$24,HU$4:HU$24)+SUMPRODUCT(MicroModelComponents!$R$4:$R$24,HU$4:HU$24)</f>
        <v>0</v>
      </c>
      <c r="HV44" s="157">
        <f>+SUMPRODUCT(MicroModelComponents!$Q$4:$Q$24,HV$4:HV$24)+SUMPRODUCT(MicroModelComponents!$R$4:$R$24,HV$4:HV$24)</f>
        <v>0</v>
      </c>
      <c r="HW44" s="157">
        <f>+SUMPRODUCT(MicroModelComponents!$Q$4:$Q$24,HW$4:HW$24)+SUMPRODUCT(MicroModelComponents!$R$4:$R$24,HW$4:HW$24)</f>
        <v>0</v>
      </c>
      <c r="HX44" s="157">
        <f>+SUMPRODUCT(MicroModelComponents!$Q$4:$Q$24,HX$4:HX$24)+SUMPRODUCT(MicroModelComponents!$R$4:$R$24,HX$4:HX$24)</f>
        <v>0</v>
      </c>
      <c r="HY44" s="157">
        <f>+SUMPRODUCT(MicroModelComponents!$Q$4:$Q$24,HY$4:HY$24)+SUMPRODUCT(MicroModelComponents!$R$4:$R$24,HY$4:HY$24)</f>
        <v>0</v>
      </c>
      <c r="HZ44" s="157">
        <f>+SUMPRODUCT(MicroModelComponents!$Q$4:$Q$24,HZ$4:HZ$24)+SUMPRODUCT(MicroModelComponents!$R$4:$R$24,HZ$4:HZ$24)</f>
        <v>0</v>
      </c>
      <c r="IA44" s="158">
        <f>+SUMPRODUCT(MicroModelComponents!$Q$4:$Q$24,HZ$4:HZ$24)+SUMPRODUCT(MicroModelComponents!$R$4:$R$24,HZ$4:HZ$24)</f>
        <v>0</v>
      </c>
      <c r="IB44" s="3"/>
      <c r="IC44" s="108"/>
      <c r="ID44" s="156">
        <f>+SUMPRODUCT(MicroModelComponents!$Q$4:$Q$24,ID$4:ID$24)+SUMPRODUCT(MicroModelComponents!$R$4:$R$24,ID$4:ID$24)</f>
        <v>0</v>
      </c>
      <c r="IE44" s="108"/>
      <c r="IF44" s="156">
        <f>+SUMPRODUCT(MicroModelComponents!$Q$4:$Q$24,IF$4:IF$24)+SUMPRODUCT(MicroModelComponents!$R$4:$R$24,IF$4:IF$24)</f>
        <v>0</v>
      </c>
      <c r="IG44" s="156">
        <f>+SUMPRODUCT(MicroModelComponents!$Q$4:$Q$24,IG$4:IG$24)+SUMPRODUCT(MicroModelComponents!$R$4:$R$24,IG$4:IG$24)</f>
        <v>0</v>
      </c>
      <c r="IH44" s="156">
        <f>+SUMPRODUCT(MicroModelComponents!$Q$4:$Q$24,IH$4:IH$24)+SUMPRODUCT(MicroModelComponents!$R$4:$R$24,IH$4:IH$24)</f>
        <v>0</v>
      </c>
      <c r="II44" s="108"/>
      <c r="IJ44" s="156">
        <f>+SUMPRODUCT(MicroModelComponents!$Q$4:$Q$24,IJ$4:IJ$24)+SUMPRODUCT(MicroModelComponents!$R$4:$R$24,IJ$4:IJ$24)</f>
        <v>0</v>
      </c>
      <c r="IK44" s="108"/>
    </row>
    <row r="45" spans="2:256" ht="13.5" customHeight="1">
      <c r="C45" s="41" t="s">
        <v>141</v>
      </c>
      <c r="N45" s="41" t="s">
        <v>141</v>
      </c>
      <c r="O45" s="105"/>
      <c r="P45" s="3"/>
      <c r="Q45" s="108"/>
      <c r="S45" s="156">
        <f>+SUMPRODUCT(MicroModelComponents!$S$4:$S$24,S$4:S$24)</f>
        <v>0</v>
      </c>
      <c r="T45" s="157">
        <f>+SUMPRODUCT(MicroModelComponents!$S$4:$S$24,T$4:T$24)</f>
        <v>0</v>
      </c>
      <c r="U45" s="157">
        <f>+SUMPRODUCT(MicroModelComponents!$S$4:$S$24,U$4:U$24)</f>
        <v>0</v>
      </c>
      <c r="V45" s="157">
        <f>+SUMPRODUCT(MicroModelComponents!$S$4:$S$24,V$4:V$24)</f>
        <v>0</v>
      </c>
      <c r="W45" s="157">
        <f>+SUMPRODUCT(MicroModelComponents!$S$4:$S$24,W$4:W$24)</f>
        <v>0</v>
      </c>
      <c r="X45" s="157">
        <f>+SUMPRODUCT(MicroModelComponents!$S$4:$S$24,X$4:X$24)</f>
        <v>0</v>
      </c>
      <c r="Y45" s="157">
        <f>+SUMPRODUCT(MicroModelComponents!$S$4:$S$24,Y$4:Y$24)</f>
        <v>0</v>
      </c>
      <c r="Z45" s="158">
        <f>+SUMPRODUCT(MicroModelComponents!$S$4:$S$24,Y$4:Y$24)</f>
        <v>0</v>
      </c>
      <c r="AA45" s="3"/>
      <c r="AB45" s="108"/>
      <c r="AD45" s="156">
        <f>+SUMPRODUCT(MicroModelComponents!$S$4:$S$24,AD$4:AD$24)</f>
        <v>0</v>
      </c>
      <c r="AE45" s="157">
        <f>+SUMPRODUCT(MicroModelComponents!$S$4:$S$24,AE$4:AE$24)</f>
        <v>0</v>
      </c>
      <c r="AF45" s="157">
        <f>+SUMPRODUCT(MicroModelComponents!$S$4:$S$24,AF$4:AF$24)</f>
        <v>0</v>
      </c>
      <c r="AG45" s="157">
        <f>+SUMPRODUCT(MicroModelComponents!$S$4:$S$24,AG$4:AG$24)</f>
        <v>0</v>
      </c>
      <c r="AH45" s="157">
        <f>+SUMPRODUCT(MicroModelComponents!$S$4:$S$24,AH$4:AH$24)</f>
        <v>0</v>
      </c>
      <c r="AI45" s="157">
        <f>+SUMPRODUCT(MicroModelComponents!$S$4:$S$24,AI$4:AI$24)</f>
        <v>0</v>
      </c>
      <c r="AJ45" s="157">
        <f>+SUMPRODUCT(MicroModelComponents!$S$4:$S$24,AJ$4:AJ$24)</f>
        <v>0</v>
      </c>
      <c r="AK45" s="158">
        <f>+SUMPRODUCT(MicroModelComponents!$S$4:$S$24,AJ$4:AJ$24)</f>
        <v>0</v>
      </c>
      <c r="AL45" s="3"/>
      <c r="AM45" s="108"/>
      <c r="AO45" s="156">
        <f>+SUMPRODUCT(MicroModelComponents!$S$4:$S$24,AO$4:AO$24)</f>
        <v>0</v>
      </c>
      <c r="AP45" s="157">
        <f>+SUMPRODUCT(MicroModelComponents!$S$4:$S$24,AP$4:AP$24)</f>
        <v>0</v>
      </c>
      <c r="AQ45" s="157">
        <f>+SUMPRODUCT(MicroModelComponents!$S$4:$S$24,AQ$4:AQ$24)</f>
        <v>0</v>
      </c>
      <c r="AR45" s="157">
        <f>+SUMPRODUCT(MicroModelComponents!$S$4:$S$24,AR$4:AR$24)</f>
        <v>0</v>
      </c>
      <c r="AS45" s="157">
        <f>+SUMPRODUCT(MicroModelComponents!$S$4:$S$24,AS$4:AS$24)</f>
        <v>0</v>
      </c>
      <c r="AT45" s="157">
        <f>+SUMPRODUCT(MicroModelComponents!$S$4:$S$24,AT$4:AT$24)</f>
        <v>0</v>
      </c>
      <c r="AU45" s="157">
        <f>+SUMPRODUCT(MicroModelComponents!$S$4:$S$24,AU$4:AU$24)</f>
        <v>0</v>
      </c>
      <c r="AV45" s="158">
        <f>+SUMPRODUCT(MicroModelComponents!$S$4:$S$24,AU$4:AU$24)</f>
        <v>0</v>
      </c>
      <c r="AW45" s="3"/>
      <c r="AX45" s="108"/>
      <c r="AZ45" s="156">
        <f>+SUMPRODUCT(MicroModelComponents!$S$4:$S$24,AZ$4:AZ$24)</f>
        <v>0</v>
      </c>
      <c r="BA45" s="157">
        <f>+SUMPRODUCT(MicroModelComponents!$S$4:$S$24,BA$4:BA$24)</f>
        <v>0</v>
      </c>
      <c r="BB45" s="157">
        <f>+SUMPRODUCT(MicroModelComponents!$S$4:$S$24,BB$4:BB$24)</f>
        <v>0</v>
      </c>
      <c r="BC45" s="157">
        <f>+SUMPRODUCT(MicroModelComponents!$S$4:$S$24,BC$4:BC$24)</f>
        <v>0</v>
      </c>
      <c r="BD45" s="157">
        <f>+SUMPRODUCT(MicroModelComponents!$S$4:$S$24,BD$4:BD$24)</f>
        <v>0</v>
      </c>
      <c r="BE45" s="157">
        <f>+SUMPRODUCT(MicroModelComponents!$S$4:$S$24,BE$4:BE$24)</f>
        <v>0</v>
      </c>
      <c r="BF45" s="157">
        <f>+SUMPRODUCT(MicroModelComponents!$S$4:$S$24,BF$4:BF$24)</f>
        <v>0</v>
      </c>
      <c r="BG45" s="158">
        <f>+SUMPRODUCT(MicroModelComponents!$S$4:$S$24,BF$4:BF$24)</f>
        <v>0</v>
      </c>
      <c r="BH45" s="3"/>
      <c r="BI45" s="108"/>
      <c r="BK45" s="156">
        <f>+SUMPRODUCT(MicroModelComponents!$S$4:$S$24,BK$4:BK$24)</f>
        <v>0</v>
      </c>
      <c r="BL45" s="157">
        <f>+SUMPRODUCT(MicroModelComponents!$S$4:$S$24,BL$4:BL$24)</f>
        <v>0</v>
      </c>
      <c r="BM45" s="157">
        <f>+SUMPRODUCT(MicroModelComponents!$S$4:$S$24,BM$4:BM$24)</f>
        <v>0</v>
      </c>
      <c r="BN45" s="157">
        <f>+SUMPRODUCT(MicroModelComponents!$S$4:$S$24,BN$4:BN$24)</f>
        <v>0</v>
      </c>
      <c r="BO45" s="157">
        <f>+SUMPRODUCT(MicroModelComponents!$S$4:$S$24,BO$4:BO$24)</f>
        <v>0</v>
      </c>
      <c r="BP45" s="157">
        <f>+SUMPRODUCT(MicroModelComponents!$S$4:$S$24,BP$4:BP$24)</f>
        <v>0</v>
      </c>
      <c r="BQ45" s="157">
        <f>+SUMPRODUCT(MicroModelComponents!$S$4:$S$24,BQ$4:BQ$24)</f>
        <v>0</v>
      </c>
      <c r="BR45" s="158">
        <f>+SUMPRODUCT(MicroModelComponents!$S$4:$S$24,BQ$4:BQ$24)</f>
        <v>0</v>
      </c>
      <c r="BS45" s="3"/>
      <c r="BT45" s="108"/>
      <c r="BV45" s="156">
        <f>+SUMPRODUCT(MicroModelComponents!$S$4:$S$24,BV$4:BV$24)</f>
        <v>0</v>
      </c>
      <c r="BW45" s="157">
        <f>+SUMPRODUCT(MicroModelComponents!$S$4:$S$24,BW$4:BW$24)</f>
        <v>0</v>
      </c>
      <c r="BX45" s="157">
        <f>+SUMPRODUCT(MicroModelComponents!$S$4:$S$24,BX$4:BX$24)</f>
        <v>0</v>
      </c>
      <c r="BY45" s="157">
        <f>+SUMPRODUCT(MicroModelComponents!$S$4:$S$24,BY$4:BY$24)</f>
        <v>0</v>
      </c>
      <c r="BZ45" s="157">
        <f>+SUMPRODUCT(MicroModelComponents!$S$4:$S$24,BZ$4:BZ$24)</f>
        <v>0</v>
      </c>
      <c r="CA45" s="157">
        <f>+SUMPRODUCT(MicroModelComponents!$S$4:$S$24,CA$4:CA$24)</f>
        <v>0</v>
      </c>
      <c r="CB45" s="157">
        <f>+SUMPRODUCT(MicroModelComponents!$S$4:$S$24,CB$4:CB$24)</f>
        <v>0</v>
      </c>
      <c r="CC45" s="158">
        <f>+SUMPRODUCT(MicroModelComponents!$S$4:$S$24,CB$4:CB$24)</f>
        <v>0</v>
      </c>
      <c r="CD45" s="3"/>
      <c r="CE45" s="108"/>
      <c r="CG45" s="156">
        <f>+SUMPRODUCT(MicroModelComponents!$S$4:$S$24,CG$4:CG$24)</f>
        <v>0</v>
      </c>
      <c r="CH45" s="157">
        <f>+SUMPRODUCT(MicroModelComponents!$S$4:$S$24,CH$4:CH$24)</f>
        <v>0</v>
      </c>
      <c r="CI45" s="157">
        <f>+SUMPRODUCT(MicroModelComponents!$S$4:$S$24,CI$4:CI$24)</f>
        <v>0</v>
      </c>
      <c r="CJ45" s="157">
        <f>+SUMPRODUCT(MicroModelComponents!$S$4:$S$24,CJ$4:CJ$24)</f>
        <v>0</v>
      </c>
      <c r="CK45" s="157">
        <f>+SUMPRODUCT(MicroModelComponents!$S$4:$S$24,CK$4:CK$24)</f>
        <v>0</v>
      </c>
      <c r="CL45" s="157">
        <f>+SUMPRODUCT(MicroModelComponents!$S$4:$S$24,CL$4:CL$24)</f>
        <v>0</v>
      </c>
      <c r="CM45" s="157">
        <f>+SUMPRODUCT(MicroModelComponents!$S$4:$S$24,CM$4:CM$24)</f>
        <v>0</v>
      </c>
      <c r="CN45" s="158">
        <f>+SUMPRODUCT(MicroModelComponents!$S$4:$S$24,CM$4:CM$24)</f>
        <v>0</v>
      </c>
      <c r="CO45" s="3"/>
      <c r="CP45" s="108"/>
      <c r="CR45" s="156">
        <f>+SUMPRODUCT(MicroModelComponents!$S$4:$S$24,CR$4:CR$24)</f>
        <v>0</v>
      </c>
      <c r="CS45" s="157">
        <f>+SUMPRODUCT(MicroModelComponents!$S$4:$S$24,CS$4:CS$24)</f>
        <v>0</v>
      </c>
      <c r="CT45" s="157">
        <f>+SUMPRODUCT(MicroModelComponents!$S$4:$S$24,CT$4:CT$24)</f>
        <v>0</v>
      </c>
      <c r="CU45" s="157">
        <f>+SUMPRODUCT(MicroModelComponents!$S$4:$S$24,CU$4:CU$24)</f>
        <v>0</v>
      </c>
      <c r="CV45" s="157">
        <f>+SUMPRODUCT(MicroModelComponents!$S$4:$S$24,CV$4:CV$24)</f>
        <v>0</v>
      </c>
      <c r="CW45" s="157">
        <f>+SUMPRODUCT(MicroModelComponents!$S$4:$S$24,CW$4:CW$24)</f>
        <v>0</v>
      </c>
      <c r="CX45" s="157">
        <f>+SUMPRODUCT(MicroModelComponents!$S$4:$S$24,CX$4:CX$24)</f>
        <v>0</v>
      </c>
      <c r="CY45" s="158">
        <f>+SUMPRODUCT(MicroModelComponents!$S$4:$S$24,CX$4:CX$24)</f>
        <v>0</v>
      </c>
      <c r="CZ45" s="3"/>
      <c r="DA45" s="108"/>
      <c r="DC45" s="156">
        <f>+SUMPRODUCT(MicroModelComponents!$S$4:$S$24,DC$4:DC$24)</f>
        <v>0</v>
      </c>
      <c r="DD45" s="157">
        <f>+SUMPRODUCT(MicroModelComponents!$S$4:$S$24,DD$4:DD$24)</f>
        <v>0</v>
      </c>
      <c r="DE45" s="157">
        <f>+SUMPRODUCT(MicroModelComponents!$S$4:$S$24,DE$4:DE$24)</f>
        <v>0</v>
      </c>
      <c r="DF45" s="157">
        <f>+SUMPRODUCT(MicroModelComponents!$S$4:$S$24,DF$4:DF$24)</f>
        <v>0</v>
      </c>
      <c r="DG45" s="157">
        <f>+SUMPRODUCT(MicroModelComponents!$S$4:$S$24,DG$4:DG$24)</f>
        <v>0</v>
      </c>
      <c r="DH45" s="157">
        <f>+SUMPRODUCT(MicroModelComponents!$S$4:$S$24,DH$4:DH$24)</f>
        <v>0</v>
      </c>
      <c r="DI45" s="157">
        <f>+SUMPRODUCT(MicroModelComponents!$S$4:$S$24,DI$4:DI$24)</f>
        <v>0</v>
      </c>
      <c r="DJ45" s="158">
        <f>+SUMPRODUCT(MicroModelComponents!$S$4:$S$24,DI$4:DI$24)</f>
        <v>0</v>
      </c>
      <c r="DK45" s="3"/>
      <c r="DL45" s="108"/>
      <c r="DN45" s="156">
        <f>+SUMPRODUCT(MicroModelComponents!$S$4:$S$24,DN$4:DN$24)</f>
        <v>0</v>
      </c>
      <c r="DO45" s="157">
        <f>+SUMPRODUCT(MicroModelComponents!$S$4:$S$24,DO$4:DO$24)</f>
        <v>0</v>
      </c>
      <c r="DP45" s="157">
        <f>+SUMPRODUCT(MicroModelComponents!$S$4:$S$24,DP$4:DP$24)</f>
        <v>0</v>
      </c>
      <c r="DQ45" s="157">
        <f>+SUMPRODUCT(MicroModelComponents!$S$4:$S$24,DQ$4:DQ$24)</f>
        <v>0</v>
      </c>
      <c r="DR45" s="157">
        <f>+SUMPRODUCT(MicroModelComponents!$S$4:$S$24,DR$4:DR$24)</f>
        <v>0</v>
      </c>
      <c r="DS45" s="157">
        <f>+SUMPRODUCT(MicroModelComponents!$S$4:$S$24,DS$4:DS$24)</f>
        <v>0</v>
      </c>
      <c r="DT45" s="157">
        <f>+SUMPRODUCT(MicroModelComponents!$S$4:$S$24,DT$4:DT$24)</f>
        <v>0</v>
      </c>
      <c r="DU45" s="158">
        <f>+SUMPRODUCT(MicroModelComponents!$S$4:$S$24,DT$4:DT$24)</f>
        <v>0</v>
      </c>
      <c r="DV45" s="3"/>
      <c r="DW45" s="108"/>
      <c r="DY45" s="156">
        <f>+SUMPRODUCT(MicroModelComponents!$S$4:$S$24,DY$4:DY$24)</f>
        <v>0</v>
      </c>
      <c r="DZ45" s="157">
        <f>+SUMPRODUCT(MicroModelComponents!$S$4:$S$24,DZ$4:DZ$24)</f>
        <v>0</v>
      </c>
      <c r="EA45" s="157">
        <f>+SUMPRODUCT(MicroModelComponents!$S$4:$S$24,EA$4:EA$24)</f>
        <v>0</v>
      </c>
      <c r="EB45" s="157">
        <f>+SUMPRODUCT(MicroModelComponents!$S$4:$S$24,EB$4:EB$24)</f>
        <v>0</v>
      </c>
      <c r="EC45" s="157">
        <f>+SUMPRODUCT(MicroModelComponents!$S$4:$S$24,EC$4:EC$24)</f>
        <v>0</v>
      </c>
      <c r="ED45" s="157">
        <f>+SUMPRODUCT(MicroModelComponents!$S$4:$S$24,ED$4:ED$24)</f>
        <v>0</v>
      </c>
      <c r="EE45" s="157">
        <f>+SUMPRODUCT(MicroModelComponents!$S$4:$S$24,EE$4:EE$24)</f>
        <v>0</v>
      </c>
      <c r="EF45" s="158">
        <f>+SUMPRODUCT(MicroModelComponents!$S$4:$S$24,EE$4:EE$24)</f>
        <v>0</v>
      </c>
      <c r="EG45" s="3"/>
      <c r="EH45" s="108"/>
      <c r="EJ45" s="156">
        <f>+SUMPRODUCT(MicroModelComponents!$S$4:$S$24,EJ$4:EJ$24)</f>
        <v>0</v>
      </c>
      <c r="EK45" s="157">
        <f>+SUMPRODUCT(MicroModelComponents!$S$4:$S$24,EK$4:EK$24)</f>
        <v>0</v>
      </c>
      <c r="EL45" s="157">
        <f>+SUMPRODUCT(MicroModelComponents!$S$4:$S$24,EL$4:EL$24)</f>
        <v>0</v>
      </c>
      <c r="EM45" s="157">
        <f>+SUMPRODUCT(MicroModelComponents!$S$4:$S$24,EM$4:EM$24)</f>
        <v>0</v>
      </c>
      <c r="EN45" s="157">
        <f>+SUMPRODUCT(MicroModelComponents!$S$4:$S$24,EN$4:EN$24)</f>
        <v>0</v>
      </c>
      <c r="EO45" s="157">
        <f>+SUMPRODUCT(MicroModelComponents!$S$4:$S$24,EO$4:EO$24)</f>
        <v>0</v>
      </c>
      <c r="EP45" s="157">
        <f>+SUMPRODUCT(MicroModelComponents!$S$4:$S$24,EP$4:EP$24)</f>
        <v>0</v>
      </c>
      <c r="EQ45" s="158">
        <f>+SUMPRODUCT(MicroModelComponents!$S$4:$S$24,EP$4:EP$24)</f>
        <v>0</v>
      </c>
      <c r="ER45" s="3"/>
      <c r="ES45" s="108"/>
      <c r="EU45" s="156">
        <f>+SUMPRODUCT(MicroModelComponents!$S$4:$S$24,EU$4:EU$24)</f>
        <v>0</v>
      </c>
      <c r="EV45" s="157">
        <f>+SUMPRODUCT(MicroModelComponents!$S$4:$S$24,EV$4:EV$24)</f>
        <v>0</v>
      </c>
      <c r="EW45" s="157">
        <f>+SUMPRODUCT(MicroModelComponents!$S$4:$S$24,EW$4:EW$24)</f>
        <v>0</v>
      </c>
      <c r="EX45" s="157">
        <f>+SUMPRODUCT(MicroModelComponents!$S$4:$S$24,EX$4:EX$24)</f>
        <v>0</v>
      </c>
      <c r="EY45" s="157">
        <f>+SUMPRODUCT(MicroModelComponents!$S$4:$S$24,EY$4:EY$24)</f>
        <v>0</v>
      </c>
      <c r="EZ45" s="157">
        <f>+SUMPRODUCT(MicroModelComponents!$S$4:$S$24,EZ$4:EZ$24)</f>
        <v>0</v>
      </c>
      <c r="FA45" s="157">
        <f>+SUMPRODUCT(MicroModelComponents!$S$4:$S$24,FA$4:FA$24)</f>
        <v>0</v>
      </c>
      <c r="FB45" s="158">
        <f>+SUMPRODUCT(MicroModelComponents!$S$4:$S$24,FA$4:FA$24)</f>
        <v>0</v>
      </c>
      <c r="FC45" s="3"/>
      <c r="FD45" s="108"/>
      <c r="FF45" s="156">
        <f>+SUMPRODUCT(MicroModelComponents!$S$4:$S$24,FF$4:FF$24)</f>
        <v>0</v>
      </c>
      <c r="FG45" s="157">
        <f>+SUMPRODUCT(MicroModelComponents!$S$4:$S$24,FG$4:FG$24)</f>
        <v>0</v>
      </c>
      <c r="FH45" s="157">
        <f>+SUMPRODUCT(MicroModelComponents!$S$4:$S$24,FH$4:FH$24)</f>
        <v>0</v>
      </c>
      <c r="FI45" s="157">
        <f>+SUMPRODUCT(MicroModelComponents!$S$4:$S$24,FI$4:FI$24)</f>
        <v>0</v>
      </c>
      <c r="FJ45" s="157">
        <f>+SUMPRODUCT(MicroModelComponents!$S$4:$S$24,FJ$4:FJ$24)</f>
        <v>0</v>
      </c>
      <c r="FK45" s="157">
        <f>+SUMPRODUCT(MicroModelComponents!$S$4:$S$24,FK$4:FK$24)</f>
        <v>0</v>
      </c>
      <c r="FL45" s="157">
        <f>+SUMPRODUCT(MicroModelComponents!$S$4:$S$24,FL$4:FL$24)</f>
        <v>0</v>
      </c>
      <c r="FM45" s="158">
        <f>+SUMPRODUCT(MicroModelComponents!$S$4:$S$24,FL$4:FL$24)</f>
        <v>0</v>
      </c>
      <c r="FN45" s="3"/>
      <c r="FO45" s="108"/>
      <c r="FQ45" s="156">
        <f>+SUMPRODUCT(MicroModelComponents!$S$4:$S$24,FQ$4:FQ$24)</f>
        <v>0</v>
      </c>
      <c r="FR45" s="157">
        <f>+SUMPRODUCT(MicroModelComponents!$S$4:$S$24,FR$4:FR$24)</f>
        <v>0</v>
      </c>
      <c r="FS45" s="157">
        <f>+SUMPRODUCT(MicroModelComponents!$S$4:$S$24,FS$4:FS$24)</f>
        <v>0</v>
      </c>
      <c r="FT45" s="157">
        <f>+SUMPRODUCT(MicroModelComponents!$S$4:$S$24,FT$4:FT$24)</f>
        <v>0</v>
      </c>
      <c r="FU45" s="157">
        <f>+SUMPRODUCT(MicroModelComponents!$S$4:$S$24,FU$4:FU$24)</f>
        <v>0</v>
      </c>
      <c r="FV45" s="157">
        <f>+SUMPRODUCT(MicroModelComponents!$S$4:$S$24,FV$4:FV$24)</f>
        <v>0</v>
      </c>
      <c r="FW45" s="157">
        <f>+SUMPRODUCT(MicroModelComponents!$S$4:$S$24,FW$4:FW$24)</f>
        <v>0</v>
      </c>
      <c r="FX45" s="158">
        <f>+SUMPRODUCT(MicroModelComponents!$S$4:$S$24,FW$4:FW$24)</f>
        <v>0</v>
      </c>
      <c r="FY45" s="3"/>
      <c r="FZ45" s="108"/>
      <c r="GB45" s="156">
        <f>+SUMPRODUCT(MicroModelComponents!$S$4:$S$24,GB$4:GB$24)</f>
        <v>0</v>
      </c>
      <c r="GC45" s="157">
        <f>+SUMPRODUCT(MicroModelComponents!$S$4:$S$24,GC$4:GC$24)</f>
        <v>0</v>
      </c>
      <c r="GD45" s="157">
        <f>+SUMPRODUCT(MicroModelComponents!$S$4:$S$24,GD$4:GD$24)</f>
        <v>0</v>
      </c>
      <c r="GE45" s="157">
        <f>+SUMPRODUCT(MicroModelComponents!$S$4:$S$24,GE$4:GE$24)</f>
        <v>0</v>
      </c>
      <c r="GF45" s="157">
        <f>+SUMPRODUCT(MicroModelComponents!$S$4:$S$24,GF$4:GF$24)</f>
        <v>0</v>
      </c>
      <c r="GG45" s="157">
        <f>+SUMPRODUCT(MicroModelComponents!$S$4:$S$24,GG$4:GG$24)</f>
        <v>0</v>
      </c>
      <c r="GH45" s="157">
        <f>+SUMPRODUCT(MicroModelComponents!$S$4:$S$24,GH$4:GH$24)</f>
        <v>0</v>
      </c>
      <c r="GI45" s="158">
        <f>+SUMPRODUCT(MicroModelComponents!$S$4:$S$24,GH$4:GH$24)</f>
        <v>0</v>
      </c>
      <c r="GJ45" s="3"/>
      <c r="GK45" s="108"/>
      <c r="GM45" s="156">
        <f>+SUMPRODUCT(MicroModelComponents!$S$4:$S$24,GM$4:GM$24)</f>
        <v>0</v>
      </c>
      <c r="GN45" s="157">
        <f>+SUMPRODUCT(MicroModelComponents!$S$4:$S$24,GN$4:GN$24)</f>
        <v>0</v>
      </c>
      <c r="GO45" s="157">
        <f>+SUMPRODUCT(MicroModelComponents!$S$4:$S$24,GO$4:GO$24)</f>
        <v>0</v>
      </c>
      <c r="GP45" s="157">
        <f>+SUMPRODUCT(MicroModelComponents!$S$4:$S$24,GP$4:GP$24)</f>
        <v>0</v>
      </c>
      <c r="GQ45" s="157">
        <f>+SUMPRODUCT(MicroModelComponents!$S$4:$S$24,GQ$4:GQ$24)</f>
        <v>0</v>
      </c>
      <c r="GR45" s="157">
        <f>+SUMPRODUCT(MicroModelComponents!$S$4:$S$24,GR$4:GR$24)</f>
        <v>0</v>
      </c>
      <c r="GS45" s="157">
        <f>+SUMPRODUCT(MicroModelComponents!$S$4:$S$24,GS$4:GS$24)</f>
        <v>0</v>
      </c>
      <c r="GT45" s="158">
        <f>+SUMPRODUCT(MicroModelComponents!$S$4:$S$24,GS$4:GS$24)</f>
        <v>0</v>
      </c>
      <c r="GU45" s="3"/>
      <c r="GV45" s="108"/>
      <c r="GX45" s="156">
        <f>+SUMPRODUCT(MicroModelComponents!$S$4:$S$24,GX$4:GX$24)</f>
        <v>0</v>
      </c>
      <c r="GY45" s="157">
        <f>+SUMPRODUCT(MicroModelComponents!$S$4:$S$24,GY$4:GY$24)</f>
        <v>0</v>
      </c>
      <c r="GZ45" s="157">
        <f>+SUMPRODUCT(MicroModelComponents!$S$4:$S$24,GZ$4:GZ$24)</f>
        <v>0</v>
      </c>
      <c r="HA45" s="157">
        <f>+SUMPRODUCT(MicroModelComponents!$S$4:$S$24,HA$4:HA$24)</f>
        <v>0</v>
      </c>
      <c r="HB45" s="157">
        <f>+SUMPRODUCT(MicroModelComponents!$S$4:$S$24,HB$4:HB$24)</f>
        <v>0</v>
      </c>
      <c r="HC45" s="157">
        <f>+SUMPRODUCT(MicroModelComponents!$S$4:$S$24,HC$4:HC$24)</f>
        <v>0</v>
      </c>
      <c r="HD45" s="157">
        <f>+SUMPRODUCT(MicroModelComponents!$S$4:$S$24,HD$4:HD$24)</f>
        <v>0</v>
      </c>
      <c r="HE45" s="158">
        <f>+SUMPRODUCT(MicroModelComponents!$S$4:$S$24,HD$4:HD$24)</f>
        <v>0</v>
      </c>
      <c r="HF45" s="3"/>
      <c r="HG45" s="108"/>
      <c r="HI45" s="156">
        <f>+SUMPRODUCT(MicroModelComponents!$S$4:$S$24,HI$4:HI$24)</f>
        <v>0</v>
      </c>
      <c r="HJ45" s="157">
        <f>+SUMPRODUCT(MicroModelComponents!$S$4:$S$24,HJ$4:HJ$24)</f>
        <v>0</v>
      </c>
      <c r="HK45" s="157">
        <f>+SUMPRODUCT(MicroModelComponents!$S$4:$S$24,HK$4:HK$24)</f>
        <v>0</v>
      </c>
      <c r="HL45" s="157">
        <f>+SUMPRODUCT(MicroModelComponents!$S$4:$S$24,HL$4:HL$24)</f>
        <v>0</v>
      </c>
      <c r="HM45" s="157">
        <f>+SUMPRODUCT(MicroModelComponents!$S$4:$S$24,HM$4:HM$24)</f>
        <v>0</v>
      </c>
      <c r="HN45" s="157">
        <f>+SUMPRODUCT(MicroModelComponents!$S$4:$S$24,HN$4:HN$24)</f>
        <v>0</v>
      </c>
      <c r="HO45" s="157">
        <f>+SUMPRODUCT(MicroModelComponents!$S$4:$S$24,HO$4:HO$24)</f>
        <v>0</v>
      </c>
      <c r="HP45" s="158">
        <f>+SUMPRODUCT(MicroModelComponents!$S$4:$S$24,HO$4:HO$24)</f>
        <v>0</v>
      </c>
      <c r="HQ45" s="3"/>
      <c r="HR45" s="108"/>
      <c r="HT45" s="156">
        <f>+SUMPRODUCT(MicroModelComponents!$S$4:$S$24,HT$4:HT$24)</f>
        <v>0</v>
      </c>
      <c r="HU45" s="157">
        <f>+SUMPRODUCT(MicroModelComponents!$S$4:$S$24,HU$4:HU$24)</f>
        <v>0</v>
      </c>
      <c r="HV45" s="157">
        <f>+SUMPRODUCT(MicroModelComponents!$S$4:$S$24,HV$4:HV$24)</f>
        <v>0</v>
      </c>
      <c r="HW45" s="157">
        <f>+SUMPRODUCT(MicroModelComponents!$S$4:$S$24,HW$4:HW$24)</f>
        <v>0</v>
      </c>
      <c r="HX45" s="157">
        <f>+SUMPRODUCT(MicroModelComponents!$S$4:$S$24,HX$4:HX$24)</f>
        <v>0</v>
      </c>
      <c r="HY45" s="157">
        <f>+SUMPRODUCT(MicroModelComponents!$S$4:$S$24,HY$4:HY$24)</f>
        <v>0</v>
      </c>
      <c r="HZ45" s="157">
        <f>+SUMPRODUCT(MicroModelComponents!$S$4:$S$24,HZ$4:HZ$24)</f>
        <v>0</v>
      </c>
      <c r="IA45" s="158">
        <f>+SUMPRODUCT(MicroModelComponents!$S$4:$S$24,HZ$4:HZ$24)</f>
        <v>0</v>
      </c>
      <c r="IB45" s="3"/>
      <c r="IC45" s="108"/>
      <c r="ID45" s="156">
        <f>+SUMPRODUCT(MicroModelComponents!$S$4:$S$24,ID$4:ID$24)</f>
        <v>0</v>
      </c>
      <c r="IE45" s="108"/>
      <c r="IF45" s="156">
        <f>+SUMPRODUCT(MicroModelComponents!$S$4:$S$24,IF$4:IF$24)</f>
        <v>0</v>
      </c>
      <c r="IG45" s="156">
        <f>+SUMPRODUCT(MicroModelComponents!$S$4:$S$24,IG$4:IG$24)</f>
        <v>0</v>
      </c>
      <c r="IH45" s="156">
        <f>+SUMPRODUCT(MicroModelComponents!$S$4:$S$24,IH$4:IH$24)</f>
        <v>0</v>
      </c>
      <c r="II45" s="108"/>
      <c r="IJ45" s="156">
        <f>+SUMPRODUCT(MicroModelComponents!$S$4:$S$24,IJ$4:IJ$24)</f>
        <v>0</v>
      </c>
      <c r="IK45" s="108"/>
    </row>
    <row r="46" spans="2:256" ht="13.5" customHeight="1">
      <c r="C46" s="41" t="s">
        <v>197</v>
      </c>
      <c r="N46" s="41" t="s">
        <v>197</v>
      </c>
      <c r="O46" s="105"/>
      <c r="P46" s="3"/>
      <c r="Q46" s="108"/>
      <c r="S46" s="156">
        <f>+SUMPRODUCT(MicroModelComponents!$T$4:$T$24,S$4:S$24)</f>
        <v>0</v>
      </c>
      <c r="T46" s="157">
        <f>+SUMPRODUCT(MicroModelComponents!$T$4:$T$24,T$4:T$24)</f>
        <v>0</v>
      </c>
      <c r="U46" s="157">
        <f>+SUMPRODUCT(MicroModelComponents!$T$4:$T$24,U$4:U$24)</f>
        <v>0</v>
      </c>
      <c r="V46" s="157">
        <f>+SUMPRODUCT(MicroModelComponents!$T$4:$T$24,V$4:V$24)</f>
        <v>0</v>
      </c>
      <c r="W46" s="157">
        <f>+SUMPRODUCT(MicroModelComponents!$T$4:$T$24,W$4:W$24)</f>
        <v>0</v>
      </c>
      <c r="X46" s="157">
        <f>+SUMPRODUCT(MicroModelComponents!$T$4:$T$24,X$4:X$24)</f>
        <v>0</v>
      </c>
      <c r="Y46" s="157">
        <f>+SUMPRODUCT(MicroModelComponents!$T$4:$T$24,Y$4:Y$24)</f>
        <v>0</v>
      </c>
      <c r="Z46" s="158">
        <f>+SUMPRODUCT(MicroModelComponents!$T$4:$T$24,Y$4:Y$24)</f>
        <v>0</v>
      </c>
      <c r="AA46" s="3"/>
      <c r="AB46" s="108"/>
      <c r="AD46" s="156">
        <f>+SUMPRODUCT(MicroModelComponents!$T$4:$T$24,AD$4:AD$24)</f>
        <v>0</v>
      </c>
      <c r="AE46" s="157">
        <f>+SUMPRODUCT(MicroModelComponents!$T$4:$T$24,AE$4:AE$24)</f>
        <v>0</v>
      </c>
      <c r="AF46" s="157">
        <f>+SUMPRODUCT(MicroModelComponents!$T$4:$T$24,AF$4:AF$24)</f>
        <v>0</v>
      </c>
      <c r="AG46" s="157">
        <f>+SUMPRODUCT(MicroModelComponents!$T$4:$T$24,AG$4:AG$24)</f>
        <v>0</v>
      </c>
      <c r="AH46" s="157">
        <f>+SUMPRODUCT(MicroModelComponents!$T$4:$T$24,AH$4:AH$24)</f>
        <v>0</v>
      </c>
      <c r="AI46" s="157">
        <f>+SUMPRODUCT(MicroModelComponents!$T$4:$T$24,AI$4:AI$24)</f>
        <v>0</v>
      </c>
      <c r="AJ46" s="157">
        <f>+SUMPRODUCT(MicroModelComponents!$T$4:$T$24,AJ$4:AJ$24)</f>
        <v>0</v>
      </c>
      <c r="AK46" s="158">
        <f>+SUMPRODUCT(MicroModelComponents!$T$4:$T$24,AJ$4:AJ$24)</f>
        <v>0</v>
      </c>
      <c r="AL46" s="3"/>
      <c r="AM46" s="108"/>
      <c r="AO46" s="156">
        <f>+SUMPRODUCT(MicroModelComponents!$T$4:$T$24,AO$4:AO$24)</f>
        <v>0</v>
      </c>
      <c r="AP46" s="157">
        <f>+SUMPRODUCT(MicroModelComponents!$T$4:$T$24,AP$4:AP$24)</f>
        <v>0</v>
      </c>
      <c r="AQ46" s="157">
        <f>+SUMPRODUCT(MicroModelComponents!$T$4:$T$24,AQ$4:AQ$24)</f>
        <v>0</v>
      </c>
      <c r="AR46" s="157">
        <f>+SUMPRODUCT(MicroModelComponents!$T$4:$T$24,AR$4:AR$24)</f>
        <v>0</v>
      </c>
      <c r="AS46" s="157">
        <f>+SUMPRODUCT(MicroModelComponents!$T$4:$T$24,AS$4:AS$24)</f>
        <v>0</v>
      </c>
      <c r="AT46" s="157">
        <f>+SUMPRODUCT(MicroModelComponents!$T$4:$T$24,AT$4:AT$24)</f>
        <v>0</v>
      </c>
      <c r="AU46" s="157">
        <f>+SUMPRODUCT(MicroModelComponents!$T$4:$T$24,AU$4:AU$24)</f>
        <v>0</v>
      </c>
      <c r="AV46" s="158">
        <f>+SUMPRODUCT(MicroModelComponents!$T$4:$T$24,AU$4:AU$24)</f>
        <v>0</v>
      </c>
      <c r="AW46" s="3"/>
      <c r="AX46" s="108"/>
      <c r="AZ46" s="156">
        <f>+SUMPRODUCT(MicroModelComponents!$T$4:$T$24,AZ$4:AZ$24)</f>
        <v>0</v>
      </c>
      <c r="BA46" s="157">
        <f>+SUMPRODUCT(MicroModelComponents!$T$4:$T$24,BA$4:BA$24)</f>
        <v>0</v>
      </c>
      <c r="BB46" s="157">
        <f>+SUMPRODUCT(MicroModelComponents!$T$4:$T$24,BB$4:BB$24)</f>
        <v>0</v>
      </c>
      <c r="BC46" s="157">
        <f>+SUMPRODUCT(MicroModelComponents!$T$4:$T$24,BC$4:BC$24)</f>
        <v>0</v>
      </c>
      <c r="BD46" s="157">
        <f>+SUMPRODUCT(MicroModelComponents!$T$4:$T$24,BD$4:BD$24)</f>
        <v>0</v>
      </c>
      <c r="BE46" s="157">
        <f>+SUMPRODUCT(MicroModelComponents!$T$4:$T$24,BE$4:BE$24)</f>
        <v>0</v>
      </c>
      <c r="BF46" s="157">
        <f>+SUMPRODUCT(MicroModelComponents!$T$4:$T$24,BF$4:BF$24)</f>
        <v>0</v>
      </c>
      <c r="BG46" s="158">
        <f>+SUMPRODUCT(MicroModelComponents!$T$4:$T$24,BF$4:BF$24)</f>
        <v>0</v>
      </c>
      <c r="BH46" s="3"/>
      <c r="BI46" s="108"/>
      <c r="BK46" s="156">
        <f>+SUMPRODUCT(MicroModelComponents!$T$4:$T$24,BK$4:BK$24)</f>
        <v>0</v>
      </c>
      <c r="BL46" s="157">
        <f>+SUMPRODUCT(MicroModelComponents!$T$4:$T$24,BL$4:BL$24)</f>
        <v>0</v>
      </c>
      <c r="BM46" s="157">
        <f>+SUMPRODUCT(MicroModelComponents!$T$4:$T$24,BM$4:BM$24)</f>
        <v>0</v>
      </c>
      <c r="BN46" s="157">
        <f>+SUMPRODUCT(MicroModelComponents!$T$4:$T$24,BN$4:BN$24)</f>
        <v>0</v>
      </c>
      <c r="BO46" s="157">
        <f>+SUMPRODUCT(MicroModelComponents!$T$4:$T$24,BO$4:BO$24)</f>
        <v>0</v>
      </c>
      <c r="BP46" s="157">
        <f>+SUMPRODUCT(MicroModelComponents!$T$4:$T$24,BP$4:BP$24)</f>
        <v>0</v>
      </c>
      <c r="BQ46" s="157">
        <f>+SUMPRODUCT(MicroModelComponents!$T$4:$T$24,BQ$4:BQ$24)</f>
        <v>0</v>
      </c>
      <c r="BR46" s="158">
        <f>+SUMPRODUCT(MicroModelComponents!$T$4:$T$24,BQ$4:BQ$24)</f>
        <v>0</v>
      </c>
      <c r="BS46" s="3"/>
      <c r="BT46" s="108"/>
      <c r="BV46" s="156">
        <f>+SUMPRODUCT(MicroModelComponents!$T$4:$T$24,BV$4:BV$24)</f>
        <v>0</v>
      </c>
      <c r="BW46" s="157">
        <f>+SUMPRODUCT(MicroModelComponents!$T$4:$T$24,BW$4:BW$24)</f>
        <v>0</v>
      </c>
      <c r="BX46" s="157">
        <f>+SUMPRODUCT(MicroModelComponents!$T$4:$T$24,BX$4:BX$24)</f>
        <v>0</v>
      </c>
      <c r="BY46" s="157">
        <f>+SUMPRODUCT(MicroModelComponents!$T$4:$T$24,BY$4:BY$24)</f>
        <v>0</v>
      </c>
      <c r="BZ46" s="157">
        <f>+SUMPRODUCT(MicroModelComponents!$T$4:$T$24,BZ$4:BZ$24)</f>
        <v>0</v>
      </c>
      <c r="CA46" s="157">
        <f>+SUMPRODUCT(MicroModelComponents!$T$4:$T$24,CA$4:CA$24)</f>
        <v>0</v>
      </c>
      <c r="CB46" s="157">
        <f>+SUMPRODUCT(MicroModelComponents!$T$4:$T$24,CB$4:CB$24)</f>
        <v>0</v>
      </c>
      <c r="CC46" s="158">
        <f>+SUMPRODUCT(MicroModelComponents!$T$4:$T$24,CB$4:CB$24)</f>
        <v>0</v>
      </c>
      <c r="CD46" s="3"/>
      <c r="CE46" s="108"/>
      <c r="CG46" s="156">
        <f>+SUMPRODUCT(MicroModelComponents!$T$4:$T$24,CG$4:CG$24)</f>
        <v>0</v>
      </c>
      <c r="CH46" s="157">
        <f>+SUMPRODUCT(MicroModelComponents!$T$4:$T$24,CH$4:CH$24)</f>
        <v>0</v>
      </c>
      <c r="CI46" s="157">
        <f>+SUMPRODUCT(MicroModelComponents!$T$4:$T$24,CI$4:CI$24)</f>
        <v>0</v>
      </c>
      <c r="CJ46" s="157">
        <f>+SUMPRODUCT(MicroModelComponents!$T$4:$T$24,CJ$4:CJ$24)</f>
        <v>0</v>
      </c>
      <c r="CK46" s="157">
        <f>+SUMPRODUCT(MicroModelComponents!$T$4:$T$24,CK$4:CK$24)</f>
        <v>0</v>
      </c>
      <c r="CL46" s="157">
        <f>+SUMPRODUCT(MicroModelComponents!$T$4:$T$24,CL$4:CL$24)</f>
        <v>0</v>
      </c>
      <c r="CM46" s="157">
        <f>+SUMPRODUCT(MicroModelComponents!$T$4:$T$24,CM$4:CM$24)</f>
        <v>0</v>
      </c>
      <c r="CN46" s="158">
        <f>+SUMPRODUCT(MicroModelComponents!$T$4:$T$24,CM$4:CM$24)</f>
        <v>0</v>
      </c>
      <c r="CO46" s="3"/>
      <c r="CP46" s="108"/>
      <c r="CR46" s="156">
        <f>+SUMPRODUCT(MicroModelComponents!$T$4:$T$24,CR$4:CR$24)</f>
        <v>0</v>
      </c>
      <c r="CS46" s="157">
        <f>+SUMPRODUCT(MicroModelComponents!$T$4:$T$24,CS$4:CS$24)</f>
        <v>0</v>
      </c>
      <c r="CT46" s="157">
        <f>+SUMPRODUCT(MicroModelComponents!$T$4:$T$24,CT$4:CT$24)</f>
        <v>0</v>
      </c>
      <c r="CU46" s="157">
        <f>+SUMPRODUCT(MicroModelComponents!$T$4:$T$24,CU$4:CU$24)</f>
        <v>0</v>
      </c>
      <c r="CV46" s="157">
        <f>+SUMPRODUCT(MicroModelComponents!$T$4:$T$24,CV$4:CV$24)</f>
        <v>0</v>
      </c>
      <c r="CW46" s="157">
        <f>+SUMPRODUCT(MicroModelComponents!$T$4:$T$24,CW$4:CW$24)</f>
        <v>0</v>
      </c>
      <c r="CX46" s="157">
        <f>+SUMPRODUCT(MicroModelComponents!$T$4:$T$24,CX$4:CX$24)</f>
        <v>0</v>
      </c>
      <c r="CY46" s="158">
        <f>+SUMPRODUCT(MicroModelComponents!$T$4:$T$24,CX$4:CX$24)</f>
        <v>0</v>
      </c>
      <c r="CZ46" s="3"/>
      <c r="DA46" s="108"/>
      <c r="DC46" s="156">
        <f>+SUMPRODUCT(MicroModelComponents!$T$4:$T$24,DC$4:DC$24)</f>
        <v>0</v>
      </c>
      <c r="DD46" s="157">
        <f>+SUMPRODUCT(MicroModelComponents!$T$4:$T$24,DD$4:DD$24)</f>
        <v>0</v>
      </c>
      <c r="DE46" s="157">
        <f>+SUMPRODUCT(MicroModelComponents!$T$4:$T$24,DE$4:DE$24)</f>
        <v>0</v>
      </c>
      <c r="DF46" s="157">
        <f>+SUMPRODUCT(MicroModelComponents!$T$4:$T$24,DF$4:DF$24)</f>
        <v>0</v>
      </c>
      <c r="DG46" s="157">
        <f>+SUMPRODUCT(MicroModelComponents!$T$4:$T$24,DG$4:DG$24)</f>
        <v>0</v>
      </c>
      <c r="DH46" s="157">
        <f>+SUMPRODUCT(MicroModelComponents!$T$4:$T$24,DH$4:DH$24)</f>
        <v>0</v>
      </c>
      <c r="DI46" s="157">
        <f>+SUMPRODUCT(MicroModelComponents!$T$4:$T$24,DI$4:DI$24)</f>
        <v>0</v>
      </c>
      <c r="DJ46" s="158">
        <f>+SUMPRODUCT(MicroModelComponents!$T$4:$T$24,DI$4:DI$24)</f>
        <v>0</v>
      </c>
      <c r="DK46" s="3"/>
      <c r="DL46" s="108"/>
      <c r="DN46" s="156">
        <f>+SUMPRODUCT(MicroModelComponents!$T$4:$T$24,DN$4:DN$24)</f>
        <v>0</v>
      </c>
      <c r="DO46" s="157">
        <f>+SUMPRODUCT(MicroModelComponents!$T$4:$T$24,DO$4:DO$24)</f>
        <v>0</v>
      </c>
      <c r="DP46" s="157">
        <f>+SUMPRODUCT(MicroModelComponents!$T$4:$T$24,DP$4:DP$24)</f>
        <v>0</v>
      </c>
      <c r="DQ46" s="157">
        <f>+SUMPRODUCT(MicroModelComponents!$T$4:$T$24,DQ$4:DQ$24)</f>
        <v>0</v>
      </c>
      <c r="DR46" s="157">
        <f>+SUMPRODUCT(MicroModelComponents!$T$4:$T$24,DR$4:DR$24)</f>
        <v>0</v>
      </c>
      <c r="DS46" s="157">
        <f>+SUMPRODUCT(MicroModelComponents!$T$4:$T$24,DS$4:DS$24)</f>
        <v>0</v>
      </c>
      <c r="DT46" s="157">
        <f>+SUMPRODUCT(MicroModelComponents!$T$4:$T$24,DT$4:DT$24)</f>
        <v>0</v>
      </c>
      <c r="DU46" s="158">
        <f>+SUMPRODUCT(MicroModelComponents!$T$4:$T$24,DT$4:DT$24)</f>
        <v>0</v>
      </c>
      <c r="DV46" s="3"/>
      <c r="DW46" s="108"/>
      <c r="DY46" s="156">
        <f>+SUMPRODUCT(MicroModelComponents!$T$4:$T$24,DY$4:DY$24)</f>
        <v>0</v>
      </c>
      <c r="DZ46" s="157">
        <f>+SUMPRODUCT(MicroModelComponents!$T$4:$T$24,DZ$4:DZ$24)</f>
        <v>0</v>
      </c>
      <c r="EA46" s="157">
        <f>+SUMPRODUCT(MicroModelComponents!$T$4:$T$24,EA$4:EA$24)</f>
        <v>0</v>
      </c>
      <c r="EB46" s="157">
        <f>+SUMPRODUCT(MicroModelComponents!$T$4:$T$24,EB$4:EB$24)</f>
        <v>0</v>
      </c>
      <c r="EC46" s="157">
        <f>+SUMPRODUCT(MicroModelComponents!$T$4:$T$24,EC$4:EC$24)</f>
        <v>0</v>
      </c>
      <c r="ED46" s="157">
        <f>+SUMPRODUCT(MicroModelComponents!$T$4:$T$24,ED$4:ED$24)</f>
        <v>0</v>
      </c>
      <c r="EE46" s="157">
        <f>+SUMPRODUCT(MicroModelComponents!$T$4:$T$24,EE$4:EE$24)</f>
        <v>0</v>
      </c>
      <c r="EF46" s="158">
        <f>+SUMPRODUCT(MicroModelComponents!$T$4:$T$24,EE$4:EE$24)</f>
        <v>0</v>
      </c>
      <c r="EG46" s="3"/>
      <c r="EH46" s="108"/>
      <c r="EJ46" s="156">
        <f>+SUMPRODUCT(MicroModelComponents!$T$4:$T$24,EJ$4:EJ$24)</f>
        <v>0</v>
      </c>
      <c r="EK46" s="157">
        <f>+SUMPRODUCT(MicroModelComponents!$T$4:$T$24,EK$4:EK$24)</f>
        <v>0</v>
      </c>
      <c r="EL46" s="157">
        <f>+SUMPRODUCT(MicroModelComponents!$T$4:$T$24,EL$4:EL$24)</f>
        <v>0</v>
      </c>
      <c r="EM46" s="157">
        <f>+SUMPRODUCT(MicroModelComponents!$T$4:$T$24,EM$4:EM$24)</f>
        <v>0</v>
      </c>
      <c r="EN46" s="157">
        <f>+SUMPRODUCT(MicroModelComponents!$T$4:$T$24,EN$4:EN$24)</f>
        <v>0</v>
      </c>
      <c r="EO46" s="157">
        <f>+SUMPRODUCT(MicroModelComponents!$T$4:$T$24,EO$4:EO$24)</f>
        <v>0</v>
      </c>
      <c r="EP46" s="157">
        <f>+SUMPRODUCT(MicroModelComponents!$T$4:$T$24,EP$4:EP$24)</f>
        <v>0</v>
      </c>
      <c r="EQ46" s="158">
        <f>+SUMPRODUCT(MicroModelComponents!$T$4:$T$24,EP$4:EP$24)</f>
        <v>0</v>
      </c>
      <c r="ER46" s="3"/>
      <c r="ES46" s="108"/>
      <c r="EU46" s="156">
        <f>+SUMPRODUCT(MicroModelComponents!$T$4:$T$24,EU$4:EU$24)</f>
        <v>0</v>
      </c>
      <c r="EV46" s="157">
        <f>+SUMPRODUCT(MicroModelComponents!$T$4:$T$24,EV$4:EV$24)</f>
        <v>0</v>
      </c>
      <c r="EW46" s="157">
        <f>+SUMPRODUCT(MicroModelComponents!$T$4:$T$24,EW$4:EW$24)</f>
        <v>0</v>
      </c>
      <c r="EX46" s="157">
        <f>+SUMPRODUCT(MicroModelComponents!$T$4:$T$24,EX$4:EX$24)</f>
        <v>0</v>
      </c>
      <c r="EY46" s="157">
        <f>+SUMPRODUCT(MicroModelComponents!$T$4:$T$24,EY$4:EY$24)</f>
        <v>0</v>
      </c>
      <c r="EZ46" s="157">
        <f>+SUMPRODUCT(MicroModelComponents!$T$4:$T$24,EZ$4:EZ$24)</f>
        <v>0</v>
      </c>
      <c r="FA46" s="157">
        <f>+SUMPRODUCT(MicroModelComponents!$T$4:$T$24,FA$4:FA$24)</f>
        <v>0</v>
      </c>
      <c r="FB46" s="158">
        <f>+SUMPRODUCT(MicroModelComponents!$T$4:$T$24,FA$4:FA$24)</f>
        <v>0</v>
      </c>
      <c r="FC46" s="3"/>
      <c r="FD46" s="108"/>
      <c r="FF46" s="156">
        <f>+SUMPRODUCT(MicroModelComponents!$T$4:$T$24,FF$4:FF$24)</f>
        <v>0</v>
      </c>
      <c r="FG46" s="157">
        <f>+SUMPRODUCT(MicroModelComponents!$T$4:$T$24,FG$4:FG$24)</f>
        <v>0</v>
      </c>
      <c r="FH46" s="157">
        <f>+SUMPRODUCT(MicroModelComponents!$T$4:$T$24,FH$4:FH$24)</f>
        <v>0</v>
      </c>
      <c r="FI46" s="157">
        <f>+SUMPRODUCT(MicroModelComponents!$T$4:$T$24,FI$4:FI$24)</f>
        <v>0</v>
      </c>
      <c r="FJ46" s="157">
        <f>+SUMPRODUCT(MicroModelComponents!$T$4:$T$24,FJ$4:FJ$24)</f>
        <v>0</v>
      </c>
      <c r="FK46" s="157">
        <f>+SUMPRODUCT(MicroModelComponents!$T$4:$T$24,FK$4:FK$24)</f>
        <v>0</v>
      </c>
      <c r="FL46" s="157">
        <f>+SUMPRODUCT(MicroModelComponents!$T$4:$T$24,FL$4:FL$24)</f>
        <v>0</v>
      </c>
      <c r="FM46" s="158">
        <f>+SUMPRODUCT(MicroModelComponents!$T$4:$T$24,FL$4:FL$24)</f>
        <v>0</v>
      </c>
      <c r="FN46" s="3"/>
      <c r="FO46" s="108"/>
      <c r="FQ46" s="156">
        <f>+SUMPRODUCT(MicroModelComponents!$T$4:$T$24,FQ$4:FQ$24)</f>
        <v>0</v>
      </c>
      <c r="FR46" s="157">
        <f>+SUMPRODUCT(MicroModelComponents!$T$4:$T$24,FR$4:FR$24)</f>
        <v>0</v>
      </c>
      <c r="FS46" s="157">
        <f>+SUMPRODUCT(MicroModelComponents!$T$4:$T$24,FS$4:FS$24)</f>
        <v>0</v>
      </c>
      <c r="FT46" s="157">
        <f>+SUMPRODUCT(MicroModelComponents!$T$4:$T$24,FT$4:FT$24)</f>
        <v>0</v>
      </c>
      <c r="FU46" s="157">
        <f>+SUMPRODUCT(MicroModelComponents!$T$4:$T$24,FU$4:FU$24)</f>
        <v>0</v>
      </c>
      <c r="FV46" s="157">
        <f>+SUMPRODUCT(MicroModelComponents!$T$4:$T$24,FV$4:FV$24)</f>
        <v>0</v>
      </c>
      <c r="FW46" s="157">
        <f>+SUMPRODUCT(MicroModelComponents!$T$4:$T$24,FW$4:FW$24)</f>
        <v>0</v>
      </c>
      <c r="FX46" s="158">
        <f>+SUMPRODUCT(MicroModelComponents!$T$4:$T$24,FW$4:FW$24)</f>
        <v>0</v>
      </c>
      <c r="FY46" s="3"/>
      <c r="FZ46" s="108"/>
      <c r="GB46" s="156">
        <f>+SUMPRODUCT(MicroModelComponents!$T$4:$T$24,GB$4:GB$24)</f>
        <v>0</v>
      </c>
      <c r="GC46" s="157">
        <f>+SUMPRODUCT(MicroModelComponents!$T$4:$T$24,GC$4:GC$24)</f>
        <v>0</v>
      </c>
      <c r="GD46" s="157">
        <f>+SUMPRODUCT(MicroModelComponents!$T$4:$T$24,GD$4:GD$24)</f>
        <v>0</v>
      </c>
      <c r="GE46" s="157">
        <f>+SUMPRODUCT(MicroModelComponents!$T$4:$T$24,GE$4:GE$24)</f>
        <v>0</v>
      </c>
      <c r="GF46" s="157">
        <f>+SUMPRODUCT(MicroModelComponents!$T$4:$T$24,GF$4:GF$24)</f>
        <v>0</v>
      </c>
      <c r="GG46" s="157">
        <f>+SUMPRODUCT(MicroModelComponents!$T$4:$T$24,GG$4:GG$24)</f>
        <v>0</v>
      </c>
      <c r="GH46" s="157">
        <f>+SUMPRODUCT(MicroModelComponents!$T$4:$T$24,GH$4:GH$24)</f>
        <v>0</v>
      </c>
      <c r="GI46" s="158">
        <f>+SUMPRODUCT(MicroModelComponents!$T$4:$T$24,GH$4:GH$24)</f>
        <v>0</v>
      </c>
      <c r="GJ46" s="3"/>
      <c r="GK46" s="108"/>
      <c r="GM46" s="156">
        <f>+SUMPRODUCT(MicroModelComponents!$T$4:$T$24,GM$4:GM$24)</f>
        <v>0</v>
      </c>
      <c r="GN46" s="157">
        <f>+SUMPRODUCT(MicroModelComponents!$T$4:$T$24,GN$4:GN$24)</f>
        <v>0</v>
      </c>
      <c r="GO46" s="157">
        <f>+SUMPRODUCT(MicroModelComponents!$T$4:$T$24,GO$4:GO$24)</f>
        <v>0</v>
      </c>
      <c r="GP46" s="157">
        <f>+SUMPRODUCT(MicroModelComponents!$T$4:$T$24,GP$4:GP$24)</f>
        <v>0</v>
      </c>
      <c r="GQ46" s="157">
        <f>+SUMPRODUCT(MicroModelComponents!$T$4:$T$24,GQ$4:GQ$24)</f>
        <v>0</v>
      </c>
      <c r="GR46" s="157">
        <f>+SUMPRODUCT(MicroModelComponents!$T$4:$T$24,GR$4:GR$24)</f>
        <v>0</v>
      </c>
      <c r="GS46" s="157">
        <f>+SUMPRODUCT(MicroModelComponents!$T$4:$T$24,GS$4:GS$24)</f>
        <v>0</v>
      </c>
      <c r="GT46" s="158">
        <f>+SUMPRODUCT(MicroModelComponents!$T$4:$T$24,GS$4:GS$24)</f>
        <v>0</v>
      </c>
      <c r="GU46" s="3"/>
      <c r="GV46" s="108"/>
      <c r="GX46" s="156">
        <f>+SUMPRODUCT(MicroModelComponents!$T$4:$T$24,GX$4:GX$24)</f>
        <v>0</v>
      </c>
      <c r="GY46" s="157">
        <f>+SUMPRODUCT(MicroModelComponents!$T$4:$T$24,GY$4:GY$24)</f>
        <v>0</v>
      </c>
      <c r="GZ46" s="157">
        <f>+SUMPRODUCT(MicroModelComponents!$T$4:$T$24,GZ$4:GZ$24)</f>
        <v>0</v>
      </c>
      <c r="HA46" s="157">
        <f>+SUMPRODUCT(MicroModelComponents!$T$4:$T$24,HA$4:HA$24)</f>
        <v>0</v>
      </c>
      <c r="HB46" s="157">
        <f>+SUMPRODUCT(MicroModelComponents!$T$4:$T$24,HB$4:HB$24)</f>
        <v>0</v>
      </c>
      <c r="HC46" s="157">
        <f>+SUMPRODUCT(MicroModelComponents!$T$4:$T$24,HC$4:HC$24)</f>
        <v>0</v>
      </c>
      <c r="HD46" s="157">
        <f>+SUMPRODUCT(MicroModelComponents!$T$4:$T$24,HD$4:HD$24)</f>
        <v>0</v>
      </c>
      <c r="HE46" s="158">
        <f>+SUMPRODUCT(MicroModelComponents!$T$4:$T$24,HD$4:HD$24)</f>
        <v>0</v>
      </c>
      <c r="HF46" s="3"/>
      <c r="HG46" s="108"/>
      <c r="HI46" s="156">
        <f>+SUMPRODUCT(MicroModelComponents!$T$4:$T$24,HI$4:HI$24)</f>
        <v>0</v>
      </c>
      <c r="HJ46" s="157">
        <f>+SUMPRODUCT(MicroModelComponents!$T$4:$T$24,HJ$4:HJ$24)</f>
        <v>0</v>
      </c>
      <c r="HK46" s="157">
        <f>+SUMPRODUCT(MicroModelComponents!$T$4:$T$24,HK$4:HK$24)</f>
        <v>0</v>
      </c>
      <c r="HL46" s="157">
        <f>+SUMPRODUCT(MicroModelComponents!$T$4:$T$24,HL$4:HL$24)</f>
        <v>0</v>
      </c>
      <c r="HM46" s="157">
        <f>+SUMPRODUCT(MicroModelComponents!$T$4:$T$24,HM$4:HM$24)</f>
        <v>0</v>
      </c>
      <c r="HN46" s="157">
        <f>+SUMPRODUCT(MicroModelComponents!$T$4:$T$24,HN$4:HN$24)</f>
        <v>0</v>
      </c>
      <c r="HO46" s="157">
        <f>+SUMPRODUCT(MicroModelComponents!$T$4:$T$24,HO$4:HO$24)</f>
        <v>0</v>
      </c>
      <c r="HP46" s="158">
        <f>+SUMPRODUCT(MicroModelComponents!$T$4:$T$24,HO$4:HO$24)</f>
        <v>0</v>
      </c>
      <c r="HQ46" s="3"/>
      <c r="HR46" s="108"/>
      <c r="HT46" s="156">
        <f>+SUMPRODUCT(MicroModelComponents!$T$4:$T$24,HT$4:HT$24)</f>
        <v>0</v>
      </c>
      <c r="HU46" s="157">
        <f>+SUMPRODUCT(MicroModelComponents!$T$4:$T$24,HU$4:HU$24)</f>
        <v>0</v>
      </c>
      <c r="HV46" s="157">
        <f>+SUMPRODUCT(MicroModelComponents!$T$4:$T$24,HV$4:HV$24)</f>
        <v>0</v>
      </c>
      <c r="HW46" s="157">
        <f>+SUMPRODUCT(MicroModelComponents!$T$4:$T$24,HW$4:HW$24)</f>
        <v>0</v>
      </c>
      <c r="HX46" s="157">
        <f>+SUMPRODUCT(MicroModelComponents!$T$4:$T$24,HX$4:HX$24)</f>
        <v>0</v>
      </c>
      <c r="HY46" s="157">
        <f>+SUMPRODUCT(MicroModelComponents!$T$4:$T$24,HY$4:HY$24)</f>
        <v>0</v>
      </c>
      <c r="HZ46" s="157">
        <f>+SUMPRODUCT(MicroModelComponents!$T$4:$T$24,HZ$4:HZ$24)</f>
        <v>0</v>
      </c>
      <c r="IA46" s="158">
        <f>+SUMPRODUCT(MicroModelComponents!$T$4:$T$24,HZ$4:HZ$24)</f>
        <v>0</v>
      </c>
      <c r="IB46" s="3"/>
      <c r="IC46" s="108"/>
      <c r="ID46" s="156">
        <f>+SUMPRODUCT(MicroModelComponents!$T$4:$T$24,ID$4:ID$24)</f>
        <v>0</v>
      </c>
      <c r="IE46" s="108"/>
      <c r="IF46" s="156">
        <f>+SUMPRODUCT(MicroModelComponents!$T$4:$T$24,IF$4:IF$24)</f>
        <v>0</v>
      </c>
      <c r="IG46" s="156">
        <f>+SUMPRODUCT(MicroModelComponents!$T$4:$T$24,IG$4:IG$24)</f>
        <v>0</v>
      </c>
      <c r="IH46" s="156">
        <f>+SUMPRODUCT(MicroModelComponents!$T$4:$T$24,IH$4:IH$24)</f>
        <v>0</v>
      </c>
      <c r="II46" s="108"/>
      <c r="IJ46" s="156">
        <f>+SUMPRODUCT(MicroModelComponents!$T$4:$T$24,IJ$4:IJ$24)</f>
        <v>0</v>
      </c>
      <c r="IK46" s="108"/>
    </row>
    <row r="47" spans="2:256" ht="13.5" customHeight="1" thickBot="1">
      <c r="C47" s="42" t="s">
        <v>142</v>
      </c>
      <c r="N47" s="42" t="s">
        <v>142</v>
      </c>
      <c r="O47" s="105"/>
      <c r="P47" s="3"/>
      <c r="Q47" s="108"/>
      <c r="S47" s="159">
        <f t="shared" ref="S47:Y47" si="247">+SUMPRODUCT($E$4:$E$24,S$4:S$24)</f>
        <v>0</v>
      </c>
      <c r="T47" s="160">
        <f t="shared" si="247"/>
        <v>0</v>
      </c>
      <c r="U47" s="160">
        <f t="shared" si="247"/>
        <v>0</v>
      </c>
      <c r="V47" s="160">
        <f t="shared" si="247"/>
        <v>0</v>
      </c>
      <c r="W47" s="160">
        <f t="shared" si="247"/>
        <v>0</v>
      </c>
      <c r="X47" s="160">
        <f t="shared" si="247"/>
        <v>0</v>
      </c>
      <c r="Y47" s="160">
        <f t="shared" si="247"/>
        <v>0</v>
      </c>
      <c r="Z47" s="161">
        <f>+SUMPRODUCT($E$4:$E$24,Y$4:Y$24)</f>
        <v>0</v>
      </c>
      <c r="AA47" s="3"/>
      <c r="AB47" s="108"/>
      <c r="AD47" s="159">
        <f t="shared" ref="AD47:AJ47" si="248">+SUMPRODUCT($E$4:$E$24,AD$4:AD$24)</f>
        <v>0</v>
      </c>
      <c r="AE47" s="160">
        <f t="shared" si="248"/>
        <v>0</v>
      </c>
      <c r="AF47" s="160">
        <f t="shared" si="248"/>
        <v>0</v>
      </c>
      <c r="AG47" s="160">
        <f t="shared" si="248"/>
        <v>0</v>
      </c>
      <c r="AH47" s="160">
        <f t="shared" si="248"/>
        <v>0</v>
      </c>
      <c r="AI47" s="160">
        <f t="shared" si="248"/>
        <v>0</v>
      </c>
      <c r="AJ47" s="160">
        <f t="shared" si="248"/>
        <v>0</v>
      </c>
      <c r="AK47" s="161">
        <f>+SUMPRODUCT($E$4:$E$24,AJ$4:AJ$24)</f>
        <v>0</v>
      </c>
      <c r="AL47" s="3"/>
      <c r="AM47" s="108"/>
      <c r="AO47" s="159">
        <f t="shared" ref="AO47:AU47" si="249">+SUMPRODUCT($E$4:$E$24,AO$4:AO$24)</f>
        <v>0</v>
      </c>
      <c r="AP47" s="160">
        <f t="shared" si="249"/>
        <v>0</v>
      </c>
      <c r="AQ47" s="160">
        <f t="shared" si="249"/>
        <v>0</v>
      </c>
      <c r="AR47" s="160">
        <f t="shared" si="249"/>
        <v>0</v>
      </c>
      <c r="AS47" s="160">
        <f t="shared" si="249"/>
        <v>0</v>
      </c>
      <c r="AT47" s="160">
        <f t="shared" si="249"/>
        <v>5.5511151231257827E-17</v>
      </c>
      <c r="AU47" s="160">
        <f t="shared" si="249"/>
        <v>2.2204460492503131E-16</v>
      </c>
      <c r="AV47" s="161">
        <f>+SUMPRODUCT($E$4:$E$24,AU$4:AU$24)</f>
        <v>2.2204460492503131E-16</v>
      </c>
      <c r="AW47" s="3"/>
      <c r="AX47" s="108"/>
      <c r="AZ47" s="159">
        <f t="shared" ref="AZ47:BF47" si="250">+SUMPRODUCT($E$4:$E$24,AZ$4:AZ$24)</f>
        <v>0</v>
      </c>
      <c r="BA47" s="160">
        <f t="shared" si="250"/>
        <v>0</v>
      </c>
      <c r="BB47" s="160">
        <f t="shared" si="250"/>
        <v>0</v>
      </c>
      <c r="BC47" s="160">
        <f t="shared" si="250"/>
        <v>0</v>
      </c>
      <c r="BD47" s="160">
        <f t="shared" si="250"/>
        <v>0</v>
      </c>
      <c r="BE47" s="160">
        <f t="shared" si="250"/>
        <v>4.4408920985006262E-16</v>
      </c>
      <c r="BF47" s="160">
        <f t="shared" si="250"/>
        <v>3.5527136788005009E-15</v>
      </c>
      <c r="BG47" s="161">
        <f>+SUMPRODUCT($E$4:$E$24,BF$4:BF$24)</f>
        <v>3.5527136788005009E-15</v>
      </c>
      <c r="BH47" s="3"/>
      <c r="BI47" s="108"/>
      <c r="BK47" s="159">
        <f t="shared" ref="BK47:BQ47" si="251">+SUMPRODUCT($E$4:$E$24,BK$4:BK$24)</f>
        <v>0</v>
      </c>
      <c r="BL47" s="160">
        <f t="shared" si="251"/>
        <v>0</v>
      </c>
      <c r="BM47" s="160">
        <f t="shared" si="251"/>
        <v>0</v>
      </c>
      <c r="BN47" s="160">
        <f t="shared" si="251"/>
        <v>8.8817841970012523E-16</v>
      </c>
      <c r="BO47" s="160">
        <f t="shared" si="251"/>
        <v>0</v>
      </c>
      <c r="BP47" s="160">
        <f t="shared" si="251"/>
        <v>8.8817841970012523E-16</v>
      </c>
      <c r="BQ47" s="160">
        <f t="shared" si="251"/>
        <v>-3.5527136788005009E-15</v>
      </c>
      <c r="BR47" s="161">
        <f>+SUMPRODUCT($E$4:$E$24,BQ$4:BQ$24)</f>
        <v>-3.5527136788005009E-15</v>
      </c>
      <c r="BS47" s="3"/>
      <c r="BT47" s="108"/>
      <c r="BV47" s="159">
        <f t="shared" ref="BV47:CB47" si="252">+SUMPRODUCT($E$4:$E$24,BV$4:BV$24)</f>
        <v>0</v>
      </c>
      <c r="BW47" s="160">
        <f t="shared" si="252"/>
        <v>0</v>
      </c>
      <c r="BX47" s="160">
        <f t="shared" si="252"/>
        <v>2.6645352591003757E-15</v>
      </c>
      <c r="BY47" s="160">
        <f t="shared" si="252"/>
        <v>0</v>
      </c>
      <c r="BZ47" s="160">
        <f t="shared" si="252"/>
        <v>0</v>
      </c>
      <c r="CA47" s="160">
        <f t="shared" si="252"/>
        <v>-1.6653345369377348E-16</v>
      </c>
      <c r="CB47" s="160">
        <f t="shared" si="252"/>
        <v>0</v>
      </c>
      <c r="CC47" s="161">
        <f>+SUMPRODUCT($E$4:$E$24,CB$4:CB$24)</f>
        <v>0</v>
      </c>
      <c r="CD47" s="3"/>
      <c r="CE47" s="108"/>
      <c r="CG47" s="159">
        <f t="shared" ref="CG47:CM47" si="253">+SUMPRODUCT($E$4:$E$24,CG$4:CG$24)</f>
        <v>0</v>
      </c>
      <c r="CH47" s="160">
        <f t="shared" si="253"/>
        <v>0</v>
      </c>
      <c r="CI47" s="160">
        <f t="shared" si="253"/>
        <v>-1.3322676295501878E-15</v>
      </c>
      <c r="CJ47" s="160">
        <f t="shared" si="253"/>
        <v>0</v>
      </c>
      <c r="CK47" s="160">
        <f t="shared" si="253"/>
        <v>0</v>
      </c>
      <c r="CL47" s="160">
        <f t="shared" si="253"/>
        <v>0</v>
      </c>
      <c r="CM47" s="160">
        <f t="shared" si="253"/>
        <v>0</v>
      </c>
      <c r="CN47" s="161">
        <f>+SUMPRODUCT($E$4:$E$24,CM$4:CM$24)</f>
        <v>0</v>
      </c>
      <c r="CO47" s="3"/>
      <c r="CP47" s="108"/>
      <c r="CR47" s="159">
        <f t="shared" ref="CR47:CX47" si="254">+SUMPRODUCT($E$4:$E$24,CR$4:CR$24)</f>
        <v>0</v>
      </c>
      <c r="CS47" s="160">
        <f t="shared" si="254"/>
        <v>0</v>
      </c>
      <c r="CT47" s="160">
        <f t="shared" si="254"/>
        <v>-3.3306690738754696E-16</v>
      </c>
      <c r="CU47" s="160">
        <f t="shared" si="254"/>
        <v>0</v>
      </c>
      <c r="CV47" s="160">
        <f t="shared" si="254"/>
        <v>0</v>
      </c>
      <c r="CW47" s="160">
        <f t="shared" si="254"/>
        <v>0</v>
      </c>
      <c r="CX47" s="160">
        <f t="shared" si="254"/>
        <v>-8.8817841970012523E-16</v>
      </c>
      <c r="CY47" s="161">
        <f>+SUMPRODUCT($E$4:$E$24,CX$4:CX$24)</f>
        <v>-8.8817841970012523E-16</v>
      </c>
      <c r="CZ47" s="3"/>
      <c r="DA47" s="108"/>
      <c r="DC47" s="159">
        <f t="shared" ref="DC47:DI47" si="255">+SUMPRODUCT($E$4:$E$24,DC$4:DC$24)</f>
        <v>0</v>
      </c>
      <c r="DD47" s="160">
        <f t="shared" si="255"/>
        <v>0</v>
      </c>
      <c r="DE47" s="160">
        <f t="shared" si="255"/>
        <v>0</v>
      </c>
      <c r="DF47" s="160">
        <f t="shared" si="255"/>
        <v>0</v>
      </c>
      <c r="DG47" s="160">
        <f t="shared" si="255"/>
        <v>0</v>
      </c>
      <c r="DH47" s="160">
        <f t="shared" si="255"/>
        <v>5.5511151231257827E-17</v>
      </c>
      <c r="DI47" s="160">
        <f t="shared" si="255"/>
        <v>0</v>
      </c>
      <c r="DJ47" s="161">
        <f>+SUMPRODUCT($E$4:$E$24,DI$4:DI$24)</f>
        <v>0</v>
      </c>
      <c r="DK47" s="3"/>
      <c r="DL47" s="108"/>
      <c r="DN47" s="159">
        <f t="shared" ref="DN47:DT47" si="256">+SUMPRODUCT($E$4:$E$24,DN$4:DN$24)</f>
        <v>0</v>
      </c>
      <c r="DO47" s="160">
        <f t="shared" si="256"/>
        <v>0</v>
      </c>
      <c r="DP47" s="160">
        <f t="shared" si="256"/>
        <v>0</v>
      </c>
      <c r="DQ47" s="160">
        <f t="shared" si="256"/>
        <v>0</v>
      </c>
      <c r="DR47" s="160">
        <f t="shared" si="256"/>
        <v>0</v>
      </c>
      <c r="DS47" s="160">
        <f t="shared" si="256"/>
        <v>0</v>
      </c>
      <c r="DT47" s="160">
        <f t="shared" si="256"/>
        <v>0</v>
      </c>
      <c r="DU47" s="161">
        <f>+SUMPRODUCT($E$4:$E$24,DT$4:DT$24)</f>
        <v>0</v>
      </c>
      <c r="DV47" s="3"/>
      <c r="DW47" s="108"/>
      <c r="DY47" s="159">
        <f t="shared" ref="DY47:EE47" si="257">+SUMPRODUCT($E$4:$E$24,DY$4:DY$24)</f>
        <v>0</v>
      </c>
      <c r="DZ47" s="160">
        <f t="shared" si="257"/>
        <v>0</v>
      </c>
      <c r="EA47" s="160">
        <f t="shared" si="257"/>
        <v>0</v>
      </c>
      <c r="EB47" s="160">
        <f t="shared" si="257"/>
        <v>0</v>
      </c>
      <c r="EC47" s="160">
        <f t="shared" si="257"/>
        <v>0</v>
      </c>
      <c r="ED47" s="160">
        <f t="shared" si="257"/>
        <v>4.4408920985006262E-16</v>
      </c>
      <c r="EE47" s="160">
        <f t="shared" si="257"/>
        <v>6.6613381477509392E-16</v>
      </c>
      <c r="EF47" s="161">
        <f>+SUMPRODUCT($E$4:$E$24,EE$4:EE$24)</f>
        <v>6.6613381477509392E-16</v>
      </c>
      <c r="EG47" s="3"/>
      <c r="EH47" s="108"/>
      <c r="EJ47" s="159">
        <f t="shared" ref="EJ47:EP47" si="258">+SUMPRODUCT($E$4:$E$24,EJ$4:EJ$24)</f>
        <v>0</v>
      </c>
      <c r="EK47" s="160">
        <f t="shared" si="258"/>
        <v>0</v>
      </c>
      <c r="EL47" s="160">
        <f t="shared" si="258"/>
        <v>-1.3322676295501878E-15</v>
      </c>
      <c r="EM47" s="160">
        <f t="shared" si="258"/>
        <v>0</v>
      </c>
      <c r="EN47" s="160">
        <f t="shared" si="258"/>
        <v>0</v>
      </c>
      <c r="EO47" s="160">
        <f t="shared" si="258"/>
        <v>-4.4408920985006262E-16</v>
      </c>
      <c r="EP47" s="160">
        <f t="shared" si="258"/>
        <v>-2.55351295663786E-15</v>
      </c>
      <c r="EQ47" s="161">
        <f>+SUMPRODUCT($E$4:$E$24,EP$4:EP$24)</f>
        <v>-2.55351295663786E-15</v>
      </c>
      <c r="ER47" s="3"/>
      <c r="ES47" s="108"/>
      <c r="EU47" s="159">
        <f t="shared" ref="EU47:FA47" si="259">+SUMPRODUCT($E$4:$E$24,EU$4:EU$24)</f>
        <v>0</v>
      </c>
      <c r="EV47" s="160">
        <f t="shared" si="259"/>
        <v>0</v>
      </c>
      <c r="EW47" s="160">
        <f t="shared" si="259"/>
        <v>0</v>
      </c>
      <c r="EX47" s="160">
        <f t="shared" si="259"/>
        <v>0</v>
      </c>
      <c r="EY47" s="160">
        <f t="shared" si="259"/>
        <v>0</v>
      </c>
      <c r="EZ47" s="160">
        <f t="shared" si="259"/>
        <v>0</v>
      </c>
      <c r="FA47" s="160">
        <f t="shared" si="259"/>
        <v>7.1054273576010019E-15</v>
      </c>
      <c r="FB47" s="161">
        <f>+SUMPRODUCT($E$4:$E$24,FA$4:FA$24)</f>
        <v>7.1054273576010019E-15</v>
      </c>
      <c r="FC47" s="3"/>
      <c r="FD47" s="108"/>
      <c r="FF47" s="159">
        <f t="shared" ref="FF47:FL47" si="260">+SUMPRODUCT($E$4:$E$24,FF$4:FF$24)</f>
        <v>0</v>
      </c>
      <c r="FG47" s="160">
        <f t="shared" si="260"/>
        <v>0</v>
      </c>
      <c r="FH47" s="160">
        <f t="shared" si="260"/>
        <v>-2.2204460492503131E-16</v>
      </c>
      <c r="FI47" s="160">
        <f t="shared" si="260"/>
        <v>0</v>
      </c>
      <c r="FJ47" s="160">
        <f t="shared" si="260"/>
        <v>0</v>
      </c>
      <c r="FK47" s="160">
        <f t="shared" si="260"/>
        <v>0</v>
      </c>
      <c r="FL47" s="160">
        <f t="shared" si="260"/>
        <v>-4.2632564145606011E-14</v>
      </c>
      <c r="FM47" s="161">
        <f>+SUMPRODUCT($E$4:$E$24,FL$4:FL$24)</f>
        <v>-4.2632564145606011E-14</v>
      </c>
      <c r="FN47" s="3"/>
      <c r="FO47" s="108"/>
      <c r="FQ47" s="159">
        <f t="shared" ref="FQ47:FW47" si="261">+SUMPRODUCT($E$4:$E$24,FQ$4:FQ$24)</f>
        <v>0</v>
      </c>
      <c r="FR47" s="160">
        <f t="shared" si="261"/>
        <v>0</v>
      </c>
      <c r="FS47" s="160">
        <f t="shared" si="261"/>
        <v>0</v>
      </c>
      <c r="FT47" s="160">
        <f t="shared" si="261"/>
        <v>0</v>
      </c>
      <c r="FU47" s="160">
        <f t="shared" si="261"/>
        <v>0</v>
      </c>
      <c r="FV47" s="160">
        <f t="shared" si="261"/>
        <v>5.5511151231257827E-17</v>
      </c>
      <c r="FW47" s="160">
        <f t="shared" si="261"/>
        <v>-8.8817841970012523E-16</v>
      </c>
      <c r="FX47" s="161">
        <f>+SUMPRODUCT($E$4:$E$24,FW$4:FW$24)</f>
        <v>-8.8817841970012523E-16</v>
      </c>
      <c r="FY47" s="3"/>
      <c r="FZ47" s="108"/>
      <c r="GB47" s="159">
        <f t="shared" ref="GB47:GH47" si="262">+SUMPRODUCT($E$4:$E$24,GB$4:GB$24)</f>
        <v>0</v>
      </c>
      <c r="GC47" s="160">
        <f t="shared" si="262"/>
        <v>0</v>
      </c>
      <c r="GD47" s="160">
        <f t="shared" si="262"/>
        <v>0</v>
      </c>
      <c r="GE47" s="160">
        <f t="shared" si="262"/>
        <v>0</v>
      </c>
      <c r="GF47" s="160">
        <f t="shared" si="262"/>
        <v>0</v>
      </c>
      <c r="GG47" s="160">
        <f t="shared" si="262"/>
        <v>0</v>
      </c>
      <c r="GH47" s="160">
        <f t="shared" si="262"/>
        <v>-1.7763568394002505E-15</v>
      </c>
      <c r="GI47" s="161">
        <f>+SUMPRODUCT($E$4:$E$24,GH$4:GH$24)</f>
        <v>-1.7763568394002505E-15</v>
      </c>
      <c r="GJ47" s="3"/>
      <c r="GK47" s="108"/>
      <c r="GM47" s="159">
        <f t="shared" ref="GM47:GS47" si="263">+SUMPRODUCT($E$4:$E$24,GM$4:GM$24)</f>
        <v>0</v>
      </c>
      <c r="GN47" s="160">
        <f t="shared" si="263"/>
        <v>0</v>
      </c>
      <c r="GO47" s="160">
        <f t="shared" si="263"/>
        <v>0</v>
      </c>
      <c r="GP47" s="160">
        <f t="shared" si="263"/>
        <v>0</v>
      </c>
      <c r="GQ47" s="160">
        <f t="shared" si="263"/>
        <v>0</v>
      </c>
      <c r="GR47" s="160">
        <f t="shared" si="263"/>
        <v>5.5511151231257827E-17</v>
      </c>
      <c r="GS47" s="160">
        <f t="shared" si="263"/>
        <v>1.7763568394002505E-15</v>
      </c>
      <c r="GT47" s="161">
        <f>+SUMPRODUCT($E$4:$E$24,GS$4:GS$24)</f>
        <v>1.7763568394002505E-15</v>
      </c>
      <c r="GU47" s="3"/>
      <c r="GV47" s="108"/>
      <c r="GX47" s="159">
        <f t="shared" ref="GX47:HD47" si="264">+SUMPRODUCT($E$4:$E$24,GX$4:GX$24)</f>
        <v>0</v>
      </c>
      <c r="GY47" s="160">
        <f t="shared" si="264"/>
        <v>0</v>
      </c>
      <c r="GZ47" s="160">
        <f t="shared" si="264"/>
        <v>0</v>
      </c>
      <c r="HA47" s="160">
        <f t="shared" si="264"/>
        <v>0</v>
      </c>
      <c r="HB47" s="160">
        <f t="shared" si="264"/>
        <v>0</v>
      </c>
      <c r="HC47" s="160">
        <f t="shared" si="264"/>
        <v>1.6653345369377348E-16</v>
      </c>
      <c r="HD47" s="160">
        <f t="shared" si="264"/>
        <v>1.6653345369377348E-16</v>
      </c>
      <c r="HE47" s="161">
        <f>+SUMPRODUCT($E$4:$E$24,HD$4:HD$24)</f>
        <v>1.6653345369377348E-16</v>
      </c>
      <c r="HF47" s="3"/>
      <c r="HG47" s="108"/>
      <c r="HI47" s="159">
        <f t="shared" ref="HI47:HO47" si="265">+SUMPRODUCT($E$4:$E$24,HI$4:HI$24)</f>
        <v>0</v>
      </c>
      <c r="HJ47" s="160">
        <f t="shared" si="265"/>
        <v>0</v>
      </c>
      <c r="HK47" s="160">
        <f t="shared" si="265"/>
        <v>0</v>
      </c>
      <c r="HL47" s="160">
        <f t="shared" si="265"/>
        <v>0</v>
      </c>
      <c r="HM47" s="160">
        <f t="shared" si="265"/>
        <v>0</v>
      </c>
      <c r="HN47" s="160">
        <f t="shared" si="265"/>
        <v>1.6653345369377348E-16</v>
      </c>
      <c r="HO47" s="160">
        <f t="shared" si="265"/>
        <v>1.6653345369377348E-16</v>
      </c>
      <c r="HP47" s="161">
        <f>+SUMPRODUCT($E$4:$E$24,HO$4:HO$24)</f>
        <v>1.6653345369377348E-16</v>
      </c>
      <c r="HQ47" s="3"/>
      <c r="HR47" s="108"/>
      <c r="HT47" s="159">
        <f t="shared" ref="HT47:HZ47" si="266">+SUMPRODUCT($E$4:$E$24,HT$4:HT$24)</f>
        <v>0</v>
      </c>
      <c r="HU47" s="160">
        <f t="shared" si="266"/>
        <v>0</v>
      </c>
      <c r="HV47" s="160">
        <f t="shared" si="266"/>
        <v>0</v>
      </c>
      <c r="HW47" s="160">
        <f t="shared" si="266"/>
        <v>0</v>
      </c>
      <c r="HX47" s="160">
        <f t="shared" si="266"/>
        <v>0</v>
      </c>
      <c r="HY47" s="160">
        <f t="shared" si="266"/>
        <v>4.4408920985006262E-16</v>
      </c>
      <c r="HZ47" s="160">
        <f t="shared" si="266"/>
        <v>0</v>
      </c>
      <c r="IA47" s="161">
        <f>+SUMPRODUCT($E$4:$E$24,HZ$4:HZ$24)</f>
        <v>0</v>
      </c>
      <c r="IB47" s="3"/>
      <c r="IC47" s="108"/>
      <c r="ID47" s="159">
        <f>+SUMPRODUCT($E$4:$E$24,ID$4:ID$24)</f>
        <v>0</v>
      </c>
      <c r="IE47" s="108"/>
      <c r="IF47" s="159">
        <f>+SUMPRODUCT($E$4:$E$24,IF$4:IF$24)</f>
        <v>0</v>
      </c>
      <c r="IG47" s="159">
        <f>+SUMPRODUCT($E$4:$E$24,IG$4:IG$24)</f>
        <v>0</v>
      </c>
      <c r="IH47" s="159">
        <f>+SUMPRODUCT($E$4:$E$24,IH$4:IH$24)</f>
        <v>0</v>
      </c>
      <c r="II47" s="108"/>
      <c r="IJ47" s="159">
        <f>+SUMPRODUCT($E$4:$E$24,IJ$4:IJ$24)</f>
        <v>0</v>
      </c>
      <c r="IK47" s="108"/>
    </row>
    <row r="48" spans="2:256" ht="13.5" customHeight="1" thickTop="1"/>
  </sheetData>
  <sheetProtection formatCells="0" formatColumns="0" formatRows="0" insertColumns="0" insertRows="0" deleteColumns="0" deleteRows="0" sort="0"/>
  <mergeCells count="20">
    <mergeCell ref="S2:Z2"/>
    <mergeCell ref="AD2:AK2"/>
    <mergeCell ref="AO2:AV2"/>
    <mergeCell ref="BV2:CC2"/>
    <mergeCell ref="DC2:DJ2"/>
    <mergeCell ref="CR2:CY2"/>
    <mergeCell ref="HT2:IA2"/>
    <mergeCell ref="EU2:FB2"/>
    <mergeCell ref="GX2:HE2"/>
    <mergeCell ref="AZ2:BG2"/>
    <mergeCell ref="BK2:BR2"/>
    <mergeCell ref="GM2:GT2"/>
    <mergeCell ref="DY2:EF2"/>
    <mergeCell ref="CG2:CN2"/>
    <mergeCell ref="FQ2:FX2"/>
    <mergeCell ref="FF2:FM2"/>
    <mergeCell ref="HI2:HP2"/>
    <mergeCell ref="EJ2:EQ2"/>
    <mergeCell ref="DN2:DU2"/>
    <mergeCell ref="GB2:GI2"/>
  </mergeCells>
  <phoneticPr fontId="3" type="noConversion"/>
  <conditionalFormatting sqref="IK4:IK24 GO24 HV24 GU21:GU24 HF21:HF24 GZ24 HX24:IA24 GR19:GU19 GR20:GT22 IB6 FC21:FC24 EW24 EY24:FB24 BB24 BH21:BH24 BM24 BS21:BS24 EA24 CI24 EG21:EG24 FY5 FS24 U24 AA21:AA24 AF24 AL21:AL24 AH24:AK24 W24:Z24 BD24:BG24 BO24:BR24 CK24:CN24 EC24:EF24 FU24:FX24 AQ24 AW21:AW24 AS24:AV24 BX24 CD21:CD24 BZ24:CC24 DE24 DG24:DJ24 DK5 EL24 EN24:EQ24 EC19:EG19 BO19:BS19 ER21:ER24 FN21:FN24 FH24 FJ24:FM24 HK24 HB24:HE24 HN20:HP22 HQ21:HQ24 BD20:BG22 BI20:BJ24 BO20:BR22 BT19:BU24 CK20:CN22 EC20:EF22 EH19:EI24 EN20:EQ22 EY20:FB22 FJ20:FM22 GV19:GW24 HX20:IA22 GQ24:GT24 HM24:HP24 J24:L24 BO15:BU18 CO6 EC15:EI18 GR15:GW18 HC4:HG4 IB8 HF6 GU6 GU8 HY5:IB5 IB10:IB14 HX4:IB4 HF8 GR5:GU5 HX5:HX14 GR4:GW4 HY6:IA14 GR6:GT14 GU10:GU14 GV5:GW14 HX15:IB19 FC8 EZ5:FC5 EY5:EY14 EZ6:FB14 FC10:FC14 ER8 FY8 BP5:BS5 BS6 BS8 BH6 BE5:BI5 BH8:BH9 EG8 ED5:EG5 CO8 CL5:CO5 CD5:CD6 FU4:FY4 AA5:AA6 AA8 AL5:AL6 AL8 AW8 AW5:AW6 CD8 CO10:CO14 DK8 EO5:ER5 ER10:ER14 EN5:EN14 EO6:EQ14 EC5:EC14 CK5:CK14 BO5:BO14 BD5:BD14 ED6:EF14 CL6:CN14 BJ5:BJ14 BP6:BR14 BE6:BG14 EG10:EG14 BH11:BH14 BI6:BI14 BS10:BS14 BZ4:CF4 EC4:EI4 IC4:IC24 BO4:BU4 W4:AC4 EY4:FC4 FY10:FY19 DK10:DK19 AH4:AN4 BD4:BJ4 BT5:BU14 DA4:DB24 EH5:EI14 EN4:ET4 FN8 FK5:FN5 FJ5:FJ14 FK6:FM14 FN10:FN14 FJ4:FN4 HQ6 HQ8 HQ10:HQ14 HN4:HQ5 HN6:HP14 HG16:HH24 HB16:HE22 HB4:HB15 HH4:HH15 HC5:HE15 HG5:HG15 I6 J4:M22 P4:R24 I10:I18 II4:II24 HF10:HF19 IE4:IE24 HV4:HV22 FS4:FS22 DV21:DV24 GO4:GO22 HM4:HM22 BD15:BJ19 EL4:EL22 EY15:FC19 CD10:CD19 AW11:AW19 AL11:AL19 AA11:AA19 CZ21:CZ24 BB4:BB22 AQ4:AQ22 EA4:EA22 AF4:AF22 DE4:DE22 BX4:BX22 BM4:BM22 CI4:CI22 EN15:ER19 FJ15:FN19 EW4:EW22 FH4:FH22 HK4:HK22 GZ4:GZ22 HN15:HQ19 W5:Z22 U4:U22 AB5:AC24 AH5:AK22 AM5:AN24 AS4:AV22 AX4:AY24 BZ5:CC22 CE5:CF24 DG5:DJ22 DW4:DX24 ES5:ET24 FD4:FE24 FO4:FP24 FU5:FX22 GK4:GL24 GQ4:GQ22 HR4:HS24 IB21:IB24 CK4:CO4 CK15:CO19 CO21:CO24 CT24 CV24:CY24 CV20:CY22 CZ6 CZ8 CW5:CZ5 CZ10:CZ14 CV5:CV14 CW6:CY14 CT4:CT22 CP4:CQ24 CV4:CZ4 CV15:CZ19 DG4:DK4 DK21:DK24 DP24 DR24:DU24 DV5 DV8 DV10:DV19 DL4:DM24 DP4:DP22 DR5:DU22 DR4:DV4 FY21:FY24 GJ5 GD24 GF24:GI24 GJ8 GF4:GJ4 GJ10:GJ19 GD4:GD22 FZ4:GA24 GF5:GI22 GJ21:GJ24">
    <cfRule type="cellIs" dxfId="30" priority="55" stopIfTrue="1" operator="equal">
      <formula>0</formula>
    </cfRule>
  </conditionalFormatting>
  <conditionalFormatting sqref="IJ23 IF23:IH23 GM23:GT23 HT23:IA23 J23:N23 AZ23:BG23 S23:Z23 AD23:AK23 FQ23:FX23 BK23:BR23 DY23:EF23 CG23:CN23 AO23:AV23 BV23:CC23 DC23:DJ23 EJ23:EQ23 FF23:FM23 GX23:HE23 HI23:HP23 EU23:FB23 ID23 CR23:CY23 DN23:DU23 GB23:GI23">
    <cfRule type="cellIs" dxfId="29" priority="58" stopIfTrue="1" operator="equal">
      <formula>0</formula>
    </cfRule>
  </conditionalFormatting>
  <conditionalFormatting sqref="IJ34 GM29:GT30 GB29:GI30 GM34:GU34 GX34:HF34 HI29:HP30 P29:P34 EJ29:EQ30 EU34:FC34 AO29:AV30 AZ29:BG30 AZ34:BH34 BK34:BS34 EJ34:ER34 DY34:EG34 CG34:CO34 BV34:CD34 DN29:DU30 FQ34:FY34 DN34:DV34 S34:AA34 AA31:AA33 S29:AA30 AD34:AL34 AL31:AL33 AD29:AL30 AO34:AW34 FQ29:FX30 BK29:BR30 CR29:CY30 CG29:CN30 DY29:EF30 EU29:FB30 FF34:FN34 HI34:HQ34 GX29:HE30 HT29:IA30 IF34:IH34 HT34:IB34 ID34 BV29:CC30 CR34:CZ34 DC34:DK34 DC29:DJ30 FF29:FM30 GB34:GJ34 AW29:AW33 BH29:BH33 BS29:BS33 CD29:CD33 CO29:CO33 CZ29:CZ33 DK29:DK33 DV29:DV33 EG29:EG33 ER29:ER33 FC29:FC33 FN29:FN33 FY29:FY33 GJ29:GJ33 GU29:GU33 HF29:HF33 HQ29:HQ33 IB29:IB33 ID29:ID30 IF29:IH30 IJ29:IJ30">
    <cfRule type="cellIs" dxfId="28" priority="50" stopIfTrue="1" operator="lessThanOrEqual">
      <formula>-0.00001</formula>
    </cfRule>
    <cfRule type="cellIs" dxfId="27" priority="51" stopIfTrue="1" operator="greaterThan">
      <formula>0.00001</formula>
    </cfRule>
    <cfRule type="cellIs" dxfId="26" priority="52" stopIfTrue="1" operator="between">
      <formula>-0.00001</formula>
      <formula>0.00001</formula>
    </cfRule>
  </conditionalFormatting>
  <conditionalFormatting sqref="IJ35:IJ47 GX35:HF47 GM35:GU47 P35:P47 EU35:FC47 AZ35:BH47 BK35:BS47 BV35:CD47 DY35:EG47 DN35:DV47 S35:AA47 AD35:AL47 AO35:AW47 ID35:ID47 CR35:CZ47 EJ35:ER47 FF35:FN47 HI35:HQ47 IF35:IH47 HT35:IB47 CG35:CO47 DC35:DK47 FQ35:FY47 GB35:GJ47">
    <cfRule type="cellIs" dxfId="25" priority="53" stopIfTrue="1" operator="notBetween">
      <formula>-0.000001</formula>
      <formula>0.000001</formula>
    </cfRule>
    <cfRule type="cellIs" dxfId="24" priority="54" stopIfTrue="1" operator="between">
      <formula>-0.000001</formula>
      <formula>0.000001</formula>
    </cfRule>
  </conditionalFormatting>
  <conditionalFormatting sqref="IJ24 IJ4:IJ22 GM24:GN24 HT24:HU24 GX24:GY24 GP24 HW24 HA24 EU24:EV24 AZ24:BA24 BK24:BL24 DY24:DZ24 CG24:CH24 FQ24:FR24 V24 S24:T24 BC24 BN24 CJ24 EB24 FT24 AG24 AD24:AE24 AR24 AO24:AP24 BV24:BW24 BY24 DC24:DD24 DF24 EJ24:EK24 EM24 FF24:FG24 FI24 HI24:HJ24 HL24 IF24:IH24 EX24 EX4:EX22 HL4:HL22 EM4:EM22 AR4:AR22 BC4:BC22 BY4:BY22 DF4:DF22 FI4:FI22 S4:T22 AG4:AG22 BN4:BN22 CJ4:CJ22 EB4:EB22 FT4:FT22 HA4:HA22 V4:V22 AD4:AE22 AO4:AP22 AZ4:BA22 BK4:BL22 BV4:BW22 CG4:CH22 DC4:DD22 DY4:DZ22 EJ4:EK22 EU4:EV22 FF4:FG22 FQ4:FR22 GM4:GN22 GX4:GY22 HI4:HJ22 HT4:HU22 HW4:HW22 IF4:IH22 GP4:GP22 ID24 ID4:ID22 CR24:CS24 CU24 CU4:CU22 CR4:CS22 DN24:DO24 DQ24 DQ4:DQ22 DN4:DO22 GB24:GC24 GE24 GE4:GE22 GB4:GC22">
    <cfRule type="cellIs" dxfId="23" priority="68" stopIfTrue="1" operator="equal">
      <formula>0</formula>
    </cfRule>
  </conditionalFormatting>
  <conditionalFormatting sqref="IJ31:IJ33 GX31:HE33 GM31:GT33 HT31:IA33 EU31:FB33 CG31:CN33 BK31:BR33 DY31:EF33 FQ31:FX33 AZ31:BG33 S31:Z33 AD31:AK33 AO31:AV33 BV31:CC33 DC31:DJ33 EJ31:EQ33 FF31:FM33 HI31:HP33 IF31:IH33 ID31:ID33 CR31:CY33 DN31:DU33 GB31:GI33">
    <cfRule type="cellIs" dxfId="22" priority="93" stopIfTrue="1" operator="greaterThan">
      <formula>-0.00001</formula>
    </cfRule>
    <cfRule type="cellIs" dxfId="21" priority="94" stopIfTrue="1" operator="lessThanOrEqual">
      <formula>0.00001</formula>
    </cfRule>
    <cfRule type="cellIs" dxfId="20" priority="95" stopIfTrue="1" operator="between">
      <formula>-0.00001</formula>
      <formula>0.00001</formula>
    </cfRule>
  </conditionalFormatting>
  <conditionalFormatting sqref="GT27 HE27 IA27 FB27 BG27 BR27 EF27 CN27 FX27 Z27 AK27 AV27 CC27 DJ27 EQ27 FM27 HP27 CY27 DU27 GI27">
    <cfRule type="cellIs" dxfId="19" priority="79" stopIfTrue="1" operator="equal">
      <formula>"OK"</formula>
    </cfRule>
    <cfRule type="cellIs" dxfId="18" priority="80" stopIfTrue="1" operator="notEqual">
      <formula>"OK"</formula>
    </cfRule>
  </conditionalFormatting>
  <printOptions verticalCentered="1"/>
  <pageMargins left="0.46" right="0.25" top="0.98425196850393704" bottom="0.98425196850393704" header="0" footer="0"/>
  <pageSetup paperSize="9" scale="10" orientation="landscape" verticalDpi="46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8"/>
    <pageSetUpPr fitToPage="1"/>
  </sheetPr>
  <dimension ref="A1:CE49"/>
  <sheetViews>
    <sheetView topLeftCell="H1" workbookViewId="0"/>
  </sheetViews>
  <sheetFormatPr defaultColWidth="11.44140625" defaultRowHeight="13.2"/>
  <cols>
    <col min="1" max="1" width="4.88671875" style="14" customWidth="1"/>
    <col min="2" max="2" width="4.109375" style="14" customWidth="1"/>
    <col min="3" max="3" width="12.109375" style="14" customWidth="1"/>
    <col min="4" max="4" width="9.33203125" style="14" bestFit="1" customWidth="1"/>
    <col min="5" max="5" width="3.33203125" style="14" bestFit="1" customWidth="1"/>
    <col min="6" max="6" width="8.109375" style="14" bestFit="1" customWidth="1"/>
    <col min="7" max="7" width="9" style="14" bestFit="1" customWidth="1"/>
    <col min="8" max="8" width="6.6640625" style="14" customWidth="1"/>
    <col min="9" max="9" width="3" style="14" customWidth="1"/>
    <col min="10" max="10" width="6.33203125" style="14" customWidth="1"/>
    <col min="11" max="11" width="9.44140625" style="14" customWidth="1"/>
    <col min="12" max="12" width="8.6640625" style="14" customWidth="1"/>
    <col min="13" max="13" width="4.109375" style="14" bestFit="1" customWidth="1"/>
    <col min="14" max="14" width="9.88671875" style="14" customWidth="1"/>
    <col min="15" max="15" width="2.88671875" style="14" customWidth="1"/>
    <col min="16" max="16" width="3.5546875" style="14" customWidth="1"/>
    <col min="17" max="17" width="3.44140625" style="14" customWidth="1"/>
    <col min="18" max="25" width="7.6640625" style="14" customWidth="1"/>
    <col min="26" max="26" width="4" style="14" bestFit="1" customWidth="1"/>
    <col min="27" max="27" width="3.5546875" style="14" customWidth="1"/>
    <col min="28" max="28" width="3.44140625" style="14" customWidth="1"/>
    <col min="29" max="36" width="7.6640625" style="14" customWidth="1"/>
    <col min="37" max="37" width="4" style="14" bestFit="1" customWidth="1"/>
    <col min="38" max="38" width="3.5546875" style="14" customWidth="1"/>
    <col min="39" max="39" width="3.44140625" style="14" customWidth="1"/>
    <col min="40" max="47" width="7.6640625" style="14" customWidth="1"/>
    <col min="48" max="48" width="4" style="14" bestFit="1" customWidth="1"/>
    <col min="49" max="49" width="3.5546875" style="14" customWidth="1"/>
    <col min="50" max="50" width="13.33203125" style="14" customWidth="1"/>
    <col min="51" max="51" width="3.5546875" style="14" customWidth="1"/>
    <col min="52" max="52" width="11.44140625" style="14"/>
    <col min="53" max="53" width="21.33203125" style="343" customWidth="1"/>
    <col min="54" max="54" width="9.33203125" style="343" customWidth="1"/>
    <col min="55" max="55" width="14.44140625" style="343" bestFit="1" customWidth="1"/>
    <col min="56" max="56" width="9.88671875" style="343" customWidth="1"/>
    <col min="57" max="57" width="11.33203125" style="343" bestFit="1" customWidth="1"/>
    <col min="58" max="58" width="12.6640625" style="343" bestFit="1" customWidth="1"/>
    <col min="59" max="67" width="4.44140625" style="343" customWidth="1"/>
    <col min="68" max="68" width="6.33203125" style="343" bestFit="1" customWidth="1"/>
    <col min="69" max="69" width="6.88671875" style="343" bestFit="1" customWidth="1"/>
    <col min="70" max="70" width="7.33203125" style="343" customWidth="1"/>
    <col min="71" max="72" width="4.44140625" style="343" customWidth="1"/>
    <col min="73" max="73" width="7.6640625" style="343" customWidth="1"/>
    <col min="74" max="74" width="4" style="343" bestFit="1" customWidth="1"/>
    <col min="75" max="75" width="8.44140625" style="343" customWidth="1"/>
    <col min="76" max="76" width="8.109375" style="343" customWidth="1"/>
    <col min="77" max="79" width="6" style="343" customWidth="1"/>
    <col min="80" max="82" width="8.33203125" style="343" customWidth="1"/>
    <col min="83" max="83" width="3.88671875" style="14" customWidth="1"/>
    <col min="84" max="16384" width="11.44140625" style="14"/>
  </cols>
  <sheetData>
    <row r="1" spans="1:83" s="202" customFormat="1" ht="13.8" thickBot="1">
      <c r="A1" s="14"/>
      <c r="B1" s="14"/>
      <c r="D1" s="16"/>
      <c r="I1" s="14"/>
      <c r="J1" s="14"/>
      <c r="K1" s="14"/>
      <c r="L1" s="14"/>
      <c r="M1" s="14"/>
      <c r="N1" s="14"/>
      <c r="O1" s="105"/>
      <c r="P1" s="300"/>
      <c r="Q1" s="14"/>
      <c r="AA1" s="300"/>
      <c r="AB1" s="14"/>
      <c r="AL1" s="300"/>
      <c r="AM1" s="14"/>
      <c r="AW1" s="300"/>
      <c r="AY1" s="300"/>
      <c r="BA1" s="343"/>
      <c r="BB1" s="343"/>
      <c r="BC1" s="343"/>
      <c r="BD1" s="343"/>
      <c r="BE1" s="343"/>
      <c r="BF1" s="343"/>
      <c r="BG1" s="343"/>
      <c r="BH1" s="343"/>
      <c r="BI1" s="343"/>
      <c r="BJ1" s="343"/>
      <c r="BK1" s="343"/>
      <c r="BL1" s="343"/>
      <c r="BM1" s="343"/>
      <c r="BN1" s="343"/>
      <c r="BO1" s="343"/>
      <c r="BP1" s="343"/>
      <c r="BQ1" s="343"/>
      <c r="BR1" s="343"/>
      <c r="BS1" s="343"/>
      <c r="BT1" s="343"/>
      <c r="BU1" s="343"/>
      <c r="BV1" s="343"/>
      <c r="BW1" s="343"/>
      <c r="BX1" s="343"/>
      <c r="BY1" s="343"/>
      <c r="BZ1" s="343"/>
      <c r="CA1" s="343"/>
      <c r="CB1" s="343"/>
      <c r="CC1" s="343"/>
      <c r="CD1" s="343"/>
      <c r="CE1" s="14"/>
    </row>
    <row r="2" spans="1:83" s="202" customFormat="1" ht="16.2" thickBot="1">
      <c r="A2" s="14"/>
      <c r="B2" s="14"/>
      <c r="D2" s="16"/>
      <c r="I2" s="14"/>
      <c r="J2" s="14"/>
      <c r="K2" s="14"/>
      <c r="L2" s="14"/>
      <c r="M2" s="14"/>
      <c r="N2" s="14"/>
      <c r="O2" s="105"/>
      <c r="P2" s="300"/>
      <c r="Q2" s="14"/>
      <c r="R2" s="423" t="s">
        <v>754</v>
      </c>
      <c r="S2" s="424"/>
      <c r="T2" s="424"/>
      <c r="U2" s="424"/>
      <c r="V2" s="424"/>
      <c r="W2" s="424"/>
      <c r="X2" s="424"/>
      <c r="Y2" s="425"/>
      <c r="AA2" s="300"/>
      <c r="AB2" s="14"/>
      <c r="AC2" s="423" t="s">
        <v>755</v>
      </c>
      <c r="AD2" s="424"/>
      <c r="AE2" s="424"/>
      <c r="AF2" s="424"/>
      <c r="AG2" s="424"/>
      <c r="AH2" s="424"/>
      <c r="AI2" s="424"/>
      <c r="AJ2" s="425"/>
      <c r="AL2" s="300"/>
      <c r="AM2" s="14"/>
      <c r="AN2" s="423" t="s">
        <v>757</v>
      </c>
      <c r="AO2" s="424"/>
      <c r="AP2" s="424"/>
      <c r="AQ2" s="424"/>
      <c r="AR2" s="424"/>
      <c r="AS2" s="424"/>
      <c r="AT2" s="424"/>
      <c r="AU2" s="425"/>
      <c r="AW2" s="300"/>
      <c r="AX2" s="221"/>
      <c r="AY2" s="300"/>
      <c r="BA2" s="343"/>
      <c r="BB2" s="343"/>
      <c r="BC2" s="343"/>
      <c r="BD2" s="343"/>
      <c r="BE2" s="343"/>
      <c r="BF2" s="343"/>
      <c r="BG2" s="343"/>
      <c r="BH2" s="343"/>
      <c r="BI2" s="343"/>
      <c r="BJ2" s="343"/>
      <c r="BK2" s="343"/>
      <c r="BL2" s="343"/>
      <c r="BM2" s="343"/>
      <c r="BN2" s="343"/>
      <c r="BO2" s="343"/>
      <c r="BP2" s="343"/>
      <c r="BQ2" s="343"/>
      <c r="BR2" s="343"/>
      <c r="BS2" s="343"/>
      <c r="BT2" s="343"/>
      <c r="BU2" s="343"/>
      <c r="BV2" s="343"/>
      <c r="BW2" s="343"/>
      <c r="BX2" s="343"/>
      <c r="BY2" s="343"/>
      <c r="BZ2" s="343"/>
      <c r="CA2" s="343"/>
      <c r="CB2" s="343"/>
      <c r="CC2" s="343"/>
      <c r="CD2" s="343"/>
      <c r="CE2" s="14"/>
    </row>
    <row r="3" spans="1:83" ht="97.8" thickTop="1" thickBot="1">
      <c r="A3" s="95" t="s">
        <v>238</v>
      </c>
      <c r="B3" s="95" t="s">
        <v>240</v>
      </c>
      <c r="C3" s="18" t="str">
        <f>BB3</f>
        <v>Abbrev. Name</v>
      </c>
      <c r="D3" s="18" t="str">
        <f>BD3</f>
        <v>DGºf
(kJ/mol)</v>
      </c>
      <c r="E3" s="102" t="str">
        <f>BT3</f>
        <v>Charge</v>
      </c>
      <c r="F3" s="18" t="str">
        <f>BU3</f>
        <v>Mmol
(g/mol)</v>
      </c>
      <c r="G3" s="102" t="str">
        <f>BV3</f>
        <v>Electrons per mole</v>
      </c>
      <c r="H3" s="102" t="str">
        <f>BW3</f>
        <v>Electrons
per C-mole/
or per mole</v>
      </c>
      <c r="J3" s="19" t="s">
        <v>236</v>
      </c>
      <c r="K3" s="19" t="s">
        <v>237</v>
      </c>
      <c r="L3" s="103" t="s">
        <v>397</v>
      </c>
      <c r="M3" s="20" t="s">
        <v>199</v>
      </c>
      <c r="N3" s="21" t="s">
        <v>198</v>
      </c>
      <c r="O3" s="106"/>
      <c r="P3" s="108"/>
      <c r="Q3" s="200" t="s">
        <v>756</v>
      </c>
      <c r="R3" s="176" t="s">
        <v>318</v>
      </c>
      <c r="S3" s="177" t="s">
        <v>319</v>
      </c>
      <c r="T3" s="178" t="s">
        <v>320</v>
      </c>
      <c r="U3" s="179" t="s">
        <v>334</v>
      </c>
      <c r="V3" s="177" t="s">
        <v>335</v>
      </c>
      <c r="W3" s="178" t="s">
        <v>188</v>
      </c>
      <c r="X3" s="179" t="s">
        <v>321</v>
      </c>
      <c r="Y3" s="184" t="s">
        <v>321</v>
      </c>
      <c r="Z3" s="137"/>
      <c r="AA3" s="108"/>
      <c r="AB3" s="200" t="s">
        <v>756</v>
      </c>
      <c r="AC3" s="176" t="s">
        <v>318</v>
      </c>
      <c r="AD3" s="177" t="s">
        <v>319</v>
      </c>
      <c r="AE3" s="178" t="s">
        <v>320</v>
      </c>
      <c r="AF3" s="179" t="s">
        <v>334</v>
      </c>
      <c r="AG3" s="177" t="s">
        <v>335</v>
      </c>
      <c r="AH3" s="178" t="s">
        <v>188</v>
      </c>
      <c r="AI3" s="179" t="s">
        <v>321</v>
      </c>
      <c r="AJ3" s="184" t="s">
        <v>321</v>
      </c>
      <c r="AK3" s="137"/>
      <c r="AL3" s="108"/>
      <c r="AM3" s="200" t="s">
        <v>756</v>
      </c>
      <c r="AN3" s="176" t="s">
        <v>318</v>
      </c>
      <c r="AO3" s="177" t="s">
        <v>319</v>
      </c>
      <c r="AP3" s="178" t="s">
        <v>320</v>
      </c>
      <c r="AQ3" s="179" t="s">
        <v>334</v>
      </c>
      <c r="AR3" s="177" t="s">
        <v>335</v>
      </c>
      <c r="AS3" s="178" t="s">
        <v>188</v>
      </c>
      <c r="AT3" s="179" t="s">
        <v>321</v>
      </c>
      <c r="AU3" s="184" t="s">
        <v>321</v>
      </c>
      <c r="AV3" s="137"/>
      <c r="AW3" s="108"/>
      <c r="AX3" s="222" t="s">
        <v>753</v>
      </c>
      <c r="AY3" s="108"/>
      <c r="BA3" s="344" t="str">
        <f>+MicroModelComponents!B3</f>
        <v>Name
(aquous phase unless other specified)</v>
      </c>
      <c r="BB3" s="344" t="str">
        <f>+MicroModelComponents!C3</f>
        <v>Abbrev. Name</v>
      </c>
      <c r="BC3" s="344" t="str">
        <f>+MicroModelComponents!D3</f>
        <v>Struct.</v>
      </c>
      <c r="BD3" s="344" t="str">
        <f>+MicroModelComponents!E3</f>
        <v>DGºf
(kJ/mol)</v>
      </c>
      <c r="BE3" s="344" t="str">
        <f>+MicroModelComponents!F3</f>
        <v>DHºf
(kJ/mol)</v>
      </c>
      <c r="BF3" s="344" t="str">
        <f>+MicroModelComponents!G3</f>
        <v>Sº
(J/mol K)</v>
      </c>
      <c r="BG3" s="344" t="str">
        <f>+MicroModelComponents!H3</f>
        <v>C</v>
      </c>
      <c r="BH3" s="344" t="str">
        <f>+MicroModelComponents!I3</f>
        <v>H</v>
      </c>
      <c r="BI3" s="344" t="str">
        <f>+MicroModelComponents!J3</f>
        <v>O</v>
      </c>
      <c r="BJ3" s="345" t="str">
        <f>+MicroModelComponents!K3</f>
        <v>N</v>
      </c>
      <c r="BK3" s="345" t="str">
        <f>+MicroModelComponents!L3</f>
        <v>P</v>
      </c>
      <c r="BL3" s="345" t="str">
        <f>+MicroModelComponents!M3</f>
        <v>S</v>
      </c>
      <c r="BM3" s="345" t="str">
        <f>+MicroModelComponents!N3</f>
        <v>Cl</v>
      </c>
      <c r="BN3" s="345" t="str">
        <f>+MicroModelComponents!O3</f>
        <v>Fe</v>
      </c>
      <c r="BO3" s="345" t="str">
        <f>+MicroModelComponents!P3</f>
        <v>Ad-</v>
      </c>
      <c r="BP3" s="345" t="str">
        <f>+MicroModelComponents!Q3</f>
        <v>SpGrO</v>
      </c>
      <c r="BQ3" s="345" t="str">
        <f>+MicroModelComponents!R3</f>
        <v>SpGrR</v>
      </c>
      <c r="BR3" s="345" t="str">
        <f>+MicroModelComponents!S3</f>
        <v xml:space="preserve"> -S-CoA </v>
      </c>
      <c r="BS3" s="345" t="str">
        <f>+MicroModelComponents!T3</f>
        <v>Met</v>
      </c>
      <c r="BT3" s="346" t="str">
        <f>+MicroModelComponents!U3</f>
        <v>Charge</v>
      </c>
      <c r="BU3" s="344" t="str">
        <f>+MicroModelComponents!V3</f>
        <v>Mmol
(g/mol)</v>
      </c>
      <c r="BV3" s="346" t="str">
        <f>+MicroModelComponents!W3</f>
        <v>Electrons per mole</v>
      </c>
      <c r="BW3" s="346" t="str">
        <f>+MicroModelComponents!X3</f>
        <v>Electrons
per C-mole/
or per mole</v>
      </c>
      <c r="BY3" s="347" t="str">
        <f>+MicroModelComponents!Z3</f>
        <v>pKaº3</v>
      </c>
      <c r="BZ3" s="347" t="str">
        <f>+MicroModelComponents!AA3</f>
        <v>pKaº2</v>
      </c>
      <c r="CA3" s="347" t="str">
        <f>+MicroModelComponents!AB3</f>
        <v>pKaº1</v>
      </c>
      <c r="CB3" s="347" t="str">
        <f>+MicroModelComponents!AC3</f>
        <v>Kaº3</v>
      </c>
      <c r="CC3" s="347" t="str">
        <f>+MicroModelComponents!AD3</f>
        <v>Kaº2</v>
      </c>
      <c r="CD3" s="347" t="str">
        <f>+MicroModelComponents!AE3</f>
        <v>Kaº1</v>
      </c>
      <c r="CE3" s="40"/>
    </row>
    <row r="4" spans="1:83" ht="15" customHeight="1" thickTop="1">
      <c r="A4" s="91" t="s">
        <v>239</v>
      </c>
      <c r="B4" s="91" t="s">
        <v>241</v>
      </c>
      <c r="C4" s="1" t="str">
        <f>MicroModelComponents!C4</f>
        <v>Glu</v>
      </c>
      <c r="D4" s="1">
        <f>MicroModelComponents!E4</f>
        <v>-917.22</v>
      </c>
      <c r="E4" s="1">
        <f>MicroModelComponents!U4</f>
        <v>0</v>
      </c>
      <c r="F4" s="1">
        <f>MicroModelComponents!V4</f>
        <v>180</v>
      </c>
      <c r="G4" s="1">
        <f>MicroModelComponents!W4</f>
        <v>24</v>
      </c>
      <c r="H4" s="301">
        <f>MicroModelComponents!X4</f>
        <v>4</v>
      </c>
      <c r="J4" s="87" t="s">
        <v>189</v>
      </c>
      <c r="K4" s="87" t="s">
        <v>189</v>
      </c>
      <c r="L4" s="43">
        <v>0.01</v>
      </c>
      <c r="M4" s="13">
        <v>0</v>
      </c>
      <c r="N4" s="13">
        <f t="shared" ref="N4:N22" si="0">D4+$C$27*$C$28*LN($L4)+E4*$C$26*M4</f>
        <v>-928.62964070803889</v>
      </c>
      <c r="O4" s="105"/>
      <c r="P4" s="108"/>
      <c r="Q4" s="14">
        <f t="shared" ref="Q4:Q22" si="1">+IF(Z4="S",1,0)</f>
        <v>0</v>
      </c>
      <c r="R4" s="173">
        <v>0</v>
      </c>
      <c r="S4" s="174">
        <v>0.16666666666666666</v>
      </c>
      <c r="T4" s="175">
        <f t="shared" ref="T4:T22" si="2">+R4*R$25+S4*S$25</f>
        <v>8.3333333333333329E-2</v>
      </c>
      <c r="U4" s="173">
        <v>0</v>
      </c>
      <c r="V4" s="219">
        <f t="shared" ref="V4:V22" si="3">+IF(U$24*R$24&lt;=0,R4,S4)</f>
        <v>0</v>
      </c>
      <c r="W4" s="175">
        <f t="shared" ref="W4:W22" si="4">+U4*U$25+V4*V$25</f>
        <v>0</v>
      </c>
      <c r="X4" s="181">
        <f t="shared" ref="X4:X22" si="5">+T$25*T4+W$25*W4</f>
        <v>0</v>
      </c>
      <c r="Y4" s="319">
        <f>-X4/X$7</f>
        <v>0</v>
      </c>
      <c r="Z4" s="28"/>
      <c r="AA4" s="108"/>
      <c r="AB4" s="14">
        <f>+IF(AK4="S",1,0)</f>
        <v>0</v>
      </c>
      <c r="AC4" s="173">
        <v>0</v>
      </c>
      <c r="AD4" s="174">
        <v>0.16666666666666666</v>
      </c>
      <c r="AE4" s="175">
        <f t="shared" ref="AE4:AE22" si="6">+AC4*AC$25+AD4*AD$25</f>
        <v>8.3333333333333329E-2</v>
      </c>
      <c r="AF4" s="173">
        <v>0</v>
      </c>
      <c r="AG4" s="219">
        <f t="shared" ref="AG4:AG22" si="7">+IF(AF$24*AC$24&lt;=0,AC4,AD4)</f>
        <v>0</v>
      </c>
      <c r="AH4" s="175">
        <f t="shared" ref="AH4:AH22" si="8">+AF4*AF$25+AG4*AG$25</f>
        <v>0</v>
      </c>
      <c r="AI4" s="181">
        <f t="shared" ref="AI4:AI22" si="9">+AE$25*AE4+AH$25*AH4</f>
        <v>0</v>
      </c>
      <c r="AJ4" s="319">
        <f t="shared" ref="AJ4:AJ22" si="10">-AI4/SUMPRODUCT(AB$4:AB$24,AI$4:AI$24)</f>
        <v>0</v>
      </c>
      <c r="AK4" s="28"/>
      <c r="AL4" s="108"/>
      <c r="AM4" s="14">
        <f>+IF(AV4="S",1,0)</f>
        <v>0</v>
      </c>
      <c r="AN4" s="173">
        <v>0</v>
      </c>
      <c r="AO4" s="174">
        <v>0.16666666666666666</v>
      </c>
      <c r="AP4" s="175">
        <f t="shared" ref="AP4:AP22" si="11">+AN4*AN$25+AO4*AO$25</f>
        <v>8.3333333333333329E-2</v>
      </c>
      <c r="AQ4" s="173">
        <v>0</v>
      </c>
      <c r="AR4" s="219">
        <f t="shared" ref="AR4:AR22" si="12">+IF(AQ$24*AN$24&lt;=0,AN4,AO4)</f>
        <v>0</v>
      </c>
      <c r="AS4" s="175">
        <f t="shared" ref="AS4:AS22" si="13">+AQ4*AQ$25+AR4*AR$25</f>
        <v>0</v>
      </c>
      <c r="AT4" s="181">
        <f t="shared" ref="AT4:AT22" si="14">+AP$25*AP4+AS$25*AS4</f>
        <v>0</v>
      </c>
      <c r="AU4" s="319">
        <f t="shared" ref="AU4:AU22" si="15">-AT4/SUMPRODUCT(AM$4:AM$24,AT$4:AT$24)</f>
        <v>0</v>
      </c>
      <c r="AV4" s="28"/>
      <c r="AW4" s="108"/>
      <c r="AX4" s="173">
        <v>0</v>
      </c>
      <c r="AY4" s="108"/>
      <c r="BA4" s="348" t="str">
        <f>+MicroModelComponents!B4</f>
        <v>Glucose</v>
      </c>
      <c r="BB4" s="349" t="str">
        <f>+MicroModelComponents!C4</f>
        <v>Glu</v>
      </c>
      <c r="BC4" s="349" t="str">
        <f>+MicroModelComponents!D4</f>
        <v>C6H12O6</v>
      </c>
      <c r="BD4" s="349">
        <f>+MicroModelComponents!E4</f>
        <v>-917.22</v>
      </c>
      <c r="BE4" s="349">
        <f>+MicroModelComponents!F4</f>
        <v>-1264</v>
      </c>
      <c r="BF4" s="349" t="str">
        <f>+MicroModelComponents!G4</f>
        <v>NA</v>
      </c>
      <c r="BG4" s="349">
        <f>+MicroModelComponents!H4</f>
        <v>6</v>
      </c>
      <c r="BH4" s="349">
        <f>+MicroModelComponents!I4</f>
        <v>12</v>
      </c>
      <c r="BI4" s="349">
        <f>+MicroModelComponents!J4</f>
        <v>6</v>
      </c>
      <c r="BJ4" s="349">
        <f>+MicroModelComponents!K4</f>
        <v>0</v>
      </c>
      <c r="BK4" s="349">
        <f>+MicroModelComponents!L4</f>
        <v>0</v>
      </c>
      <c r="BL4" s="349">
        <f>+MicroModelComponents!M4</f>
        <v>0</v>
      </c>
      <c r="BM4" s="349">
        <f>+MicroModelComponents!N4</f>
        <v>0</v>
      </c>
      <c r="BN4" s="349">
        <f>+MicroModelComponents!O4</f>
        <v>0</v>
      </c>
      <c r="BO4" s="349">
        <f>+MicroModelComponents!P4</f>
        <v>0</v>
      </c>
      <c r="BP4" s="349">
        <f>+MicroModelComponents!Q4</f>
        <v>0</v>
      </c>
      <c r="BQ4" s="349">
        <f>+MicroModelComponents!R4</f>
        <v>0</v>
      </c>
      <c r="BR4" s="349">
        <f>+MicroModelComponents!S4</f>
        <v>0</v>
      </c>
      <c r="BS4" s="349">
        <f>+MicroModelComponents!T4</f>
        <v>0</v>
      </c>
      <c r="BT4" s="349">
        <f>+MicroModelComponents!U4</f>
        <v>0</v>
      </c>
      <c r="BU4" s="349">
        <f>+MicroModelComponents!V4</f>
        <v>180</v>
      </c>
      <c r="BV4" s="349">
        <f>+MicroModelComponents!W4</f>
        <v>24</v>
      </c>
      <c r="BW4" s="301">
        <f>+MicroModelComponents!X4</f>
        <v>4</v>
      </c>
      <c r="BY4" s="54" t="str">
        <f>+MicroModelComponents!Z4</f>
        <v>NA</v>
      </c>
      <c r="BZ4" s="54" t="str">
        <f>+MicroModelComponents!AA4</f>
        <v>NA</v>
      </c>
      <c r="CA4" s="54" t="str">
        <f>+MicroModelComponents!AB4</f>
        <v>NA</v>
      </c>
      <c r="CB4" s="54" t="str">
        <f>+MicroModelComponents!AC4</f>
        <v>NA</v>
      </c>
      <c r="CC4" s="54" t="str">
        <f>+MicroModelComponents!AD4</f>
        <v>NA</v>
      </c>
      <c r="CD4" s="54" t="str">
        <f>+MicroModelComponents!AE4</f>
        <v>NA</v>
      </c>
    </row>
    <row r="5" spans="1:83" ht="15" customHeight="1">
      <c r="A5" s="91" t="s">
        <v>239</v>
      </c>
      <c r="B5" s="91" t="s">
        <v>241</v>
      </c>
      <c r="C5" s="1" t="str">
        <f>MicroModelComponents!C5</f>
        <v>Ac-</v>
      </c>
      <c r="D5" s="1">
        <f>MicroModelComponents!E5</f>
        <v>-369.41</v>
      </c>
      <c r="E5" s="1">
        <f>MicroModelComponents!U5</f>
        <v>-1</v>
      </c>
      <c r="F5" s="1">
        <f>MicroModelComponents!V5</f>
        <v>59</v>
      </c>
      <c r="G5" s="1">
        <f>MicroModelComponents!W5</f>
        <v>8</v>
      </c>
      <c r="H5" s="301">
        <f>MicroModelComponents!X5</f>
        <v>4</v>
      </c>
      <c r="J5" s="87" t="s">
        <v>189</v>
      </c>
      <c r="K5" s="43">
        <v>0.01</v>
      </c>
      <c r="L5" s="55">
        <f>CD5*K5/(CD5+$L$21)</f>
        <v>9.941974689009021E-3</v>
      </c>
      <c r="M5" s="13">
        <v>0</v>
      </c>
      <c r="N5" s="13">
        <f t="shared" si="0"/>
        <v>-380.83405876781097</v>
      </c>
      <c r="O5" s="105"/>
      <c r="P5" s="108"/>
      <c r="Q5" s="14">
        <f t="shared" si="1"/>
        <v>0</v>
      </c>
      <c r="R5" s="164">
        <v>0</v>
      </c>
      <c r="S5" s="165">
        <v>0</v>
      </c>
      <c r="T5" s="140">
        <f t="shared" si="2"/>
        <v>0</v>
      </c>
      <c r="U5" s="164">
        <v>0</v>
      </c>
      <c r="V5" s="12">
        <f t="shared" si="3"/>
        <v>0</v>
      </c>
      <c r="W5" s="140">
        <f t="shared" si="4"/>
        <v>0</v>
      </c>
      <c r="X5" s="139">
        <f t="shared" si="5"/>
        <v>0</v>
      </c>
      <c r="Y5" s="320">
        <f t="shared" ref="Y5:Y24" si="16">-X5/X$7</f>
        <v>0</v>
      </c>
      <c r="Z5" s="183"/>
      <c r="AA5" s="108"/>
      <c r="AB5" s="14">
        <f t="shared" ref="AB5:AB24" si="17">+IF(AK5="S",1,0)</f>
        <v>0</v>
      </c>
      <c r="AC5" s="164">
        <v>0</v>
      </c>
      <c r="AD5" s="165">
        <v>0</v>
      </c>
      <c r="AE5" s="140">
        <f t="shared" si="6"/>
        <v>0</v>
      </c>
      <c r="AF5" s="164">
        <v>0</v>
      </c>
      <c r="AG5" s="12">
        <f t="shared" si="7"/>
        <v>0</v>
      </c>
      <c r="AH5" s="140">
        <f t="shared" si="8"/>
        <v>0</v>
      </c>
      <c r="AI5" s="139">
        <f t="shared" si="9"/>
        <v>0</v>
      </c>
      <c r="AJ5" s="320">
        <f t="shared" si="10"/>
        <v>0</v>
      </c>
      <c r="AK5" s="183"/>
      <c r="AL5" s="108"/>
      <c r="AM5" s="14">
        <f t="shared" ref="AM5:AM24" si="18">+IF(AV5="S",1,0)</f>
        <v>0</v>
      </c>
      <c r="AN5" s="164">
        <v>0</v>
      </c>
      <c r="AO5" s="165">
        <v>0</v>
      </c>
      <c r="AP5" s="140">
        <f t="shared" si="11"/>
        <v>0</v>
      </c>
      <c r="AQ5" s="164">
        <v>0</v>
      </c>
      <c r="AR5" s="12">
        <f t="shared" si="12"/>
        <v>0</v>
      </c>
      <c r="AS5" s="140">
        <f t="shared" si="13"/>
        <v>0</v>
      </c>
      <c r="AT5" s="139">
        <f t="shared" si="14"/>
        <v>0</v>
      </c>
      <c r="AU5" s="320">
        <f t="shared" si="15"/>
        <v>0</v>
      </c>
      <c r="AV5" s="183"/>
      <c r="AW5" s="108"/>
      <c r="AX5" s="164">
        <v>0</v>
      </c>
      <c r="AY5" s="108"/>
      <c r="BA5" s="348" t="str">
        <f>+MicroModelComponents!B5</f>
        <v>Acetate</v>
      </c>
      <c r="BB5" s="349" t="str">
        <f>+MicroModelComponents!C5</f>
        <v>Ac-</v>
      </c>
      <c r="BC5" s="349" t="str">
        <f>+MicroModelComponents!D5</f>
        <v>C2H3O2-</v>
      </c>
      <c r="BD5" s="349">
        <f>+MicroModelComponents!E5</f>
        <v>-369.41</v>
      </c>
      <c r="BE5" s="349">
        <f>+MicroModelComponents!F5</f>
        <v>-486</v>
      </c>
      <c r="BF5" s="349">
        <f>+MicroModelComponents!G5</f>
        <v>86.6</v>
      </c>
      <c r="BG5" s="349">
        <f>+MicroModelComponents!H5</f>
        <v>2</v>
      </c>
      <c r="BH5" s="349">
        <f>+MicroModelComponents!I5</f>
        <v>3</v>
      </c>
      <c r="BI5" s="349">
        <f>+MicroModelComponents!J5</f>
        <v>2</v>
      </c>
      <c r="BJ5" s="349">
        <f>+MicroModelComponents!K5</f>
        <v>0</v>
      </c>
      <c r="BK5" s="349">
        <f>+MicroModelComponents!L5</f>
        <v>0</v>
      </c>
      <c r="BL5" s="349">
        <f>+MicroModelComponents!M5</f>
        <v>0</v>
      </c>
      <c r="BM5" s="349">
        <f>+MicroModelComponents!N5</f>
        <v>0</v>
      </c>
      <c r="BN5" s="349">
        <f>+MicroModelComponents!O5</f>
        <v>0</v>
      </c>
      <c r="BO5" s="349">
        <f>+MicroModelComponents!P5</f>
        <v>0</v>
      </c>
      <c r="BP5" s="349">
        <f>+MicroModelComponents!Q5</f>
        <v>0</v>
      </c>
      <c r="BQ5" s="349">
        <f>+MicroModelComponents!R5</f>
        <v>0</v>
      </c>
      <c r="BR5" s="349">
        <f>+MicroModelComponents!S5</f>
        <v>0</v>
      </c>
      <c r="BS5" s="349">
        <f>+MicroModelComponents!T5</f>
        <v>0</v>
      </c>
      <c r="BT5" s="349">
        <f>+MicroModelComponents!U5</f>
        <v>-1</v>
      </c>
      <c r="BU5" s="349">
        <f>+MicroModelComponents!V5</f>
        <v>59</v>
      </c>
      <c r="BV5" s="349">
        <f>+MicroModelComponents!W5</f>
        <v>8</v>
      </c>
      <c r="BW5" s="301">
        <f>+MicroModelComponents!X5</f>
        <v>4</v>
      </c>
      <c r="BY5" s="54" t="str">
        <f>+MicroModelComponents!Z5</f>
        <v>NA</v>
      </c>
      <c r="BZ5" s="54" t="str">
        <f>+MicroModelComponents!AA5</f>
        <v>NA</v>
      </c>
      <c r="CA5" s="54">
        <f>+MicroModelComponents!AB5</f>
        <v>4.7661448236214392</v>
      </c>
      <c r="CB5" s="54">
        <f>+MicroModelComponents!AC5</f>
        <v>0</v>
      </c>
      <c r="CC5" s="54">
        <f>+MicroModelComponents!AD5</f>
        <v>0</v>
      </c>
      <c r="CD5" s="54">
        <f>+MicroModelComponents!AE5</f>
        <v>1.7133858516595603E-5</v>
      </c>
      <c r="CE5" s="89"/>
    </row>
    <row r="6" spans="1:83" ht="15" customHeight="1">
      <c r="A6" s="91" t="s">
        <v>239</v>
      </c>
      <c r="B6" s="91" t="s">
        <v>241</v>
      </c>
      <c r="C6" s="1" t="str">
        <f>MicroModelComponents!C6</f>
        <v>CH4</v>
      </c>
      <c r="D6" s="1">
        <f>MicroModelComponents!E6</f>
        <v>-34.4</v>
      </c>
      <c r="E6" s="1">
        <f>MicroModelComponents!U6</f>
        <v>0</v>
      </c>
      <c r="F6" s="1">
        <f>MicroModelComponents!V6</f>
        <v>16</v>
      </c>
      <c r="G6" s="1">
        <f>MicroModelComponents!W6</f>
        <v>8</v>
      </c>
      <c r="H6" s="301">
        <f>MicroModelComponents!X6</f>
        <v>8</v>
      </c>
      <c r="I6" s="138"/>
      <c r="J6" s="87" t="s">
        <v>189</v>
      </c>
      <c r="K6" s="87" t="s">
        <v>189</v>
      </c>
      <c r="L6" s="43">
        <v>1E-3</v>
      </c>
      <c r="M6" s="13">
        <v>0</v>
      </c>
      <c r="N6" s="13">
        <f t="shared" si="0"/>
        <v>-51.514461062058331</v>
      </c>
      <c r="O6" s="105"/>
      <c r="P6" s="108"/>
      <c r="Q6" s="14">
        <f t="shared" si="1"/>
        <v>0</v>
      </c>
      <c r="R6" s="164">
        <v>0</v>
      </c>
      <c r="S6" s="165">
        <v>0</v>
      </c>
      <c r="T6" s="140">
        <f t="shared" si="2"/>
        <v>0</v>
      </c>
      <c r="U6" s="164">
        <v>0</v>
      </c>
      <c r="V6" s="12">
        <f t="shared" si="3"/>
        <v>0</v>
      </c>
      <c r="W6" s="140">
        <f t="shared" si="4"/>
        <v>0</v>
      </c>
      <c r="X6" s="139">
        <f t="shared" si="5"/>
        <v>0</v>
      </c>
      <c r="Y6" s="320">
        <f t="shared" si="16"/>
        <v>0</v>
      </c>
      <c r="Z6" s="22"/>
      <c r="AA6" s="108"/>
      <c r="AB6" s="14">
        <f t="shared" si="17"/>
        <v>0</v>
      </c>
      <c r="AC6" s="164">
        <v>0</v>
      </c>
      <c r="AD6" s="165">
        <v>0</v>
      </c>
      <c r="AE6" s="140">
        <f t="shared" si="6"/>
        <v>0</v>
      </c>
      <c r="AF6" s="164">
        <v>0</v>
      </c>
      <c r="AG6" s="12">
        <f t="shared" si="7"/>
        <v>0</v>
      </c>
      <c r="AH6" s="140">
        <f t="shared" si="8"/>
        <v>0</v>
      </c>
      <c r="AI6" s="139">
        <f t="shared" si="9"/>
        <v>0</v>
      </c>
      <c r="AJ6" s="320">
        <f t="shared" si="10"/>
        <v>0</v>
      </c>
      <c r="AK6" s="22"/>
      <c r="AL6" s="108"/>
      <c r="AM6" s="14">
        <f t="shared" si="18"/>
        <v>0</v>
      </c>
      <c r="AN6" s="164">
        <v>0</v>
      </c>
      <c r="AO6" s="165">
        <v>0</v>
      </c>
      <c r="AP6" s="140">
        <f t="shared" si="11"/>
        <v>0</v>
      </c>
      <c r="AQ6" s="164">
        <v>0</v>
      </c>
      <c r="AR6" s="12">
        <f t="shared" si="12"/>
        <v>0</v>
      </c>
      <c r="AS6" s="140">
        <f t="shared" si="13"/>
        <v>0</v>
      </c>
      <c r="AT6" s="139">
        <f t="shared" si="14"/>
        <v>0</v>
      </c>
      <c r="AU6" s="320">
        <f t="shared" si="15"/>
        <v>0</v>
      </c>
      <c r="AV6" s="22"/>
      <c r="AW6" s="108"/>
      <c r="AX6" s="164">
        <v>0</v>
      </c>
      <c r="AY6" s="108"/>
      <c r="BA6" s="348" t="str">
        <f>+MicroModelComponents!B6</f>
        <v>Methane</v>
      </c>
      <c r="BB6" s="349" t="str">
        <f>+MicroModelComponents!C6</f>
        <v>CH4</v>
      </c>
      <c r="BC6" s="349" t="str">
        <f>+MicroModelComponents!D6</f>
        <v>CH4</v>
      </c>
      <c r="BD6" s="349">
        <f>+MicroModelComponents!E6</f>
        <v>-34.4</v>
      </c>
      <c r="BE6" s="349">
        <f>+MicroModelComponents!F6</f>
        <v>-89</v>
      </c>
      <c r="BF6" s="349">
        <f>+MicroModelComponents!G6</f>
        <v>83.7</v>
      </c>
      <c r="BG6" s="349">
        <f>+MicroModelComponents!H6</f>
        <v>1</v>
      </c>
      <c r="BH6" s="349">
        <f>+MicroModelComponents!I6</f>
        <v>4</v>
      </c>
      <c r="BI6" s="349">
        <f>+MicroModelComponents!J6</f>
        <v>0</v>
      </c>
      <c r="BJ6" s="349">
        <f>+MicroModelComponents!K6</f>
        <v>0</v>
      </c>
      <c r="BK6" s="349">
        <f>+MicroModelComponents!L6</f>
        <v>0</v>
      </c>
      <c r="BL6" s="349">
        <f>+MicroModelComponents!M6</f>
        <v>0</v>
      </c>
      <c r="BM6" s="349">
        <f>+MicroModelComponents!N6</f>
        <v>0</v>
      </c>
      <c r="BN6" s="349">
        <f>+MicroModelComponents!O6</f>
        <v>0</v>
      </c>
      <c r="BO6" s="349">
        <f>+MicroModelComponents!P6</f>
        <v>0</v>
      </c>
      <c r="BP6" s="349">
        <f>+MicroModelComponents!Q6</f>
        <v>0</v>
      </c>
      <c r="BQ6" s="349">
        <f>+MicroModelComponents!R6</f>
        <v>0</v>
      </c>
      <c r="BR6" s="349">
        <f>+MicroModelComponents!S6</f>
        <v>0</v>
      </c>
      <c r="BS6" s="349">
        <f>+MicroModelComponents!T6</f>
        <v>0</v>
      </c>
      <c r="BT6" s="349">
        <f>+MicroModelComponents!U6</f>
        <v>0</v>
      </c>
      <c r="BU6" s="349">
        <f>+MicroModelComponents!V6</f>
        <v>16</v>
      </c>
      <c r="BV6" s="349">
        <f>+MicroModelComponents!W6</f>
        <v>8</v>
      </c>
      <c r="BW6" s="301">
        <f>+MicroModelComponents!X6</f>
        <v>8</v>
      </c>
      <c r="BY6" s="54" t="str">
        <f>+MicroModelComponents!Z6</f>
        <v>NA</v>
      </c>
      <c r="BZ6" s="54" t="str">
        <f>+MicroModelComponents!AA6</f>
        <v>NA</v>
      </c>
      <c r="CA6" s="54" t="str">
        <f>+MicroModelComponents!AB6</f>
        <v>NA</v>
      </c>
      <c r="CB6" s="54" t="str">
        <f>+MicroModelComponents!AC6</f>
        <v>NA</v>
      </c>
      <c r="CC6" s="54" t="str">
        <f>+MicroModelComponents!AD6</f>
        <v>NA</v>
      </c>
      <c r="CD6" s="54" t="str">
        <f>+MicroModelComponents!AE6</f>
        <v>NA</v>
      </c>
    </row>
    <row r="7" spans="1:83" ht="15" customHeight="1">
      <c r="A7" s="91" t="s">
        <v>239</v>
      </c>
      <c r="B7" s="91" t="s">
        <v>241</v>
      </c>
      <c r="C7" s="14" t="str">
        <f>MicroModelComponents!C7</f>
        <v>CO2</v>
      </c>
      <c r="D7" s="1">
        <f>MicroModelComponents!E7</f>
        <v>-386</v>
      </c>
      <c r="E7" s="1">
        <f>MicroModelComponents!U7</f>
        <v>0</v>
      </c>
      <c r="F7" s="1">
        <f>MicroModelComponents!V7</f>
        <v>44</v>
      </c>
      <c r="G7" s="1">
        <f>MicroModelComponents!W7</f>
        <v>0</v>
      </c>
      <c r="H7" s="301">
        <f>MicroModelComponents!X7</f>
        <v>0</v>
      </c>
      <c r="J7" s="87" t="s">
        <v>189</v>
      </c>
      <c r="K7" s="43">
        <v>0.01</v>
      </c>
      <c r="L7" s="55">
        <f>K7*$L$21^2/(CD7*CC7+CD7*$L$21+$L$21^2)</f>
        <v>1.8615628172918292E-3</v>
      </c>
      <c r="M7" s="13">
        <v>0</v>
      </c>
      <c r="N7" s="13">
        <f t="shared" si="0"/>
        <v>-401.57485728995266</v>
      </c>
      <c r="O7" s="105"/>
      <c r="P7" s="108"/>
      <c r="Q7" s="14">
        <f t="shared" si="1"/>
        <v>1</v>
      </c>
      <c r="R7" s="164">
        <v>0</v>
      </c>
      <c r="S7" s="165">
        <v>-1</v>
      </c>
      <c r="T7" s="140">
        <f t="shared" si="2"/>
        <v>-0.5</v>
      </c>
      <c r="U7" s="164">
        <v>-1</v>
      </c>
      <c r="V7" s="12">
        <f t="shared" si="3"/>
        <v>0</v>
      </c>
      <c r="W7" s="140">
        <f t="shared" si="4"/>
        <v>-1</v>
      </c>
      <c r="X7" s="139">
        <f t="shared" si="5"/>
        <v>-1</v>
      </c>
      <c r="Y7" s="320">
        <f t="shared" si="16"/>
        <v>-1</v>
      </c>
      <c r="Z7" s="180" t="s">
        <v>291</v>
      </c>
      <c r="AA7" s="108"/>
      <c r="AB7" s="14">
        <f t="shared" si="17"/>
        <v>1</v>
      </c>
      <c r="AC7" s="164">
        <v>0</v>
      </c>
      <c r="AD7" s="165">
        <v>-1</v>
      </c>
      <c r="AE7" s="140">
        <f t="shared" si="6"/>
        <v>-0.5</v>
      </c>
      <c r="AF7" s="164">
        <v>-1</v>
      </c>
      <c r="AG7" s="12">
        <f t="shared" si="7"/>
        <v>0</v>
      </c>
      <c r="AH7" s="140">
        <f t="shared" si="8"/>
        <v>-1</v>
      </c>
      <c r="AI7" s="139">
        <f t="shared" si="9"/>
        <v>-1</v>
      </c>
      <c r="AJ7" s="320">
        <f t="shared" si="10"/>
        <v>-1</v>
      </c>
      <c r="AK7" s="180" t="s">
        <v>291</v>
      </c>
      <c r="AL7" s="108"/>
      <c r="AM7" s="14">
        <f t="shared" si="18"/>
        <v>1</v>
      </c>
      <c r="AN7" s="164">
        <v>0</v>
      </c>
      <c r="AO7" s="165">
        <v>-1</v>
      </c>
      <c r="AP7" s="140">
        <f t="shared" si="11"/>
        <v>-0.5</v>
      </c>
      <c r="AQ7" s="164">
        <v>-1</v>
      </c>
      <c r="AR7" s="12">
        <f t="shared" si="12"/>
        <v>0</v>
      </c>
      <c r="AS7" s="140">
        <f t="shared" si="13"/>
        <v>-1</v>
      </c>
      <c r="AT7" s="139">
        <f t="shared" si="14"/>
        <v>-1</v>
      </c>
      <c r="AU7" s="320">
        <f t="shared" si="15"/>
        <v>-1</v>
      </c>
      <c r="AV7" s="180" t="s">
        <v>291</v>
      </c>
      <c r="AW7" s="108"/>
      <c r="AX7" s="164">
        <v>0</v>
      </c>
      <c r="AY7" s="108"/>
      <c r="BA7" s="348" t="str">
        <f>+MicroModelComponents!B7</f>
        <v>Carbon Dioxide</v>
      </c>
      <c r="BB7" s="349" t="str">
        <f>+MicroModelComponents!C7</f>
        <v>CO2</v>
      </c>
      <c r="BC7" s="349" t="str">
        <f>+MicroModelComponents!D7</f>
        <v>CO2</v>
      </c>
      <c r="BD7" s="349">
        <f>+MicroModelComponents!E7</f>
        <v>-386</v>
      </c>
      <c r="BE7" s="349">
        <f>+MicroModelComponents!F7</f>
        <v>-413.8</v>
      </c>
      <c r="BF7" s="349">
        <f>+MicroModelComponents!G7</f>
        <v>117.6</v>
      </c>
      <c r="BG7" s="349">
        <f>+MicroModelComponents!H7</f>
        <v>1</v>
      </c>
      <c r="BH7" s="349">
        <f>+MicroModelComponents!I7</f>
        <v>0</v>
      </c>
      <c r="BI7" s="349">
        <f>+MicroModelComponents!J7</f>
        <v>2</v>
      </c>
      <c r="BJ7" s="349">
        <f>+MicroModelComponents!K7</f>
        <v>0</v>
      </c>
      <c r="BK7" s="349">
        <f>+MicroModelComponents!L7</f>
        <v>0</v>
      </c>
      <c r="BL7" s="349">
        <f>+MicroModelComponents!M7</f>
        <v>0</v>
      </c>
      <c r="BM7" s="349">
        <f>+MicroModelComponents!N7</f>
        <v>0</v>
      </c>
      <c r="BN7" s="349">
        <f>+MicroModelComponents!O7</f>
        <v>0</v>
      </c>
      <c r="BO7" s="349">
        <f>+MicroModelComponents!P7</f>
        <v>0</v>
      </c>
      <c r="BP7" s="349">
        <f>+MicroModelComponents!Q7</f>
        <v>0</v>
      </c>
      <c r="BQ7" s="349">
        <f>+MicroModelComponents!R7</f>
        <v>0</v>
      </c>
      <c r="BR7" s="349">
        <f>+MicroModelComponents!S7</f>
        <v>0</v>
      </c>
      <c r="BS7" s="349">
        <f>+MicroModelComponents!T7</f>
        <v>0</v>
      </c>
      <c r="BT7" s="349">
        <f>+MicroModelComponents!U7</f>
        <v>0</v>
      </c>
      <c r="BU7" s="349">
        <f>+MicroModelComponents!V7</f>
        <v>44</v>
      </c>
      <c r="BV7" s="349">
        <f>+MicroModelComponents!W7</f>
        <v>0</v>
      </c>
      <c r="BW7" s="301">
        <f>+MicroModelComponents!X7</f>
        <v>0</v>
      </c>
      <c r="BY7" s="54" t="str">
        <f>+MicroModelComponents!Z7</f>
        <v>NA</v>
      </c>
      <c r="BZ7" s="54">
        <f>+MicroModelComponents!AA7</f>
        <v>10.342131099436003</v>
      </c>
      <c r="CA7" s="54">
        <f>+MicroModelComponents!AB7</f>
        <v>6.35953417436507</v>
      </c>
      <c r="CB7" s="54">
        <f>+MicroModelComponents!AC7</f>
        <v>0</v>
      </c>
      <c r="CC7" s="54">
        <f>+MicroModelComponents!AD7</f>
        <v>4.5485073472119088E-11</v>
      </c>
      <c r="CD7" s="54">
        <f>+MicroModelComponents!AE7</f>
        <v>4.3698429169312641E-7</v>
      </c>
      <c r="CE7" s="89"/>
    </row>
    <row r="8" spans="1:83" ht="15" customHeight="1">
      <c r="A8" s="91" t="s">
        <v>239</v>
      </c>
      <c r="B8" s="91" t="s">
        <v>241</v>
      </c>
      <c r="C8" s="1" t="str">
        <f>MicroModelComponents!C8</f>
        <v>H2</v>
      </c>
      <c r="D8" s="1">
        <f>MicroModelComponents!E8</f>
        <v>17.55</v>
      </c>
      <c r="E8" s="1">
        <f>MicroModelComponents!U8</f>
        <v>0</v>
      </c>
      <c r="F8" s="1">
        <f>MicroModelComponents!V8</f>
        <v>2</v>
      </c>
      <c r="G8" s="1">
        <f>MicroModelComponents!W8</f>
        <v>2</v>
      </c>
      <c r="H8" s="301">
        <f>MicroModelComponents!X8</f>
        <v>2</v>
      </c>
      <c r="J8" s="43">
        <v>0.01</v>
      </c>
      <c r="K8" s="87" t="s">
        <v>189</v>
      </c>
      <c r="L8" s="55">
        <f>EXP(-D8/($C$27*$C$28))*J8</f>
        <v>8.3879189202260627E-6</v>
      </c>
      <c r="M8" s="13">
        <v>0</v>
      </c>
      <c r="N8" s="13">
        <f t="shared" si="0"/>
        <v>-11.409640708038889</v>
      </c>
      <c r="O8" s="105"/>
      <c r="P8" s="108"/>
      <c r="Q8" s="14">
        <f t="shared" si="1"/>
        <v>0</v>
      </c>
      <c r="R8" s="164">
        <v>0</v>
      </c>
      <c r="S8" s="165">
        <v>0</v>
      </c>
      <c r="T8" s="140">
        <f t="shared" si="2"/>
        <v>0</v>
      </c>
      <c r="U8" s="164">
        <v>0</v>
      </c>
      <c r="V8" s="12">
        <f t="shared" si="3"/>
        <v>0</v>
      </c>
      <c r="W8" s="140">
        <f t="shared" si="4"/>
        <v>0</v>
      </c>
      <c r="X8" s="139">
        <f t="shared" si="5"/>
        <v>0</v>
      </c>
      <c r="Y8" s="320">
        <f t="shared" si="16"/>
        <v>0</v>
      </c>
      <c r="Z8" s="28"/>
      <c r="AA8" s="108"/>
      <c r="AB8" s="14">
        <f t="shared" si="17"/>
        <v>0</v>
      </c>
      <c r="AC8" s="164">
        <v>0</v>
      </c>
      <c r="AD8" s="165">
        <v>0</v>
      </c>
      <c r="AE8" s="140">
        <f t="shared" si="6"/>
        <v>0</v>
      </c>
      <c r="AF8" s="164">
        <v>0</v>
      </c>
      <c r="AG8" s="12">
        <f t="shared" si="7"/>
        <v>0</v>
      </c>
      <c r="AH8" s="140">
        <f t="shared" si="8"/>
        <v>0</v>
      </c>
      <c r="AI8" s="139">
        <f t="shared" si="9"/>
        <v>0</v>
      </c>
      <c r="AJ8" s="320">
        <f t="shared" si="10"/>
        <v>0</v>
      </c>
      <c r="AK8" s="28"/>
      <c r="AL8" s="108"/>
      <c r="AM8" s="14">
        <f t="shared" si="18"/>
        <v>0</v>
      </c>
      <c r="AN8" s="164">
        <v>-1</v>
      </c>
      <c r="AO8" s="165">
        <v>0</v>
      </c>
      <c r="AP8" s="140">
        <f t="shared" si="11"/>
        <v>-1</v>
      </c>
      <c r="AQ8" s="164">
        <v>0</v>
      </c>
      <c r="AR8" s="12">
        <f t="shared" si="12"/>
        <v>-1</v>
      </c>
      <c r="AS8" s="140">
        <f t="shared" si="13"/>
        <v>-2.3294999999999999</v>
      </c>
      <c r="AT8" s="139">
        <f t="shared" si="14"/>
        <v>-2.3294999999999999</v>
      </c>
      <c r="AU8" s="320">
        <f t="shared" si="15"/>
        <v>-2.3294999999999999</v>
      </c>
      <c r="AV8" s="22"/>
      <c r="AW8" s="108"/>
      <c r="AX8" s="164">
        <v>0</v>
      </c>
      <c r="AY8" s="108"/>
      <c r="BA8" s="348" t="str">
        <f>+MicroModelComponents!B8</f>
        <v>Hydrogen</v>
      </c>
      <c r="BB8" s="349" t="str">
        <f>+MicroModelComponents!C8</f>
        <v>H2</v>
      </c>
      <c r="BC8" s="349" t="str">
        <f>+MicroModelComponents!D8</f>
        <v>H2</v>
      </c>
      <c r="BD8" s="349">
        <f>+MicroModelComponents!E8</f>
        <v>17.55</v>
      </c>
      <c r="BE8" s="349">
        <f>+MicroModelComponents!F8</f>
        <v>-4.16</v>
      </c>
      <c r="BF8" s="349">
        <f>+MicroModelComponents!G8</f>
        <v>57.7</v>
      </c>
      <c r="BG8" s="349">
        <f>+MicroModelComponents!H8</f>
        <v>0</v>
      </c>
      <c r="BH8" s="349">
        <f>+MicroModelComponents!I8</f>
        <v>2</v>
      </c>
      <c r="BI8" s="349">
        <f>+MicroModelComponents!J8</f>
        <v>0</v>
      </c>
      <c r="BJ8" s="349">
        <f>+MicroModelComponents!K8</f>
        <v>0</v>
      </c>
      <c r="BK8" s="349">
        <f>+MicroModelComponents!L8</f>
        <v>0</v>
      </c>
      <c r="BL8" s="349">
        <f>+MicroModelComponents!M8</f>
        <v>0</v>
      </c>
      <c r="BM8" s="349">
        <f>+MicroModelComponents!N8</f>
        <v>0</v>
      </c>
      <c r="BN8" s="349">
        <f>+MicroModelComponents!O8</f>
        <v>0</v>
      </c>
      <c r="BO8" s="349">
        <f>+MicroModelComponents!P8</f>
        <v>0</v>
      </c>
      <c r="BP8" s="349">
        <f>+MicroModelComponents!Q8</f>
        <v>0</v>
      </c>
      <c r="BQ8" s="349">
        <f>+MicroModelComponents!R8</f>
        <v>0</v>
      </c>
      <c r="BR8" s="349">
        <f>+MicroModelComponents!S8</f>
        <v>0</v>
      </c>
      <c r="BS8" s="349">
        <f>+MicroModelComponents!T8</f>
        <v>0</v>
      </c>
      <c r="BT8" s="349">
        <f>+MicroModelComponents!U8</f>
        <v>0</v>
      </c>
      <c r="BU8" s="349">
        <f>+MicroModelComponents!V8</f>
        <v>2</v>
      </c>
      <c r="BV8" s="349">
        <f>+MicroModelComponents!W8</f>
        <v>2</v>
      </c>
      <c r="BW8" s="301">
        <f>+MicroModelComponents!X8</f>
        <v>2</v>
      </c>
      <c r="BY8" s="54" t="str">
        <f>+MicroModelComponents!Z8</f>
        <v>NA</v>
      </c>
      <c r="BZ8" s="54" t="str">
        <f>+MicroModelComponents!AA8</f>
        <v>NA</v>
      </c>
      <c r="CA8" s="54" t="str">
        <f>+MicroModelComponents!AB8</f>
        <v>NA</v>
      </c>
      <c r="CB8" s="54" t="str">
        <f>+MicroModelComponents!AC8</f>
        <v>NA</v>
      </c>
      <c r="CC8" s="54" t="str">
        <f>+MicroModelComponents!AD8</f>
        <v>NA</v>
      </c>
      <c r="CD8" s="54" t="str">
        <f>+MicroModelComponents!AE8</f>
        <v>NA</v>
      </c>
    </row>
    <row r="9" spans="1:83" ht="15" customHeight="1">
      <c r="A9" s="91" t="s">
        <v>239</v>
      </c>
      <c r="B9" s="91" t="s">
        <v>241</v>
      </c>
      <c r="C9" s="1" t="str">
        <f>MicroModelComponents!C9</f>
        <v>NH4+</v>
      </c>
      <c r="D9" s="1">
        <f>MicroModelComponents!E9</f>
        <v>-79.37</v>
      </c>
      <c r="E9" s="1">
        <f>MicroModelComponents!U9</f>
        <v>1</v>
      </c>
      <c r="F9" s="1">
        <f>MicroModelComponents!V9</f>
        <v>18</v>
      </c>
      <c r="G9" s="1">
        <f>MicroModelComponents!W9</f>
        <v>0</v>
      </c>
      <c r="H9" s="301">
        <f>MicroModelComponents!X9</f>
        <v>0</v>
      </c>
      <c r="J9" s="87" t="s">
        <v>189</v>
      </c>
      <c r="K9" s="43">
        <v>0.01</v>
      </c>
      <c r="L9" s="302">
        <f>K9-(CD9*K9/(CD9+$L$21))</f>
        <v>9.9440895669730637E-3</v>
      </c>
      <c r="M9" s="13">
        <v>0</v>
      </c>
      <c r="N9" s="13">
        <f t="shared" si="0"/>
        <v>-90.793531789482884</v>
      </c>
      <c r="O9" s="105"/>
      <c r="P9" s="108"/>
      <c r="Q9" s="14">
        <f t="shared" si="1"/>
        <v>0</v>
      </c>
      <c r="R9" s="164">
        <v>0</v>
      </c>
      <c r="S9" s="165">
        <v>0</v>
      </c>
      <c r="T9" s="140">
        <f t="shared" si="2"/>
        <v>0</v>
      </c>
      <c r="U9" s="164">
        <v>-0.153</v>
      </c>
      <c r="V9" s="12">
        <f t="shared" si="3"/>
        <v>0</v>
      </c>
      <c r="W9" s="140">
        <f t="shared" si="4"/>
        <v>-0.153</v>
      </c>
      <c r="X9" s="139">
        <f t="shared" si="5"/>
        <v>-0.153</v>
      </c>
      <c r="Y9" s="320">
        <f t="shared" si="16"/>
        <v>-0.153</v>
      </c>
      <c r="AA9" s="108"/>
      <c r="AB9" s="14">
        <f t="shared" si="17"/>
        <v>0</v>
      </c>
      <c r="AC9" s="164">
        <v>0</v>
      </c>
      <c r="AD9" s="165">
        <v>0</v>
      </c>
      <c r="AE9" s="140">
        <f t="shared" si="6"/>
        <v>0</v>
      </c>
      <c r="AF9" s="164">
        <v>0</v>
      </c>
      <c r="AG9" s="12">
        <f t="shared" si="7"/>
        <v>0</v>
      </c>
      <c r="AH9" s="140">
        <f t="shared" si="8"/>
        <v>0</v>
      </c>
      <c r="AI9" s="139">
        <f t="shared" si="9"/>
        <v>0</v>
      </c>
      <c r="AJ9" s="320">
        <f t="shared" si="10"/>
        <v>0</v>
      </c>
      <c r="AL9" s="108"/>
      <c r="AM9" s="14">
        <f t="shared" si="18"/>
        <v>0</v>
      </c>
      <c r="AN9" s="164">
        <v>0</v>
      </c>
      <c r="AO9" s="165">
        <v>0</v>
      </c>
      <c r="AP9" s="140">
        <f t="shared" si="11"/>
        <v>0</v>
      </c>
      <c r="AQ9" s="164">
        <v>0</v>
      </c>
      <c r="AR9" s="12">
        <f t="shared" si="12"/>
        <v>0</v>
      </c>
      <c r="AS9" s="140">
        <f t="shared" si="13"/>
        <v>0</v>
      </c>
      <c r="AT9" s="139">
        <f t="shared" si="14"/>
        <v>0</v>
      </c>
      <c r="AU9" s="320">
        <f t="shared" si="15"/>
        <v>0</v>
      </c>
      <c r="AW9" s="108"/>
      <c r="AX9" s="164">
        <v>0</v>
      </c>
      <c r="AY9" s="108"/>
      <c r="BA9" s="348" t="str">
        <f>+MicroModelComponents!B9</f>
        <v>Amonium</v>
      </c>
      <c r="BB9" s="349" t="str">
        <f>+MicroModelComponents!C9</f>
        <v>NH4+</v>
      </c>
      <c r="BC9" s="349" t="str">
        <f>+MicroModelComponents!D9</f>
        <v>NH4+</v>
      </c>
      <c r="BD9" s="349">
        <f>+MicroModelComponents!E9</f>
        <v>-79.37</v>
      </c>
      <c r="BE9" s="349">
        <f>+MicroModelComponents!F9</f>
        <v>-133.30000000000001</v>
      </c>
      <c r="BF9" s="349">
        <f>+MicroModelComponents!G9</f>
        <v>111.2</v>
      </c>
      <c r="BG9" s="349">
        <f>+MicroModelComponents!H9</f>
        <v>0</v>
      </c>
      <c r="BH9" s="349">
        <f>+MicroModelComponents!I9</f>
        <v>4</v>
      </c>
      <c r="BI9" s="349">
        <f>+MicroModelComponents!J9</f>
        <v>0</v>
      </c>
      <c r="BJ9" s="349">
        <f>+MicroModelComponents!K9</f>
        <v>1</v>
      </c>
      <c r="BK9" s="349">
        <f>+MicroModelComponents!L9</f>
        <v>0</v>
      </c>
      <c r="BL9" s="349">
        <f>+MicroModelComponents!M9</f>
        <v>0</v>
      </c>
      <c r="BM9" s="349">
        <f>+MicroModelComponents!N9</f>
        <v>0</v>
      </c>
      <c r="BN9" s="349">
        <f>+MicroModelComponents!O9</f>
        <v>0</v>
      </c>
      <c r="BO9" s="349">
        <f>+MicroModelComponents!P9</f>
        <v>0</v>
      </c>
      <c r="BP9" s="349">
        <f>+MicroModelComponents!Q9</f>
        <v>0</v>
      </c>
      <c r="BQ9" s="349">
        <f>+MicroModelComponents!R9</f>
        <v>0</v>
      </c>
      <c r="BR9" s="349">
        <f>+MicroModelComponents!S9</f>
        <v>0</v>
      </c>
      <c r="BS9" s="349">
        <f>+MicroModelComponents!T9</f>
        <v>0</v>
      </c>
      <c r="BT9" s="349">
        <f>+MicroModelComponents!U9</f>
        <v>1</v>
      </c>
      <c r="BU9" s="349">
        <f>+MicroModelComponents!V9</f>
        <v>18</v>
      </c>
      <c r="BV9" s="349">
        <f>+MicroModelComponents!W9</f>
        <v>0</v>
      </c>
      <c r="BW9" s="301">
        <f>+MicroModelComponents!X9</f>
        <v>0</v>
      </c>
      <c r="BY9" s="54" t="str">
        <f>+MicroModelComponents!Z9</f>
        <v>NA</v>
      </c>
      <c r="BZ9" s="54">
        <f>+MicroModelComponents!AA9</f>
        <v>0</v>
      </c>
      <c r="CA9" s="54">
        <f>+MicroModelComponents!AB9</f>
        <v>9.2500721714786085</v>
      </c>
      <c r="CB9" s="54">
        <f>+MicroModelComponents!AC9</f>
        <v>0</v>
      </c>
      <c r="CC9" s="54">
        <f>+MicroModelComponents!AD9</f>
        <v>0</v>
      </c>
      <c r="CD9" s="54">
        <f>+MicroModelComponents!AE9</f>
        <v>5.622478825274284E-10</v>
      </c>
      <c r="CE9" s="89"/>
    </row>
    <row r="10" spans="1:83" ht="15" customHeight="1">
      <c r="A10" s="91" t="s">
        <v>239</v>
      </c>
      <c r="B10" s="91" t="s">
        <v>241</v>
      </c>
      <c r="C10" s="1" t="str">
        <f>MicroModelComponents!C10</f>
        <v>NO2-</v>
      </c>
      <c r="D10" s="1">
        <f>MicroModelComponents!E10</f>
        <v>-32.200000000000003</v>
      </c>
      <c r="E10" s="1">
        <f>MicroModelComponents!U10</f>
        <v>-1</v>
      </c>
      <c r="F10" s="1">
        <f>MicroModelComponents!V10</f>
        <v>46</v>
      </c>
      <c r="G10" s="1">
        <f>MicroModelComponents!W10</f>
        <v>-6</v>
      </c>
      <c r="H10" s="301">
        <f>MicroModelComponents!X10</f>
        <v>-6</v>
      </c>
      <c r="I10" s="138"/>
      <c r="J10" s="87" t="s">
        <v>189</v>
      </c>
      <c r="K10" s="87" t="s">
        <v>189</v>
      </c>
      <c r="L10" s="43">
        <v>0.01</v>
      </c>
      <c r="M10" s="13">
        <v>0</v>
      </c>
      <c r="N10" s="13">
        <f t="shared" si="0"/>
        <v>-43.609640708038889</v>
      </c>
      <c r="O10" s="105"/>
      <c r="P10" s="108"/>
      <c r="Q10" s="14">
        <f t="shared" si="1"/>
        <v>0</v>
      </c>
      <c r="R10" s="164">
        <v>0</v>
      </c>
      <c r="S10" s="165">
        <v>0</v>
      </c>
      <c r="T10" s="140">
        <f t="shared" si="2"/>
        <v>0</v>
      </c>
      <c r="U10" s="164">
        <v>0</v>
      </c>
      <c r="V10" s="12">
        <f t="shared" si="3"/>
        <v>0</v>
      </c>
      <c r="W10" s="140">
        <f t="shared" si="4"/>
        <v>0</v>
      </c>
      <c r="X10" s="139">
        <f t="shared" si="5"/>
        <v>0</v>
      </c>
      <c r="Y10" s="320">
        <f t="shared" si="16"/>
        <v>0</v>
      </c>
      <c r="Z10" s="28"/>
      <c r="AA10" s="108"/>
      <c r="AB10" s="14">
        <f t="shared" si="17"/>
        <v>0</v>
      </c>
      <c r="AC10" s="164">
        <v>0</v>
      </c>
      <c r="AD10" s="165">
        <v>0</v>
      </c>
      <c r="AE10" s="140">
        <f t="shared" si="6"/>
        <v>0</v>
      </c>
      <c r="AF10" s="164">
        <v>0</v>
      </c>
      <c r="AG10" s="12">
        <f t="shared" si="7"/>
        <v>0</v>
      </c>
      <c r="AH10" s="140">
        <f t="shared" si="8"/>
        <v>0</v>
      </c>
      <c r="AI10" s="139">
        <f t="shared" si="9"/>
        <v>0</v>
      </c>
      <c r="AJ10" s="320">
        <f t="shared" si="10"/>
        <v>0</v>
      </c>
      <c r="AK10" s="28"/>
      <c r="AL10" s="108"/>
      <c r="AM10" s="14">
        <f t="shared" si="18"/>
        <v>0</v>
      </c>
      <c r="AN10" s="164">
        <v>0</v>
      </c>
      <c r="AO10" s="165">
        <v>0</v>
      </c>
      <c r="AP10" s="140">
        <f t="shared" si="11"/>
        <v>0</v>
      </c>
      <c r="AQ10" s="164">
        <v>0</v>
      </c>
      <c r="AR10" s="12">
        <f t="shared" si="12"/>
        <v>0</v>
      </c>
      <c r="AS10" s="140">
        <f t="shared" si="13"/>
        <v>0</v>
      </c>
      <c r="AT10" s="139">
        <f t="shared" si="14"/>
        <v>0</v>
      </c>
      <c r="AU10" s="320">
        <f t="shared" si="15"/>
        <v>0</v>
      </c>
      <c r="AV10" s="28"/>
      <c r="AW10" s="108"/>
      <c r="AX10" s="164">
        <v>0</v>
      </c>
      <c r="AY10" s="108"/>
      <c r="BA10" s="348" t="str">
        <f>+MicroModelComponents!B10</f>
        <v>Nitrite</v>
      </c>
      <c r="BB10" s="349" t="str">
        <f>+MicroModelComponents!C10</f>
        <v>NO2-</v>
      </c>
      <c r="BC10" s="349" t="str">
        <f>+MicroModelComponents!D10</f>
        <v>NO2-</v>
      </c>
      <c r="BD10" s="349">
        <f>+MicroModelComponents!E10</f>
        <v>-32.200000000000003</v>
      </c>
      <c r="BE10" s="349">
        <f>+MicroModelComponents!F10</f>
        <v>-104.6</v>
      </c>
      <c r="BF10" s="349">
        <f>+MicroModelComponents!G10</f>
        <v>123</v>
      </c>
      <c r="BG10" s="349">
        <f>+MicroModelComponents!H10</f>
        <v>0</v>
      </c>
      <c r="BH10" s="349">
        <f>+MicroModelComponents!I10</f>
        <v>0</v>
      </c>
      <c r="BI10" s="349">
        <f>+MicroModelComponents!J10</f>
        <v>2</v>
      </c>
      <c r="BJ10" s="349">
        <f>+MicroModelComponents!K10</f>
        <v>1</v>
      </c>
      <c r="BK10" s="349">
        <f>+MicroModelComponents!L10</f>
        <v>0</v>
      </c>
      <c r="BL10" s="349">
        <f>+MicroModelComponents!M10</f>
        <v>0</v>
      </c>
      <c r="BM10" s="349">
        <f>+MicroModelComponents!N10</f>
        <v>0</v>
      </c>
      <c r="BN10" s="349">
        <f>+MicroModelComponents!O10</f>
        <v>0</v>
      </c>
      <c r="BO10" s="349">
        <f>+MicroModelComponents!P10</f>
        <v>0</v>
      </c>
      <c r="BP10" s="349">
        <f>+MicroModelComponents!Q10</f>
        <v>0</v>
      </c>
      <c r="BQ10" s="349">
        <f>+MicroModelComponents!R10</f>
        <v>0</v>
      </c>
      <c r="BR10" s="349">
        <f>+MicroModelComponents!S10</f>
        <v>0</v>
      </c>
      <c r="BS10" s="349">
        <f>+MicroModelComponents!T10</f>
        <v>0</v>
      </c>
      <c r="BT10" s="349">
        <f>+MicroModelComponents!U10</f>
        <v>-1</v>
      </c>
      <c r="BU10" s="349">
        <f>+MicroModelComponents!V10</f>
        <v>46</v>
      </c>
      <c r="BV10" s="349">
        <f>+MicroModelComponents!W10</f>
        <v>-6</v>
      </c>
      <c r="BW10" s="301">
        <f>+MicroModelComponents!X10</f>
        <v>-6</v>
      </c>
      <c r="BY10" s="54">
        <f>+MicroModelComponents!Z10</f>
        <v>0</v>
      </c>
      <c r="BZ10" s="54">
        <f>+MicroModelComponents!AA10</f>
        <v>0</v>
      </c>
      <c r="CA10" s="54">
        <f>+MicroModelComponents!AB10</f>
        <v>0</v>
      </c>
      <c r="CB10" s="54">
        <f>+MicroModelComponents!AC10</f>
        <v>0</v>
      </c>
      <c r="CC10" s="54">
        <f>+MicroModelComponents!AD10</f>
        <v>0</v>
      </c>
      <c r="CD10" s="54">
        <f>+MicroModelComponents!AE10</f>
        <v>0</v>
      </c>
    </row>
    <row r="11" spans="1:83" ht="15" customHeight="1">
      <c r="A11" s="91" t="s">
        <v>239</v>
      </c>
      <c r="B11" s="91" t="s">
        <v>241</v>
      </c>
      <c r="C11" s="1" t="str">
        <f>MicroModelComponents!C11</f>
        <v>NO3-</v>
      </c>
      <c r="D11" s="1">
        <f>MicroModelComponents!E11</f>
        <v>-111.3</v>
      </c>
      <c r="E11" s="1">
        <f>MicroModelComponents!U11</f>
        <v>-1</v>
      </c>
      <c r="F11" s="1">
        <f>MicroModelComponents!V11</f>
        <v>62</v>
      </c>
      <c r="G11" s="1">
        <f>MicroModelComponents!W11</f>
        <v>-8</v>
      </c>
      <c r="H11" s="301">
        <f>MicroModelComponents!X11</f>
        <v>-8</v>
      </c>
      <c r="I11" s="138"/>
      <c r="J11" s="87" t="s">
        <v>189</v>
      </c>
      <c r="K11" s="87" t="s">
        <v>189</v>
      </c>
      <c r="L11" s="43">
        <v>0.01</v>
      </c>
      <c r="M11" s="13">
        <v>0</v>
      </c>
      <c r="N11" s="13">
        <f t="shared" si="0"/>
        <v>-122.70964070803888</v>
      </c>
      <c r="O11" s="105"/>
      <c r="P11" s="108"/>
      <c r="Q11" s="14">
        <f t="shared" si="1"/>
        <v>0</v>
      </c>
      <c r="R11" s="164">
        <v>0</v>
      </c>
      <c r="S11" s="165">
        <v>0</v>
      </c>
      <c r="T11" s="140">
        <f t="shared" si="2"/>
        <v>0</v>
      </c>
      <c r="U11" s="164">
        <v>0</v>
      </c>
      <c r="V11" s="12">
        <f t="shared" si="3"/>
        <v>0</v>
      </c>
      <c r="W11" s="140">
        <f t="shared" si="4"/>
        <v>0</v>
      </c>
      <c r="X11" s="139">
        <f t="shared" si="5"/>
        <v>0</v>
      </c>
      <c r="Y11" s="320">
        <f t="shared" si="16"/>
        <v>0</v>
      </c>
      <c r="Z11" s="28"/>
      <c r="AA11" s="108"/>
      <c r="AB11" s="14">
        <f t="shared" si="17"/>
        <v>0</v>
      </c>
      <c r="AC11" s="164">
        <v>0</v>
      </c>
      <c r="AD11" s="165">
        <v>0</v>
      </c>
      <c r="AE11" s="140">
        <f t="shared" si="6"/>
        <v>0</v>
      </c>
      <c r="AF11" s="164">
        <v>-0.153</v>
      </c>
      <c r="AG11" s="12">
        <f t="shared" si="7"/>
        <v>0</v>
      </c>
      <c r="AH11" s="140">
        <f t="shared" si="8"/>
        <v>-0.153</v>
      </c>
      <c r="AI11" s="139">
        <f t="shared" si="9"/>
        <v>-0.153</v>
      </c>
      <c r="AJ11" s="320">
        <f t="shared" si="10"/>
        <v>-0.153</v>
      </c>
      <c r="AK11" s="28"/>
      <c r="AL11" s="108"/>
      <c r="AM11" s="14">
        <f t="shared" si="18"/>
        <v>0</v>
      </c>
      <c r="AN11" s="164">
        <v>0</v>
      </c>
      <c r="AO11" s="165">
        <v>0</v>
      </c>
      <c r="AP11" s="140">
        <f t="shared" si="11"/>
        <v>0</v>
      </c>
      <c r="AQ11" s="164">
        <v>0</v>
      </c>
      <c r="AR11" s="12">
        <f t="shared" si="12"/>
        <v>0</v>
      </c>
      <c r="AS11" s="140">
        <f t="shared" si="13"/>
        <v>0</v>
      </c>
      <c r="AT11" s="139">
        <f t="shared" si="14"/>
        <v>0</v>
      </c>
      <c r="AU11" s="320">
        <f t="shared" si="15"/>
        <v>0</v>
      </c>
      <c r="AV11" s="28"/>
      <c r="AW11" s="108"/>
      <c r="AX11" s="164">
        <v>0</v>
      </c>
      <c r="AY11" s="108"/>
      <c r="BA11" s="348" t="str">
        <f>+MicroModelComponents!B11</f>
        <v>Nitrate</v>
      </c>
      <c r="BB11" s="349" t="str">
        <f>+MicroModelComponents!C11</f>
        <v>NO3-</v>
      </c>
      <c r="BC11" s="349" t="str">
        <f>+MicroModelComponents!D11</f>
        <v>NO3-</v>
      </c>
      <c r="BD11" s="349">
        <f>+MicroModelComponents!E11</f>
        <v>-111.3</v>
      </c>
      <c r="BE11" s="349">
        <f>+MicroModelComponents!F11</f>
        <v>-207.4</v>
      </c>
      <c r="BF11" s="349">
        <f>+MicroModelComponents!G11</f>
        <v>146.4</v>
      </c>
      <c r="BG11" s="349">
        <f>+MicroModelComponents!H11</f>
        <v>0</v>
      </c>
      <c r="BH11" s="349">
        <f>+MicroModelComponents!I11</f>
        <v>0</v>
      </c>
      <c r="BI11" s="349">
        <f>+MicroModelComponents!J11</f>
        <v>3</v>
      </c>
      <c r="BJ11" s="349">
        <f>+MicroModelComponents!K11</f>
        <v>1</v>
      </c>
      <c r="BK11" s="349">
        <f>+MicroModelComponents!L11</f>
        <v>0</v>
      </c>
      <c r="BL11" s="349">
        <f>+MicroModelComponents!M11</f>
        <v>0</v>
      </c>
      <c r="BM11" s="349">
        <f>+MicroModelComponents!N11</f>
        <v>0</v>
      </c>
      <c r="BN11" s="349">
        <f>+MicroModelComponents!O11</f>
        <v>0</v>
      </c>
      <c r="BO11" s="349">
        <f>+MicroModelComponents!P11</f>
        <v>0</v>
      </c>
      <c r="BP11" s="349">
        <f>+MicroModelComponents!Q11</f>
        <v>0</v>
      </c>
      <c r="BQ11" s="349">
        <f>+MicroModelComponents!R11</f>
        <v>0</v>
      </c>
      <c r="BR11" s="349">
        <f>+MicroModelComponents!S11</f>
        <v>0</v>
      </c>
      <c r="BS11" s="349">
        <f>+MicroModelComponents!T11</f>
        <v>0</v>
      </c>
      <c r="BT11" s="349">
        <f>+MicroModelComponents!U11</f>
        <v>-1</v>
      </c>
      <c r="BU11" s="349">
        <f>+MicroModelComponents!V11</f>
        <v>62</v>
      </c>
      <c r="BV11" s="349">
        <f>+MicroModelComponents!W11</f>
        <v>-8</v>
      </c>
      <c r="BW11" s="301">
        <f>+MicroModelComponents!X11</f>
        <v>-8</v>
      </c>
      <c r="BY11" s="54" t="str">
        <f>+MicroModelComponents!Z11</f>
        <v>NA</v>
      </c>
      <c r="BZ11" s="54" t="str">
        <f>+MicroModelComponents!AA11</f>
        <v>NA</v>
      </c>
      <c r="CA11" s="54">
        <f>+MicroModelComponents!AB11</f>
        <v>-1</v>
      </c>
      <c r="CB11" s="54" t="str">
        <f>+MicroModelComponents!AC11</f>
        <v>NA</v>
      </c>
      <c r="CC11" s="54" t="str">
        <f>+MicroModelComponents!AD11</f>
        <v>NA</v>
      </c>
      <c r="CD11" s="54">
        <f>+MicroModelComponents!AE11</f>
        <v>10</v>
      </c>
    </row>
    <row r="12" spans="1:83" ht="15" customHeight="1">
      <c r="A12" s="91" t="s">
        <v>239</v>
      </c>
      <c r="B12" s="91" t="s">
        <v>241</v>
      </c>
      <c r="C12" s="1" t="str">
        <f>MicroModelComponents!C12</f>
        <v>N2 (g)</v>
      </c>
      <c r="D12" s="1">
        <f>MicroModelComponents!E12</f>
        <v>0</v>
      </c>
      <c r="E12" s="1">
        <f>MicroModelComponents!U12</f>
        <v>0</v>
      </c>
      <c r="F12" s="1">
        <f>MicroModelComponents!V12</f>
        <v>28</v>
      </c>
      <c r="G12" s="1">
        <f>MicroModelComponents!W12</f>
        <v>-6</v>
      </c>
      <c r="H12" s="301">
        <f>MicroModelComponents!X12</f>
        <v>-6</v>
      </c>
      <c r="I12" s="138"/>
      <c r="J12" s="43">
        <v>0.5</v>
      </c>
      <c r="K12" s="87" t="s">
        <v>189</v>
      </c>
      <c r="L12" s="55">
        <f>EXP(-D12/($C$27*$C$28))*J12</f>
        <v>0.5</v>
      </c>
      <c r="M12" s="13">
        <v>0</v>
      </c>
      <c r="N12" s="13">
        <f t="shared" si="0"/>
        <v>-1.7173220464342647</v>
      </c>
      <c r="O12" s="105"/>
      <c r="P12" s="108"/>
      <c r="Q12" s="14">
        <f t="shared" si="1"/>
        <v>0</v>
      </c>
      <c r="R12" s="164">
        <v>0</v>
      </c>
      <c r="S12" s="165">
        <v>0</v>
      </c>
      <c r="T12" s="140">
        <f t="shared" si="2"/>
        <v>0</v>
      </c>
      <c r="U12" s="164">
        <v>0</v>
      </c>
      <c r="V12" s="12">
        <f t="shared" si="3"/>
        <v>0</v>
      </c>
      <c r="W12" s="140">
        <f t="shared" si="4"/>
        <v>0</v>
      </c>
      <c r="X12" s="139">
        <f t="shared" si="5"/>
        <v>0</v>
      </c>
      <c r="Y12" s="320">
        <f t="shared" si="16"/>
        <v>0</v>
      </c>
      <c r="Z12" s="28"/>
      <c r="AA12" s="108"/>
      <c r="AB12" s="14">
        <f t="shared" si="17"/>
        <v>0</v>
      </c>
      <c r="AC12" s="164">
        <v>0</v>
      </c>
      <c r="AD12" s="165">
        <v>0</v>
      </c>
      <c r="AE12" s="140">
        <f t="shared" si="6"/>
        <v>0</v>
      </c>
      <c r="AF12" s="164">
        <v>0</v>
      </c>
      <c r="AG12" s="12">
        <f t="shared" si="7"/>
        <v>0</v>
      </c>
      <c r="AH12" s="140">
        <f t="shared" si="8"/>
        <v>0</v>
      </c>
      <c r="AI12" s="139">
        <f t="shared" si="9"/>
        <v>0</v>
      </c>
      <c r="AJ12" s="320">
        <f t="shared" si="10"/>
        <v>0</v>
      </c>
      <c r="AK12" s="28"/>
      <c r="AL12" s="108"/>
      <c r="AM12" s="14">
        <f t="shared" si="18"/>
        <v>0</v>
      </c>
      <c r="AN12" s="164">
        <v>0</v>
      </c>
      <c r="AO12" s="165">
        <v>0</v>
      </c>
      <c r="AP12" s="140">
        <f t="shared" si="11"/>
        <v>0</v>
      </c>
      <c r="AQ12" s="164">
        <f>-0.153/2</f>
        <v>-7.6499999999999999E-2</v>
      </c>
      <c r="AR12" s="12">
        <f t="shared" si="12"/>
        <v>0</v>
      </c>
      <c r="AS12" s="140">
        <f t="shared" si="13"/>
        <v>-7.6499999999999999E-2</v>
      </c>
      <c r="AT12" s="139">
        <f t="shared" si="14"/>
        <v>-7.6499999999999999E-2</v>
      </c>
      <c r="AU12" s="320">
        <f t="shared" si="15"/>
        <v>-7.6499999999999999E-2</v>
      </c>
      <c r="AV12" s="28"/>
      <c r="AW12" s="108"/>
      <c r="AX12" s="164">
        <v>0</v>
      </c>
      <c r="AY12" s="108"/>
      <c r="BA12" s="348" t="str">
        <f>+MicroModelComponents!B12</f>
        <v>Nitrogen (g)</v>
      </c>
      <c r="BB12" s="349" t="str">
        <f>+MicroModelComponents!C12</f>
        <v>N2 (g)</v>
      </c>
      <c r="BC12" s="349" t="str">
        <f>+MicroModelComponents!D12</f>
        <v>N2(g)</v>
      </c>
      <c r="BD12" s="349">
        <f>+MicroModelComponents!E12</f>
        <v>0</v>
      </c>
      <c r="BE12" s="349">
        <f>+MicroModelComponents!F12</f>
        <v>0</v>
      </c>
      <c r="BF12" s="349" t="str">
        <f>+MicroModelComponents!G12</f>
        <v>NA</v>
      </c>
      <c r="BG12" s="349">
        <f>+MicroModelComponents!H12</f>
        <v>0</v>
      </c>
      <c r="BH12" s="349">
        <f>+MicroModelComponents!I12</f>
        <v>0</v>
      </c>
      <c r="BI12" s="349">
        <f>+MicroModelComponents!J12</f>
        <v>0</v>
      </c>
      <c r="BJ12" s="349">
        <f>+MicroModelComponents!K12</f>
        <v>2</v>
      </c>
      <c r="BK12" s="349">
        <f>+MicroModelComponents!L12</f>
        <v>0</v>
      </c>
      <c r="BL12" s="349">
        <f>+MicroModelComponents!M12</f>
        <v>0</v>
      </c>
      <c r="BM12" s="349">
        <f>+MicroModelComponents!N12</f>
        <v>0</v>
      </c>
      <c r="BN12" s="349">
        <f>+MicroModelComponents!O12</f>
        <v>0</v>
      </c>
      <c r="BO12" s="349">
        <f>+MicroModelComponents!P12</f>
        <v>0</v>
      </c>
      <c r="BP12" s="349">
        <f>+MicroModelComponents!Q12</f>
        <v>0</v>
      </c>
      <c r="BQ12" s="349">
        <f>+MicroModelComponents!R12</f>
        <v>0</v>
      </c>
      <c r="BR12" s="349">
        <f>+MicroModelComponents!S12</f>
        <v>0</v>
      </c>
      <c r="BS12" s="349">
        <f>+MicroModelComponents!T12</f>
        <v>0</v>
      </c>
      <c r="BT12" s="349">
        <f>+MicroModelComponents!U12</f>
        <v>0</v>
      </c>
      <c r="BU12" s="349">
        <f>+MicroModelComponents!V12</f>
        <v>28</v>
      </c>
      <c r="BV12" s="349">
        <f>+MicroModelComponents!W12</f>
        <v>-6</v>
      </c>
      <c r="BW12" s="301">
        <f>+MicroModelComponents!X12</f>
        <v>-6</v>
      </c>
      <c r="BY12" s="54" t="str">
        <f>+MicroModelComponents!Z12</f>
        <v>NA</v>
      </c>
      <c r="BZ12" s="54" t="str">
        <f>+MicroModelComponents!AA12</f>
        <v>NA</v>
      </c>
      <c r="CA12" s="54" t="str">
        <f>+MicroModelComponents!AB12</f>
        <v>NA</v>
      </c>
      <c r="CB12" s="54" t="str">
        <f>+MicroModelComponents!AC12</f>
        <v>NA</v>
      </c>
      <c r="CC12" s="54" t="str">
        <f>+MicroModelComponents!AD12</f>
        <v>NA</v>
      </c>
      <c r="CD12" s="54" t="str">
        <f>+MicroModelComponents!AE12</f>
        <v>NA</v>
      </c>
    </row>
    <row r="13" spans="1:83" ht="15" customHeight="1">
      <c r="A13" s="91" t="s">
        <v>239</v>
      </c>
      <c r="B13" s="91" t="s">
        <v>241</v>
      </c>
      <c r="C13" s="1" t="str">
        <f>MicroModelComponents!C13</f>
        <v>HS-</v>
      </c>
      <c r="D13" s="1">
        <f>MicroModelComponents!E13</f>
        <v>12.1</v>
      </c>
      <c r="E13" s="1">
        <f>MicroModelComponents!U13</f>
        <v>-1</v>
      </c>
      <c r="F13" s="1">
        <f>MicroModelComponents!V13</f>
        <v>33</v>
      </c>
      <c r="G13" s="1">
        <f>MicroModelComponents!W13</f>
        <v>8</v>
      </c>
      <c r="H13" s="301">
        <f>MicroModelComponents!X13</f>
        <v>8</v>
      </c>
      <c r="I13" s="138"/>
      <c r="J13" s="87" t="s">
        <v>189</v>
      </c>
      <c r="K13" s="43">
        <v>0.01</v>
      </c>
      <c r="L13" s="55">
        <f>CD13*K13/(CD13+$L$21)</f>
        <v>4.7699041270243764E-3</v>
      </c>
      <c r="M13" s="13">
        <v>0</v>
      </c>
      <c r="N13" s="13">
        <f t="shared" si="0"/>
        <v>-1.143685400341365</v>
      </c>
      <c r="O13" s="105"/>
      <c r="P13" s="108"/>
      <c r="Q13" s="14">
        <f t="shared" si="1"/>
        <v>0</v>
      </c>
      <c r="R13" s="164">
        <v>0</v>
      </c>
      <c r="S13" s="165">
        <v>0</v>
      </c>
      <c r="T13" s="140">
        <f t="shared" si="2"/>
        <v>0</v>
      </c>
      <c r="U13" s="164">
        <v>0</v>
      </c>
      <c r="V13" s="12">
        <f t="shared" si="3"/>
        <v>0</v>
      </c>
      <c r="W13" s="140">
        <f t="shared" si="4"/>
        <v>0</v>
      </c>
      <c r="X13" s="139">
        <f t="shared" si="5"/>
        <v>0</v>
      </c>
      <c r="Y13" s="320">
        <f t="shared" si="16"/>
        <v>0</v>
      </c>
      <c r="Z13" s="28"/>
      <c r="AA13" s="108"/>
      <c r="AB13" s="14">
        <f t="shared" si="17"/>
        <v>0</v>
      </c>
      <c r="AC13" s="164">
        <v>0</v>
      </c>
      <c r="AD13" s="165">
        <v>0</v>
      </c>
      <c r="AE13" s="140">
        <f t="shared" si="6"/>
        <v>0</v>
      </c>
      <c r="AF13" s="164">
        <v>0</v>
      </c>
      <c r="AG13" s="12">
        <f t="shared" si="7"/>
        <v>0</v>
      </c>
      <c r="AH13" s="140">
        <f t="shared" si="8"/>
        <v>0</v>
      </c>
      <c r="AI13" s="139">
        <f t="shared" si="9"/>
        <v>0</v>
      </c>
      <c r="AJ13" s="320">
        <f t="shared" si="10"/>
        <v>0</v>
      </c>
      <c r="AK13" s="28"/>
      <c r="AL13" s="108"/>
      <c r="AM13" s="14">
        <f t="shared" si="18"/>
        <v>0</v>
      </c>
      <c r="AN13" s="164">
        <v>0</v>
      </c>
      <c r="AO13" s="165">
        <v>0</v>
      </c>
      <c r="AP13" s="140">
        <f t="shared" si="11"/>
        <v>0</v>
      </c>
      <c r="AQ13" s="164">
        <v>0</v>
      </c>
      <c r="AR13" s="12">
        <f t="shared" si="12"/>
        <v>0</v>
      </c>
      <c r="AS13" s="140">
        <f t="shared" si="13"/>
        <v>0</v>
      </c>
      <c r="AT13" s="139">
        <f t="shared" si="14"/>
        <v>0</v>
      </c>
      <c r="AU13" s="320">
        <f t="shared" si="15"/>
        <v>0</v>
      </c>
      <c r="AV13" s="28"/>
      <c r="AW13" s="108"/>
      <c r="AX13" s="164">
        <v>0</v>
      </c>
      <c r="AY13" s="108"/>
      <c r="BA13" s="348" t="str">
        <f>+MicroModelComponents!B13</f>
        <v>Hydrogen Sulfide</v>
      </c>
      <c r="BB13" s="349" t="str">
        <f>+MicroModelComponents!C13</f>
        <v>HS-</v>
      </c>
      <c r="BC13" s="349" t="str">
        <f>+MicroModelComponents!D13</f>
        <v>HS-</v>
      </c>
      <c r="BD13" s="349">
        <f>+MicroModelComponents!E13</f>
        <v>12.1</v>
      </c>
      <c r="BE13" s="349">
        <f>+MicroModelComponents!F13</f>
        <v>-17.600000000000001</v>
      </c>
      <c r="BF13" s="349">
        <f>+MicroModelComponents!G13</f>
        <v>62.8</v>
      </c>
      <c r="BG13" s="349">
        <f>+MicroModelComponents!H13</f>
        <v>0</v>
      </c>
      <c r="BH13" s="349">
        <f>+MicroModelComponents!I13</f>
        <v>1</v>
      </c>
      <c r="BI13" s="349">
        <f>+MicroModelComponents!J13</f>
        <v>0</v>
      </c>
      <c r="BJ13" s="349">
        <f>+MicroModelComponents!K13</f>
        <v>0</v>
      </c>
      <c r="BK13" s="349">
        <f>+MicroModelComponents!L13</f>
        <v>0</v>
      </c>
      <c r="BL13" s="349">
        <f>+MicroModelComponents!M13</f>
        <v>1</v>
      </c>
      <c r="BM13" s="349">
        <f>+MicroModelComponents!N13</f>
        <v>0</v>
      </c>
      <c r="BN13" s="349">
        <f>+MicroModelComponents!O13</f>
        <v>0</v>
      </c>
      <c r="BO13" s="349">
        <f>+MicroModelComponents!P13</f>
        <v>0</v>
      </c>
      <c r="BP13" s="349">
        <f>+MicroModelComponents!Q13</f>
        <v>0</v>
      </c>
      <c r="BQ13" s="349">
        <f>+MicroModelComponents!R13</f>
        <v>0</v>
      </c>
      <c r="BR13" s="349">
        <f>+MicroModelComponents!S13</f>
        <v>0</v>
      </c>
      <c r="BS13" s="349">
        <f>+MicroModelComponents!T13</f>
        <v>0</v>
      </c>
      <c r="BT13" s="349">
        <f>+MicroModelComponents!U13</f>
        <v>-1</v>
      </c>
      <c r="BU13" s="349">
        <f>+MicroModelComponents!V13</f>
        <v>33</v>
      </c>
      <c r="BV13" s="349">
        <f>+MicroModelComponents!W13</f>
        <v>8</v>
      </c>
      <c r="BW13" s="301">
        <f>+MicroModelComponents!X13</f>
        <v>8</v>
      </c>
      <c r="BY13" s="54" t="str">
        <f>+MicroModelComponents!Z13</f>
        <v>NA</v>
      </c>
      <c r="BZ13" s="54">
        <f>+MicroModelComponents!AA13</f>
        <v>11.96</v>
      </c>
      <c r="CA13" s="54">
        <f>+MicroModelComponents!AB13</f>
        <v>7.04</v>
      </c>
      <c r="CB13" s="54" t="str">
        <f>+MicroModelComponents!AC13</f>
        <v>NA</v>
      </c>
      <c r="CC13" s="54">
        <f>+MicroModelComponents!AD13</f>
        <v>1.0964781961431817E-12</v>
      </c>
      <c r="CD13" s="54">
        <f>+MicroModelComponents!AE13</f>
        <v>9.120108393559095E-8</v>
      </c>
    </row>
    <row r="14" spans="1:83" ht="15" customHeight="1">
      <c r="A14" s="91" t="s">
        <v>239</v>
      </c>
      <c r="B14" s="91" t="s">
        <v>241</v>
      </c>
      <c r="C14" s="1" t="str">
        <f>MicroModelComponents!C14</f>
        <v>SO42-</v>
      </c>
      <c r="D14" s="1">
        <f>MicroModelComponents!E14</f>
        <v>-744.6</v>
      </c>
      <c r="E14" s="1">
        <f>MicroModelComponents!U14</f>
        <v>-2</v>
      </c>
      <c r="F14" s="1">
        <f>MicroModelComponents!V14</f>
        <v>96</v>
      </c>
      <c r="G14" s="1">
        <f>MicroModelComponents!W14</f>
        <v>0</v>
      </c>
      <c r="H14" s="301">
        <f>MicroModelComponents!X14</f>
        <v>0</v>
      </c>
      <c r="I14" s="138"/>
      <c r="J14" s="87" t="s">
        <v>189</v>
      </c>
      <c r="K14" s="43">
        <v>0.01</v>
      </c>
      <c r="L14" s="55">
        <f>CD14*K14/(CD14+$L$21)</f>
        <v>9.9999999989999998E-3</v>
      </c>
      <c r="M14" s="13">
        <v>0</v>
      </c>
      <c r="N14" s="13">
        <f t="shared" si="0"/>
        <v>-756.00964070828672</v>
      </c>
      <c r="O14" s="105"/>
      <c r="P14" s="108"/>
      <c r="Q14" s="14">
        <f t="shared" si="1"/>
        <v>0</v>
      </c>
      <c r="R14" s="164">
        <v>0</v>
      </c>
      <c r="S14" s="165">
        <v>0</v>
      </c>
      <c r="T14" s="140">
        <f t="shared" si="2"/>
        <v>0</v>
      </c>
      <c r="U14" s="164">
        <v>0</v>
      </c>
      <c r="V14" s="12">
        <f t="shared" si="3"/>
        <v>0</v>
      </c>
      <c r="W14" s="140">
        <f t="shared" si="4"/>
        <v>0</v>
      </c>
      <c r="X14" s="139">
        <f t="shared" si="5"/>
        <v>0</v>
      </c>
      <c r="Y14" s="320">
        <f t="shared" si="16"/>
        <v>0</v>
      </c>
      <c r="Z14" s="28"/>
      <c r="AA14" s="108"/>
      <c r="AB14" s="14">
        <f t="shared" si="17"/>
        <v>0</v>
      </c>
      <c r="AC14" s="164">
        <v>0</v>
      </c>
      <c r="AD14" s="165">
        <v>0</v>
      </c>
      <c r="AE14" s="140">
        <f t="shared" si="6"/>
        <v>0</v>
      </c>
      <c r="AF14" s="164">
        <v>0</v>
      </c>
      <c r="AG14" s="12">
        <f t="shared" si="7"/>
        <v>0</v>
      </c>
      <c r="AH14" s="140">
        <f t="shared" si="8"/>
        <v>0</v>
      </c>
      <c r="AI14" s="139">
        <f t="shared" si="9"/>
        <v>0</v>
      </c>
      <c r="AJ14" s="320">
        <f t="shared" si="10"/>
        <v>0</v>
      </c>
      <c r="AK14" s="28"/>
      <c r="AL14" s="108"/>
      <c r="AM14" s="14">
        <f t="shared" si="18"/>
        <v>0</v>
      </c>
      <c r="AN14" s="164">
        <v>0</v>
      </c>
      <c r="AO14" s="165">
        <v>0</v>
      </c>
      <c r="AP14" s="140">
        <f t="shared" si="11"/>
        <v>0</v>
      </c>
      <c r="AQ14" s="164">
        <v>0</v>
      </c>
      <c r="AR14" s="12">
        <f t="shared" si="12"/>
        <v>0</v>
      </c>
      <c r="AS14" s="140">
        <f t="shared" si="13"/>
        <v>0</v>
      </c>
      <c r="AT14" s="139">
        <f t="shared" si="14"/>
        <v>0</v>
      </c>
      <c r="AU14" s="320">
        <f t="shared" si="15"/>
        <v>0</v>
      </c>
      <c r="AV14" s="28"/>
      <c r="AW14" s="108"/>
      <c r="AX14" s="164">
        <v>0</v>
      </c>
      <c r="AY14" s="108"/>
      <c r="BA14" s="348" t="str">
        <f>+MicroModelComponents!B14</f>
        <v>Sulfate</v>
      </c>
      <c r="BB14" s="349" t="str">
        <f>+MicroModelComponents!C14</f>
        <v>SO42-</v>
      </c>
      <c r="BC14" s="349" t="str">
        <f>+MicroModelComponents!D14</f>
        <v>SO42-</v>
      </c>
      <c r="BD14" s="349">
        <f>+MicroModelComponents!E14</f>
        <v>-744.6</v>
      </c>
      <c r="BE14" s="349">
        <f>+MicroModelComponents!F14</f>
        <v>-909.6</v>
      </c>
      <c r="BF14" s="349">
        <f>+MicroModelComponents!G14</f>
        <v>20.100000000000001</v>
      </c>
      <c r="BG14" s="349">
        <f>+MicroModelComponents!H14</f>
        <v>0</v>
      </c>
      <c r="BH14" s="349">
        <f>+MicroModelComponents!I14</f>
        <v>0</v>
      </c>
      <c r="BI14" s="349">
        <f>+MicroModelComponents!J14</f>
        <v>4</v>
      </c>
      <c r="BJ14" s="349">
        <f>+MicroModelComponents!K14</f>
        <v>0</v>
      </c>
      <c r="BK14" s="349">
        <f>+MicroModelComponents!L14</f>
        <v>0</v>
      </c>
      <c r="BL14" s="349">
        <f>+MicroModelComponents!M14</f>
        <v>1</v>
      </c>
      <c r="BM14" s="349">
        <f>+MicroModelComponents!N14</f>
        <v>0</v>
      </c>
      <c r="BN14" s="349">
        <f>+MicroModelComponents!O14</f>
        <v>0</v>
      </c>
      <c r="BO14" s="349">
        <f>+MicroModelComponents!P14</f>
        <v>0</v>
      </c>
      <c r="BP14" s="349">
        <f>+MicroModelComponents!Q14</f>
        <v>0</v>
      </c>
      <c r="BQ14" s="349">
        <f>+MicroModelComponents!R14</f>
        <v>0</v>
      </c>
      <c r="BR14" s="349">
        <f>+MicroModelComponents!S14</f>
        <v>0</v>
      </c>
      <c r="BS14" s="349">
        <f>+MicroModelComponents!T14</f>
        <v>0</v>
      </c>
      <c r="BT14" s="349">
        <f>+MicroModelComponents!U14</f>
        <v>-2</v>
      </c>
      <c r="BU14" s="349">
        <f>+MicroModelComponents!V14</f>
        <v>96</v>
      </c>
      <c r="BV14" s="349">
        <f>+MicroModelComponents!W14</f>
        <v>0</v>
      </c>
      <c r="BW14" s="301">
        <f>+MicroModelComponents!X14</f>
        <v>0</v>
      </c>
      <c r="BY14" s="54" t="str">
        <f>+MicroModelComponents!Z14</f>
        <v>NA</v>
      </c>
      <c r="BZ14" s="54">
        <f>+MicroModelComponents!AA14</f>
        <v>1.99</v>
      </c>
      <c r="CA14" s="54">
        <f>+MicroModelComponents!AB14</f>
        <v>-3</v>
      </c>
      <c r="CB14" s="54" t="str">
        <f>+MicroModelComponents!AC14</f>
        <v>NA</v>
      </c>
      <c r="CC14" s="54">
        <f>+MicroModelComponents!AD14</f>
        <v>1.0232929922807535E-2</v>
      </c>
      <c r="CD14" s="54">
        <f>+MicroModelComponents!AE14</f>
        <v>1000</v>
      </c>
    </row>
    <row r="15" spans="1:83" ht="15" customHeight="1">
      <c r="A15" s="91" t="s">
        <v>239</v>
      </c>
      <c r="B15" s="91" t="s">
        <v>241</v>
      </c>
      <c r="C15" s="1" t="str">
        <f>MicroModelComponents!C15</f>
        <v>Fe2+</v>
      </c>
      <c r="D15" s="1">
        <f>MicroModelComponents!E15</f>
        <v>-78.900000000000006</v>
      </c>
      <c r="E15" s="1">
        <f>MicroModelComponents!U15</f>
        <v>2</v>
      </c>
      <c r="F15" s="1">
        <f>MicroModelComponents!V15</f>
        <v>56</v>
      </c>
      <c r="G15" s="1">
        <f>MicroModelComponents!W15</f>
        <v>1</v>
      </c>
      <c r="H15" s="301">
        <f>MicroModelComponents!X15</f>
        <v>1</v>
      </c>
      <c r="I15" s="138"/>
      <c r="J15" s="87" t="s">
        <v>189</v>
      </c>
      <c r="K15" s="87" t="s">
        <v>189</v>
      </c>
      <c r="L15" s="43">
        <v>0.01</v>
      </c>
      <c r="M15" s="13">
        <v>0</v>
      </c>
      <c r="N15" s="13">
        <f t="shared" si="0"/>
        <v>-90.309640708038899</v>
      </c>
      <c r="O15" s="105"/>
      <c r="P15" s="108"/>
      <c r="Q15" s="14">
        <f t="shared" si="1"/>
        <v>0</v>
      </c>
      <c r="R15" s="164">
        <v>0</v>
      </c>
      <c r="S15" s="165">
        <v>0</v>
      </c>
      <c r="T15" s="140">
        <f t="shared" si="2"/>
        <v>0</v>
      </c>
      <c r="U15" s="164">
        <v>0</v>
      </c>
      <c r="V15" s="12">
        <f t="shared" si="3"/>
        <v>0</v>
      </c>
      <c r="W15" s="140">
        <f t="shared" si="4"/>
        <v>0</v>
      </c>
      <c r="X15" s="139">
        <f t="shared" si="5"/>
        <v>0</v>
      </c>
      <c r="Y15" s="320">
        <f t="shared" si="16"/>
        <v>0</v>
      </c>
      <c r="Z15" s="28"/>
      <c r="AA15" s="108"/>
      <c r="AB15" s="14">
        <f t="shared" si="17"/>
        <v>0</v>
      </c>
      <c r="AC15" s="164">
        <v>0</v>
      </c>
      <c r="AD15" s="165">
        <v>0</v>
      </c>
      <c r="AE15" s="140">
        <f t="shared" si="6"/>
        <v>0</v>
      </c>
      <c r="AF15" s="164">
        <v>0</v>
      </c>
      <c r="AG15" s="12">
        <f t="shared" si="7"/>
        <v>0</v>
      </c>
      <c r="AH15" s="140">
        <f t="shared" si="8"/>
        <v>0</v>
      </c>
      <c r="AI15" s="139">
        <f t="shared" si="9"/>
        <v>0</v>
      </c>
      <c r="AJ15" s="320">
        <f t="shared" si="10"/>
        <v>0</v>
      </c>
      <c r="AK15" s="28"/>
      <c r="AL15" s="108"/>
      <c r="AM15" s="14">
        <f t="shared" si="18"/>
        <v>0</v>
      </c>
      <c r="AN15" s="164">
        <v>0</v>
      </c>
      <c r="AO15" s="165">
        <v>0</v>
      </c>
      <c r="AP15" s="140">
        <f t="shared" si="11"/>
        <v>0</v>
      </c>
      <c r="AQ15" s="164">
        <v>0</v>
      </c>
      <c r="AR15" s="12">
        <f t="shared" si="12"/>
        <v>0</v>
      </c>
      <c r="AS15" s="140">
        <f t="shared" si="13"/>
        <v>0</v>
      </c>
      <c r="AT15" s="139">
        <f t="shared" si="14"/>
        <v>0</v>
      </c>
      <c r="AU15" s="320">
        <f t="shared" si="15"/>
        <v>0</v>
      </c>
      <c r="AV15" s="28"/>
      <c r="AW15" s="108"/>
      <c r="AX15" s="164">
        <v>0</v>
      </c>
      <c r="AY15" s="108"/>
      <c r="BA15" s="348" t="str">
        <f>+MicroModelComponents!B15</f>
        <v>Ferrous iron</v>
      </c>
      <c r="BB15" s="349" t="str">
        <f>+MicroModelComponents!C15</f>
        <v>Fe2+</v>
      </c>
      <c r="BC15" s="349" t="str">
        <f>+MicroModelComponents!D15</f>
        <v>Fe2+</v>
      </c>
      <c r="BD15" s="349">
        <f>+MicroModelComponents!E15</f>
        <v>-78.900000000000006</v>
      </c>
      <c r="BE15" s="349">
        <f>+MicroModelComponents!F15</f>
        <v>-89.1</v>
      </c>
      <c r="BF15" s="349" t="str">
        <f>+MicroModelComponents!G15</f>
        <v>NA</v>
      </c>
      <c r="BG15" s="349">
        <f>+MicroModelComponents!H15</f>
        <v>0</v>
      </c>
      <c r="BH15" s="349">
        <f>+MicroModelComponents!I15</f>
        <v>0</v>
      </c>
      <c r="BI15" s="349">
        <f>+MicroModelComponents!J15</f>
        <v>0</v>
      </c>
      <c r="BJ15" s="349">
        <f>+MicroModelComponents!K15</f>
        <v>0</v>
      </c>
      <c r="BK15" s="349">
        <f>+MicroModelComponents!L15</f>
        <v>0</v>
      </c>
      <c r="BL15" s="349">
        <f>+MicroModelComponents!M15</f>
        <v>0</v>
      </c>
      <c r="BM15" s="349">
        <f>+MicroModelComponents!N15</f>
        <v>0</v>
      </c>
      <c r="BN15" s="349">
        <f>+MicroModelComponents!O15</f>
        <v>1</v>
      </c>
      <c r="BO15" s="349">
        <f>+MicroModelComponents!P15</f>
        <v>0</v>
      </c>
      <c r="BP15" s="349">
        <f>+MicroModelComponents!Q15</f>
        <v>0</v>
      </c>
      <c r="BQ15" s="349">
        <f>+MicroModelComponents!R15</f>
        <v>0</v>
      </c>
      <c r="BR15" s="349">
        <f>+MicroModelComponents!S15</f>
        <v>0</v>
      </c>
      <c r="BS15" s="349">
        <f>+MicroModelComponents!T15</f>
        <v>0</v>
      </c>
      <c r="BT15" s="349">
        <f>+MicroModelComponents!U15</f>
        <v>2</v>
      </c>
      <c r="BU15" s="349">
        <f>+MicroModelComponents!V15</f>
        <v>56</v>
      </c>
      <c r="BV15" s="349">
        <f>+MicroModelComponents!W15</f>
        <v>1</v>
      </c>
      <c r="BW15" s="301">
        <f>+MicroModelComponents!X15</f>
        <v>1</v>
      </c>
      <c r="BY15" s="54" t="str">
        <f>+MicroModelComponents!Z15</f>
        <v>NA</v>
      </c>
      <c r="BZ15" s="54" t="str">
        <f>+MicroModelComponents!AA15</f>
        <v>NA</v>
      </c>
      <c r="CA15" s="54" t="str">
        <f>+MicroModelComponents!AB15</f>
        <v>NA</v>
      </c>
      <c r="CB15" s="54" t="str">
        <f>+MicroModelComponents!AC15</f>
        <v>NA</v>
      </c>
      <c r="CC15" s="54" t="str">
        <f>+MicroModelComponents!AD15</f>
        <v>NA</v>
      </c>
      <c r="CD15" s="54" t="str">
        <f>+MicroModelComponents!AE15</f>
        <v>NA</v>
      </c>
    </row>
    <row r="16" spans="1:83" ht="15" customHeight="1">
      <c r="A16" s="91" t="s">
        <v>239</v>
      </c>
      <c r="B16" s="91" t="s">
        <v>241</v>
      </c>
      <c r="C16" s="1" t="str">
        <f>MicroModelComponents!C16</f>
        <v>Fe3+</v>
      </c>
      <c r="D16" s="1">
        <f>MicroModelComponents!E16</f>
        <v>-4.5999999999999996</v>
      </c>
      <c r="E16" s="1">
        <f>MicroModelComponents!U16</f>
        <v>3</v>
      </c>
      <c r="F16" s="1">
        <f>MicroModelComponents!V16</f>
        <v>56</v>
      </c>
      <c r="G16" s="1">
        <f>MicroModelComponents!W16</f>
        <v>0</v>
      </c>
      <c r="H16" s="301">
        <f>MicroModelComponents!X16</f>
        <v>0</v>
      </c>
      <c r="I16" s="138"/>
      <c r="J16" s="87" t="s">
        <v>189</v>
      </c>
      <c r="K16" s="87" t="s">
        <v>189</v>
      </c>
      <c r="L16" s="43">
        <v>1</v>
      </c>
      <c r="M16" s="13">
        <v>0</v>
      </c>
      <c r="N16" s="13">
        <f t="shared" si="0"/>
        <v>-4.5999999999999996</v>
      </c>
      <c r="O16" s="105"/>
      <c r="P16" s="108"/>
      <c r="Q16" s="14">
        <f t="shared" si="1"/>
        <v>0</v>
      </c>
      <c r="R16" s="164">
        <v>0</v>
      </c>
      <c r="S16" s="165">
        <v>0</v>
      </c>
      <c r="T16" s="140">
        <f t="shared" si="2"/>
        <v>0</v>
      </c>
      <c r="U16" s="164">
        <v>0</v>
      </c>
      <c r="V16" s="12">
        <f t="shared" si="3"/>
        <v>0</v>
      </c>
      <c r="W16" s="140">
        <f t="shared" si="4"/>
        <v>0</v>
      </c>
      <c r="X16" s="139">
        <f t="shared" si="5"/>
        <v>0</v>
      </c>
      <c r="Y16" s="320">
        <f>-X16/X$7</f>
        <v>0</v>
      </c>
      <c r="Z16" s="28"/>
      <c r="AA16" s="108"/>
      <c r="AB16" s="14">
        <f>+IF(AK16="S",1,0)</f>
        <v>0</v>
      </c>
      <c r="AC16" s="164">
        <v>0</v>
      </c>
      <c r="AD16" s="165">
        <v>0</v>
      </c>
      <c r="AE16" s="140">
        <f t="shared" si="6"/>
        <v>0</v>
      </c>
      <c r="AF16" s="164">
        <v>0</v>
      </c>
      <c r="AG16" s="12">
        <f t="shared" si="7"/>
        <v>0</v>
      </c>
      <c r="AH16" s="140">
        <f t="shared" si="8"/>
        <v>0</v>
      </c>
      <c r="AI16" s="139">
        <f t="shared" si="9"/>
        <v>0</v>
      </c>
      <c r="AJ16" s="320">
        <f t="shared" si="10"/>
        <v>0</v>
      </c>
      <c r="AK16" s="28"/>
      <c r="AL16" s="108"/>
      <c r="AM16" s="14">
        <f>+IF(AV16="S",1,0)</f>
        <v>0</v>
      </c>
      <c r="AN16" s="164">
        <v>0</v>
      </c>
      <c r="AO16" s="165">
        <v>0</v>
      </c>
      <c r="AP16" s="140">
        <f t="shared" si="11"/>
        <v>0</v>
      </c>
      <c r="AQ16" s="164">
        <v>0</v>
      </c>
      <c r="AR16" s="12">
        <f t="shared" si="12"/>
        <v>0</v>
      </c>
      <c r="AS16" s="140">
        <f t="shared" si="13"/>
        <v>0</v>
      </c>
      <c r="AT16" s="139">
        <f t="shared" si="14"/>
        <v>0</v>
      </c>
      <c r="AU16" s="320">
        <f t="shared" si="15"/>
        <v>0</v>
      </c>
      <c r="AV16" s="28"/>
      <c r="AW16" s="108"/>
      <c r="AX16" s="164">
        <v>0</v>
      </c>
      <c r="AY16" s="108"/>
      <c r="BA16" s="348" t="str">
        <f>+MicroModelComponents!B16</f>
        <v>Ferric iron</v>
      </c>
      <c r="BB16" s="349" t="str">
        <f>+MicroModelComponents!C16</f>
        <v>Fe3+</v>
      </c>
      <c r="BC16" s="349" t="str">
        <f>+MicroModelComponents!D16</f>
        <v>Fe3+</v>
      </c>
      <c r="BD16" s="349">
        <f>+MicroModelComponents!E16</f>
        <v>-4.5999999999999996</v>
      </c>
      <c r="BE16" s="349">
        <f>+MicroModelComponents!F16</f>
        <v>-48.5</v>
      </c>
      <c r="BF16" s="349" t="str">
        <f>+MicroModelComponents!G16</f>
        <v>NA</v>
      </c>
      <c r="BG16" s="349">
        <f>+MicroModelComponents!H16</f>
        <v>0</v>
      </c>
      <c r="BH16" s="349">
        <f>+MicroModelComponents!I16</f>
        <v>0</v>
      </c>
      <c r="BI16" s="349">
        <f>+MicroModelComponents!J16</f>
        <v>0</v>
      </c>
      <c r="BJ16" s="349">
        <f>+MicroModelComponents!K16</f>
        <v>0</v>
      </c>
      <c r="BK16" s="349">
        <f>+MicroModelComponents!L16</f>
        <v>0</v>
      </c>
      <c r="BL16" s="349">
        <f>+MicroModelComponents!M16</f>
        <v>0</v>
      </c>
      <c r="BM16" s="349">
        <f>+MicroModelComponents!N16</f>
        <v>0</v>
      </c>
      <c r="BN16" s="349">
        <f>+MicroModelComponents!O16</f>
        <v>1</v>
      </c>
      <c r="BO16" s="349">
        <f>+MicroModelComponents!P16</f>
        <v>0</v>
      </c>
      <c r="BP16" s="349">
        <f>+MicroModelComponents!Q16</f>
        <v>0</v>
      </c>
      <c r="BQ16" s="349">
        <f>+MicroModelComponents!R16</f>
        <v>0</v>
      </c>
      <c r="BR16" s="349">
        <f>+MicroModelComponents!S16</f>
        <v>0</v>
      </c>
      <c r="BS16" s="349">
        <f>+MicroModelComponents!T16</f>
        <v>0</v>
      </c>
      <c r="BT16" s="349">
        <f>+MicroModelComponents!U16</f>
        <v>3</v>
      </c>
      <c r="BU16" s="349">
        <f>+MicroModelComponents!V16</f>
        <v>56</v>
      </c>
      <c r="BV16" s="349">
        <f>+MicroModelComponents!W16</f>
        <v>0</v>
      </c>
      <c r="BW16" s="301">
        <f>+MicroModelComponents!X16</f>
        <v>0</v>
      </c>
      <c r="BY16" s="54" t="str">
        <f>+MicroModelComponents!Z16</f>
        <v>NA</v>
      </c>
      <c r="BZ16" s="54" t="str">
        <f>+MicroModelComponents!AA16</f>
        <v>NA</v>
      </c>
      <c r="CA16" s="54" t="str">
        <f>+MicroModelComponents!AB16</f>
        <v>NA</v>
      </c>
      <c r="CB16" s="54" t="str">
        <f>+MicroModelComponents!AC16</f>
        <v>NA</v>
      </c>
      <c r="CC16" s="54" t="str">
        <f>+MicroModelComponents!AD16</f>
        <v>NA</v>
      </c>
      <c r="CD16" s="54" t="str">
        <f>+MicroModelComponents!AE16</f>
        <v>NA</v>
      </c>
    </row>
    <row r="17" spans="1:82" ht="15" customHeight="1">
      <c r="A17" s="91" t="s">
        <v>239</v>
      </c>
      <c r="B17" s="91" t="s">
        <v>241</v>
      </c>
      <c r="C17" s="1" t="str">
        <f>MicroModelComponents!C17</f>
        <v>O2</v>
      </c>
      <c r="D17" s="1">
        <f>MicroModelComponents!E17</f>
        <v>16.399999999999999</v>
      </c>
      <c r="E17" s="1">
        <f>MicroModelComponents!U17</f>
        <v>0</v>
      </c>
      <c r="F17" s="1">
        <f>MicroModelComponents!V17</f>
        <v>32</v>
      </c>
      <c r="G17" s="1">
        <f>MicroModelComponents!W17</f>
        <v>-4</v>
      </c>
      <c r="H17" s="301">
        <f>MicroModelComponents!X17</f>
        <v>-4</v>
      </c>
      <c r="I17" s="138"/>
      <c r="J17" s="87" t="s">
        <v>189</v>
      </c>
      <c r="K17" s="87" t="s">
        <v>189</v>
      </c>
      <c r="L17" s="55">
        <v>1E-4</v>
      </c>
      <c r="M17" s="13">
        <v>0</v>
      </c>
      <c r="N17" s="13">
        <f t="shared" si="0"/>
        <v>-6.4192814160777729</v>
      </c>
      <c r="O17" s="105"/>
      <c r="P17" s="108"/>
      <c r="Q17" s="14">
        <f t="shared" si="1"/>
        <v>0</v>
      </c>
      <c r="R17" s="164">
        <v>0.5</v>
      </c>
      <c r="S17" s="165">
        <v>0</v>
      </c>
      <c r="T17" s="140">
        <f t="shared" si="2"/>
        <v>0.5</v>
      </c>
      <c r="U17" s="164">
        <v>0</v>
      </c>
      <c r="V17" s="12">
        <f t="shared" si="3"/>
        <v>0.5</v>
      </c>
      <c r="W17" s="140">
        <f t="shared" si="4"/>
        <v>1.05</v>
      </c>
      <c r="X17" s="139">
        <f t="shared" si="5"/>
        <v>1.05</v>
      </c>
      <c r="Y17" s="320">
        <f>-X17/X$7</f>
        <v>1.05</v>
      </c>
      <c r="Z17" s="180"/>
      <c r="AA17" s="108"/>
      <c r="AB17" s="14">
        <f>+IF(AK17="S",1,0)</f>
        <v>0</v>
      </c>
      <c r="AC17" s="164">
        <v>0.5</v>
      </c>
      <c r="AD17" s="165">
        <v>0</v>
      </c>
      <c r="AE17" s="140">
        <f t="shared" si="6"/>
        <v>0.5</v>
      </c>
      <c r="AF17" s="164">
        <v>0</v>
      </c>
      <c r="AG17" s="12">
        <f t="shared" si="7"/>
        <v>0.5</v>
      </c>
      <c r="AH17" s="140">
        <f t="shared" si="8"/>
        <v>1.3560000000000001</v>
      </c>
      <c r="AI17" s="139">
        <f t="shared" si="9"/>
        <v>1.3560000000000001</v>
      </c>
      <c r="AJ17" s="320">
        <f t="shared" si="10"/>
        <v>1.3560000000000001</v>
      </c>
      <c r="AK17" s="180"/>
      <c r="AL17" s="108"/>
      <c r="AM17" s="14">
        <f>+IF(AV17="S",1,0)</f>
        <v>0</v>
      </c>
      <c r="AN17" s="164">
        <v>0</v>
      </c>
      <c r="AO17" s="165">
        <v>0</v>
      </c>
      <c r="AP17" s="140">
        <f t="shared" si="11"/>
        <v>0</v>
      </c>
      <c r="AQ17" s="164">
        <v>0</v>
      </c>
      <c r="AR17" s="12">
        <f t="shared" si="12"/>
        <v>0</v>
      </c>
      <c r="AS17" s="140">
        <f t="shared" si="13"/>
        <v>0</v>
      </c>
      <c r="AT17" s="139">
        <f t="shared" si="14"/>
        <v>0</v>
      </c>
      <c r="AU17" s="320">
        <f t="shared" si="15"/>
        <v>0</v>
      </c>
      <c r="AV17" s="180"/>
      <c r="AW17" s="108"/>
      <c r="AX17" s="164">
        <v>0</v>
      </c>
      <c r="AY17" s="108"/>
      <c r="BA17" s="348" t="str">
        <f>+MicroModelComponents!B17</f>
        <v>Oxygen</v>
      </c>
      <c r="BB17" s="349" t="str">
        <f>+MicroModelComponents!C17</f>
        <v>O2</v>
      </c>
      <c r="BC17" s="349" t="str">
        <f>+MicroModelComponents!D17</f>
        <v>O2</v>
      </c>
      <c r="BD17" s="349">
        <f>+MicroModelComponents!E17</f>
        <v>16.399999999999999</v>
      </c>
      <c r="BE17" s="349">
        <f>+MicroModelComponents!F17</f>
        <v>-11.7</v>
      </c>
      <c r="BF17" s="349">
        <f>+MicroModelComponents!G17</f>
        <v>110.9</v>
      </c>
      <c r="BG17" s="349">
        <f>+MicroModelComponents!H17</f>
        <v>0</v>
      </c>
      <c r="BH17" s="349">
        <f>+MicroModelComponents!I17</f>
        <v>0</v>
      </c>
      <c r="BI17" s="349">
        <f>+MicroModelComponents!J17</f>
        <v>2</v>
      </c>
      <c r="BJ17" s="349">
        <f>+MicroModelComponents!K17</f>
        <v>0</v>
      </c>
      <c r="BK17" s="349">
        <f>+MicroModelComponents!L17</f>
        <v>0</v>
      </c>
      <c r="BL17" s="349">
        <f>+MicroModelComponents!M17</f>
        <v>0</v>
      </c>
      <c r="BM17" s="349">
        <f>+MicroModelComponents!N17</f>
        <v>0</v>
      </c>
      <c r="BN17" s="349">
        <f>+MicroModelComponents!O17</f>
        <v>0</v>
      </c>
      <c r="BO17" s="349">
        <f>+MicroModelComponents!P17</f>
        <v>0</v>
      </c>
      <c r="BP17" s="349">
        <f>+MicroModelComponents!Q17</f>
        <v>0</v>
      </c>
      <c r="BQ17" s="349">
        <f>+MicroModelComponents!R17</f>
        <v>0</v>
      </c>
      <c r="BR17" s="349">
        <f>+MicroModelComponents!S17</f>
        <v>0</v>
      </c>
      <c r="BS17" s="349">
        <f>+MicroModelComponents!T17</f>
        <v>0</v>
      </c>
      <c r="BT17" s="349">
        <f>+MicroModelComponents!U17</f>
        <v>0</v>
      </c>
      <c r="BU17" s="349">
        <f>+MicroModelComponents!V17</f>
        <v>32</v>
      </c>
      <c r="BV17" s="349">
        <f>+MicroModelComponents!W17</f>
        <v>-4</v>
      </c>
      <c r="BW17" s="301">
        <f>+MicroModelComponents!X17</f>
        <v>-4</v>
      </c>
      <c r="BY17" s="54" t="str">
        <f>+MicroModelComponents!Z17</f>
        <v>NA</v>
      </c>
      <c r="BZ17" s="54" t="str">
        <f>+MicroModelComponents!AA17</f>
        <v>NA</v>
      </c>
      <c r="CA17" s="54" t="str">
        <f>+MicroModelComponents!AB17</f>
        <v>NA</v>
      </c>
      <c r="CB17" s="54" t="str">
        <f>+MicroModelComponents!AC17</f>
        <v>NA</v>
      </c>
      <c r="CC17" s="54" t="str">
        <f>+MicroModelComponents!AD17</f>
        <v>NA</v>
      </c>
      <c r="CD17" s="54" t="str">
        <f>+MicroModelComponents!AE17</f>
        <v>NA</v>
      </c>
    </row>
    <row r="18" spans="1:82" ht="15" customHeight="1">
      <c r="A18" s="91" t="s">
        <v>239</v>
      </c>
      <c r="B18" s="91" t="s">
        <v>241</v>
      </c>
      <c r="C18" s="1" t="str">
        <f>MicroModelComponents!C18</f>
        <v>Fe(OH)3</v>
      </c>
      <c r="D18" s="1">
        <f>MicroModelComponents!E18</f>
        <v>-696.6</v>
      </c>
      <c r="E18" s="1">
        <f>MicroModelComponents!U18</f>
        <v>0</v>
      </c>
      <c r="F18" s="1">
        <f>MicroModelComponents!V18</f>
        <v>89</v>
      </c>
      <c r="G18" s="1">
        <f>MicroModelComponents!W18</f>
        <v>0</v>
      </c>
      <c r="H18" s="301">
        <f>MicroModelComponents!X18</f>
        <v>0</v>
      </c>
      <c r="I18" s="138"/>
      <c r="J18" s="87" t="s">
        <v>189</v>
      </c>
      <c r="K18" s="87" t="s">
        <v>189</v>
      </c>
      <c r="L18" s="43">
        <v>1</v>
      </c>
      <c r="M18" s="13">
        <v>0</v>
      </c>
      <c r="N18" s="13">
        <f t="shared" si="0"/>
        <v>-696.6</v>
      </c>
      <c r="O18" s="105"/>
      <c r="P18" s="108"/>
      <c r="Q18" s="14">
        <f t="shared" si="1"/>
        <v>0</v>
      </c>
      <c r="R18" s="164">
        <v>0</v>
      </c>
      <c r="S18" s="165">
        <v>0</v>
      </c>
      <c r="T18" s="140">
        <f t="shared" si="2"/>
        <v>0</v>
      </c>
      <c r="U18" s="164">
        <v>0</v>
      </c>
      <c r="V18" s="12">
        <f t="shared" si="3"/>
        <v>0</v>
      </c>
      <c r="W18" s="140">
        <f t="shared" si="4"/>
        <v>0</v>
      </c>
      <c r="X18" s="139">
        <f t="shared" si="5"/>
        <v>0</v>
      </c>
      <c r="Y18" s="320">
        <f t="shared" si="16"/>
        <v>0</v>
      </c>
      <c r="Z18" s="28"/>
      <c r="AA18" s="108"/>
      <c r="AB18" s="14">
        <f t="shared" si="17"/>
        <v>0</v>
      </c>
      <c r="AC18" s="164">
        <v>0</v>
      </c>
      <c r="AD18" s="165">
        <v>0</v>
      </c>
      <c r="AE18" s="140">
        <f t="shared" si="6"/>
        <v>0</v>
      </c>
      <c r="AF18" s="164">
        <v>0</v>
      </c>
      <c r="AG18" s="12">
        <f t="shared" si="7"/>
        <v>0</v>
      </c>
      <c r="AH18" s="140">
        <f t="shared" si="8"/>
        <v>0</v>
      </c>
      <c r="AI18" s="139">
        <f t="shared" si="9"/>
        <v>0</v>
      </c>
      <c r="AJ18" s="320">
        <f t="shared" si="10"/>
        <v>0</v>
      </c>
      <c r="AK18" s="28"/>
      <c r="AL18" s="108"/>
      <c r="AM18" s="14">
        <f t="shared" si="18"/>
        <v>0</v>
      </c>
      <c r="AN18" s="164">
        <v>0</v>
      </c>
      <c r="AO18" s="165">
        <v>0</v>
      </c>
      <c r="AP18" s="140">
        <f t="shared" si="11"/>
        <v>0</v>
      </c>
      <c r="AQ18" s="164">
        <v>0</v>
      </c>
      <c r="AR18" s="12">
        <f t="shared" si="12"/>
        <v>0</v>
      </c>
      <c r="AS18" s="140">
        <f t="shared" si="13"/>
        <v>0</v>
      </c>
      <c r="AT18" s="139">
        <f t="shared" si="14"/>
        <v>0</v>
      </c>
      <c r="AU18" s="320">
        <f t="shared" si="15"/>
        <v>0</v>
      </c>
      <c r="AV18" s="28"/>
      <c r="AW18" s="108"/>
      <c r="AX18" s="164">
        <v>0</v>
      </c>
      <c r="AY18" s="108"/>
      <c r="BA18" s="348" t="str">
        <f>+MicroModelComponents!B18</f>
        <v>Iron trihydroxide (s)</v>
      </c>
      <c r="BB18" s="349" t="str">
        <f>+MicroModelComponents!C18</f>
        <v>Fe(OH)3</v>
      </c>
      <c r="BC18" s="349" t="str">
        <f>+MicroModelComponents!D18</f>
        <v>Fe(OH)3</v>
      </c>
      <c r="BD18" s="349">
        <f>+MicroModelComponents!E18</f>
        <v>-696.6</v>
      </c>
      <c r="BE18" s="349">
        <f>+MicroModelComponents!F18</f>
        <v>-823</v>
      </c>
      <c r="BF18" s="349">
        <f>+MicroModelComponents!G18</f>
        <v>106.7</v>
      </c>
      <c r="BG18" s="349">
        <f>+MicroModelComponents!H18</f>
        <v>0</v>
      </c>
      <c r="BH18" s="349">
        <f>+MicroModelComponents!I18</f>
        <v>1</v>
      </c>
      <c r="BI18" s="349">
        <f>+MicroModelComponents!J18</f>
        <v>2</v>
      </c>
      <c r="BJ18" s="349">
        <f>+MicroModelComponents!K18</f>
        <v>0</v>
      </c>
      <c r="BK18" s="349">
        <f>+MicroModelComponents!L18</f>
        <v>0</v>
      </c>
      <c r="BL18" s="349">
        <f>+MicroModelComponents!M18</f>
        <v>0</v>
      </c>
      <c r="BM18" s="349">
        <f>+MicroModelComponents!N18</f>
        <v>0</v>
      </c>
      <c r="BN18" s="349">
        <f>+MicroModelComponents!O18</f>
        <v>1</v>
      </c>
      <c r="BO18" s="349">
        <f>+MicroModelComponents!P18</f>
        <v>0</v>
      </c>
      <c r="BP18" s="349">
        <f>+MicroModelComponents!Q18</f>
        <v>0</v>
      </c>
      <c r="BQ18" s="349">
        <f>+MicroModelComponents!R18</f>
        <v>0</v>
      </c>
      <c r="BR18" s="349">
        <f>+MicroModelComponents!S18</f>
        <v>0</v>
      </c>
      <c r="BS18" s="349">
        <f>+MicroModelComponents!T18</f>
        <v>0</v>
      </c>
      <c r="BT18" s="349">
        <f>+MicroModelComponents!U18</f>
        <v>0</v>
      </c>
      <c r="BU18" s="349">
        <f>+MicroModelComponents!V18</f>
        <v>89</v>
      </c>
      <c r="BV18" s="349">
        <f>+MicroModelComponents!W18</f>
        <v>0</v>
      </c>
      <c r="BW18" s="301">
        <f>+MicroModelComponents!X18</f>
        <v>0</v>
      </c>
      <c r="BY18" s="54" t="str">
        <f>+MicroModelComponents!Z18</f>
        <v>NA</v>
      </c>
      <c r="BZ18" s="54" t="str">
        <f>+MicroModelComponents!AA18</f>
        <v>NA</v>
      </c>
      <c r="CA18" s="54" t="str">
        <f>+MicroModelComponents!AB18</f>
        <v>NA</v>
      </c>
      <c r="CB18" s="54" t="str">
        <f>+MicroModelComponents!AC18</f>
        <v>NA</v>
      </c>
      <c r="CC18" s="54" t="str">
        <f>+MicroModelComponents!AD18</f>
        <v>NA</v>
      </c>
      <c r="CD18" s="54" t="str">
        <f>+MicroModelComponents!AE18</f>
        <v>NA</v>
      </c>
    </row>
    <row r="19" spans="1:82" ht="15" customHeight="1">
      <c r="A19" s="91" t="s">
        <v>239</v>
      </c>
      <c r="B19" s="91" t="s">
        <v>241</v>
      </c>
      <c r="C19" s="1" t="str">
        <f>MicroModelComponents!C19</f>
        <v>Lac-</v>
      </c>
      <c r="D19" s="1">
        <f>MicroModelComponents!E19</f>
        <v>-517.80999999999995</v>
      </c>
      <c r="E19" s="1">
        <f>MicroModelComponents!U19</f>
        <v>-1</v>
      </c>
      <c r="F19" s="1">
        <f>MicroModelComponents!V19</f>
        <v>89</v>
      </c>
      <c r="G19" s="1">
        <f>MicroModelComponents!W19</f>
        <v>12</v>
      </c>
      <c r="H19" s="301">
        <f>MicroModelComponents!X19</f>
        <v>4</v>
      </c>
      <c r="J19" s="87" t="s">
        <v>189</v>
      </c>
      <c r="K19" s="43">
        <v>0.01</v>
      </c>
      <c r="L19" s="55">
        <f>CD19*K19/(CD19+$L$21)</f>
        <v>9.9927608846747118E-3</v>
      </c>
      <c r="M19" s="13">
        <v>0</v>
      </c>
      <c r="N19" s="13">
        <f t="shared" si="0"/>
        <v>-529.22143490047904</v>
      </c>
      <c r="O19" s="105"/>
      <c r="P19" s="108"/>
      <c r="Q19" s="14">
        <f t="shared" si="1"/>
        <v>0</v>
      </c>
      <c r="R19" s="164">
        <v>0</v>
      </c>
      <c r="S19" s="165">
        <v>0</v>
      </c>
      <c r="T19" s="140">
        <f t="shared" si="2"/>
        <v>0</v>
      </c>
      <c r="U19" s="164">
        <v>0</v>
      </c>
      <c r="V19" s="12">
        <f t="shared" si="3"/>
        <v>0</v>
      </c>
      <c r="W19" s="140">
        <f t="shared" si="4"/>
        <v>0</v>
      </c>
      <c r="X19" s="139">
        <f t="shared" si="5"/>
        <v>0</v>
      </c>
      <c r="Y19" s="320">
        <f t="shared" si="16"/>
        <v>0</v>
      </c>
      <c r="Z19" s="28"/>
      <c r="AA19" s="108"/>
      <c r="AB19" s="14">
        <f t="shared" si="17"/>
        <v>0</v>
      </c>
      <c r="AC19" s="164">
        <v>0</v>
      </c>
      <c r="AD19" s="165">
        <v>0</v>
      </c>
      <c r="AE19" s="140">
        <f t="shared" si="6"/>
        <v>0</v>
      </c>
      <c r="AF19" s="164">
        <v>0</v>
      </c>
      <c r="AG19" s="12">
        <f t="shared" si="7"/>
        <v>0</v>
      </c>
      <c r="AH19" s="140">
        <f t="shared" si="8"/>
        <v>0</v>
      </c>
      <c r="AI19" s="139">
        <f t="shared" si="9"/>
        <v>0</v>
      </c>
      <c r="AJ19" s="320">
        <f t="shared" si="10"/>
        <v>0</v>
      </c>
      <c r="AK19" s="28"/>
      <c r="AL19" s="108"/>
      <c r="AM19" s="14">
        <f t="shared" si="18"/>
        <v>0</v>
      </c>
      <c r="AN19" s="164">
        <v>0</v>
      </c>
      <c r="AO19" s="165">
        <v>0</v>
      </c>
      <c r="AP19" s="140">
        <f t="shared" si="11"/>
        <v>0</v>
      </c>
      <c r="AQ19" s="164">
        <v>0</v>
      </c>
      <c r="AR19" s="12">
        <f t="shared" si="12"/>
        <v>0</v>
      </c>
      <c r="AS19" s="140">
        <f t="shared" si="13"/>
        <v>0</v>
      </c>
      <c r="AT19" s="139">
        <f t="shared" si="14"/>
        <v>0</v>
      </c>
      <c r="AU19" s="320">
        <f t="shared" si="15"/>
        <v>0</v>
      </c>
      <c r="AV19" s="28"/>
      <c r="AW19" s="108"/>
      <c r="AX19" s="164">
        <v>0</v>
      </c>
      <c r="AY19" s="108"/>
      <c r="BA19" s="348" t="str">
        <f>+MicroModelComponents!B19</f>
        <v>Lactate</v>
      </c>
      <c r="BB19" s="349" t="str">
        <f>+MicroModelComponents!C19</f>
        <v>Lac-</v>
      </c>
      <c r="BC19" s="349" t="str">
        <f>+MicroModelComponents!D19</f>
        <v>C3H5O3-</v>
      </c>
      <c r="BD19" s="349">
        <f>+MicroModelComponents!E19</f>
        <v>-517.80999999999995</v>
      </c>
      <c r="BE19" s="349">
        <f>+MicroModelComponents!F19</f>
        <v>-687</v>
      </c>
      <c r="BF19" s="349" t="str">
        <f>+MicroModelComponents!G19</f>
        <v>NA</v>
      </c>
      <c r="BG19" s="349">
        <f>+MicroModelComponents!H19</f>
        <v>3</v>
      </c>
      <c r="BH19" s="349">
        <f>+MicroModelComponents!I19</f>
        <v>5</v>
      </c>
      <c r="BI19" s="349">
        <f>+MicroModelComponents!J19</f>
        <v>3</v>
      </c>
      <c r="BJ19" s="349">
        <f>+MicroModelComponents!K19</f>
        <v>0</v>
      </c>
      <c r="BK19" s="349">
        <f>+MicroModelComponents!L19</f>
        <v>0</v>
      </c>
      <c r="BL19" s="349">
        <f>+MicroModelComponents!M19</f>
        <v>0</v>
      </c>
      <c r="BM19" s="349">
        <f>+MicroModelComponents!N19</f>
        <v>0</v>
      </c>
      <c r="BN19" s="349">
        <f>+MicroModelComponents!O19</f>
        <v>0</v>
      </c>
      <c r="BO19" s="349">
        <f>+MicroModelComponents!P19</f>
        <v>0</v>
      </c>
      <c r="BP19" s="349">
        <f>+MicroModelComponents!Q19</f>
        <v>0</v>
      </c>
      <c r="BQ19" s="349">
        <f>+MicroModelComponents!R19</f>
        <v>0</v>
      </c>
      <c r="BR19" s="349">
        <f>+MicroModelComponents!S19</f>
        <v>0</v>
      </c>
      <c r="BS19" s="349">
        <f>+MicroModelComponents!T19</f>
        <v>0</v>
      </c>
      <c r="BT19" s="349">
        <f>+MicroModelComponents!U19</f>
        <v>-1</v>
      </c>
      <c r="BU19" s="349">
        <f>+MicroModelComponents!V19</f>
        <v>89</v>
      </c>
      <c r="BV19" s="349">
        <f>+MicroModelComponents!W19</f>
        <v>12</v>
      </c>
      <c r="BW19" s="301">
        <f>+MicroModelComponents!X19</f>
        <v>4</v>
      </c>
      <c r="BY19" s="54" t="str">
        <f>+MicroModelComponents!Z19</f>
        <v>NA</v>
      </c>
      <c r="BZ19" s="54" t="str">
        <f>+MicroModelComponents!AA19</f>
        <v>NA</v>
      </c>
      <c r="CA19" s="54">
        <f>+MicroModelComponents!AB19</f>
        <v>3.86</v>
      </c>
      <c r="CB19" s="54" t="str">
        <f>+MicroModelComponents!AC19</f>
        <v>NA</v>
      </c>
      <c r="CC19" s="54" t="str">
        <f>+MicroModelComponents!AD19</f>
        <v>NA</v>
      </c>
      <c r="CD19" s="54">
        <f>+MicroModelComponents!AE19</f>
        <v>1.3803842646028844E-4</v>
      </c>
    </row>
    <row r="20" spans="1:82" ht="14.25" customHeight="1">
      <c r="A20" s="96" t="s">
        <v>239</v>
      </c>
      <c r="B20" s="96" t="s">
        <v>241</v>
      </c>
      <c r="C20" s="97" t="str">
        <f>MicroModelComponents!C20</f>
        <v>H2O</v>
      </c>
      <c r="D20" s="97">
        <f>MicroModelComponents!E20</f>
        <v>-237.18</v>
      </c>
      <c r="E20" s="97">
        <f>MicroModelComponents!U20</f>
        <v>0</v>
      </c>
      <c r="F20" s="97">
        <f>MicroModelComponents!V20</f>
        <v>18</v>
      </c>
      <c r="G20" s="97">
        <f>MicroModelComponents!W20</f>
        <v>0</v>
      </c>
      <c r="H20" s="303">
        <f>MicroModelComponents!X20</f>
        <v>0</v>
      </c>
      <c r="J20" s="99" t="s">
        <v>189</v>
      </c>
      <c r="K20" s="99" t="s">
        <v>189</v>
      </c>
      <c r="L20" s="100">
        <v>1</v>
      </c>
      <c r="M20" s="100">
        <v>0</v>
      </c>
      <c r="N20" s="100">
        <f t="shared" si="0"/>
        <v>-237.18</v>
      </c>
      <c r="O20" s="105"/>
      <c r="P20" s="108"/>
      <c r="Q20" s="14">
        <f t="shared" si="1"/>
        <v>0</v>
      </c>
      <c r="R20" s="166">
        <v>-1</v>
      </c>
      <c r="S20" s="167">
        <v>1</v>
      </c>
      <c r="T20" s="142">
        <f t="shared" si="2"/>
        <v>-0.5</v>
      </c>
      <c r="U20" s="166">
        <v>1.5</v>
      </c>
      <c r="V20" s="101">
        <f t="shared" si="3"/>
        <v>-1</v>
      </c>
      <c r="W20" s="142">
        <f t="shared" si="4"/>
        <v>-0.60000000000000009</v>
      </c>
      <c r="X20" s="141">
        <f t="shared" si="5"/>
        <v>-0.60000000000000009</v>
      </c>
      <c r="Y20" s="321">
        <f t="shared" si="16"/>
        <v>-0.60000000000000009</v>
      </c>
      <c r="Z20" s="180"/>
      <c r="AA20" s="108"/>
      <c r="AB20" s="14">
        <f t="shared" si="17"/>
        <v>0</v>
      </c>
      <c r="AC20" s="166">
        <v>-1</v>
      </c>
      <c r="AD20" s="167">
        <v>1</v>
      </c>
      <c r="AE20" s="142">
        <f t="shared" si="6"/>
        <v>-0.5</v>
      </c>
      <c r="AF20" s="166">
        <v>1.9590000000000001</v>
      </c>
      <c r="AG20" s="101">
        <f t="shared" si="7"/>
        <v>-1</v>
      </c>
      <c r="AH20" s="142">
        <f t="shared" si="8"/>
        <v>-0.75300000000000011</v>
      </c>
      <c r="AI20" s="141">
        <f t="shared" si="9"/>
        <v>-0.75300000000000011</v>
      </c>
      <c r="AJ20" s="321">
        <f t="shared" si="10"/>
        <v>-0.75300000000000011</v>
      </c>
      <c r="AK20" s="180"/>
      <c r="AL20" s="108"/>
      <c r="AM20" s="14">
        <f t="shared" si="18"/>
        <v>0</v>
      </c>
      <c r="AN20" s="166">
        <v>0</v>
      </c>
      <c r="AO20" s="167">
        <v>1</v>
      </c>
      <c r="AP20" s="142">
        <f t="shared" si="11"/>
        <v>0.5</v>
      </c>
      <c r="AQ20" s="166">
        <v>1.5</v>
      </c>
      <c r="AR20" s="101">
        <f t="shared" si="12"/>
        <v>0</v>
      </c>
      <c r="AS20" s="142">
        <f t="shared" si="13"/>
        <v>1.5</v>
      </c>
      <c r="AT20" s="141">
        <f t="shared" si="14"/>
        <v>1.5</v>
      </c>
      <c r="AU20" s="321">
        <f t="shared" si="15"/>
        <v>1.5</v>
      </c>
      <c r="AV20" s="180"/>
      <c r="AW20" s="108"/>
      <c r="AX20" s="166">
        <v>0</v>
      </c>
      <c r="AY20" s="108"/>
      <c r="BA20" s="350" t="str">
        <f>+MicroModelComponents!B20</f>
        <v>Water</v>
      </c>
      <c r="BB20" s="351" t="str">
        <f>+MicroModelComponents!C20</f>
        <v>H2O</v>
      </c>
      <c r="BC20" s="351" t="str">
        <f>+MicroModelComponents!D20</f>
        <v>H2O</v>
      </c>
      <c r="BD20" s="351">
        <f>+MicroModelComponents!E20</f>
        <v>-237.18</v>
      </c>
      <c r="BE20" s="351">
        <f>+MicroModelComponents!F20</f>
        <v>-285.8</v>
      </c>
      <c r="BF20" s="351">
        <f>+MicroModelComponents!G20</f>
        <v>69.900000000000006</v>
      </c>
      <c r="BG20" s="351">
        <f>+MicroModelComponents!H20</f>
        <v>0</v>
      </c>
      <c r="BH20" s="351">
        <f>+MicroModelComponents!I20</f>
        <v>2</v>
      </c>
      <c r="BI20" s="351">
        <f>+MicroModelComponents!J20</f>
        <v>1</v>
      </c>
      <c r="BJ20" s="351">
        <f>+MicroModelComponents!K20</f>
        <v>0</v>
      </c>
      <c r="BK20" s="351">
        <f>+MicroModelComponents!L20</f>
        <v>0</v>
      </c>
      <c r="BL20" s="351">
        <f>+MicroModelComponents!M20</f>
        <v>0</v>
      </c>
      <c r="BM20" s="351">
        <f>+MicroModelComponents!N20</f>
        <v>0</v>
      </c>
      <c r="BN20" s="351">
        <f>+MicroModelComponents!O20</f>
        <v>0</v>
      </c>
      <c r="BO20" s="351">
        <f>+MicroModelComponents!P20</f>
        <v>0</v>
      </c>
      <c r="BP20" s="351">
        <f>+MicroModelComponents!Q20</f>
        <v>0</v>
      </c>
      <c r="BQ20" s="351">
        <f>+MicroModelComponents!R20</f>
        <v>0</v>
      </c>
      <c r="BR20" s="351">
        <f>+MicroModelComponents!S20</f>
        <v>0</v>
      </c>
      <c r="BS20" s="351">
        <f>+MicroModelComponents!T20</f>
        <v>0</v>
      </c>
      <c r="BT20" s="351">
        <f>+MicroModelComponents!U20</f>
        <v>0</v>
      </c>
      <c r="BU20" s="351">
        <f>+MicroModelComponents!V20</f>
        <v>18</v>
      </c>
      <c r="BV20" s="351">
        <f>+MicroModelComponents!W20</f>
        <v>0</v>
      </c>
      <c r="BW20" s="303">
        <f>+MicroModelComponents!X20</f>
        <v>0</v>
      </c>
      <c r="BY20" s="352" t="str">
        <f>+MicroModelComponents!Z20</f>
        <v>NA</v>
      </c>
      <c r="BZ20" s="352" t="str">
        <f>+MicroModelComponents!AA20</f>
        <v>NA</v>
      </c>
      <c r="CA20" s="352" t="str">
        <f>+MicroModelComponents!AB20</f>
        <v>NA</v>
      </c>
      <c r="CB20" s="352" t="str">
        <f>+MicroModelComponents!AC20</f>
        <v>NA</v>
      </c>
      <c r="CC20" s="352" t="str">
        <f>+MicroModelComponents!AD20</f>
        <v>NA</v>
      </c>
      <c r="CD20" s="352" t="str">
        <f>+MicroModelComponents!AE20</f>
        <v>NA</v>
      </c>
    </row>
    <row r="21" spans="1:82" ht="15" customHeight="1" thickBot="1">
      <c r="A21" s="92" t="s">
        <v>239</v>
      </c>
      <c r="B21" s="92" t="s">
        <v>241</v>
      </c>
      <c r="C21" s="1" t="str">
        <f>MicroModelComponents!C21</f>
        <v>H+</v>
      </c>
      <c r="D21" s="1">
        <f>MicroModelComponents!E21</f>
        <v>0</v>
      </c>
      <c r="E21" s="1">
        <f>MicroModelComponents!U21</f>
        <v>1</v>
      </c>
      <c r="F21" s="1">
        <f>MicroModelComponents!V21</f>
        <v>1</v>
      </c>
      <c r="G21" s="1">
        <f>MicroModelComponents!W21</f>
        <v>0</v>
      </c>
      <c r="H21" s="301">
        <f>MicroModelComponents!X21</f>
        <v>0</v>
      </c>
      <c r="J21" s="87" t="s">
        <v>189</v>
      </c>
      <c r="K21" s="87" t="s">
        <v>189</v>
      </c>
      <c r="L21" s="100">
        <v>9.9999999999999995E-8</v>
      </c>
      <c r="M21" s="13">
        <v>0</v>
      </c>
      <c r="N21" s="13">
        <f t="shared" si="0"/>
        <v>-39.933742478136104</v>
      </c>
      <c r="O21" s="105"/>
      <c r="P21" s="108"/>
      <c r="Q21" s="14">
        <f t="shared" si="1"/>
        <v>0</v>
      </c>
      <c r="R21" s="164">
        <v>2</v>
      </c>
      <c r="S21" s="165">
        <v>-4</v>
      </c>
      <c r="T21" s="140">
        <f t="shared" si="2"/>
        <v>0</v>
      </c>
      <c r="U21" s="164">
        <v>-4.0469999999999997</v>
      </c>
      <c r="V21" s="12">
        <f t="shared" si="3"/>
        <v>2</v>
      </c>
      <c r="W21" s="140">
        <f t="shared" si="4"/>
        <v>0.15300000000000047</v>
      </c>
      <c r="X21" s="139">
        <f t="shared" si="5"/>
        <v>0.15300000000000047</v>
      </c>
      <c r="Y21" s="320">
        <f t="shared" si="16"/>
        <v>0.15300000000000047</v>
      </c>
      <c r="Z21" s="28"/>
      <c r="AA21" s="108"/>
      <c r="AB21" s="14">
        <f t="shared" si="17"/>
        <v>0</v>
      </c>
      <c r="AC21" s="164">
        <v>2</v>
      </c>
      <c r="AD21" s="165">
        <v>-4</v>
      </c>
      <c r="AE21" s="140">
        <f t="shared" si="6"/>
        <v>0</v>
      </c>
      <c r="AF21" s="164">
        <v>-5.577</v>
      </c>
      <c r="AG21" s="12">
        <f t="shared" si="7"/>
        <v>2</v>
      </c>
      <c r="AH21" s="140">
        <f t="shared" si="8"/>
        <v>-0.15299999999999958</v>
      </c>
      <c r="AI21" s="139">
        <f t="shared" si="9"/>
        <v>-0.15299999999999958</v>
      </c>
      <c r="AJ21" s="320">
        <f t="shared" si="10"/>
        <v>-0.15299999999999958</v>
      </c>
      <c r="AK21" s="28"/>
      <c r="AL21" s="108"/>
      <c r="AM21" s="14">
        <f t="shared" si="18"/>
        <v>0</v>
      </c>
      <c r="AN21" s="164">
        <v>2</v>
      </c>
      <c r="AO21" s="165">
        <v>-4</v>
      </c>
      <c r="AP21" s="140">
        <f t="shared" si="11"/>
        <v>0</v>
      </c>
      <c r="AQ21" s="164">
        <v>-4.6589999999999998</v>
      </c>
      <c r="AR21" s="12">
        <f t="shared" si="12"/>
        <v>2</v>
      </c>
      <c r="AS21" s="140">
        <f t="shared" si="13"/>
        <v>0</v>
      </c>
      <c r="AT21" s="139">
        <f t="shared" si="14"/>
        <v>0</v>
      </c>
      <c r="AU21" s="320">
        <f t="shared" si="15"/>
        <v>0</v>
      </c>
      <c r="AV21" s="28"/>
      <c r="AW21" s="108"/>
      <c r="AX21" s="164">
        <v>0</v>
      </c>
      <c r="AY21" s="108"/>
      <c r="BA21" s="348" t="str">
        <f>+MicroModelComponents!B21</f>
        <v>Proton</v>
      </c>
      <c r="BB21" s="349" t="str">
        <f>+MicroModelComponents!C21</f>
        <v>H+</v>
      </c>
      <c r="BC21" s="349" t="str">
        <f>+MicroModelComponents!D21</f>
        <v>H+</v>
      </c>
      <c r="BD21" s="349">
        <f>+MicroModelComponents!E21</f>
        <v>0</v>
      </c>
      <c r="BE21" s="349">
        <f>+MicroModelComponents!F21</f>
        <v>0</v>
      </c>
      <c r="BF21" s="349">
        <f>+MicroModelComponents!G21</f>
        <v>0</v>
      </c>
      <c r="BG21" s="349">
        <f>+MicroModelComponents!H21</f>
        <v>0</v>
      </c>
      <c r="BH21" s="349">
        <f>+MicroModelComponents!I21</f>
        <v>1</v>
      </c>
      <c r="BI21" s="349">
        <f>+MicroModelComponents!J21</f>
        <v>0</v>
      </c>
      <c r="BJ21" s="349">
        <f>+MicroModelComponents!K21</f>
        <v>0</v>
      </c>
      <c r="BK21" s="349">
        <f>+MicroModelComponents!L21</f>
        <v>0</v>
      </c>
      <c r="BL21" s="349">
        <f>+MicroModelComponents!M21</f>
        <v>0</v>
      </c>
      <c r="BM21" s="349">
        <f>+MicroModelComponents!N21</f>
        <v>0</v>
      </c>
      <c r="BN21" s="349">
        <f>+MicroModelComponents!O21</f>
        <v>0</v>
      </c>
      <c r="BO21" s="349">
        <f>+MicroModelComponents!P21</f>
        <v>0</v>
      </c>
      <c r="BP21" s="349">
        <f>+MicroModelComponents!Q21</f>
        <v>0</v>
      </c>
      <c r="BQ21" s="349">
        <f>+MicroModelComponents!R21</f>
        <v>0</v>
      </c>
      <c r="BR21" s="349">
        <f>+MicroModelComponents!S21</f>
        <v>0</v>
      </c>
      <c r="BS21" s="349">
        <f>+MicroModelComponents!T21</f>
        <v>0</v>
      </c>
      <c r="BT21" s="349">
        <f>+MicroModelComponents!U21</f>
        <v>1</v>
      </c>
      <c r="BU21" s="349">
        <f>+MicroModelComponents!V21</f>
        <v>1</v>
      </c>
      <c r="BV21" s="349">
        <f>+MicroModelComponents!W21</f>
        <v>0</v>
      </c>
      <c r="BW21" s="301">
        <f>+MicroModelComponents!X21</f>
        <v>0</v>
      </c>
      <c r="BY21" s="54" t="str">
        <f>+MicroModelComponents!Z21</f>
        <v>NA</v>
      </c>
      <c r="BZ21" s="54" t="str">
        <f>+MicroModelComponents!AA21</f>
        <v>NA</v>
      </c>
      <c r="CA21" s="54" t="str">
        <f>+MicroModelComponents!AB21</f>
        <v>NA</v>
      </c>
      <c r="CB21" s="54" t="str">
        <f>+MicroModelComponents!AC21</f>
        <v>NA</v>
      </c>
      <c r="CC21" s="54" t="str">
        <f>+MicroModelComponents!AD21</f>
        <v>NA</v>
      </c>
      <c r="CD21" s="54" t="str">
        <f>+MicroModelComponents!AE21</f>
        <v>NA</v>
      </c>
    </row>
    <row r="22" spans="1:82" ht="15" customHeight="1" thickBot="1">
      <c r="A22" s="93" t="s">
        <v>239</v>
      </c>
      <c r="B22" s="93" t="s">
        <v>241</v>
      </c>
      <c r="C22" s="4" t="str">
        <f>MicroModelComponents!C22</f>
        <v>Xphyt</v>
      </c>
      <c r="D22" s="4">
        <f>MicroModelComponents!E22</f>
        <v>-67</v>
      </c>
      <c r="E22" s="4">
        <f>MicroModelComponents!U22</f>
        <v>0</v>
      </c>
      <c r="F22" s="4">
        <f>MicroModelComponents!V22</f>
        <v>23.800999999999998</v>
      </c>
      <c r="G22" s="4">
        <f>MicroModelComponents!W22</f>
        <v>4.2</v>
      </c>
      <c r="H22" s="304">
        <f>MicroModelComponents!X22</f>
        <v>4.2</v>
      </c>
      <c r="J22" s="26" t="s">
        <v>189</v>
      </c>
      <c r="K22" s="26" t="s">
        <v>189</v>
      </c>
      <c r="L22" s="26">
        <v>1</v>
      </c>
      <c r="M22" s="26">
        <v>0</v>
      </c>
      <c r="N22" s="27">
        <f t="shared" si="0"/>
        <v>-67</v>
      </c>
      <c r="O22" s="105"/>
      <c r="P22" s="108"/>
      <c r="Q22" s="14">
        <f t="shared" si="1"/>
        <v>0</v>
      </c>
      <c r="R22" s="168">
        <v>0</v>
      </c>
      <c r="S22" s="169">
        <v>0</v>
      </c>
      <c r="T22" s="144">
        <f t="shared" si="2"/>
        <v>0</v>
      </c>
      <c r="U22" s="168">
        <v>1</v>
      </c>
      <c r="V22" s="169">
        <f t="shared" si="3"/>
        <v>0</v>
      </c>
      <c r="W22" s="144">
        <f t="shared" si="4"/>
        <v>1</v>
      </c>
      <c r="X22" s="143">
        <f t="shared" si="5"/>
        <v>1</v>
      </c>
      <c r="Y22" s="322">
        <f t="shared" si="16"/>
        <v>1</v>
      </c>
      <c r="Z22" s="28"/>
      <c r="AA22" s="108"/>
      <c r="AB22" s="14">
        <f t="shared" si="17"/>
        <v>0</v>
      </c>
      <c r="AC22" s="168">
        <v>0</v>
      </c>
      <c r="AD22" s="169">
        <v>0</v>
      </c>
      <c r="AE22" s="144">
        <f t="shared" si="6"/>
        <v>0</v>
      </c>
      <c r="AF22" s="168">
        <v>1</v>
      </c>
      <c r="AG22" s="169">
        <f t="shared" si="7"/>
        <v>0</v>
      </c>
      <c r="AH22" s="144">
        <f t="shared" si="8"/>
        <v>1</v>
      </c>
      <c r="AI22" s="143">
        <f t="shared" si="9"/>
        <v>1</v>
      </c>
      <c r="AJ22" s="322">
        <f t="shared" si="10"/>
        <v>1</v>
      </c>
      <c r="AK22" s="28"/>
      <c r="AL22" s="108"/>
      <c r="AM22" s="14">
        <f t="shared" si="18"/>
        <v>0</v>
      </c>
      <c r="AN22" s="168">
        <v>0</v>
      </c>
      <c r="AO22" s="169">
        <v>0</v>
      </c>
      <c r="AP22" s="144">
        <f t="shared" si="11"/>
        <v>0</v>
      </c>
      <c r="AQ22" s="168">
        <v>1</v>
      </c>
      <c r="AR22" s="169">
        <f t="shared" si="12"/>
        <v>0</v>
      </c>
      <c r="AS22" s="144">
        <f t="shared" si="13"/>
        <v>1</v>
      </c>
      <c r="AT22" s="143">
        <f t="shared" si="14"/>
        <v>1</v>
      </c>
      <c r="AU22" s="322">
        <f t="shared" si="15"/>
        <v>1</v>
      </c>
      <c r="AV22" s="28"/>
      <c r="AW22" s="108"/>
      <c r="AX22" s="168">
        <v>0</v>
      </c>
      <c r="AY22" s="108"/>
      <c r="BA22" s="348" t="str">
        <f>+MicroModelComponents!B22</f>
        <v>Biomass (Phytoplankton)</v>
      </c>
      <c r="BB22" s="349" t="str">
        <f>+MicroModelComponents!C22</f>
        <v>Xphyt</v>
      </c>
      <c r="BC22" s="349" t="str">
        <f>+MicroModelComponents!D22</f>
        <v>CH1.66O0.5N0.15</v>
      </c>
      <c r="BD22" s="349">
        <f>+MicroModelComponents!E22</f>
        <v>-67</v>
      </c>
      <c r="BE22" s="349">
        <f>+MicroModelComponents!F22</f>
        <v>-91</v>
      </c>
      <c r="BF22" s="349" t="str">
        <f>+MicroModelComponents!G22</f>
        <v>NA</v>
      </c>
      <c r="BG22" s="349">
        <f>+MicroModelComponents!H22</f>
        <v>1</v>
      </c>
      <c r="BH22" s="349">
        <f>+MicroModelComponents!I22</f>
        <v>1.659</v>
      </c>
      <c r="BI22" s="349">
        <f>+MicroModelComponents!J22</f>
        <v>0.5</v>
      </c>
      <c r="BJ22" s="349">
        <f>+MicroModelComponents!K22</f>
        <v>0.153</v>
      </c>
      <c r="BK22" s="349">
        <f>+MicroModelComponents!L22</f>
        <v>0</v>
      </c>
      <c r="BL22" s="349">
        <f>+MicroModelComponents!M22</f>
        <v>0</v>
      </c>
      <c r="BM22" s="349">
        <f>+MicroModelComponents!N22</f>
        <v>0</v>
      </c>
      <c r="BN22" s="349">
        <f>+MicroModelComponents!O22</f>
        <v>0</v>
      </c>
      <c r="BO22" s="349">
        <f>+MicroModelComponents!P22</f>
        <v>0</v>
      </c>
      <c r="BP22" s="349">
        <f>+MicroModelComponents!Q22</f>
        <v>0</v>
      </c>
      <c r="BQ22" s="349">
        <f>+MicroModelComponents!R22</f>
        <v>0</v>
      </c>
      <c r="BR22" s="349">
        <f>+MicroModelComponents!S22</f>
        <v>0</v>
      </c>
      <c r="BS22" s="349">
        <f>+MicroModelComponents!T22</f>
        <v>0</v>
      </c>
      <c r="BT22" s="349">
        <f>+MicroModelComponents!U22</f>
        <v>0</v>
      </c>
      <c r="BU22" s="349">
        <f>+MicroModelComponents!V22</f>
        <v>23.800999999999998</v>
      </c>
      <c r="BV22" s="349">
        <f>+MicroModelComponents!W22</f>
        <v>4.2</v>
      </c>
      <c r="BW22" s="301">
        <f>+MicroModelComponents!X22</f>
        <v>4.2</v>
      </c>
      <c r="BY22" s="54" t="str">
        <f>+MicroModelComponents!Z22</f>
        <v>NA</v>
      </c>
      <c r="BZ22" s="54" t="str">
        <f>+MicroModelComponents!AA22</f>
        <v>NA</v>
      </c>
      <c r="CA22" s="54" t="str">
        <f>+MicroModelComponents!AB22</f>
        <v>NA</v>
      </c>
      <c r="CB22" s="54" t="str">
        <f>+MicroModelComponents!AC22</f>
        <v>NA</v>
      </c>
      <c r="CC22" s="54" t="str">
        <f>+MicroModelComponents!AD22</f>
        <v>NA</v>
      </c>
      <c r="CD22" s="54" t="str">
        <f>+MicroModelComponents!AE22</f>
        <v>NA</v>
      </c>
    </row>
    <row r="23" spans="1:82" ht="15" customHeight="1" thickBot="1">
      <c r="A23" s="92" t="s">
        <v>239</v>
      </c>
      <c r="B23" s="92" t="s">
        <v>241</v>
      </c>
      <c r="C23" s="1" t="str">
        <f>MicroModelComponents!C23</f>
        <v>X</v>
      </c>
      <c r="D23" s="1">
        <f>MicroModelComponents!E23</f>
        <v>-67</v>
      </c>
      <c r="E23" s="1">
        <f>MicroModelComponents!U23</f>
        <v>0</v>
      </c>
      <c r="F23" s="1">
        <f>MicroModelComponents!V23</f>
        <v>24.6</v>
      </c>
      <c r="G23" s="1">
        <f>MicroModelComponents!W23</f>
        <v>4.1999999999999993</v>
      </c>
      <c r="H23" s="301">
        <f>MicroModelComponents!X23</f>
        <v>4.1999999999999993</v>
      </c>
      <c r="J23" s="332"/>
      <c r="K23" s="332"/>
      <c r="L23" s="332"/>
      <c r="M23" s="333"/>
      <c r="N23" s="334"/>
      <c r="O23" s="105"/>
      <c r="P23" s="108"/>
      <c r="R23" s="335"/>
      <c r="S23" s="336"/>
      <c r="T23" s="337"/>
      <c r="U23" s="335"/>
      <c r="V23" s="336"/>
      <c r="W23" s="337"/>
      <c r="X23" s="338"/>
      <c r="Y23" s="339"/>
      <c r="Z23" s="28"/>
      <c r="AA23" s="108"/>
      <c r="AC23" s="335"/>
      <c r="AD23" s="336"/>
      <c r="AE23" s="337"/>
      <c r="AF23" s="335"/>
      <c r="AG23" s="336"/>
      <c r="AH23" s="337"/>
      <c r="AI23" s="338"/>
      <c r="AJ23" s="339"/>
      <c r="AK23" s="28"/>
      <c r="AL23" s="108"/>
      <c r="AN23" s="335"/>
      <c r="AO23" s="336"/>
      <c r="AP23" s="337"/>
      <c r="AQ23" s="335"/>
      <c r="AR23" s="336"/>
      <c r="AS23" s="337"/>
      <c r="AT23" s="338"/>
      <c r="AU23" s="339"/>
      <c r="AV23" s="28"/>
      <c r="AW23" s="108"/>
      <c r="AX23" s="335"/>
      <c r="AY23" s="108"/>
      <c r="BA23" s="348" t="str">
        <f>+MicroModelComponents!B23</f>
        <v>Biomass (NH4 source)</v>
      </c>
      <c r="BB23" s="349" t="str">
        <f>+MicroModelComponents!C23</f>
        <v>X</v>
      </c>
      <c r="BC23" s="349" t="str">
        <f>+MicroModelComponents!D23</f>
        <v>CH1.8O0.5N0.2</v>
      </c>
      <c r="BD23" s="349">
        <f>+MicroModelComponents!E23</f>
        <v>-67</v>
      </c>
      <c r="BE23" s="349">
        <f>+MicroModelComponents!F23</f>
        <v>-91</v>
      </c>
      <c r="BF23" s="349" t="str">
        <f>+MicroModelComponents!G23</f>
        <v>NA</v>
      </c>
      <c r="BG23" s="349">
        <f>+MicroModelComponents!H23</f>
        <v>1</v>
      </c>
      <c r="BH23" s="349">
        <f>+MicroModelComponents!I23</f>
        <v>1.8</v>
      </c>
      <c r="BI23" s="349">
        <f>+MicroModelComponents!J23</f>
        <v>0.5</v>
      </c>
      <c r="BJ23" s="349">
        <f>+MicroModelComponents!K23</f>
        <v>0.2</v>
      </c>
      <c r="BK23" s="349">
        <f>+MicroModelComponents!L23</f>
        <v>0</v>
      </c>
      <c r="BL23" s="349">
        <f>+MicroModelComponents!M23</f>
        <v>0</v>
      </c>
      <c r="BM23" s="349">
        <f>+MicroModelComponents!N23</f>
        <v>0</v>
      </c>
      <c r="BN23" s="349">
        <f>+MicroModelComponents!O23</f>
        <v>0</v>
      </c>
      <c r="BO23" s="349">
        <f>+MicroModelComponents!P23</f>
        <v>0</v>
      </c>
      <c r="BP23" s="349">
        <f>+MicroModelComponents!Q23</f>
        <v>0</v>
      </c>
      <c r="BQ23" s="349">
        <f>+MicroModelComponents!R23</f>
        <v>0</v>
      </c>
      <c r="BR23" s="349">
        <f>+MicroModelComponents!S23</f>
        <v>0</v>
      </c>
      <c r="BS23" s="349">
        <f>+MicroModelComponents!T23</f>
        <v>0</v>
      </c>
      <c r="BT23" s="349">
        <f>+MicroModelComponents!U23</f>
        <v>0</v>
      </c>
      <c r="BU23" s="349">
        <f>+MicroModelComponents!V23</f>
        <v>24.6</v>
      </c>
      <c r="BV23" s="349">
        <f>+MicroModelComponents!W23</f>
        <v>4.1999999999999993</v>
      </c>
      <c r="BW23" s="301">
        <f>+MicroModelComponents!X23</f>
        <v>4.1999999999999993</v>
      </c>
      <c r="BY23" s="54">
        <f>+MicroModelComponents!Z23</f>
        <v>0</v>
      </c>
      <c r="BZ23" s="54">
        <f>+MicroModelComponents!AA23</f>
        <v>0</v>
      </c>
      <c r="CA23" s="54">
        <f>+MicroModelComponents!AB23</f>
        <v>0</v>
      </c>
      <c r="CB23" s="54">
        <f>+MicroModelComponents!AC23</f>
        <v>0</v>
      </c>
      <c r="CC23" s="54">
        <f>+MicroModelComponents!AD23</f>
        <v>0</v>
      </c>
      <c r="CD23" s="54">
        <f>+MicroModelComponents!AE23</f>
        <v>0</v>
      </c>
    </row>
    <row r="24" spans="1:82" ht="15.75" customHeight="1" thickBot="1">
      <c r="A24" s="94" t="s">
        <v>239</v>
      </c>
      <c r="B24" s="94" t="s">
        <v>241</v>
      </c>
      <c r="C24" s="6" t="str">
        <f>MicroModelComponents!C24</f>
        <v>e-</v>
      </c>
      <c r="D24" s="6">
        <f>MicroModelComponents!E24</f>
        <v>0</v>
      </c>
      <c r="E24" s="6">
        <f>MicroModelComponents!U24</f>
        <v>-1</v>
      </c>
      <c r="F24" s="6">
        <f>MicroModelComponents!V24</f>
        <v>0</v>
      </c>
      <c r="G24" s="6">
        <f>MicroModelComponents!W24</f>
        <v>1</v>
      </c>
      <c r="H24" s="305">
        <f>MicroModelComponents!X24</f>
        <v>1</v>
      </c>
      <c r="J24" s="88" t="s">
        <v>189</v>
      </c>
      <c r="K24" s="88">
        <v>0</v>
      </c>
      <c r="L24" s="29">
        <v>1</v>
      </c>
      <c r="M24" s="14">
        <v>0</v>
      </c>
      <c r="N24" s="29">
        <f>D24+$C$27*$C$28*LN($L24)+E24*$C$26*M24</f>
        <v>0</v>
      </c>
      <c r="O24" s="105"/>
      <c r="P24" s="108"/>
      <c r="Q24" s="14">
        <f>+IF(Z24="S",1,0)</f>
        <v>0</v>
      </c>
      <c r="R24" s="170">
        <v>2</v>
      </c>
      <c r="S24" s="171">
        <v>-4</v>
      </c>
      <c r="T24" s="146">
        <f>+R24*R$25+S24*S$25</f>
        <v>0</v>
      </c>
      <c r="U24" s="170">
        <v>-4.2</v>
      </c>
      <c r="V24" s="220">
        <f>+IF(U$24*R$24&lt;=0,R24,S24)</f>
        <v>2</v>
      </c>
      <c r="W24" s="146">
        <f>+U24*U$25+V24*V$25</f>
        <v>0</v>
      </c>
      <c r="X24" s="145">
        <f>+T$25*T24+W$25*W24</f>
        <v>0</v>
      </c>
      <c r="Y24" s="323">
        <f t="shared" si="16"/>
        <v>0</v>
      </c>
      <c r="Z24" s="28"/>
      <c r="AA24" s="108"/>
      <c r="AB24" s="14">
        <f t="shared" si="17"/>
        <v>0</v>
      </c>
      <c r="AC24" s="170">
        <v>2</v>
      </c>
      <c r="AD24" s="171">
        <v>-4</v>
      </c>
      <c r="AE24" s="146">
        <f>+AC24*AC$25+AD24*AD$25</f>
        <v>0</v>
      </c>
      <c r="AF24" s="170">
        <v>-5.4240000000000004</v>
      </c>
      <c r="AG24" s="220">
        <f>+IF(AF$24*AC$24&lt;=0,AC24,AD24)</f>
        <v>2</v>
      </c>
      <c r="AH24" s="146">
        <f>+AF24*AF$25+AG24*AG$25</f>
        <v>0</v>
      </c>
      <c r="AI24" s="145">
        <f>+AE$25*AE24+AH$25*AH24</f>
        <v>0</v>
      </c>
      <c r="AJ24" s="323">
        <f>-AI24/SUMPRODUCT(AB$4:AB$24,AI$4:AI$24)</f>
        <v>0</v>
      </c>
      <c r="AK24" s="28"/>
      <c r="AL24" s="108"/>
      <c r="AM24" s="14">
        <f t="shared" si="18"/>
        <v>0</v>
      </c>
      <c r="AN24" s="170">
        <v>2</v>
      </c>
      <c r="AO24" s="171">
        <v>-4</v>
      </c>
      <c r="AP24" s="146">
        <f>+AN24*AN$25+AO24*AO$25</f>
        <v>0</v>
      </c>
      <c r="AQ24" s="170">
        <v>-4.6589999999999998</v>
      </c>
      <c r="AR24" s="220">
        <f>+IF(AQ$24*AN$24&lt;=0,AN24,AO24)</f>
        <v>2</v>
      </c>
      <c r="AS24" s="146">
        <f>+AQ24*AQ$25+AR24*AR$25</f>
        <v>0</v>
      </c>
      <c r="AT24" s="145">
        <f>+AP$25*AP24+AS$25*AS24</f>
        <v>0</v>
      </c>
      <c r="AU24" s="323">
        <f>-AT24/SUMPRODUCT(AM$4:AM$24,AT$4:AT$24)</f>
        <v>0</v>
      </c>
      <c r="AV24" s="28"/>
      <c r="AW24" s="108"/>
      <c r="AX24" s="170">
        <v>0</v>
      </c>
      <c r="AY24" s="108"/>
      <c r="BA24" s="353" t="str">
        <f>+MicroModelComponents!B24</f>
        <v>Electron</v>
      </c>
      <c r="BB24" s="354" t="str">
        <f>+MicroModelComponents!C24</f>
        <v>e-</v>
      </c>
      <c r="BC24" s="354" t="str">
        <f>+MicroModelComponents!D24</f>
        <v>e-</v>
      </c>
      <c r="BD24" s="354">
        <f>+MicroModelComponents!E24</f>
        <v>0</v>
      </c>
      <c r="BE24" s="354">
        <f>+MicroModelComponents!F24</f>
        <v>0</v>
      </c>
      <c r="BF24" s="354">
        <f>+MicroModelComponents!G24</f>
        <v>65.25</v>
      </c>
      <c r="BG24" s="354">
        <f>+MicroModelComponents!H24</f>
        <v>0</v>
      </c>
      <c r="BH24" s="354">
        <f>+MicroModelComponents!I24</f>
        <v>0</v>
      </c>
      <c r="BI24" s="354">
        <f>+MicroModelComponents!J24</f>
        <v>0</v>
      </c>
      <c r="BJ24" s="354">
        <f>+MicroModelComponents!K24</f>
        <v>0</v>
      </c>
      <c r="BK24" s="354">
        <f>+MicroModelComponents!L24</f>
        <v>0</v>
      </c>
      <c r="BL24" s="354">
        <f>+MicroModelComponents!M24</f>
        <v>0</v>
      </c>
      <c r="BM24" s="354">
        <f>+MicroModelComponents!N24</f>
        <v>0</v>
      </c>
      <c r="BN24" s="354">
        <f>+MicroModelComponents!O24</f>
        <v>0</v>
      </c>
      <c r="BO24" s="354">
        <f>+MicroModelComponents!P24</f>
        <v>0</v>
      </c>
      <c r="BP24" s="354">
        <f>+MicroModelComponents!Q24</f>
        <v>0</v>
      </c>
      <c r="BQ24" s="354">
        <f>+MicroModelComponents!R24</f>
        <v>0</v>
      </c>
      <c r="BR24" s="354">
        <f>+MicroModelComponents!S24</f>
        <v>0</v>
      </c>
      <c r="BS24" s="354">
        <f>+MicroModelComponents!T24</f>
        <v>0</v>
      </c>
      <c r="BT24" s="354">
        <f>+MicroModelComponents!U24</f>
        <v>-1</v>
      </c>
      <c r="BU24" s="354">
        <f>+MicroModelComponents!V24</f>
        <v>0</v>
      </c>
      <c r="BV24" s="354">
        <f>+MicroModelComponents!W24</f>
        <v>1</v>
      </c>
      <c r="BW24" s="305">
        <f>+MicroModelComponents!X24</f>
        <v>1</v>
      </c>
      <c r="BY24" s="71" t="str">
        <f>+MicroModelComponents!Z24</f>
        <v>NA</v>
      </c>
      <c r="BZ24" s="71" t="str">
        <f>+MicroModelComponents!AA24</f>
        <v>NA</v>
      </c>
      <c r="CA24" s="71" t="str">
        <f>+MicroModelComponents!AB24</f>
        <v>NA</v>
      </c>
      <c r="CB24" s="71" t="str">
        <f>+MicroModelComponents!AC24</f>
        <v>NA</v>
      </c>
      <c r="CC24" s="71" t="str">
        <f>+MicroModelComponents!AD24</f>
        <v>NA</v>
      </c>
      <c r="CD24" s="71" t="str">
        <f>+MicroModelComponents!AE24</f>
        <v>NA</v>
      </c>
    </row>
    <row r="25" spans="1:82" ht="15.75" customHeight="1" thickTop="1">
      <c r="O25" s="105"/>
      <c r="P25" s="108"/>
      <c r="R25" s="150">
        <v>1</v>
      </c>
      <c r="S25" s="150">
        <f>-R$25*R$24/S$24</f>
        <v>0.5</v>
      </c>
      <c r="T25" s="182">
        <f>-(1+Y$25*SUMPRODUCT(Q4:Q24,W4:W24))/(SUMPRODUCT(Q4:Q24,T4:T24)*Y$25)</f>
        <v>0</v>
      </c>
      <c r="U25" s="150">
        <v>1</v>
      </c>
      <c r="V25" s="150">
        <f>-U$25*U$24/V$24</f>
        <v>2.1</v>
      </c>
      <c r="W25" s="150">
        <v>1</v>
      </c>
      <c r="X25" s="150"/>
      <c r="Y25" s="172">
        <v>1</v>
      </c>
      <c r="AA25" s="108"/>
      <c r="AC25" s="150">
        <v>1</v>
      </c>
      <c r="AD25" s="150">
        <f>-AC$25*AC$24/AD$24</f>
        <v>0.5</v>
      </c>
      <c r="AE25" s="182">
        <f>-(1+AJ$25*SUMPRODUCT(AB4:AB24,AH4:AH24))/(SUMPRODUCT(AB4:AB24,AE4:AE24)*AJ$25)</f>
        <v>0</v>
      </c>
      <c r="AF25" s="150">
        <v>1</v>
      </c>
      <c r="AG25" s="150">
        <f>-AF$25*AF$24/AG$24</f>
        <v>2.7120000000000002</v>
      </c>
      <c r="AH25" s="150">
        <v>1</v>
      </c>
      <c r="AI25" s="150"/>
      <c r="AJ25" s="172">
        <v>1</v>
      </c>
      <c r="AL25" s="108"/>
      <c r="AN25" s="150">
        <v>1</v>
      </c>
      <c r="AO25" s="150">
        <f>-AN$25*AN$24/AO$24</f>
        <v>0.5</v>
      </c>
      <c r="AP25" s="182">
        <f>-(1+AU$25*SUMPRODUCT(AM4:AM24,AS4:AS24))/(SUMPRODUCT(AM4:AM24,AP4:AP24)*AU$25)</f>
        <v>0</v>
      </c>
      <c r="AQ25" s="150">
        <v>1</v>
      </c>
      <c r="AR25" s="150">
        <f>-AQ$25*AQ$24/AR$24</f>
        <v>2.3294999999999999</v>
      </c>
      <c r="AS25" s="150">
        <v>1</v>
      </c>
      <c r="AT25" s="150"/>
      <c r="AU25" s="172">
        <v>1</v>
      </c>
      <c r="AW25" s="108"/>
      <c r="AX25" s="150"/>
      <c r="AY25" s="108"/>
      <c r="BF25" s="355" t="s">
        <v>191</v>
      </c>
      <c r="BG25" s="356">
        <f>SpeciesDatabase!H112</f>
        <v>12</v>
      </c>
      <c r="BH25" s="357">
        <f>SpeciesDatabase!I112</f>
        <v>1</v>
      </c>
      <c r="BI25" s="357">
        <f>SpeciesDatabase!J112</f>
        <v>16</v>
      </c>
      <c r="BJ25" s="357">
        <f>SpeciesDatabase!K112</f>
        <v>14</v>
      </c>
      <c r="BK25" s="358">
        <f>SpeciesDatabase!L112</f>
        <v>31</v>
      </c>
      <c r="BL25" s="358">
        <f>SpeciesDatabase!M112</f>
        <v>32</v>
      </c>
      <c r="BM25" s="358">
        <f>SpeciesDatabase!N112</f>
        <v>35.5</v>
      </c>
      <c r="BN25" s="358">
        <f>SpeciesDatabase!O112</f>
        <v>56</v>
      </c>
      <c r="BO25" s="358">
        <f>SpeciesDatabase!P112</f>
        <v>0</v>
      </c>
      <c r="BP25" s="358">
        <f>SpeciesDatabase!Q112</f>
        <v>0</v>
      </c>
      <c r="BQ25" s="358">
        <f>SpeciesDatabase!R112</f>
        <v>0</v>
      </c>
      <c r="BR25" s="358">
        <f>SpeciesDatabase!S112</f>
        <v>0</v>
      </c>
      <c r="BS25" s="358">
        <f>SpeciesDatabase!T112</f>
        <v>0</v>
      </c>
      <c r="BT25" s="359">
        <f>SpeciesDatabase!U112</f>
        <v>0</v>
      </c>
    </row>
    <row r="26" spans="1:82" ht="15.75" customHeight="1" thickBot="1">
      <c r="B26" s="40" t="s">
        <v>203</v>
      </c>
      <c r="C26" s="16">
        <v>96.484999999999999</v>
      </c>
      <c r="D26" s="202" t="s">
        <v>212</v>
      </c>
      <c r="O26" s="105"/>
      <c r="P26" s="108"/>
      <c r="R26" s="151" t="s">
        <v>389</v>
      </c>
      <c r="S26" s="151" t="s">
        <v>390</v>
      </c>
      <c r="T26" s="151" t="s">
        <v>333</v>
      </c>
      <c r="U26" s="151" t="s">
        <v>387</v>
      </c>
      <c r="V26" s="151" t="s">
        <v>388</v>
      </c>
      <c r="W26" s="151" t="s">
        <v>332</v>
      </c>
      <c r="X26" s="151"/>
      <c r="Y26" s="152" t="s">
        <v>324</v>
      </c>
      <c r="AA26" s="108"/>
      <c r="AC26" s="151" t="s">
        <v>389</v>
      </c>
      <c r="AD26" s="151" t="s">
        <v>390</v>
      </c>
      <c r="AE26" s="151" t="s">
        <v>333</v>
      </c>
      <c r="AF26" s="151" t="s">
        <v>387</v>
      </c>
      <c r="AG26" s="151" t="s">
        <v>388</v>
      </c>
      <c r="AH26" s="151" t="s">
        <v>332</v>
      </c>
      <c r="AI26" s="151"/>
      <c r="AJ26" s="152" t="s">
        <v>324</v>
      </c>
      <c r="AL26" s="108"/>
      <c r="AN26" s="151" t="s">
        <v>389</v>
      </c>
      <c r="AO26" s="151" t="s">
        <v>390</v>
      </c>
      <c r="AP26" s="151" t="s">
        <v>333</v>
      </c>
      <c r="AQ26" s="151" t="s">
        <v>387</v>
      </c>
      <c r="AR26" s="151" t="s">
        <v>388</v>
      </c>
      <c r="AS26" s="151" t="s">
        <v>332</v>
      </c>
      <c r="AT26" s="151"/>
      <c r="AU26" s="152" t="s">
        <v>324</v>
      </c>
      <c r="AW26" s="108"/>
      <c r="AX26" s="152"/>
      <c r="AY26" s="108"/>
      <c r="BF26" s="360" t="s">
        <v>128</v>
      </c>
      <c r="BG26" s="361">
        <f>SpeciesDatabase!H113</f>
        <v>4</v>
      </c>
      <c r="BH26" s="362">
        <f>SpeciesDatabase!I113</f>
        <v>1</v>
      </c>
      <c r="BI26" s="362">
        <f>SpeciesDatabase!J113</f>
        <v>-2</v>
      </c>
      <c r="BJ26" s="362">
        <f>SpeciesDatabase!K113</f>
        <v>-3</v>
      </c>
      <c r="BK26" s="363">
        <f>SpeciesDatabase!L113</f>
        <v>5</v>
      </c>
      <c r="BL26" s="363">
        <f>SpeciesDatabase!M113</f>
        <v>6</v>
      </c>
      <c r="BM26" s="363">
        <f>SpeciesDatabase!N113</f>
        <v>-1</v>
      </c>
      <c r="BN26" s="363">
        <f>SpeciesDatabase!O113</f>
        <v>3</v>
      </c>
      <c r="BO26" s="363">
        <f>SpeciesDatabase!P113</f>
        <v>0</v>
      </c>
      <c r="BP26" s="363">
        <f>SpeciesDatabase!Q113</f>
        <v>0</v>
      </c>
      <c r="BQ26" s="363">
        <f>SpeciesDatabase!R113</f>
        <v>-2</v>
      </c>
      <c r="BR26" s="363">
        <f>SpeciesDatabase!S113</f>
        <v>0</v>
      </c>
      <c r="BS26" s="363">
        <f>SpeciesDatabase!T113</f>
        <v>0</v>
      </c>
      <c r="BT26" s="364">
        <f>SpeciesDatabase!U113</f>
        <v>-1</v>
      </c>
    </row>
    <row r="27" spans="1:82" ht="15.75" customHeight="1" thickTop="1">
      <c r="B27" s="40" t="s">
        <v>204</v>
      </c>
      <c r="C27" s="16">
        <v>8.3140000000000002E-3</v>
      </c>
      <c r="D27" s="202" t="s">
        <v>205</v>
      </c>
      <c r="O27" s="105"/>
      <c r="P27" s="108"/>
      <c r="Y27" s="202" t="str">
        <f>IF(-Y$22/SUMPRODUCT(Q4:Q24,Y4:Y24)=Y25,"OK","ERROR")</f>
        <v>OK</v>
      </c>
      <c r="AA27" s="108"/>
      <c r="AJ27" s="202" t="str">
        <f>IF(-AJ$22/SUMPRODUCT(AB4:AB24,AJ4:AJ24)=AJ25,"OK","ERROR")</f>
        <v>OK</v>
      </c>
      <c r="AL27" s="108"/>
      <c r="AU27" s="202" t="str">
        <f>IF(-AU$22/SUMPRODUCT(AM4:AM24,AU4:AU24)=AU25,"OK","ERROR")</f>
        <v>OK</v>
      </c>
      <c r="AW27" s="108"/>
      <c r="AX27" s="299"/>
      <c r="AY27" s="108"/>
    </row>
    <row r="28" spans="1:82" ht="15.75" customHeight="1" thickBot="1">
      <c r="B28" s="40" t="s">
        <v>206</v>
      </c>
      <c r="C28" s="16">
        <v>298</v>
      </c>
      <c r="D28" s="202" t="s">
        <v>207</v>
      </c>
      <c r="O28" s="105"/>
      <c r="P28" s="108"/>
      <c r="AA28" s="108"/>
      <c r="AL28" s="108"/>
      <c r="AW28" s="108"/>
      <c r="AY28" s="108"/>
    </row>
    <row r="29" spans="1:82" ht="15.75" customHeight="1" thickTop="1" thickBot="1">
      <c r="C29" s="24" t="s">
        <v>200</v>
      </c>
      <c r="N29" s="24" t="s">
        <v>200</v>
      </c>
      <c r="O29" s="105"/>
      <c r="P29" s="108"/>
      <c r="R29" s="306">
        <f t="shared" ref="R29:X29" si="19">+SUMPRODUCT($N$4:$N$24,R$4:R$24)</f>
        <v>154.10287433568891</v>
      </c>
      <c r="S29" s="307">
        <f t="shared" si="19"/>
        <v>169.35822041782393</v>
      </c>
      <c r="T29" s="307">
        <f t="shared" si="19"/>
        <v>238.78198454460087</v>
      </c>
      <c r="U29" s="307">
        <f t="shared" si="19"/>
        <v>154.30812346276036</v>
      </c>
      <c r="V29" s="307">
        <f t="shared" si="19"/>
        <v>154.10287433568891</v>
      </c>
      <c r="W29" s="307">
        <f t="shared" si="19"/>
        <v>477.92415956770697</v>
      </c>
      <c r="X29" s="307">
        <f t="shared" si="19"/>
        <v>477.92415956770697</v>
      </c>
      <c r="Y29" s="308">
        <f>+SUMPRODUCT($N$4:$N$24,X$4:X$24)</f>
        <v>477.92415956770697</v>
      </c>
      <c r="Z29" s="309"/>
      <c r="AA29" s="108"/>
      <c r="AC29" s="306">
        <f t="shared" ref="AC29:AI29" si="20">+SUMPRODUCT($N$4:$N$24,AC$4:AC$24)</f>
        <v>154.10287433568891</v>
      </c>
      <c r="AD29" s="307">
        <f t="shared" si="20"/>
        <v>169.35822041782393</v>
      </c>
      <c r="AE29" s="307">
        <f t="shared" si="20"/>
        <v>238.78198454460087</v>
      </c>
      <c r="AF29" s="307">
        <f t="shared" si="20"/>
        <v>111.42429411884763</v>
      </c>
      <c r="AG29" s="307">
        <f t="shared" si="20"/>
        <v>154.10287433568891</v>
      </c>
      <c r="AH29" s="307">
        <f t="shared" si="20"/>
        <v>529.35128931723591</v>
      </c>
      <c r="AI29" s="307">
        <f t="shared" si="20"/>
        <v>529.35128931723591</v>
      </c>
      <c r="AJ29" s="308">
        <f>+SUMPRODUCT($N$4:$N$24,AI$4:AI$24)</f>
        <v>529.35128931723591</v>
      </c>
      <c r="AK29" s="309"/>
      <c r="AL29" s="108"/>
      <c r="AN29" s="306">
        <f t="shared" ref="AN29:AT29" si="21">+SUMPRODUCT($N$4:$N$24,AN$4:AN$24)</f>
        <v>-68.457844248233314</v>
      </c>
      <c r="AO29" s="307">
        <f t="shared" si="21"/>
        <v>169.35822041782393</v>
      </c>
      <c r="AP29" s="307">
        <f t="shared" si="21"/>
        <v>16.221265960678636</v>
      </c>
      <c r="AQ29" s="307">
        <f t="shared" si="21"/>
        <v>164.987538632141</v>
      </c>
      <c r="AR29" s="307">
        <f t="shared" si="21"/>
        <v>-68.457844248233314</v>
      </c>
      <c r="AS29" s="307">
        <f t="shared" si="21"/>
        <v>5.5149904558815024</v>
      </c>
      <c r="AT29" s="307">
        <f t="shared" si="21"/>
        <v>5.5149904558815024</v>
      </c>
      <c r="AU29" s="308">
        <f>+SUMPRODUCT($N$4:$N$24,AT$4:AT$24)</f>
        <v>5.5149904558815024</v>
      </c>
      <c r="AV29" s="309"/>
      <c r="AW29" s="108"/>
      <c r="AX29" s="306">
        <f>+SUMPRODUCT($N$4:$N$24,AX$4:AX$24)</f>
        <v>0</v>
      </c>
      <c r="AY29" s="108"/>
      <c r="BA29" s="365"/>
    </row>
    <row r="30" spans="1:82" ht="13.5" customHeight="1" thickTop="1" thickBot="1">
      <c r="C30" s="24" t="s">
        <v>201</v>
      </c>
      <c r="N30" s="24" t="s">
        <v>201</v>
      </c>
      <c r="O30" s="105"/>
      <c r="P30" s="108"/>
      <c r="R30" s="306">
        <f>+R34+R21*$C$27*298*LN(10^(-7))</f>
        <v>165.51251504372777</v>
      </c>
      <c r="S30" s="307">
        <f t="shared" ref="S30:Y30" si="22">+S34+S21*$C$27*298*LN(10^(-7))</f>
        <v>155.6849699125444</v>
      </c>
      <c r="T30" s="307">
        <f t="shared" si="22"/>
        <v>243.35500000000002</v>
      </c>
      <c r="U30" s="307">
        <f t="shared" si="22"/>
        <v>136.98546580901689</v>
      </c>
      <c r="V30" s="307">
        <f t="shared" si="22"/>
        <v>165.51251504372777</v>
      </c>
      <c r="W30" s="307">
        <f t="shared" si="22"/>
        <v>484.56174740084515</v>
      </c>
      <c r="X30" s="307">
        <f t="shared" si="22"/>
        <v>484.56174740084515</v>
      </c>
      <c r="Y30" s="308">
        <f t="shared" si="22"/>
        <v>484.56174740084515</v>
      </c>
      <c r="Z30" s="309"/>
      <c r="AA30" s="108"/>
      <c r="AC30" s="306">
        <f>+AC34+AC21*$C$27*298*LN(10^(-7))</f>
        <v>165.51251504372777</v>
      </c>
      <c r="AD30" s="307">
        <f t="shared" ref="AD30:AJ30" si="23">+AD34+AD21*$C$27*298*LN(10^(-7))</f>
        <v>155.6849699125444</v>
      </c>
      <c r="AE30" s="307">
        <f t="shared" si="23"/>
        <v>243.35500000000002</v>
      </c>
      <c r="AF30" s="307">
        <f t="shared" si="23"/>
        <v>94.103761800565081</v>
      </c>
      <c r="AG30" s="307">
        <f t="shared" si="23"/>
        <v>165.51251504372777</v>
      </c>
      <c r="AH30" s="307">
        <f t="shared" si="23"/>
        <v>542.97370259915488</v>
      </c>
      <c r="AI30" s="307">
        <f t="shared" si="23"/>
        <v>542.97370259915488</v>
      </c>
      <c r="AJ30" s="308">
        <f t="shared" si="23"/>
        <v>542.97370259915488</v>
      </c>
      <c r="AK30" s="309"/>
      <c r="AL30" s="108"/>
      <c r="AN30" s="306">
        <f>+AN34+AN21*$C$27*298*LN(10^(-7))</f>
        <v>-97.417484956272204</v>
      </c>
      <c r="AO30" s="307">
        <f t="shared" ref="AO30:AU30" si="24">+AO34+AO21*$C$27*298*LN(10^(-7))</f>
        <v>155.6849699125444</v>
      </c>
      <c r="AP30" s="307">
        <f t="shared" si="24"/>
        <v>-19.575000000000003</v>
      </c>
      <c r="AQ30" s="307">
        <f t="shared" si="24"/>
        <v>149.28130620563613</v>
      </c>
      <c r="AR30" s="307">
        <f t="shared" si="24"/>
        <v>-97.417484956272204</v>
      </c>
      <c r="AS30" s="307">
        <f t="shared" si="24"/>
        <v>-77.652724999999975</v>
      </c>
      <c r="AT30" s="307">
        <f t="shared" si="24"/>
        <v>-77.652724999999975</v>
      </c>
      <c r="AU30" s="308">
        <f t="shared" si="24"/>
        <v>-77.652724999999975</v>
      </c>
      <c r="AV30" s="309"/>
      <c r="AW30" s="108"/>
      <c r="AX30" s="306">
        <f>+AX34+AX21*$C$27*298*LN(10^(-7))</f>
        <v>0</v>
      </c>
      <c r="AY30" s="108"/>
      <c r="BA30" s="365"/>
    </row>
    <row r="31" spans="1:82" ht="13.5" customHeight="1" thickTop="1" thickBot="1">
      <c r="C31" s="24" t="s">
        <v>392</v>
      </c>
      <c r="N31" s="24" t="s">
        <v>392</v>
      </c>
      <c r="O31" s="105"/>
      <c r="P31" s="108"/>
      <c r="R31" s="306">
        <f t="shared" ref="R31:Y31" si="25">IF(R$24&lt;&gt;0,-(R$29/ABS(R$24))/$C$26,"NA")</f>
        <v>-0.7985846211104779</v>
      </c>
      <c r="S31" s="307">
        <f t="shared" si="25"/>
        <v>-0.4388200767420426</v>
      </c>
      <c r="T31" s="307" t="str">
        <f t="shared" si="25"/>
        <v>NA</v>
      </c>
      <c r="U31" s="307">
        <f t="shared" si="25"/>
        <v>-0.38078488258169996</v>
      </c>
      <c r="V31" s="307">
        <f t="shared" si="25"/>
        <v>-0.7985846211104779</v>
      </c>
      <c r="W31" s="307" t="str">
        <f t="shared" si="25"/>
        <v>NA</v>
      </c>
      <c r="X31" s="307" t="str">
        <f t="shared" si="25"/>
        <v>NA</v>
      </c>
      <c r="Y31" s="308" t="str">
        <f t="shared" si="25"/>
        <v>NA</v>
      </c>
      <c r="Z31" s="309"/>
      <c r="AA31" s="108"/>
      <c r="AC31" s="306">
        <f t="shared" ref="AC31:AJ31" si="26">IF(AC$24&lt;&gt;0,-(AC$29/ABS(AC$24))/$C$26,"NA")</f>
        <v>-0.7985846211104779</v>
      </c>
      <c r="AD31" s="307">
        <f t="shared" si="26"/>
        <v>-0.4388200767420426</v>
      </c>
      <c r="AE31" s="307" t="str">
        <f t="shared" si="26"/>
        <v>NA</v>
      </c>
      <c r="AF31" s="307">
        <f t="shared" si="26"/>
        <v>-0.2129121323190982</v>
      </c>
      <c r="AG31" s="307">
        <f t="shared" si="26"/>
        <v>-0.7985846211104779</v>
      </c>
      <c r="AH31" s="307" t="str">
        <f t="shared" si="26"/>
        <v>NA</v>
      </c>
      <c r="AI31" s="307" t="str">
        <f t="shared" si="26"/>
        <v>NA</v>
      </c>
      <c r="AJ31" s="308" t="str">
        <f t="shared" si="26"/>
        <v>NA</v>
      </c>
      <c r="AK31" s="309"/>
      <c r="AL31" s="108"/>
      <c r="AN31" s="306">
        <f t="shared" ref="AN31:AU31" si="27">IF(AN$24&lt;&gt;0,-(AN$29/ABS(AN$24))/$C$26,"NA")</f>
        <v>0.3547590000944878</v>
      </c>
      <c r="AO31" s="307">
        <f t="shared" si="27"/>
        <v>-0.4388200767420426</v>
      </c>
      <c r="AP31" s="307" t="str">
        <f t="shared" si="27"/>
        <v>NA</v>
      </c>
      <c r="AQ31" s="307">
        <f t="shared" si="27"/>
        <v>-0.36702752230745656</v>
      </c>
      <c r="AR31" s="307">
        <f t="shared" si="27"/>
        <v>0.3547590000944878</v>
      </c>
      <c r="AS31" s="307" t="str">
        <f t="shared" si="27"/>
        <v>NA</v>
      </c>
      <c r="AT31" s="307" t="str">
        <f t="shared" si="27"/>
        <v>NA</v>
      </c>
      <c r="AU31" s="308" t="str">
        <f t="shared" si="27"/>
        <v>NA</v>
      </c>
      <c r="AV31" s="309"/>
      <c r="AW31" s="108"/>
      <c r="AX31" s="306" t="str">
        <f>IF(AX$24&lt;&gt;0,-(AX$29/ABS(AX$24))/$C$26,"NA")</f>
        <v>NA</v>
      </c>
      <c r="AY31" s="108"/>
      <c r="BA31" s="365"/>
    </row>
    <row r="32" spans="1:82" ht="13.5" customHeight="1" thickTop="1" thickBot="1">
      <c r="C32" s="24" t="s">
        <v>401</v>
      </c>
      <c r="N32" s="24" t="s">
        <v>401</v>
      </c>
      <c r="O32" s="105"/>
      <c r="P32" s="108"/>
      <c r="R32" s="306">
        <f t="shared" ref="R32:Y32" si="28">IF(R$24&lt;&gt;0,-(R$30/ABS(R$24))/$C$26,"NA")</f>
        <v>-0.85771112112622572</v>
      </c>
      <c r="S32" s="307">
        <f t="shared" si="28"/>
        <v>-0.40339164096114527</v>
      </c>
      <c r="T32" s="307" t="str">
        <f t="shared" si="28"/>
        <v>NA</v>
      </c>
      <c r="U32" s="307">
        <f t="shared" si="28"/>
        <v>-0.33803790327392835</v>
      </c>
      <c r="V32" s="307">
        <f t="shared" si="28"/>
        <v>-0.85771112112622572</v>
      </c>
      <c r="W32" s="307" t="str">
        <f t="shared" si="28"/>
        <v>NA</v>
      </c>
      <c r="X32" s="307" t="str">
        <f t="shared" si="28"/>
        <v>NA</v>
      </c>
      <c r="Y32" s="308" t="str">
        <f t="shared" si="28"/>
        <v>NA</v>
      </c>
      <c r="Z32" s="309"/>
      <c r="AA32" s="108"/>
      <c r="AC32" s="306">
        <f t="shared" ref="AC32:AJ32" si="29">IF(AC$24&lt;&gt;0,-(AC$30/ABS(AC$24))/$C$26,"NA")</f>
        <v>-0.85771112112622572</v>
      </c>
      <c r="AD32" s="307">
        <f t="shared" si="29"/>
        <v>-0.40339164096114527</v>
      </c>
      <c r="AE32" s="307" t="str">
        <f t="shared" si="29"/>
        <v>NA</v>
      </c>
      <c r="AF32" s="307">
        <f t="shared" si="29"/>
        <v>-0.17981565638491859</v>
      </c>
      <c r="AG32" s="307">
        <f t="shared" si="29"/>
        <v>-0.85771112112622572</v>
      </c>
      <c r="AH32" s="307" t="str">
        <f t="shared" si="29"/>
        <v>NA</v>
      </c>
      <c r="AI32" s="307" t="str">
        <f t="shared" si="29"/>
        <v>NA</v>
      </c>
      <c r="AJ32" s="308" t="str">
        <f t="shared" si="29"/>
        <v>NA</v>
      </c>
      <c r="AK32" s="309"/>
      <c r="AL32" s="108"/>
      <c r="AN32" s="306">
        <f t="shared" ref="AN32:AU32" si="30">IF(AN$24&lt;&gt;0,-(AN$30/ABS(AN$24))/$C$26,"NA")</f>
        <v>0.50483227940235376</v>
      </c>
      <c r="AO32" s="307">
        <f t="shared" si="30"/>
        <v>-0.40339164096114527</v>
      </c>
      <c r="AP32" s="307" t="str">
        <f t="shared" si="30"/>
        <v>NA</v>
      </c>
      <c r="AQ32" s="307">
        <f t="shared" si="30"/>
        <v>-0.3320877952221401</v>
      </c>
      <c r="AR32" s="307">
        <f t="shared" si="30"/>
        <v>0.50483227940235376</v>
      </c>
      <c r="AS32" s="307" t="str">
        <f t="shared" si="30"/>
        <v>NA</v>
      </c>
      <c r="AT32" s="307" t="str">
        <f t="shared" si="30"/>
        <v>NA</v>
      </c>
      <c r="AU32" s="308" t="str">
        <f t="shared" si="30"/>
        <v>NA</v>
      </c>
      <c r="AV32" s="309"/>
      <c r="AW32" s="108"/>
      <c r="AX32" s="306" t="str">
        <f>IF(AX$24&lt;&gt;0,-(AX$30/ABS(AX$24))/$C$26,"NA")</f>
        <v>NA</v>
      </c>
      <c r="AY32" s="108"/>
      <c r="BA32" s="365"/>
    </row>
    <row r="33" spans="2:77" ht="13.5" customHeight="1" thickTop="1" thickBot="1">
      <c r="C33" s="24" t="s">
        <v>393</v>
      </c>
      <c r="N33" s="24" t="s">
        <v>393</v>
      </c>
      <c r="O33" s="105"/>
      <c r="P33" s="108"/>
      <c r="R33" s="306">
        <f t="shared" ref="R33:Y33" si="31">IF(R$24&lt;&gt;0,-(R$34/ABS(R$24))/$C$26,"NA")</f>
        <v>-1.2715966212364616</v>
      </c>
      <c r="S33" s="307">
        <f t="shared" si="31"/>
        <v>1.0493859149090562E-2</v>
      </c>
      <c r="T33" s="307" t="str">
        <f t="shared" si="31"/>
        <v>NA</v>
      </c>
      <c r="U33" s="307">
        <f t="shared" si="31"/>
        <v>6.077033933229186E-2</v>
      </c>
      <c r="V33" s="307">
        <f t="shared" si="31"/>
        <v>-1.2715966212364616</v>
      </c>
      <c r="W33" s="307" t="str">
        <f t="shared" si="31"/>
        <v>NA</v>
      </c>
      <c r="X33" s="307" t="str">
        <f t="shared" si="31"/>
        <v>NA</v>
      </c>
      <c r="Y33" s="308" t="str">
        <f t="shared" si="31"/>
        <v>NA</v>
      </c>
      <c r="Z33" s="309"/>
      <c r="AA33" s="108"/>
      <c r="AC33" s="306">
        <f t="shared" ref="AC33:AJ33" si="32">IF(AC$24&lt;&gt;0,-(AC$34/ABS(AC$24))/$C$26,"NA")</f>
        <v>-1.2715966212364616</v>
      </c>
      <c r="AD33" s="307">
        <f t="shared" si="32"/>
        <v>1.0493859149090562E-2</v>
      </c>
      <c r="AE33" s="307" t="str">
        <f t="shared" si="32"/>
        <v>NA</v>
      </c>
      <c r="AF33" s="307">
        <f t="shared" si="32"/>
        <v>0.24574471126161263</v>
      </c>
      <c r="AG33" s="307">
        <f t="shared" si="32"/>
        <v>-1.2715966212364616</v>
      </c>
      <c r="AH33" s="307" t="str">
        <f t="shared" si="32"/>
        <v>NA</v>
      </c>
      <c r="AI33" s="307" t="str">
        <f t="shared" si="32"/>
        <v>NA</v>
      </c>
      <c r="AJ33" s="308" t="str">
        <f t="shared" si="32"/>
        <v>NA</v>
      </c>
      <c r="AK33" s="309"/>
      <c r="AL33" s="108"/>
      <c r="AN33" s="306">
        <f t="shared" ref="AN33:AU33" si="33">IF(AN$24&lt;&gt;0,-(AN$34/ABS(AN$24))/$C$26,"NA")</f>
        <v>9.0946779292117946E-2</v>
      </c>
      <c r="AO33" s="307">
        <f t="shared" si="33"/>
        <v>1.0493859149090562E-2</v>
      </c>
      <c r="AP33" s="307" t="str">
        <f t="shared" si="33"/>
        <v>NA</v>
      </c>
      <c r="AQ33" s="307">
        <f t="shared" si="33"/>
        <v>8.1797704888095776E-2</v>
      </c>
      <c r="AR33" s="307">
        <f t="shared" si="33"/>
        <v>9.0946779292117946E-2</v>
      </c>
      <c r="AS33" s="307" t="str">
        <f t="shared" si="33"/>
        <v>NA</v>
      </c>
      <c r="AT33" s="307" t="str">
        <f t="shared" si="33"/>
        <v>NA</v>
      </c>
      <c r="AU33" s="308" t="str">
        <f t="shared" si="33"/>
        <v>NA</v>
      </c>
      <c r="AV33" s="309"/>
      <c r="AW33" s="108"/>
      <c r="AX33" s="306" t="str">
        <f>IF(AX$24&lt;&gt;0,-(AX$34/ABS(AX$24))/$C$26,"NA")</f>
        <v>NA</v>
      </c>
      <c r="AY33" s="108"/>
      <c r="BA33" s="365"/>
    </row>
    <row r="34" spans="2:77" ht="13.5" customHeight="1" thickTop="1" thickBot="1">
      <c r="C34" s="24" t="s">
        <v>202</v>
      </c>
      <c r="N34" s="24" t="s">
        <v>202</v>
      </c>
      <c r="O34" s="105"/>
      <c r="P34" s="108"/>
      <c r="R34" s="306">
        <f t="shared" ref="R34:X34" si="34">+SUMPRODUCT($D$4:$D$24,R$4:R$24)</f>
        <v>245.38</v>
      </c>
      <c r="S34" s="307">
        <f t="shared" si="34"/>
        <v>-4.0500000000000114</v>
      </c>
      <c r="T34" s="307">
        <f t="shared" si="34"/>
        <v>243.35500000000002</v>
      </c>
      <c r="U34" s="307">
        <f t="shared" si="34"/>
        <v>-24.626389999999958</v>
      </c>
      <c r="V34" s="307">
        <f t="shared" si="34"/>
        <v>245.38</v>
      </c>
      <c r="W34" s="307">
        <f t="shared" si="34"/>
        <v>490.67160999999999</v>
      </c>
      <c r="X34" s="307">
        <f t="shared" si="34"/>
        <v>490.67160999999999</v>
      </c>
      <c r="Y34" s="308">
        <f>+SUMPRODUCT($D$4:$D$24,X$4:X$24)</f>
        <v>490.67160999999999</v>
      </c>
      <c r="Z34" s="309"/>
      <c r="AA34" s="108"/>
      <c r="AC34" s="306">
        <f t="shared" ref="AC34:AI34" si="35">+SUMPRODUCT($D$4:$D$24,AC$4:AC$24)</f>
        <v>245.38</v>
      </c>
      <c r="AD34" s="307">
        <f t="shared" si="35"/>
        <v>-4.0500000000000114</v>
      </c>
      <c r="AE34" s="307">
        <f t="shared" si="35"/>
        <v>243.35500000000002</v>
      </c>
      <c r="AF34" s="307">
        <f t="shared" si="35"/>
        <v>-128.60672</v>
      </c>
      <c r="AG34" s="307">
        <f t="shared" si="35"/>
        <v>245.38</v>
      </c>
      <c r="AH34" s="307">
        <f t="shared" si="35"/>
        <v>536.8638400000001</v>
      </c>
      <c r="AI34" s="307">
        <f t="shared" si="35"/>
        <v>536.8638400000001</v>
      </c>
      <c r="AJ34" s="308">
        <f>+SUMPRODUCT($D$4:$D$24,AI$4:AI$24)</f>
        <v>536.8638400000001</v>
      </c>
      <c r="AK34" s="309"/>
      <c r="AL34" s="108"/>
      <c r="AN34" s="306">
        <f t="shared" ref="AN34:AT34" si="36">+SUMPRODUCT($D$4:$D$24,AN$4:AN$24)</f>
        <v>-17.55</v>
      </c>
      <c r="AO34" s="307">
        <f t="shared" si="36"/>
        <v>-4.0500000000000114</v>
      </c>
      <c r="AP34" s="307">
        <f t="shared" si="36"/>
        <v>-19.575000000000003</v>
      </c>
      <c r="AQ34" s="307">
        <f t="shared" si="36"/>
        <v>-36.769999999999982</v>
      </c>
      <c r="AR34" s="307">
        <f t="shared" si="36"/>
        <v>-17.55</v>
      </c>
      <c r="AS34" s="307">
        <f t="shared" si="36"/>
        <v>-77.652724999999975</v>
      </c>
      <c r="AT34" s="307">
        <f t="shared" si="36"/>
        <v>-77.652724999999975</v>
      </c>
      <c r="AU34" s="308">
        <f>+SUMPRODUCT($D$4:$D$24,AT$4:AT$24)</f>
        <v>-77.652724999999975</v>
      </c>
      <c r="AV34" s="309"/>
      <c r="AW34" s="108"/>
      <c r="AX34" s="306">
        <f>+SUMPRODUCT($D$4:$D$24,AX$4:AX$24)</f>
        <v>0</v>
      </c>
      <c r="AY34" s="108"/>
      <c r="BA34" s="365"/>
    </row>
    <row r="35" spans="2:77" ht="13.5" customHeight="1" thickTop="1">
      <c r="B35" s="128"/>
      <c r="C35" s="41" t="s">
        <v>131</v>
      </c>
      <c r="N35" s="41" t="s">
        <v>131</v>
      </c>
      <c r="O35" s="105"/>
      <c r="P35" s="108"/>
      <c r="R35" s="310">
        <f t="shared" ref="R35:X35" si="37">+SUMPRODUCT($BG$4:$BG$24,R$4:R$24)</f>
        <v>0</v>
      </c>
      <c r="S35" s="311">
        <f t="shared" si="37"/>
        <v>0</v>
      </c>
      <c r="T35" s="311">
        <f t="shared" si="37"/>
        <v>0</v>
      </c>
      <c r="U35" s="311">
        <f t="shared" si="37"/>
        <v>0</v>
      </c>
      <c r="V35" s="311">
        <f t="shared" si="37"/>
        <v>0</v>
      </c>
      <c r="W35" s="311">
        <f t="shared" si="37"/>
        <v>0</v>
      </c>
      <c r="X35" s="311">
        <f t="shared" si="37"/>
        <v>0</v>
      </c>
      <c r="Y35" s="312">
        <f>+SUMPRODUCT($BG$4:$BG$24,X$4:X$24)</f>
        <v>0</v>
      </c>
      <c r="Z35" s="1"/>
      <c r="AA35" s="108"/>
      <c r="AC35" s="310">
        <f t="shared" ref="AC35:AI35" si="38">+SUMPRODUCT($BG$4:$BG$24,AC$4:AC$24)</f>
        <v>0</v>
      </c>
      <c r="AD35" s="311">
        <f t="shared" si="38"/>
        <v>0</v>
      </c>
      <c r="AE35" s="311">
        <f t="shared" si="38"/>
        <v>0</v>
      </c>
      <c r="AF35" s="311">
        <f t="shared" si="38"/>
        <v>0</v>
      </c>
      <c r="AG35" s="311">
        <f t="shared" si="38"/>
        <v>0</v>
      </c>
      <c r="AH35" s="311">
        <f t="shared" si="38"/>
        <v>0</v>
      </c>
      <c r="AI35" s="311">
        <f t="shared" si="38"/>
        <v>0</v>
      </c>
      <c r="AJ35" s="312">
        <f>+SUMPRODUCT($BG$4:$BG$24,AI$4:AI$24)</f>
        <v>0</v>
      </c>
      <c r="AK35" s="1"/>
      <c r="AL35" s="108"/>
      <c r="AN35" s="310">
        <f t="shared" ref="AN35:AT35" si="39">+SUMPRODUCT($BG$4:$BG$24,AN$4:AN$24)</f>
        <v>0</v>
      </c>
      <c r="AO35" s="311">
        <f t="shared" si="39"/>
        <v>0</v>
      </c>
      <c r="AP35" s="311">
        <f t="shared" si="39"/>
        <v>0</v>
      </c>
      <c r="AQ35" s="311">
        <f t="shared" si="39"/>
        <v>0</v>
      </c>
      <c r="AR35" s="311">
        <f t="shared" si="39"/>
        <v>0</v>
      </c>
      <c r="AS35" s="311">
        <f t="shared" si="39"/>
        <v>0</v>
      </c>
      <c r="AT35" s="311">
        <f t="shared" si="39"/>
        <v>0</v>
      </c>
      <c r="AU35" s="312">
        <f>+SUMPRODUCT($BG$4:$BG$24,AT$4:AT$24)</f>
        <v>0</v>
      </c>
      <c r="AV35" s="1"/>
      <c r="AW35" s="108"/>
      <c r="AX35" s="310">
        <f>+SUMPRODUCT($BG$4:$BG$24,AX$4:AX$24)</f>
        <v>0</v>
      </c>
      <c r="AY35" s="108"/>
    </row>
    <row r="36" spans="2:77" ht="13.5" customHeight="1">
      <c r="B36" s="128"/>
      <c r="C36" s="41" t="s">
        <v>133</v>
      </c>
      <c r="N36" s="41" t="s">
        <v>133</v>
      </c>
      <c r="O36" s="105"/>
      <c r="P36" s="108"/>
      <c r="R36" s="313">
        <f t="shared" ref="R36:X36" si="40">+SUMPRODUCT($BH$4:$BH$24,R$4:R$24)</f>
        <v>0</v>
      </c>
      <c r="S36" s="314">
        <f t="shared" si="40"/>
        <v>0</v>
      </c>
      <c r="T36" s="314">
        <f t="shared" si="40"/>
        <v>0</v>
      </c>
      <c r="U36" s="314">
        <f t="shared" si="40"/>
        <v>2.2204460492503131E-16</v>
      </c>
      <c r="V36" s="314">
        <f t="shared" si="40"/>
        <v>0</v>
      </c>
      <c r="W36" s="314">
        <f t="shared" si="40"/>
        <v>2.2204460492503131E-16</v>
      </c>
      <c r="X36" s="314">
        <f t="shared" si="40"/>
        <v>2.2204460492503131E-16</v>
      </c>
      <c r="Y36" s="315">
        <f>+SUMPRODUCT($BH$4:$BH$24,X$4:X$24)</f>
        <v>2.2204460492503131E-16</v>
      </c>
      <c r="Z36" s="1"/>
      <c r="AA36" s="108"/>
      <c r="AC36" s="313">
        <f t="shared" ref="AC36:AI36" si="41">+SUMPRODUCT($BH$4:$BH$24,AC$4:AC$24)</f>
        <v>0</v>
      </c>
      <c r="AD36" s="314">
        <f t="shared" si="41"/>
        <v>0</v>
      </c>
      <c r="AE36" s="314">
        <f t="shared" si="41"/>
        <v>0</v>
      </c>
      <c r="AF36" s="314">
        <f t="shared" si="41"/>
        <v>2.2204460492503131E-16</v>
      </c>
      <c r="AG36" s="314">
        <f t="shared" si="41"/>
        <v>0</v>
      </c>
      <c r="AH36" s="314">
        <f t="shared" si="41"/>
        <v>2.2204460492503131E-16</v>
      </c>
      <c r="AI36" s="314">
        <f t="shared" si="41"/>
        <v>2.2204460492503131E-16</v>
      </c>
      <c r="AJ36" s="315">
        <f>+SUMPRODUCT($BH$4:$BH$24,AI$4:AI$24)</f>
        <v>2.2204460492503131E-16</v>
      </c>
      <c r="AK36" s="1"/>
      <c r="AL36" s="108"/>
      <c r="AN36" s="313">
        <f t="shared" ref="AN36:AT36" si="42">+SUMPRODUCT($BH$4:$BH$24,AN$4:AN$24)</f>
        <v>0</v>
      </c>
      <c r="AO36" s="314">
        <f t="shared" si="42"/>
        <v>0</v>
      </c>
      <c r="AP36" s="314">
        <f t="shared" si="42"/>
        <v>0</v>
      </c>
      <c r="AQ36" s="314">
        <f t="shared" si="42"/>
        <v>2.2204460492503131E-16</v>
      </c>
      <c r="AR36" s="314">
        <f t="shared" si="42"/>
        <v>0</v>
      </c>
      <c r="AS36" s="314">
        <f t="shared" si="42"/>
        <v>2.2204460492503131E-16</v>
      </c>
      <c r="AT36" s="314">
        <f t="shared" si="42"/>
        <v>2.2204460492503131E-16</v>
      </c>
      <c r="AU36" s="315">
        <f>+SUMPRODUCT($BH$4:$BH$24,AT$4:AT$24)</f>
        <v>2.2204460492503131E-16</v>
      </c>
      <c r="AV36" s="1"/>
      <c r="AW36" s="108"/>
      <c r="AX36" s="313">
        <f>+SUMPRODUCT($BH$4:$BH$24,AX$4:AX$24)</f>
        <v>0</v>
      </c>
      <c r="AY36" s="108"/>
      <c r="BE36" s="349"/>
      <c r="BF36" s="349"/>
      <c r="BG36" s="349"/>
      <c r="BH36" s="349"/>
    </row>
    <row r="37" spans="2:77" ht="13.5" customHeight="1">
      <c r="B37" s="128"/>
      <c r="C37" s="41" t="s">
        <v>135</v>
      </c>
      <c r="N37" s="41" t="s">
        <v>135</v>
      </c>
      <c r="O37" s="105"/>
      <c r="P37" s="108"/>
      <c r="R37" s="313">
        <f t="shared" ref="R37:X37" si="43">+SUMPRODUCT($BI$4:$BI$24,R$4:R$24)</f>
        <v>0</v>
      </c>
      <c r="S37" s="314">
        <f t="shared" si="43"/>
        <v>0</v>
      </c>
      <c r="T37" s="314">
        <f t="shared" si="43"/>
        <v>0</v>
      </c>
      <c r="U37" s="314">
        <f t="shared" si="43"/>
        <v>0</v>
      </c>
      <c r="V37" s="314">
        <f t="shared" si="43"/>
        <v>0</v>
      </c>
      <c r="W37" s="314">
        <f t="shared" si="43"/>
        <v>0</v>
      </c>
      <c r="X37" s="314">
        <f t="shared" si="43"/>
        <v>0</v>
      </c>
      <c r="Y37" s="315">
        <f>+SUMPRODUCT($BI$4:$BI$24,X$4:X$24)</f>
        <v>0</v>
      </c>
      <c r="Z37" s="1"/>
      <c r="AA37" s="108"/>
      <c r="AC37" s="313">
        <f t="shared" ref="AC37:AI37" si="44">+SUMPRODUCT($BI$4:$BI$24,AC$4:AC$24)</f>
        <v>0</v>
      </c>
      <c r="AD37" s="314">
        <f t="shared" si="44"/>
        <v>0</v>
      </c>
      <c r="AE37" s="314">
        <f t="shared" si="44"/>
        <v>0</v>
      </c>
      <c r="AF37" s="314">
        <f t="shared" si="44"/>
        <v>0</v>
      </c>
      <c r="AG37" s="314">
        <f t="shared" si="44"/>
        <v>0</v>
      </c>
      <c r="AH37" s="314">
        <f t="shared" si="44"/>
        <v>0</v>
      </c>
      <c r="AI37" s="314">
        <f t="shared" si="44"/>
        <v>0</v>
      </c>
      <c r="AJ37" s="315">
        <f>+SUMPRODUCT($BI$4:$BI$24,AI$4:AI$24)</f>
        <v>0</v>
      </c>
      <c r="AK37" s="1"/>
      <c r="AL37" s="108"/>
      <c r="AN37" s="313">
        <f t="shared" ref="AN37:AT37" si="45">+SUMPRODUCT($BI$4:$BI$24,AN$4:AN$24)</f>
        <v>0</v>
      </c>
      <c r="AO37" s="314">
        <f t="shared" si="45"/>
        <v>0</v>
      </c>
      <c r="AP37" s="314">
        <f t="shared" si="45"/>
        <v>0</v>
      </c>
      <c r="AQ37" s="314">
        <f t="shared" si="45"/>
        <v>0</v>
      </c>
      <c r="AR37" s="314">
        <f t="shared" si="45"/>
        <v>0</v>
      </c>
      <c r="AS37" s="314">
        <f t="shared" si="45"/>
        <v>0</v>
      </c>
      <c r="AT37" s="314">
        <f t="shared" si="45"/>
        <v>0</v>
      </c>
      <c r="AU37" s="315">
        <f>+SUMPRODUCT($BI$4:$BI$24,AT$4:AT$24)</f>
        <v>0</v>
      </c>
      <c r="AV37" s="1"/>
      <c r="AW37" s="108"/>
      <c r="AX37" s="313">
        <f>+SUMPRODUCT($BI$4:$BI$24,AX$4:AX$24)</f>
        <v>0</v>
      </c>
      <c r="AY37" s="108"/>
    </row>
    <row r="38" spans="2:77" ht="13.5" customHeight="1">
      <c r="C38" s="41" t="s">
        <v>137</v>
      </c>
      <c r="N38" s="41" t="s">
        <v>137</v>
      </c>
      <c r="O38" s="105"/>
      <c r="P38" s="108"/>
      <c r="R38" s="313">
        <f t="shared" ref="R38:X38" si="46">+SUMPRODUCT($BJ$4:$BJ$24,R$4:R$24)</f>
        <v>0</v>
      </c>
      <c r="S38" s="314">
        <f t="shared" si="46"/>
        <v>0</v>
      </c>
      <c r="T38" s="314">
        <f t="shared" si="46"/>
        <v>0</v>
      </c>
      <c r="U38" s="314">
        <f t="shared" si="46"/>
        <v>0</v>
      </c>
      <c r="V38" s="314">
        <f t="shared" si="46"/>
        <v>0</v>
      </c>
      <c r="W38" s="314">
        <f t="shared" si="46"/>
        <v>0</v>
      </c>
      <c r="X38" s="314">
        <f t="shared" si="46"/>
        <v>0</v>
      </c>
      <c r="Y38" s="315">
        <f>+SUMPRODUCT($BJ$4:$BJ$24,X$4:X$24)</f>
        <v>0</v>
      </c>
      <c r="Z38" s="1"/>
      <c r="AA38" s="108"/>
      <c r="AC38" s="313">
        <f t="shared" ref="AC38:AI38" si="47">+SUMPRODUCT($BJ$4:$BJ$24,AC$4:AC$24)</f>
        <v>0</v>
      </c>
      <c r="AD38" s="314">
        <f t="shared" si="47"/>
        <v>0</v>
      </c>
      <c r="AE38" s="314">
        <f t="shared" si="47"/>
        <v>0</v>
      </c>
      <c r="AF38" s="314">
        <f t="shared" si="47"/>
        <v>0</v>
      </c>
      <c r="AG38" s="314">
        <f t="shared" si="47"/>
        <v>0</v>
      </c>
      <c r="AH38" s="314">
        <f t="shared" si="47"/>
        <v>0</v>
      </c>
      <c r="AI38" s="314">
        <f t="shared" si="47"/>
        <v>0</v>
      </c>
      <c r="AJ38" s="315">
        <f>+SUMPRODUCT($BJ$4:$BJ$24,AI$4:AI$24)</f>
        <v>0</v>
      </c>
      <c r="AK38" s="1"/>
      <c r="AL38" s="108"/>
      <c r="AN38" s="313">
        <f t="shared" ref="AN38:AT38" si="48">+SUMPRODUCT($BJ$4:$BJ$24,AN$4:AN$24)</f>
        <v>0</v>
      </c>
      <c r="AO38" s="314">
        <f t="shared" si="48"/>
        <v>0</v>
      </c>
      <c r="AP38" s="314">
        <f t="shared" si="48"/>
        <v>0</v>
      </c>
      <c r="AQ38" s="314">
        <f t="shared" si="48"/>
        <v>0</v>
      </c>
      <c r="AR38" s="314">
        <f t="shared" si="48"/>
        <v>0</v>
      </c>
      <c r="AS38" s="314">
        <f t="shared" si="48"/>
        <v>0</v>
      </c>
      <c r="AT38" s="314">
        <f t="shared" si="48"/>
        <v>0</v>
      </c>
      <c r="AU38" s="315">
        <f>+SUMPRODUCT($BJ$4:$BJ$24,AT$4:AT$24)</f>
        <v>0</v>
      </c>
      <c r="AV38" s="1"/>
      <c r="AW38" s="108"/>
      <c r="AX38" s="313">
        <f>+SUMPRODUCT($BJ$4:$BJ$24,AX$4:AX$24)</f>
        <v>0</v>
      </c>
      <c r="AY38" s="108"/>
    </row>
    <row r="39" spans="2:77" ht="13.5" customHeight="1">
      <c r="C39" s="41" t="s">
        <v>139</v>
      </c>
      <c r="N39" s="41" t="s">
        <v>139</v>
      </c>
      <c r="O39" s="105"/>
      <c r="P39" s="108"/>
      <c r="R39" s="313">
        <f t="shared" ref="R39:X39" si="49">+SUMPRODUCT($BK$4:$BK$24,R$4:R$24)</f>
        <v>0</v>
      </c>
      <c r="S39" s="314">
        <f t="shared" si="49"/>
        <v>0</v>
      </c>
      <c r="T39" s="314">
        <f t="shared" si="49"/>
        <v>0</v>
      </c>
      <c r="U39" s="314">
        <f t="shared" si="49"/>
        <v>0</v>
      </c>
      <c r="V39" s="314">
        <f t="shared" si="49"/>
        <v>0</v>
      </c>
      <c r="W39" s="314">
        <f t="shared" si="49"/>
        <v>0</v>
      </c>
      <c r="X39" s="314">
        <f t="shared" si="49"/>
        <v>0</v>
      </c>
      <c r="Y39" s="315">
        <f>+SUMPRODUCT($BK$4:$BK$24,X$4:X$24)</f>
        <v>0</v>
      </c>
      <c r="Z39" s="1"/>
      <c r="AA39" s="108"/>
      <c r="AC39" s="313">
        <f t="shared" ref="AC39:AI39" si="50">+SUMPRODUCT($BK$4:$BK$24,AC$4:AC$24)</f>
        <v>0</v>
      </c>
      <c r="AD39" s="314">
        <f t="shared" si="50"/>
        <v>0</v>
      </c>
      <c r="AE39" s="314">
        <f t="shared" si="50"/>
        <v>0</v>
      </c>
      <c r="AF39" s="314">
        <f t="shared" si="50"/>
        <v>0</v>
      </c>
      <c r="AG39" s="314">
        <f t="shared" si="50"/>
        <v>0</v>
      </c>
      <c r="AH39" s="314">
        <f t="shared" si="50"/>
        <v>0</v>
      </c>
      <c r="AI39" s="314">
        <f t="shared" si="50"/>
        <v>0</v>
      </c>
      <c r="AJ39" s="315">
        <f>+SUMPRODUCT($BK$4:$BK$24,AI$4:AI$24)</f>
        <v>0</v>
      </c>
      <c r="AK39" s="1"/>
      <c r="AL39" s="108"/>
      <c r="AN39" s="313">
        <f t="shared" ref="AN39:AT39" si="51">+SUMPRODUCT($BK$4:$BK$24,AN$4:AN$24)</f>
        <v>0</v>
      </c>
      <c r="AO39" s="314">
        <f t="shared" si="51"/>
        <v>0</v>
      </c>
      <c r="AP39" s="314">
        <f t="shared" si="51"/>
        <v>0</v>
      </c>
      <c r="AQ39" s="314">
        <f t="shared" si="51"/>
        <v>0</v>
      </c>
      <c r="AR39" s="314">
        <f t="shared" si="51"/>
        <v>0</v>
      </c>
      <c r="AS39" s="314">
        <f t="shared" si="51"/>
        <v>0</v>
      </c>
      <c r="AT39" s="314">
        <f t="shared" si="51"/>
        <v>0</v>
      </c>
      <c r="AU39" s="315">
        <f>+SUMPRODUCT($BK$4:$BK$24,AT$4:AT$24)</f>
        <v>0</v>
      </c>
      <c r="AV39" s="1"/>
      <c r="AW39" s="108"/>
      <c r="AX39" s="313">
        <f>+SUMPRODUCT($BK$4:$BK$24,AX$4:AX$24)</f>
        <v>0</v>
      </c>
      <c r="AY39" s="108"/>
    </row>
    <row r="40" spans="2:77" ht="13.5" customHeight="1">
      <c r="C40" s="41" t="s">
        <v>322</v>
      </c>
      <c r="N40" s="41" t="s">
        <v>322</v>
      </c>
      <c r="O40" s="105"/>
      <c r="P40" s="108"/>
      <c r="R40" s="313">
        <f t="shared" ref="R40:X40" si="52">+SUMPRODUCT($BL$4:$BL$24,R$4:R$24)</f>
        <v>0</v>
      </c>
      <c r="S40" s="314">
        <f t="shared" si="52"/>
        <v>0</v>
      </c>
      <c r="T40" s="314">
        <f t="shared" si="52"/>
        <v>0</v>
      </c>
      <c r="U40" s="314">
        <f t="shared" si="52"/>
        <v>0</v>
      </c>
      <c r="V40" s="314">
        <f t="shared" si="52"/>
        <v>0</v>
      </c>
      <c r="W40" s="314">
        <f t="shared" si="52"/>
        <v>0</v>
      </c>
      <c r="X40" s="314">
        <f t="shared" si="52"/>
        <v>0</v>
      </c>
      <c r="Y40" s="315">
        <f>+SUMPRODUCT($BL$4:$BL$24,X$4:X$24)</f>
        <v>0</v>
      </c>
      <c r="Z40" s="1"/>
      <c r="AA40" s="108"/>
      <c r="AC40" s="313">
        <f t="shared" ref="AC40:AI40" si="53">+SUMPRODUCT($BL$4:$BL$24,AC$4:AC$24)</f>
        <v>0</v>
      </c>
      <c r="AD40" s="314">
        <f t="shared" si="53"/>
        <v>0</v>
      </c>
      <c r="AE40" s="314">
        <f t="shared" si="53"/>
        <v>0</v>
      </c>
      <c r="AF40" s="314">
        <f t="shared" si="53"/>
        <v>0</v>
      </c>
      <c r="AG40" s="314">
        <f t="shared" si="53"/>
        <v>0</v>
      </c>
      <c r="AH40" s="314">
        <f t="shared" si="53"/>
        <v>0</v>
      </c>
      <c r="AI40" s="314">
        <f t="shared" si="53"/>
        <v>0</v>
      </c>
      <c r="AJ40" s="315">
        <f>+SUMPRODUCT($BL$4:$BL$24,AI$4:AI$24)</f>
        <v>0</v>
      </c>
      <c r="AK40" s="1"/>
      <c r="AL40" s="108"/>
      <c r="AN40" s="313">
        <f t="shared" ref="AN40:AT40" si="54">+SUMPRODUCT($BL$4:$BL$24,AN$4:AN$24)</f>
        <v>0</v>
      </c>
      <c r="AO40" s="314">
        <f t="shared" si="54"/>
        <v>0</v>
      </c>
      <c r="AP40" s="314">
        <f t="shared" si="54"/>
        <v>0</v>
      </c>
      <c r="AQ40" s="314">
        <f t="shared" si="54"/>
        <v>0</v>
      </c>
      <c r="AR40" s="314">
        <f t="shared" si="54"/>
        <v>0</v>
      </c>
      <c r="AS40" s="314">
        <f t="shared" si="54"/>
        <v>0</v>
      </c>
      <c r="AT40" s="314">
        <f t="shared" si="54"/>
        <v>0</v>
      </c>
      <c r="AU40" s="315">
        <f>+SUMPRODUCT($BL$4:$BL$24,AT$4:AT$24)</f>
        <v>0</v>
      </c>
      <c r="AV40" s="1"/>
      <c r="AW40" s="108"/>
      <c r="AX40" s="313">
        <f>+SUMPRODUCT($BL$4:$BL$24,AX$4:AX$24)</f>
        <v>0</v>
      </c>
      <c r="AY40" s="108"/>
      <c r="BG40" s="366"/>
      <c r="BH40" s="366"/>
      <c r="BI40" s="366"/>
      <c r="BJ40" s="366"/>
      <c r="BK40" s="366"/>
      <c r="BL40" s="366"/>
      <c r="BM40" s="366"/>
      <c r="BN40" s="366"/>
      <c r="BO40" s="366"/>
      <c r="BP40" s="366"/>
      <c r="BQ40" s="366"/>
      <c r="BR40" s="366"/>
      <c r="BS40" s="366"/>
      <c r="BT40" s="366"/>
      <c r="BU40" s="366"/>
      <c r="BV40" s="366"/>
      <c r="BW40" s="367"/>
      <c r="BX40" s="367"/>
      <c r="BY40" s="368"/>
    </row>
    <row r="41" spans="2:77" ht="13.5" customHeight="1">
      <c r="C41" s="41" t="s">
        <v>323</v>
      </c>
      <c r="N41" s="41" t="s">
        <v>323</v>
      </c>
      <c r="O41" s="105"/>
      <c r="P41" s="108"/>
      <c r="R41" s="313">
        <f t="shared" ref="R41:X41" si="55">+SUMPRODUCT($BM$4:$BM$24,R$4:R$24)</f>
        <v>0</v>
      </c>
      <c r="S41" s="314">
        <f t="shared" si="55"/>
        <v>0</v>
      </c>
      <c r="T41" s="314">
        <f t="shared" si="55"/>
        <v>0</v>
      </c>
      <c r="U41" s="314">
        <f t="shared" si="55"/>
        <v>0</v>
      </c>
      <c r="V41" s="314">
        <f t="shared" si="55"/>
        <v>0</v>
      </c>
      <c r="W41" s="314">
        <f t="shared" si="55"/>
        <v>0</v>
      </c>
      <c r="X41" s="314">
        <f t="shared" si="55"/>
        <v>0</v>
      </c>
      <c r="Y41" s="315">
        <f>+SUMPRODUCT($BM$4:$BM$24,X$4:X$24)</f>
        <v>0</v>
      </c>
      <c r="Z41" s="1"/>
      <c r="AA41" s="108"/>
      <c r="AC41" s="313">
        <f t="shared" ref="AC41:AI41" si="56">+SUMPRODUCT($BM$4:$BM$24,AC$4:AC$24)</f>
        <v>0</v>
      </c>
      <c r="AD41" s="314">
        <f t="shared" si="56"/>
        <v>0</v>
      </c>
      <c r="AE41" s="314">
        <f t="shared" si="56"/>
        <v>0</v>
      </c>
      <c r="AF41" s="314">
        <f t="shared" si="56"/>
        <v>0</v>
      </c>
      <c r="AG41" s="314">
        <f t="shared" si="56"/>
        <v>0</v>
      </c>
      <c r="AH41" s="314">
        <f t="shared" si="56"/>
        <v>0</v>
      </c>
      <c r="AI41" s="314">
        <f t="shared" si="56"/>
        <v>0</v>
      </c>
      <c r="AJ41" s="315">
        <f>+SUMPRODUCT($BM$4:$BM$24,AI$4:AI$24)</f>
        <v>0</v>
      </c>
      <c r="AK41" s="1"/>
      <c r="AL41" s="108"/>
      <c r="AN41" s="313">
        <f t="shared" ref="AN41:AT41" si="57">+SUMPRODUCT($BM$4:$BM$24,AN$4:AN$24)</f>
        <v>0</v>
      </c>
      <c r="AO41" s="314">
        <f t="shared" si="57"/>
        <v>0</v>
      </c>
      <c r="AP41" s="314">
        <f t="shared" si="57"/>
        <v>0</v>
      </c>
      <c r="AQ41" s="314">
        <f t="shared" si="57"/>
        <v>0</v>
      </c>
      <c r="AR41" s="314">
        <f t="shared" si="57"/>
        <v>0</v>
      </c>
      <c r="AS41" s="314">
        <f t="shared" si="57"/>
        <v>0</v>
      </c>
      <c r="AT41" s="314">
        <f t="shared" si="57"/>
        <v>0</v>
      </c>
      <c r="AU41" s="315">
        <f>+SUMPRODUCT($BM$4:$BM$24,AT$4:AT$24)</f>
        <v>0</v>
      </c>
      <c r="AV41" s="1"/>
      <c r="AW41" s="108"/>
      <c r="AX41" s="313">
        <f>+SUMPRODUCT($BM$4:$BM$24,AX$4:AX$24)</f>
        <v>0</v>
      </c>
      <c r="AY41" s="108"/>
      <c r="BG41" s="366"/>
      <c r="BH41" s="366"/>
      <c r="BI41" s="366"/>
      <c r="BJ41" s="366"/>
      <c r="BK41" s="366"/>
      <c r="BL41" s="366"/>
      <c r="BM41" s="366"/>
      <c r="BN41" s="366"/>
      <c r="BO41" s="366"/>
      <c r="BP41" s="366"/>
      <c r="BQ41" s="366"/>
      <c r="BR41" s="366"/>
      <c r="BS41" s="366"/>
      <c r="BT41" s="366"/>
      <c r="BU41" s="366"/>
      <c r="BV41" s="366"/>
      <c r="BW41" s="367"/>
      <c r="BX41" s="367"/>
      <c r="BY41" s="368"/>
    </row>
    <row r="42" spans="2:77" ht="13.5" customHeight="1">
      <c r="C42" s="41" t="s">
        <v>337</v>
      </c>
      <c r="N42" s="41" t="s">
        <v>337</v>
      </c>
      <c r="O42" s="105"/>
      <c r="P42" s="108"/>
      <c r="R42" s="313">
        <f t="shared" ref="R42:Y42" si="58">+SUMPRODUCT($BN$4:$BN$24,R$4:R$24)</f>
        <v>0</v>
      </c>
      <c r="S42" s="314">
        <f t="shared" si="58"/>
        <v>0</v>
      </c>
      <c r="T42" s="314">
        <f t="shared" si="58"/>
        <v>0</v>
      </c>
      <c r="U42" s="314">
        <f t="shared" si="58"/>
        <v>0</v>
      </c>
      <c r="V42" s="314">
        <f t="shared" si="58"/>
        <v>0</v>
      </c>
      <c r="W42" s="314">
        <f t="shared" si="58"/>
        <v>0</v>
      </c>
      <c r="X42" s="314">
        <f t="shared" si="58"/>
        <v>0</v>
      </c>
      <c r="Y42" s="315">
        <f t="shared" si="58"/>
        <v>0</v>
      </c>
      <c r="Z42" s="1"/>
      <c r="AA42" s="108"/>
      <c r="AC42" s="313">
        <f t="shared" ref="AC42:AJ42" si="59">+SUMPRODUCT($BN$4:$BN$24,AC$4:AC$24)</f>
        <v>0</v>
      </c>
      <c r="AD42" s="314">
        <f t="shared" si="59"/>
        <v>0</v>
      </c>
      <c r="AE42" s="314">
        <f t="shared" si="59"/>
        <v>0</v>
      </c>
      <c r="AF42" s="314">
        <f t="shared" si="59"/>
        <v>0</v>
      </c>
      <c r="AG42" s="314">
        <f t="shared" si="59"/>
        <v>0</v>
      </c>
      <c r="AH42" s="314">
        <f t="shared" si="59"/>
        <v>0</v>
      </c>
      <c r="AI42" s="314">
        <f t="shared" si="59"/>
        <v>0</v>
      </c>
      <c r="AJ42" s="315">
        <f t="shared" si="59"/>
        <v>0</v>
      </c>
      <c r="AK42" s="1"/>
      <c r="AL42" s="108"/>
      <c r="AN42" s="313">
        <f t="shared" ref="AN42:AU42" si="60">+SUMPRODUCT($BN$4:$BN$24,AN$4:AN$24)</f>
        <v>0</v>
      </c>
      <c r="AO42" s="314">
        <f t="shared" si="60"/>
        <v>0</v>
      </c>
      <c r="AP42" s="314">
        <f t="shared" si="60"/>
        <v>0</v>
      </c>
      <c r="AQ42" s="314">
        <f t="shared" si="60"/>
        <v>0</v>
      </c>
      <c r="AR42" s="314">
        <f t="shared" si="60"/>
        <v>0</v>
      </c>
      <c r="AS42" s="314">
        <f t="shared" si="60"/>
        <v>0</v>
      </c>
      <c r="AT42" s="314">
        <f t="shared" si="60"/>
        <v>0</v>
      </c>
      <c r="AU42" s="315">
        <f t="shared" si="60"/>
        <v>0</v>
      </c>
      <c r="AV42" s="1"/>
      <c r="AW42" s="108"/>
      <c r="AX42" s="313">
        <f>+SUMPRODUCT($BN$4:$BN$24,AX$4:AX$24)</f>
        <v>0</v>
      </c>
      <c r="AY42" s="108"/>
      <c r="BG42" s="366"/>
      <c r="BH42" s="366"/>
      <c r="BI42" s="366"/>
      <c r="BJ42" s="366"/>
      <c r="BK42" s="366"/>
      <c r="BL42" s="366"/>
      <c r="BM42" s="366"/>
      <c r="BN42" s="366"/>
      <c r="BO42" s="366"/>
      <c r="BP42" s="366"/>
      <c r="BQ42" s="366"/>
      <c r="BR42" s="366"/>
      <c r="BS42" s="366"/>
      <c r="BT42" s="366"/>
      <c r="BU42" s="366"/>
      <c r="BV42" s="366"/>
      <c r="BW42" s="367"/>
      <c r="BX42" s="367"/>
      <c r="BY42" s="368"/>
    </row>
    <row r="43" spans="2:77" ht="13.5" customHeight="1">
      <c r="C43" s="41" t="s">
        <v>140</v>
      </c>
      <c r="N43" s="41" t="s">
        <v>140</v>
      </c>
      <c r="O43" s="105"/>
      <c r="P43" s="108"/>
      <c r="R43" s="313">
        <f t="shared" ref="R43:X43" si="61">+SUMPRODUCT($BO$4:$BO$24,R$4:R$24)</f>
        <v>0</v>
      </c>
      <c r="S43" s="314">
        <f t="shared" si="61"/>
        <v>0</v>
      </c>
      <c r="T43" s="314">
        <f t="shared" si="61"/>
        <v>0</v>
      </c>
      <c r="U43" s="314">
        <f t="shared" si="61"/>
        <v>0</v>
      </c>
      <c r="V43" s="314">
        <f t="shared" si="61"/>
        <v>0</v>
      </c>
      <c r="W43" s="314">
        <f t="shared" si="61"/>
        <v>0</v>
      </c>
      <c r="X43" s="314">
        <f t="shared" si="61"/>
        <v>0</v>
      </c>
      <c r="Y43" s="315">
        <f>+SUMPRODUCT($BO$4:$BO$24,X$4:X$24)</f>
        <v>0</v>
      </c>
      <c r="Z43" s="1"/>
      <c r="AA43" s="108"/>
      <c r="AC43" s="313">
        <f t="shared" ref="AC43:AI43" si="62">+SUMPRODUCT($BO$4:$BO$24,AC$4:AC$24)</f>
        <v>0</v>
      </c>
      <c r="AD43" s="314">
        <f t="shared" si="62"/>
        <v>0</v>
      </c>
      <c r="AE43" s="314">
        <f t="shared" si="62"/>
        <v>0</v>
      </c>
      <c r="AF43" s="314">
        <f t="shared" si="62"/>
        <v>0</v>
      </c>
      <c r="AG43" s="314">
        <f t="shared" si="62"/>
        <v>0</v>
      </c>
      <c r="AH43" s="314">
        <f t="shared" si="62"/>
        <v>0</v>
      </c>
      <c r="AI43" s="314">
        <f t="shared" si="62"/>
        <v>0</v>
      </c>
      <c r="AJ43" s="315">
        <f>+SUMPRODUCT($BO$4:$BO$24,AI$4:AI$24)</f>
        <v>0</v>
      </c>
      <c r="AK43" s="1"/>
      <c r="AL43" s="108"/>
      <c r="AN43" s="313">
        <f t="shared" ref="AN43:AT43" si="63">+SUMPRODUCT($BO$4:$BO$24,AN$4:AN$24)</f>
        <v>0</v>
      </c>
      <c r="AO43" s="314">
        <f t="shared" si="63"/>
        <v>0</v>
      </c>
      <c r="AP43" s="314">
        <f t="shared" si="63"/>
        <v>0</v>
      </c>
      <c r="AQ43" s="314">
        <f t="shared" si="63"/>
        <v>0</v>
      </c>
      <c r="AR43" s="314">
        <f t="shared" si="63"/>
        <v>0</v>
      </c>
      <c r="AS43" s="314">
        <f t="shared" si="63"/>
        <v>0</v>
      </c>
      <c r="AT43" s="314">
        <f t="shared" si="63"/>
        <v>0</v>
      </c>
      <c r="AU43" s="315">
        <f>+SUMPRODUCT($BO$4:$BO$24,AT$4:AT$24)</f>
        <v>0</v>
      </c>
      <c r="AV43" s="1"/>
      <c r="AW43" s="108"/>
      <c r="AX43" s="313">
        <f>+SUMPRODUCT($BO$4:$BO$24,AX$4:AX$24)</f>
        <v>0</v>
      </c>
      <c r="AY43" s="108"/>
    </row>
    <row r="44" spans="2:77" ht="13.5" customHeight="1">
      <c r="C44" s="41" t="s">
        <v>219</v>
      </c>
      <c r="N44" s="41" t="s">
        <v>219</v>
      </c>
      <c r="O44" s="105"/>
      <c r="P44" s="108"/>
      <c r="R44" s="313">
        <f t="shared" ref="R44:X44" si="64">+SUMPRODUCT($BP$4:$BP$24,R$4:R$24)+SUMPRODUCT($BQ$4:$BQ$24,R$4:R$24)</f>
        <v>0</v>
      </c>
      <c r="S44" s="314">
        <f t="shared" si="64"/>
        <v>0</v>
      </c>
      <c r="T44" s="314">
        <f t="shared" si="64"/>
        <v>0</v>
      </c>
      <c r="U44" s="314">
        <f t="shared" si="64"/>
        <v>0</v>
      </c>
      <c r="V44" s="314">
        <f t="shared" si="64"/>
        <v>0</v>
      </c>
      <c r="W44" s="314">
        <f t="shared" si="64"/>
        <v>0</v>
      </c>
      <c r="X44" s="314">
        <f t="shared" si="64"/>
        <v>0</v>
      </c>
      <c r="Y44" s="315">
        <f>+SUMPRODUCT($BP$4:$BP$24,X$4:X$24)+SUMPRODUCT($BQ$4:$BQ$24,X$4:X$24)</f>
        <v>0</v>
      </c>
      <c r="Z44" s="1"/>
      <c r="AA44" s="108"/>
      <c r="AC44" s="313">
        <f t="shared" ref="AC44:AI44" si="65">+SUMPRODUCT($BP$4:$BP$24,AC$4:AC$24)+SUMPRODUCT($BQ$4:$BQ$24,AC$4:AC$24)</f>
        <v>0</v>
      </c>
      <c r="AD44" s="314">
        <f t="shared" si="65"/>
        <v>0</v>
      </c>
      <c r="AE44" s="314">
        <f t="shared" si="65"/>
        <v>0</v>
      </c>
      <c r="AF44" s="314">
        <f t="shared" si="65"/>
        <v>0</v>
      </c>
      <c r="AG44" s="314">
        <f t="shared" si="65"/>
        <v>0</v>
      </c>
      <c r="AH44" s="314">
        <f t="shared" si="65"/>
        <v>0</v>
      </c>
      <c r="AI44" s="314">
        <f t="shared" si="65"/>
        <v>0</v>
      </c>
      <c r="AJ44" s="315">
        <f>+SUMPRODUCT($BP$4:$BP$24,AI$4:AI$24)+SUMPRODUCT($BQ$4:$BQ$24,AI$4:AI$24)</f>
        <v>0</v>
      </c>
      <c r="AK44" s="1"/>
      <c r="AL44" s="108"/>
      <c r="AN44" s="313">
        <f t="shared" ref="AN44:AT44" si="66">+SUMPRODUCT($BP$4:$BP$24,AN$4:AN$24)+SUMPRODUCT($BQ$4:$BQ$24,AN$4:AN$24)</f>
        <v>0</v>
      </c>
      <c r="AO44" s="314">
        <f t="shared" si="66"/>
        <v>0</v>
      </c>
      <c r="AP44" s="314">
        <f t="shared" si="66"/>
        <v>0</v>
      </c>
      <c r="AQ44" s="314">
        <f t="shared" si="66"/>
        <v>0</v>
      </c>
      <c r="AR44" s="314">
        <f t="shared" si="66"/>
        <v>0</v>
      </c>
      <c r="AS44" s="314">
        <f t="shared" si="66"/>
        <v>0</v>
      </c>
      <c r="AT44" s="314">
        <f t="shared" si="66"/>
        <v>0</v>
      </c>
      <c r="AU44" s="315">
        <f>+SUMPRODUCT($BP$4:$BP$24,AT$4:AT$24)+SUMPRODUCT($BQ$4:$BQ$24,AT$4:AT$24)</f>
        <v>0</v>
      </c>
      <c r="AV44" s="1"/>
      <c r="AW44" s="108"/>
      <c r="AX44" s="313">
        <f>+SUMPRODUCT($BP$4:$BP$24,AX$4:AX$24)+SUMPRODUCT($BQ$4:$BQ$24,AX$4:AX$24)</f>
        <v>0</v>
      </c>
      <c r="AY44" s="108"/>
    </row>
    <row r="45" spans="2:77" ht="13.5" customHeight="1">
      <c r="C45" s="41" t="s">
        <v>141</v>
      </c>
      <c r="N45" s="41" t="s">
        <v>141</v>
      </c>
      <c r="O45" s="105"/>
      <c r="P45" s="108"/>
      <c r="R45" s="313">
        <f t="shared" ref="R45:X45" si="67">+SUMPRODUCT($BR$4:$BR$24,R$4:R$24)</f>
        <v>0</v>
      </c>
      <c r="S45" s="314">
        <f t="shared" si="67"/>
        <v>0</v>
      </c>
      <c r="T45" s="314">
        <f t="shared" si="67"/>
        <v>0</v>
      </c>
      <c r="U45" s="314">
        <f t="shared" si="67"/>
        <v>0</v>
      </c>
      <c r="V45" s="314">
        <f t="shared" si="67"/>
        <v>0</v>
      </c>
      <c r="W45" s="314">
        <f t="shared" si="67"/>
        <v>0</v>
      </c>
      <c r="X45" s="314">
        <f t="shared" si="67"/>
        <v>0</v>
      </c>
      <c r="Y45" s="315">
        <f>+SUMPRODUCT($BR$4:$BR$24,X$4:X$24)</f>
        <v>0</v>
      </c>
      <c r="Z45" s="1"/>
      <c r="AA45" s="108"/>
      <c r="AC45" s="313">
        <f t="shared" ref="AC45:AI45" si="68">+SUMPRODUCT($BR$4:$BR$24,AC$4:AC$24)</f>
        <v>0</v>
      </c>
      <c r="AD45" s="314">
        <f t="shared" si="68"/>
        <v>0</v>
      </c>
      <c r="AE45" s="314">
        <f t="shared" si="68"/>
        <v>0</v>
      </c>
      <c r="AF45" s="314">
        <f t="shared" si="68"/>
        <v>0</v>
      </c>
      <c r="AG45" s="314">
        <f t="shared" si="68"/>
        <v>0</v>
      </c>
      <c r="AH45" s="314">
        <f t="shared" si="68"/>
        <v>0</v>
      </c>
      <c r="AI45" s="314">
        <f t="shared" si="68"/>
        <v>0</v>
      </c>
      <c r="AJ45" s="315">
        <f>+SUMPRODUCT($BR$4:$BR$24,AI$4:AI$24)</f>
        <v>0</v>
      </c>
      <c r="AK45" s="1"/>
      <c r="AL45" s="108"/>
      <c r="AN45" s="313">
        <f t="shared" ref="AN45:AT45" si="69">+SUMPRODUCT($BR$4:$BR$24,AN$4:AN$24)</f>
        <v>0</v>
      </c>
      <c r="AO45" s="314">
        <f t="shared" si="69"/>
        <v>0</v>
      </c>
      <c r="AP45" s="314">
        <f t="shared" si="69"/>
        <v>0</v>
      </c>
      <c r="AQ45" s="314">
        <f t="shared" si="69"/>
        <v>0</v>
      </c>
      <c r="AR45" s="314">
        <f t="shared" si="69"/>
        <v>0</v>
      </c>
      <c r="AS45" s="314">
        <f t="shared" si="69"/>
        <v>0</v>
      </c>
      <c r="AT45" s="314">
        <f t="shared" si="69"/>
        <v>0</v>
      </c>
      <c r="AU45" s="315">
        <f>+SUMPRODUCT($BR$4:$BR$24,AT$4:AT$24)</f>
        <v>0</v>
      </c>
      <c r="AV45" s="1"/>
      <c r="AW45" s="108"/>
      <c r="AX45" s="313">
        <f>+SUMPRODUCT($BR$4:$BR$24,AX$4:AX$24)</f>
        <v>0</v>
      </c>
      <c r="AY45" s="108"/>
    </row>
    <row r="46" spans="2:77" ht="13.5" customHeight="1">
      <c r="C46" s="41" t="s">
        <v>197</v>
      </c>
      <c r="N46" s="41" t="s">
        <v>197</v>
      </c>
      <c r="O46" s="105"/>
      <c r="P46" s="108"/>
      <c r="R46" s="313">
        <f t="shared" ref="R46:X46" si="70">+SUMPRODUCT($BS$4:$BS$24,R$4:R$24)</f>
        <v>0</v>
      </c>
      <c r="S46" s="314">
        <f t="shared" si="70"/>
        <v>0</v>
      </c>
      <c r="T46" s="314">
        <f t="shared" si="70"/>
        <v>0</v>
      </c>
      <c r="U46" s="314">
        <f t="shared" si="70"/>
        <v>0</v>
      </c>
      <c r="V46" s="314">
        <f t="shared" si="70"/>
        <v>0</v>
      </c>
      <c r="W46" s="314">
        <f t="shared" si="70"/>
        <v>0</v>
      </c>
      <c r="X46" s="314">
        <f t="shared" si="70"/>
        <v>0</v>
      </c>
      <c r="Y46" s="315">
        <f>+SUMPRODUCT($BS$4:$BS$24,X$4:X$24)</f>
        <v>0</v>
      </c>
      <c r="Z46" s="1"/>
      <c r="AA46" s="108"/>
      <c r="AC46" s="313">
        <f t="shared" ref="AC46:AI46" si="71">+SUMPRODUCT($BS$4:$BS$24,AC$4:AC$24)</f>
        <v>0</v>
      </c>
      <c r="AD46" s="314">
        <f t="shared" si="71"/>
        <v>0</v>
      </c>
      <c r="AE46" s="314">
        <f t="shared" si="71"/>
        <v>0</v>
      </c>
      <c r="AF46" s="314">
        <f t="shared" si="71"/>
        <v>0</v>
      </c>
      <c r="AG46" s="314">
        <f t="shared" si="71"/>
        <v>0</v>
      </c>
      <c r="AH46" s="314">
        <f t="shared" si="71"/>
        <v>0</v>
      </c>
      <c r="AI46" s="314">
        <f t="shared" si="71"/>
        <v>0</v>
      </c>
      <c r="AJ46" s="315">
        <f>+SUMPRODUCT($BS$4:$BS$24,AI$4:AI$24)</f>
        <v>0</v>
      </c>
      <c r="AK46" s="1"/>
      <c r="AL46" s="108"/>
      <c r="AN46" s="313">
        <f t="shared" ref="AN46:AT46" si="72">+SUMPRODUCT($BS$4:$BS$24,AN$4:AN$24)</f>
        <v>0</v>
      </c>
      <c r="AO46" s="314">
        <f t="shared" si="72"/>
        <v>0</v>
      </c>
      <c r="AP46" s="314">
        <f t="shared" si="72"/>
        <v>0</v>
      </c>
      <c r="AQ46" s="314">
        <f t="shared" si="72"/>
        <v>0</v>
      </c>
      <c r="AR46" s="314">
        <f t="shared" si="72"/>
        <v>0</v>
      </c>
      <c r="AS46" s="314">
        <f t="shared" si="72"/>
        <v>0</v>
      </c>
      <c r="AT46" s="314">
        <f t="shared" si="72"/>
        <v>0</v>
      </c>
      <c r="AU46" s="315">
        <f>+SUMPRODUCT($BS$4:$BS$24,AT$4:AT$24)</f>
        <v>0</v>
      </c>
      <c r="AV46" s="1"/>
      <c r="AW46" s="108"/>
      <c r="AX46" s="313">
        <f>+SUMPRODUCT($BS$4:$BS$24,AX$4:AX$24)</f>
        <v>0</v>
      </c>
      <c r="AY46" s="108"/>
    </row>
    <row r="47" spans="2:77" ht="13.5" customHeight="1" thickBot="1">
      <c r="C47" s="42" t="s">
        <v>142</v>
      </c>
      <c r="N47" s="42" t="s">
        <v>142</v>
      </c>
      <c r="O47" s="105"/>
      <c r="P47" s="108"/>
      <c r="R47" s="316">
        <f t="shared" ref="R47:X47" si="73">+SUMPRODUCT($E$4:$E$24,R$4:R$24)</f>
        <v>0</v>
      </c>
      <c r="S47" s="317">
        <f t="shared" si="73"/>
        <v>0</v>
      </c>
      <c r="T47" s="317">
        <f t="shared" si="73"/>
        <v>0</v>
      </c>
      <c r="U47" s="317">
        <f t="shared" si="73"/>
        <v>8.8817841970012523E-16</v>
      </c>
      <c r="V47" s="317">
        <f t="shared" si="73"/>
        <v>0</v>
      </c>
      <c r="W47" s="317">
        <f t="shared" si="73"/>
        <v>4.7184478546569153E-16</v>
      </c>
      <c r="X47" s="317">
        <f t="shared" si="73"/>
        <v>4.7184478546569153E-16</v>
      </c>
      <c r="Y47" s="318">
        <f>+SUMPRODUCT($E$4:$E$24,X$4:X$24)</f>
        <v>4.7184478546569153E-16</v>
      </c>
      <c r="Z47" s="1"/>
      <c r="AA47" s="108"/>
      <c r="AC47" s="316">
        <f t="shared" ref="AC47:AI47" si="74">+SUMPRODUCT($E$4:$E$24,AC$4:AC$24)</f>
        <v>0</v>
      </c>
      <c r="AD47" s="317">
        <f t="shared" si="74"/>
        <v>0</v>
      </c>
      <c r="AE47" s="317">
        <f t="shared" si="74"/>
        <v>0</v>
      </c>
      <c r="AF47" s="317">
        <f t="shared" si="74"/>
        <v>0</v>
      </c>
      <c r="AG47" s="317">
        <f t="shared" si="74"/>
        <v>0</v>
      </c>
      <c r="AH47" s="317">
        <f t="shared" si="74"/>
        <v>4.163336342344337E-16</v>
      </c>
      <c r="AI47" s="317">
        <f t="shared" si="74"/>
        <v>4.163336342344337E-16</v>
      </c>
      <c r="AJ47" s="318">
        <f>+SUMPRODUCT($E$4:$E$24,AI$4:AI$24)</f>
        <v>4.163336342344337E-16</v>
      </c>
      <c r="AK47" s="1"/>
      <c r="AL47" s="108"/>
      <c r="AN47" s="316">
        <f t="shared" ref="AN47:AT47" si="75">+SUMPRODUCT($E$4:$E$24,AN$4:AN$24)</f>
        <v>0</v>
      </c>
      <c r="AO47" s="317">
        <f t="shared" si="75"/>
        <v>0</v>
      </c>
      <c r="AP47" s="317">
        <f t="shared" si="75"/>
        <v>0</v>
      </c>
      <c r="AQ47" s="317">
        <f t="shared" si="75"/>
        <v>0</v>
      </c>
      <c r="AR47" s="317">
        <f t="shared" si="75"/>
        <v>0</v>
      </c>
      <c r="AS47" s="317">
        <f t="shared" si="75"/>
        <v>0</v>
      </c>
      <c r="AT47" s="317">
        <f t="shared" si="75"/>
        <v>0</v>
      </c>
      <c r="AU47" s="318">
        <f>+SUMPRODUCT($E$4:$E$24,AT$4:AT$24)</f>
        <v>0</v>
      </c>
      <c r="AV47" s="1"/>
      <c r="AW47" s="108"/>
      <c r="AX47" s="316">
        <f>+SUMPRODUCT($E$4:$E$24,AX$4:AX$24)</f>
        <v>0</v>
      </c>
      <c r="AY47" s="108"/>
    </row>
    <row r="48" spans="2:77" ht="13.5" customHeight="1" thickTop="1"/>
    <row r="49" ht="24.75" customHeight="1"/>
  </sheetData>
  <sheetProtection formatCells="0" formatColumns="0" formatRows="0" insertColumns="0" insertRows="0" deleteColumns="0" deleteRows="0" sort="0"/>
  <mergeCells count="3">
    <mergeCell ref="R2:Y2"/>
    <mergeCell ref="AN2:AU2"/>
    <mergeCell ref="AC2:AJ2"/>
  </mergeCells>
  <phoneticPr fontId="3" type="noConversion"/>
  <conditionalFormatting sqref="V24:Y24 J24:L24 T24 AE24 Z21:AA24 AA19:AA20 AB19:AB24 AG24:AK24 AK21:AK23 AP24 AR24:AV24 AV21:AV23 Z19 V19:Y21 AA4:AB16 AK6 Z8 I6 AS6:AU15 AH4:AK5 Z4:Z6 AG16:AJ21 AK8 AV6 AS4:AV5 AR16:AU21 AV8 AR4:AR15 AH6:AJ15 AG4:AG15 AY4:AY24 V4:Y16 Z10:Z16 I10:I18 J4:M21 AE4:AE21 AK10:AK19 T4:T21 AW4:AW24 P4:Q24 AL4:AM24 AP4:AP21 AV10:AV19 V17:AB18">
    <cfRule type="cellIs" dxfId="17" priority="1" stopIfTrue="1" operator="equal">
      <formula>0</formula>
    </cfRule>
  </conditionalFormatting>
  <conditionalFormatting sqref="BY4:CE24">
    <cfRule type="cellIs" dxfId="16" priority="2" stopIfTrue="1" operator="equal">
      <formula>"NA"</formula>
    </cfRule>
    <cfRule type="cellIs" dxfId="15" priority="3" stopIfTrue="1" operator="equal">
      <formula>0</formula>
    </cfRule>
  </conditionalFormatting>
  <conditionalFormatting sqref="R34:Z34 Z31:Z33 R29:Z30 AX29:AX30 AX34 AN34:AV34 AC34:AK34 AC29:AJ30 AK29:AK33 AV29:AV33 AN29:AU30">
    <cfRule type="cellIs" dxfId="14" priority="4" stopIfTrue="1" operator="lessThanOrEqual">
      <formula>-0.00001</formula>
    </cfRule>
    <cfRule type="cellIs" dxfId="13" priority="5" stopIfTrue="1" operator="greaterThan">
      <formula>0.00001</formula>
    </cfRule>
    <cfRule type="cellIs" dxfId="12" priority="6" stopIfTrue="1" operator="between">
      <formula>-0.00001</formula>
      <formula>0.00001</formula>
    </cfRule>
  </conditionalFormatting>
  <conditionalFormatting sqref="R35:Z47 AX35:AX47 AC35:AK47 AN35:AV47">
    <cfRule type="cellIs" dxfId="11" priority="7" stopIfTrue="1" operator="notBetween">
      <formula>-0.000001</formula>
      <formula>0.000001</formula>
    </cfRule>
    <cfRule type="cellIs" dxfId="10" priority="8" stopIfTrue="1" operator="between">
      <formula>-0.000001</formula>
      <formula>0.000001</formula>
    </cfRule>
  </conditionalFormatting>
  <conditionalFormatting sqref="R24:S24 U24 AX24 AC24:AD24 AF24 AN24:AO24 AQ24 R4:S21 U4:U21 AX4:AX21 AC4:AD21 AF4:AF21 AN4:AO21 AQ4:AQ21">
    <cfRule type="cellIs" dxfId="9" priority="9" stopIfTrue="1" operator="equal">
      <formula>0</formula>
    </cfRule>
  </conditionalFormatting>
  <conditionalFormatting sqref="Y27 AJ27 AU27">
    <cfRule type="cellIs" dxfId="8" priority="10" stopIfTrue="1" operator="equal">
      <formula>"OK"</formula>
    </cfRule>
    <cfRule type="cellIs" dxfId="7" priority="11" stopIfTrue="1" operator="notEqual">
      <formula>"OK"</formula>
    </cfRule>
  </conditionalFormatting>
  <conditionalFormatting sqref="R31:Y33 AX31:AX33 AC31:AJ33 AN31:AU33">
    <cfRule type="cellIs" dxfId="6" priority="12" stopIfTrue="1" operator="greaterThan">
      <formula>-0.00001</formula>
    </cfRule>
    <cfRule type="cellIs" dxfId="5" priority="13" stopIfTrue="1" operator="lessThanOrEqual">
      <formula>0.00001</formula>
    </cfRule>
    <cfRule type="cellIs" dxfId="4" priority="14" stopIfTrue="1" operator="between">
      <formula>-0.00001</formula>
      <formula>0.00001</formula>
    </cfRule>
  </conditionalFormatting>
  <conditionalFormatting sqref="AX22:AX23 R22:Y23 J22:N23 AC22:AJ23 AN22:AU23">
    <cfRule type="cellIs" dxfId="3" priority="15" stopIfTrue="1" operator="equal">
      <formula>0</formula>
    </cfRule>
  </conditionalFormatting>
  <printOptions verticalCentered="1"/>
  <pageMargins left="0.46" right="0.25" top="0.98425196850393704" bottom="0.98425196850393704" header="0" footer="0"/>
  <pageSetup paperSize="9" scale="25" orientation="landscape" verticalDpi="464"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8"/>
  </sheetPr>
  <dimension ref="B1:AE27"/>
  <sheetViews>
    <sheetView workbookViewId="0"/>
  </sheetViews>
  <sheetFormatPr defaultColWidth="9.109375" defaultRowHeight="13.2"/>
  <cols>
    <col min="1" max="1" width="9.109375" customWidth="1"/>
    <col min="2" max="2" width="22.109375" bestFit="1" customWidth="1"/>
    <col min="3" max="3" width="8" bestFit="1" customWidth="1"/>
    <col min="4" max="4" width="16.109375" bestFit="1" customWidth="1"/>
    <col min="5" max="6" width="8.109375" bestFit="1" customWidth="1"/>
    <col min="7" max="7" width="11.33203125" bestFit="1" customWidth="1"/>
    <col min="8" max="8" width="3.5546875" bestFit="1" customWidth="1"/>
    <col min="9" max="9" width="6" bestFit="1" customWidth="1"/>
    <col min="10" max="10" width="4" bestFit="1" customWidth="1"/>
    <col min="11" max="11" width="6" bestFit="1" customWidth="1"/>
    <col min="12" max="13" width="3" bestFit="1" customWidth="1"/>
    <col min="14" max="14" width="5" bestFit="1" customWidth="1"/>
    <col min="15" max="15" width="3.33203125" bestFit="1" customWidth="1"/>
    <col min="16" max="16" width="4" bestFit="1" customWidth="1"/>
    <col min="17" max="17" width="7" bestFit="1" customWidth="1"/>
    <col min="18" max="18" width="6.88671875" bestFit="1" customWidth="1"/>
    <col min="19" max="19" width="8.33203125" bestFit="1" customWidth="1"/>
    <col min="20" max="20" width="4.33203125" bestFit="1" customWidth="1"/>
    <col min="21" max="21" width="3.33203125" bestFit="1" customWidth="1"/>
    <col min="22" max="22" width="7.33203125" bestFit="1" customWidth="1"/>
    <col min="23" max="23" width="5.6640625" bestFit="1" customWidth="1"/>
    <col min="24" max="24" width="8.109375" bestFit="1" customWidth="1"/>
  </cols>
  <sheetData>
    <row r="1" spans="2:31">
      <c r="B1" s="15"/>
      <c r="C1" s="15"/>
      <c r="D1" s="15"/>
      <c r="E1" s="15"/>
      <c r="F1" s="15"/>
      <c r="G1" s="15"/>
      <c r="H1" s="15"/>
      <c r="I1" s="15"/>
      <c r="J1" s="15"/>
      <c r="K1" s="15"/>
      <c r="L1" s="15"/>
      <c r="M1" s="15"/>
      <c r="N1" s="15"/>
      <c r="O1" s="15"/>
      <c r="P1" s="15"/>
      <c r="Q1" s="15"/>
      <c r="R1" s="15"/>
      <c r="S1" s="15"/>
      <c r="T1" s="15"/>
      <c r="U1" s="15"/>
      <c r="V1" s="15"/>
      <c r="W1" s="15"/>
      <c r="X1" s="15"/>
      <c r="Y1" s="15"/>
      <c r="Z1" s="14"/>
      <c r="AA1" s="14"/>
      <c r="AB1" s="14"/>
      <c r="AC1" s="14"/>
      <c r="AD1" s="14"/>
      <c r="AE1" s="14"/>
    </row>
    <row r="2" spans="2:31" ht="13.8" thickBot="1">
      <c r="B2" s="15"/>
      <c r="C2" s="15"/>
      <c r="D2" s="15"/>
      <c r="E2" s="15"/>
      <c r="F2" s="15"/>
      <c r="G2" s="15"/>
      <c r="H2" s="15"/>
      <c r="I2" s="15"/>
      <c r="J2" s="15"/>
      <c r="K2" s="15"/>
      <c r="L2" s="15"/>
      <c r="M2" s="15"/>
      <c r="N2" s="15"/>
      <c r="O2" s="15"/>
      <c r="P2" s="15"/>
      <c r="Q2" s="15"/>
      <c r="R2" s="15"/>
      <c r="S2" s="15"/>
      <c r="T2" s="15"/>
      <c r="U2" s="15"/>
      <c r="V2" s="15"/>
      <c r="W2" s="15"/>
      <c r="X2" s="15"/>
      <c r="Y2" s="15"/>
      <c r="Z2" s="14"/>
      <c r="AA2" s="14"/>
      <c r="AB2" s="14"/>
      <c r="AC2" s="14"/>
      <c r="AD2" s="14"/>
      <c r="AE2" s="14"/>
    </row>
    <row r="3" spans="2:31" ht="62.4" thickTop="1" thickBot="1">
      <c r="B3" s="18" t="str">
        <f>+SpeciesDatabase!A2</f>
        <v>Name
(aquous phase unless other specified)</v>
      </c>
      <c r="C3" s="18" t="str">
        <f>+SpeciesDatabase!B2</f>
        <v>Abbrev. Name</v>
      </c>
      <c r="D3" s="18" t="str">
        <f>+SpeciesDatabase!C2</f>
        <v>Struct.</v>
      </c>
      <c r="E3" s="18" t="str">
        <f>+SpeciesDatabase!D2</f>
        <v>DGºf
(kJ/mol)</v>
      </c>
      <c r="F3" s="18" t="str">
        <f>+SpeciesDatabase!E2</f>
        <v>DHºf
(kJ/mol)</v>
      </c>
      <c r="G3" s="18" t="str">
        <f>+SpeciesDatabase!F2</f>
        <v>Sº
(J/mol K)</v>
      </c>
      <c r="H3" s="18" t="str">
        <f>+SpeciesDatabase!H2</f>
        <v>C</v>
      </c>
      <c r="I3" s="18" t="str">
        <f>+SpeciesDatabase!I2</f>
        <v>H</v>
      </c>
      <c r="J3" s="18" t="str">
        <f>+SpeciesDatabase!J2</f>
        <v>O</v>
      </c>
      <c r="K3" s="17" t="str">
        <f>+SpeciesDatabase!K2</f>
        <v>N</v>
      </c>
      <c r="L3" s="17" t="str">
        <f>+SpeciesDatabase!L2</f>
        <v>P</v>
      </c>
      <c r="M3" s="17" t="str">
        <f>+SpeciesDatabase!M2</f>
        <v>S</v>
      </c>
      <c r="N3" s="17" t="str">
        <f>+SpeciesDatabase!N2</f>
        <v>Cl</v>
      </c>
      <c r="O3" s="17" t="s">
        <v>331</v>
      </c>
      <c r="P3" s="17" t="str">
        <f>+SpeciesDatabase!P2</f>
        <v>Ad-</v>
      </c>
      <c r="Q3" s="17" t="str">
        <f>+SpeciesDatabase!Q2</f>
        <v>SpGrO</v>
      </c>
      <c r="R3" s="17" t="str">
        <f>+SpeciesDatabase!R2</f>
        <v>SpGrR</v>
      </c>
      <c r="S3" s="17" t="str">
        <f>+SpeciesDatabase!S2</f>
        <v xml:space="preserve"> -S-CoA </v>
      </c>
      <c r="T3" s="17" t="str">
        <f>+SpeciesDatabase!T2</f>
        <v>Met</v>
      </c>
      <c r="U3" s="102" t="str">
        <f>+SpeciesDatabase!U2</f>
        <v>Charge</v>
      </c>
      <c r="V3" s="18" t="str">
        <f>+SpeciesDatabase!V2</f>
        <v>Mmol
(g/mol)</v>
      </c>
      <c r="W3" s="102" t="str">
        <f>+SpeciesDatabase!W2</f>
        <v>Electrons per mole</v>
      </c>
      <c r="X3" s="102" t="str">
        <f>+SpeciesDatabase!X2</f>
        <v>Electrons
per C-mole/
or per mole</v>
      </c>
      <c r="Y3" s="14"/>
      <c r="Z3" s="23" t="s">
        <v>224</v>
      </c>
      <c r="AA3" s="23" t="s">
        <v>225</v>
      </c>
      <c r="AB3" s="23" t="s">
        <v>226</v>
      </c>
      <c r="AC3" s="23" t="s">
        <v>228</v>
      </c>
      <c r="AD3" s="23" t="s">
        <v>229</v>
      </c>
      <c r="AE3" s="23" t="s">
        <v>227</v>
      </c>
    </row>
    <row r="4" spans="2:31" ht="13.8" thickTop="1">
      <c r="B4" s="109" t="str">
        <f>SpeciesDatabase!A46</f>
        <v>Glucose</v>
      </c>
      <c r="C4" s="1" t="str">
        <f>SpeciesDatabase!B46</f>
        <v>Glu</v>
      </c>
      <c r="D4" s="1" t="str">
        <f>SpeciesDatabase!C46</f>
        <v>C6H12O6</v>
      </c>
      <c r="E4" s="1">
        <f>SpeciesDatabase!D46</f>
        <v>-917.22</v>
      </c>
      <c r="F4" s="1">
        <f>SpeciesDatabase!E46</f>
        <v>-1264</v>
      </c>
      <c r="G4" s="1" t="str">
        <f>SpeciesDatabase!F46</f>
        <v>NA</v>
      </c>
      <c r="H4" s="1">
        <f>SpeciesDatabase!H46</f>
        <v>6</v>
      </c>
      <c r="I4" s="1">
        <f>SpeciesDatabase!I46</f>
        <v>12</v>
      </c>
      <c r="J4" s="1">
        <f>SpeciesDatabase!J46</f>
        <v>6</v>
      </c>
      <c r="K4" s="1">
        <f>SpeciesDatabase!K46</f>
        <v>0</v>
      </c>
      <c r="L4" s="1">
        <f>SpeciesDatabase!L46</f>
        <v>0</v>
      </c>
      <c r="M4" s="1">
        <f>SpeciesDatabase!M46</f>
        <v>0</v>
      </c>
      <c r="N4" s="1">
        <f>SpeciesDatabase!N46</f>
        <v>0</v>
      </c>
      <c r="O4" s="1">
        <f>SpeciesDatabase!O46</f>
        <v>0</v>
      </c>
      <c r="P4" s="1">
        <f>SpeciesDatabase!P46</f>
        <v>0</v>
      </c>
      <c r="Q4" s="1">
        <f>SpeciesDatabase!Q46</f>
        <v>0</v>
      </c>
      <c r="R4" s="1">
        <f>SpeciesDatabase!R46</f>
        <v>0</v>
      </c>
      <c r="S4" s="1">
        <f>SpeciesDatabase!S46</f>
        <v>0</v>
      </c>
      <c r="T4" s="1">
        <f>SpeciesDatabase!T46</f>
        <v>0</v>
      </c>
      <c r="U4" s="1">
        <f>SpeciesDatabase!U46</f>
        <v>0</v>
      </c>
      <c r="V4" s="1">
        <f>SpeciesDatabase!V46</f>
        <v>180</v>
      </c>
      <c r="W4" s="1">
        <f>SpeciesDatabase!W46</f>
        <v>24</v>
      </c>
      <c r="X4" s="113">
        <f>SpeciesDatabase!X46</f>
        <v>4</v>
      </c>
      <c r="Y4" s="14"/>
      <c r="Z4" s="12" t="s">
        <v>189</v>
      </c>
      <c r="AA4" s="12" t="s">
        <v>189</v>
      </c>
      <c r="AB4" s="12" t="s">
        <v>189</v>
      </c>
      <c r="AC4" s="12" t="s">
        <v>189</v>
      </c>
      <c r="AD4" s="12" t="s">
        <v>189</v>
      </c>
      <c r="AE4" s="12" t="s">
        <v>189</v>
      </c>
    </row>
    <row r="5" spans="2:31">
      <c r="B5" s="109" t="str">
        <f>+SpeciesDatabase!A5</f>
        <v>Acetate</v>
      </c>
      <c r="C5" s="1" t="str">
        <f>+SpeciesDatabase!B5</f>
        <v>Ac-</v>
      </c>
      <c r="D5" s="1" t="str">
        <f>+SpeciesDatabase!C5</f>
        <v>C2H3O2-</v>
      </c>
      <c r="E5" s="1">
        <f>+SpeciesDatabase!D5</f>
        <v>-369.41</v>
      </c>
      <c r="F5" s="1">
        <f>+SpeciesDatabase!E5</f>
        <v>-486</v>
      </c>
      <c r="G5" s="1">
        <f>+SpeciesDatabase!F5</f>
        <v>86.6</v>
      </c>
      <c r="H5" s="1">
        <f>SpeciesDatabase!H5</f>
        <v>2</v>
      </c>
      <c r="I5" s="1">
        <f>SpeciesDatabase!I5</f>
        <v>3</v>
      </c>
      <c r="J5" s="1">
        <f>SpeciesDatabase!J5</f>
        <v>2</v>
      </c>
      <c r="K5" s="1">
        <f>SpeciesDatabase!K5</f>
        <v>0</v>
      </c>
      <c r="L5" s="1">
        <f>SpeciesDatabase!L5</f>
        <v>0</v>
      </c>
      <c r="M5" s="1">
        <f>SpeciesDatabase!M5</f>
        <v>0</v>
      </c>
      <c r="N5" s="1">
        <f>SpeciesDatabase!N5</f>
        <v>0</v>
      </c>
      <c r="O5" s="1">
        <f>SpeciesDatabase!O5</f>
        <v>0</v>
      </c>
      <c r="P5" s="1">
        <f>SpeciesDatabase!P5</f>
        <v>0</v>
      </c>
      <c r="Q5" s="1">
        <f>SpeciesDatabase!Q5</f>
        <v>0</v>
      </c>
      <c r="R5" s="1">
        <f>SpeciesDatabase!R5</f>
        <v>0</v>
      </c>
      <c r="S5" s="1">
        <f>SpeciesDatabase!S5</f>
        <v>0</v>
      </c>
      <c r="T5" s="1">
        <f>SpeciesDatabase!T5</f>
        <v>0</v>
      </c>
      <c r="U5" s="1">
        <f>SpeciesDatabase!U5</f>
        <v>-1</v>
      </c>
      <c r="V5" s="1">
        <f>SpeciesDatabase!V5</f>
        <v>59</v>
      </c>
      <c r="W5" s="1">
        <f>SpeciesDatabase!W5</f>
        <v>8</v>
      </c>
      <c r="X5" s="113">
        <f>SpeciesDatabase!X5</f>
        <v>4</v>
      </c>
      <c r="Y5" s="14"/>
      <c r="Z5" s="12" t="s">
        <v>189</v>
      </c>
      <c r="AA5" s="12" t="s">
        <v>189</v>
      </c>
      <c r="AB5" s="12">
        <f>-LOG(AE5)</f>
        <v>4.7661448236214392</v>
      </c>
      <c r="AC5" s="12">
        <v>0</v>
      </c>
      <c r="AD5" s="12">
        <v>0</v>
      </c>
      <c r="AE5" s="90">
        <f>EXP((SpeciesDatabase!$D$6-SpeciesDatabase!$D$5)/('Microbial Model'!$C$27*'Microbial Model'!$C$28))</f>
        <v>1.7133858516595603E-5</v>
      </c>
    </row>
    <row r="6" spans="2:31">
      <c r="B6" s="109" t="str">
        <f>+SpeciesDatabase!A59</f>
        <v>Methane</v>
      </c>
      <c r="C6" s="1" t="str">
        <f>+SpeciesDatabase!B59</f>
        <v>CH4</v>
      </c>
      <c r="D6" s="3" t="str">
        <f>+SpeciesDatabase!C59</f>
        <v>CH4</v>
      </c>
      <c r="E6" s="3">
        <f>+SpeciesDatabase!D59</f>
        <v>-34.4</v>
      </c>
      <c r="F6" s="1">
        <f>+SpeciesDatabase!E59</f>
        <v>-89</v>
      </c>
      <c r="G6" s="1">
        <f>+SpeciesDatabase!F59</f>
        <v>83.7</v>
      </c>
      <c r="H6" s="1">
        <f>+SpeciesDatabase!H59</f>
        <v>1</v>
      </c>
      <c r="I6" s="1">
        <f>+SpeciesDatabase!I59</f>
        <v>4</v>
      </c>
      <c r="J6" s="1">
        <f>+SpeciesDatabase!J59</f>
        <v>0</v>
      </c>
      <c r="K6" s="1">
        <f>+SpeciesDatabase!K59</f>
        <v>0</v>
      </c>
      <c r="L6" s="1">
        <f>+SpeciesDatabase!L59</f>
        <v>0</v>
      </c>
      <c r="M6" s="1">
        <f>+SpeciesDatabase!M59</f>
        <v>0</v>
      </c>
      <c r="N6" s="1">
        <f>+SpeciesDatabase!N59</f>
        <v>0</v>
      </c>
      <c r="O6" s="1">
        <f>+SpeciesDatabase!O59</f>
        <v>0</v>
      </c>
      <c r="P6" s="1">
        <f>+SpeciesDatabase!P59</f>
        <v>0</v>
      </c>
      <c r="Q6" s="1">
        <f>+SpeciesDatabase!Q59</f>
        <v>0</v>
      </c>
      <c r="R6" s="1">
        <f>+SpeciesDatabase!R59</f>
        <v>0</v>
      </c>
      <c r="S6" s="1">
        <f>+SpeciesDatabase!S59</f>
        <v>0</v>
      </c>
      <c r="T6" s="1">
        <f>+SpeciesDatabase!T59</f>
        <v>0</v>
      </c>
      <c r="U6" s="1">
        <f>+SpeciesDatabase!U59</f>
        <v>0</v>
      </c>
      <c r="V6" s="1">
        <f>+SpeciesDatabase!V59</f>
        <v>16</v>
      </c>
      <c r="W6" s="1">
        <f>+SpeciesDatabase!W59</f>
        <v>8</v>
      </c>
      <c r="X6" s="113">
        <f>+SpeciesDatabase!X59</f>
        <v>8</v>
      </c>
      <c r="Y6" s="14"/>
      <c r="Z6" s="43" t="s">
        <v>189</v>
      </c>
      <c r="AA6" s="43" t="s">
        <v>189</v>
      </c>
      <c r="AB6" s="43" t="s">
        <v>189</v>
      </c>
      <c r="AC6" s="12" t="s">
        <v>189</v>
      </c>
      <c r="AD6" s="12" t="s">
        <v>189</v>
      </c>
      <c r="AE6" s="12" t="s">
        <v>189</v>
      </c>
    </row>
    <row r="7" spans="2:31">
      <c r="B7" s="109" t="str">
        <f>SpeciesDatabase!A30</f>
        <v>Carbon Dioxide</v>
      </c>
      <c r="C7" s="1" t="str">
        <f>SpeciesDatabase!B30</f>
        <v>CO2</v>
      </c>
      <c r="D7" s="1" t="str">
        <f>SpeciesDatabase!C30</f>
        <v>CO2</v>
      </c>
      <c r="E7" s="1">
        <f>SpeciesDatabase!D30</f>
        <v>-386</v>
      </c>
      <c r="F7" s="1">
        <f>SpeciesDatabase!E30</f>
        <v>-413.8</v>
      </c>
      <c r="G7" s="1">
        <f>SpeciesDatabase!F30</f>
        <v>117.6</v>
      </c>
      <c r="H7" s="1">
        <f>SpeciesDatabase!H30</f>
        <v>1</v>
      </c>
      <c r="I7" s="1">
        <f>SpeciesDatabase!I30</f>
        <v>0</v>
      </c>
      <c r="J7" s="1">
        <f>SpeciesDatabase!J30</f>
        <v>2</v>
      </c>
      <c r="K7" s="1">
        <f>SpeciesDatabase!K30</f>
        <v>0</v>
      </c>
      <c r="L7" s="1">
        <f>SpeciesDatabase!L30</f>
        <v>0</v>
      </c>
      <c r="M7" s="1">
        <f>SpeciesDatabase!M30</f>
        <v>0</v>
      </c>
      <c r="N7" s="1">
        <f>SpeciesDatabase!N30</f>
        <v>0</v>
      </c>
      <c r="O7" s="1">
        <f>SpeciesDatabase!O30</f>
        <v>0</v>
      </c>
      <c r="P7" s="1">
        <f>SpeciesDatabase!P30</f>
        <v>0</v>
      </c>
      <c r="Q7" s="1">
        <f>SpeciesDatabase!Q30</f>
        <v>0</v>
      </c>
      <c r="R7" s="1">
        <f>SpeciesDatabase!R30</f>
        <v>0</v>
      </c>
      <c r="S7" s="1">
        <f>SpeciesDatabase!S30</f>
        <v>0</v>
      </c>
      <c r="T7" s="1">
        <f>SpeciesDatabase!T30</f>
        <v>0</v>
      </c>
      <c r="U7" s="1">
        <f>SpeciesDatabase!U30</f>
        <v>0</v>
      </c>
      <c r="V7" s="1">
        <f>SpeciesDatabase!V30</f>
        <v>44</v>
      </c>
      <c r="W7" s="1">
        <f>SpeciesDatabase!W30</f>
        <v>0</v>
      </c>
      <c r="X7" s="113">
        <f>SpeciesDatabase!X30</f>
        <v>0</v>
      </c>
      <c r="Y7" s="14"/>
      <c r="Z7" s="43" t="s">
        <v>189</v>
      </c>
      <c r="AA7" s="12">
        <f>-LOG(AD7)</f>
        <v>10.342131099436003</v>
      </c>
      <c r="AB7" s="12">
        <f>-LOG(AE7)</f>
        <v>6.35953417436507</v>
      </c>
      <c r="AC7" s="12">
        <v>0</v>
      </c>
      <c r="AD7" s="90">
        <f>EXP((SpeciesDatabase!$D$34-SpeciesDatabase!$D$32)/('Microbial Model'!$C$27*'Microbial Model'!$C$28))</f>
        <v>4.5485073472119088E-11</v>
      </c>
      <c r="AE7" s="90">
        <f>EXP((SpeciesDatabase!$D$30+SpeciesDatabase!$D$111-SpeciesDatabase!$D$34)/('Microbial Model'!$C$27*'Microbial Model'!$C$28))</f>
        <v>4.3698429169312641E-7</v>
      </c>
    </row>
    <row r="8" spans="2:31">
      <c r="B8" s="109" t="str">
        <f>SpeciesDatabase!A51</f>
        <v>Hydrogen</v>
      </c>
      <c r="C8" s="1" t="str">
        <f>SpeciesDatabase!B51</f>
        <v>H2</v>
      </c>
      <c r="D8" s="1" t="str">
        <f>SpeciesDatabase!C51</f>
        <v>H2</v>
      </c>
      <c r="E8" s="1">
        <f>SpeciesDatabase!D51</f>
        <v>17.55</v>
      </c>
      <c r="F8" s="1">
        <f>SpeciesDatabase!E51</f>
        <v>-4.16</v>
      </c>
      <c r="G8" s="1">
        <f>SpeciesDatabase!F51</f>
        <v>57.7</v>
      </c>
      <c r="H8" s="1">
        <f>SpeciesDatabase!H51</f>
        <v>0</v>
      </c>
      <c r="I8" s="1">
        <f>SpeciesDatabase!I51</f>
        <v>2</v>
      </c>
      <c r="J8" s="1">
        <f>SpeciesDatabase!J51</f>
        <v>0</v>
      </c>
      <c r="K8" s="1">
        <f>SpeciesDatabase!K51</f>
        <v>0</v>
      </c>
      <c r="L8" s="1">
        <f>SpeciesDatabase!L51</f>
        <v>0</v>
      </c>
      <c r="M8" s="1">
        <f>SpeciesDatabase!M51</f>
        <v>0</v>
      </c>
      <c r="N8" s="1">
        <f>SpeciesDatabase!N51</f>
        <v>0</v>
      </c>
      <c r="O8" s="1">
        <f>SpeciesDatabase!O51</f>
        <v>0</v>
      </c>
      <c r="P8" s="1">
        <f>SpeciesDatabase!P51</f>
        <v>0</v>
      </c>
      <c r="Q8" s="1">
        <f>SpeciesDatabase!Q51</f>
        <v>0</v>
      </c>
      <c r="R8" s="1">
        <f>SpeciesDatabase!R51</f>
        <v>0</v>
      </c>
      <c r="S8" s="1">
        <f>SpeciesDatabase!S51</f>
        <v>0</v>
      </c>
      <c r="T8" s="1">
        <f>SpeciesDatabase!T51</f>
        <v>0</v>
      </c>
      <c r="U8" s="1">
        <f>SpeciesDatabase!U51</f>
        <v>0</v>
      </c>
      <c r="V8" s="1">
        <f>SpeciesDatabase!V51</f>
        <v>2</v>
      </c>
      <c r="W8" s="1">
        <f>SpeciesDatabase!W51</f>
        <v>2</v>
      </c>
      <c r="X8" s="113">
        <f>SpeciesDatabase!X51</f>
        <v>2</v>
      </c>
      <c r="Y8" s="14"/>
      <c r="Z8" s="12" t="s">
        <v>189</v>
      </c>
      <c r="AA8" s="12" t="s">
        <v>189</v>
      </c>
      <c r="AB8" s="12" t="s">
        <v>189</v>
      </c>
      <c r="AC8" s="12" t="s">
        <v>189</v>
      </c>
      <c r="AD8" s="12" t="s">
        <v>189</v>
      </c>
      <c r="AE8" s="12" t="s">
        <v>189</v>
      </c>
    </row>
    <row r="9" spans="2:31">
      <c r="B9" s="109" t="str">
        <f>+SpeciesDatabase!A17</f>
        <v>Amonium</v>
      </c>
      <c r="C9" s="1" t="str">
        <f>+SpeciesDatabase!B17</f>
        <v>NH4+</v>
      </c>
      <c r="D9" s="1" t="str">
        <f>+SpeciesDatabase!C17</f>
        <v>NH4+</v>
      </c>
      <c r="E9" s="1">
        <f>+SpeciesDatabase!D17</f>
        <v>-79.37</v>
      </c>
      <c r="F9" s="1">
        <f>+SpeciesDatabase!E17</f>
        <v>-133.30000000000001</v>
      </c>
      <c r="G9" s="1">
        <f>+SpeciesDatabase!F17</f>
        <v>111.2</v>
      </c>
      <c r="H9" s="1">
        <f>+SpeciesDatabase!H17</f>
        <v>0</v>
      </c>
      <c r="I9" s="1">
        <f>+SpeciesDatabase!I17</f>
        <v>4</v>
      </c>
      <c r="J9" s="1">
        <f>+SpeciesDatabase!J17</f>
        <v>0</v>
      </c>
      <c r="K9" s="1">
        <f>+SpeciesDatabase!K17</f>
        <v>1</v>
      </c>
      <c r="L9" s="1">
        <f>+SpeciesDatabase!L17</f>
        <v>0</v>
      </c>
      <c r="M9" s="1">
        <f>+SpeciesDatabase!M17</f>
        <v>0</v>
      </c>
      <c r="N9" s="1">
        <f>+SpeciesDatabase!N17</f>
        <v>0</v>
      </c>
      <c r="O9" s="1">
        <f>+SpeciesDatabase!O17</f>
        <v>0</v>
      </c>
      <c r="P9" s="1">
        <f>+SpeciesDatabase!P17</f>
        <v>0</v>
      </c>
      <c r="Q9" s="1">
        <f>+SpeciesDatabase!Q17</f>
        <v>0</v>
      </c>
      <c r="R9" s="1">
        <f>+SpeciesDatabase!R17</f>
        <v>0</v>
      </c>
      <c r="S9" s="1">
        <f>+SpeciesDatabase!S17</f>
        <v>0</v>
      </c>
      <c r="T9" s="1">
        <f>+SpeciesDatabase!T17</f>
        <v>0</v>
      </c>
      <c r="U9" s="1">
        <f>+SpeciesDatabase!U17</f>
        <v>1</v>
      </c>
      <c r="V9" s="1">
        <f>+SpeciesDatabase!V17</f>
        <v>18</v>
      </c>
      <c r="W9" s="1">
        <f>+SpeciesDatabase!W17</f>
        <v>0</v>
      </c>
      <c r="X9" s="113">
        <f>+SpeciesDatabase!X17</f>
        <v>0</v>
      </c>
      <c r="Y9" s="14"/>
      <c r="Z9" s="43" t="s">
        <v>189</v>
      </c>
      <c r="AA9" s="12">
        <v>0</v>
      </c>
      <c r="AB9" s="12">
        <f>-LOG(AE9)</f>
        <v>9.2500721714786085</v>
      </c>
      <c r="AC9" s="12">
        <v>0</v>
      </c>
      <c r="AD9" s="12">
        <v>0</v>
      </c>
      <c r="AE9" s="90">
        <f>EXP((SpeciesDatabase!$D$17-SpeciesDatabase!$D$15)/('Microbial Model'!$C$27*'Microbial Model'!$C$28))</f>
        <v>5.622478825274284E-10</v>
      </c>
    </row>
    <row r="10" spans="2:31">
      <c r="B10" s="109" t="str">
        <f>+SpeciesDatabase!A70</f>
        <v>Nitrite</v>
      </c>
      <c r="C10" s="1" t="str">
        <f>+SpeciesDatabase!B70</f>
        <v>NO2-</v>
      </c>
      <c r="D10" s="3" t="str">
        <f>+SpeciesDatabase!C70</f>
        <v>NO2-</v>
      </c>
      <c r="E10" s="3">
        <f>+SpeciesDatabase!D70</f>
        <v>-32.200000000000003</v>
      </c>
      <c r="F10" s="1">
        <f>+SpeciesDatabase!E70</f>
        <v>-104.6</v>
      </c>
      <c r="G10" s="1">
        <f>+SpeciesDatabase!F70</f>
        <v>123</v>
      </c>
      <c r="H10" s="1">
        <f>+SpeciesDatabase!H70</f>
        <v>0</v>
      </c>
      <c r="I10" s="1">
        <f>+SpeciesDatabase!I70</f>
        <v>0</v>
      </c>
      <c r="J10" s="1">
        <f>+SpeciesDatabase!J70</f>
        <v>2</v>
      </c>
      <c r="K10" s="1">
        <f>+SpeciesDatabase!K70</f>
        <v>1</v>
      </c>
      <c r="L10" s="1">
        <f>+SpeciesDatabase!L70</f>
        <v>0</v>
      </c>
      <c r="M10" s="1">
        <f>+SpeciesDatabase!M70</f>
        <v>0</v>
      </c>
      <c r="N10" s="1">
        <f>+SpeciesDatabase!N70</f>
        <v>0</v>
      </c>
      <c r="O10" s="1">
        <f>+SpeciesDatabase!O70</f>
        <v>0</v>
      </c>
      <c r="P10" s="1">
        <f>+SpeciesDatabase!P70</f>
        <v>0</v>
      </c>
      <c r="Q10" s="1">
        <f>+SpeciesDatabase!Q70</f>
        <v>0</v>
      </c>
      <c r="R10" s="1">
        <f>+SpeciesDatabase!R70</f>
        <v>0</v>
      </c>
      <c r="S10" s="1">
        <f>+SpeciesDatabase!S70</f>
        <v>0</v>
      </c>
      <c r="T10" s="1">
        <f>+SpeciesDatabase!T70</f>
        <v>0</v>
      </c>
      <c r="U10" s="1">
        <f>+SpeciesDatabase!U70</f>
        <v>-1</v>
      </c>
      <c r="V10" s="1">
        <f>+SpeciesDatabase!V70</f>
        <v>46</v>
      </c>
      <c r="W10" s="1">
        <f>+SpeciesDatabase!W70</f>
        <v>-6</v>
      </c>
      <c r="X10" s="113">
        <f>+SpeciesDatabase!X70</f>
        <v>-6</v>
      </c>
      <c r="Y10" s="14"/>
      <c r="Z10" s="43"/>
      <c r="AA10" s="43"/>
      <c r="AB10" s="43"/>
      <c r="AC10" s="12"/>
      <c r="AD10" s="12"/>
      <c r="AE10" s="12"/>
    </row>
    <row r="11" spans="2:31">
      <c r="B11" s="109" t="str">
        <f>+SpeciesDatabase!A68</f>
        <v>Nitrate</v>
      </c>
      <c r="C11" s="1" t="str">
        <f>+SpeciesDatabase!B68</f>
        <v>NO3-</v>
      </c>
      <c r="D11" s="3" t="str">
        <f>+SpeciesDatabase!C68</f>
        <v>NO3-</v>
      </c>
      <c r="E11" s="3">
        <f>+SpeciesDatabase!D68</f>
        <v>-111.3</v>
      </c>
      <c r="F11" s="1">
        <f>+SpeciesDatabase!E68</f>
        <v>-207.4</v>
      </c>
      <c r="G11" s="1">
        <f>+SpeciesDatabase!F68</f>
        <v>146.4</v>
      </c>
      <c r="H11" s="1">
        <f>+SpeciesDatabase!H68</f>
        <v>0</v>
      </c>
      <c r="I11" s="1">
        <f>+SpeciesDatabase!I68</f>
        <v>0</v>
      </c>
      <c r="J11" s="1">
        <f>+SpeciesDatabase!J68</f>
        <v>3</v>
      </c>
      <c r="K11" s="1">
        <f>+SpeciesDatabase!K68</f>
        <v>1</v>
      </c>
      <c r="L11" s="1">
        <f>+SpeciesDatabase!L68</f>
        <v>0</v>
      </c>
      <c r="M11" s="1">
        <f>+SpeciesDatabase!M68</f>
        <v>0</v>
      </c>
      <c r="N11" s="1">
        <f>+SpeciesDatabase!N68</f>
        <v>0</v>
      </c>
      <c r="O11" s="1">
        <f>+SpeciesDatabase!O68</f>
        <v>0</v>
      </c>
      <c r="P11" s="1">
        <f>+SpeciesDatabase!P68</f>
        <v>0</v>
      </c>
      <c r="Q11" s="1">
        <f>+SpeciesDatabase!Q68</f>
        <v>0</v>
      </c>
      <c r="R11" s="1">
        <f>+SpeciesDatabase!R68</f>
        <v>0</v>
      </c>
      <c r="S11" s="1">
        <f>+SpeciesDatabase!S68</f>
        <v>0</v>
      </c>
      <c r="T11" s="1">
        <f>+SpeciesDatabase!T68</f>
        <v>0</v>
      </c>
      <c r="U11" s="1">
        <f>+SpeciesDatabase!U68</f>
        <v>-1</v>
      </c>
      <c r="V11" s="1">
        <f>+SpeciesDatabase!V68</f>
        <v>62</v>
      </c>
      <c r="W11" s="1">
        <f>+SpeciesDatabase!W68</f>
        <v>-8</v>
      </c>
      <c r="X11" s="113">
        <f>+SpeciesDatabase!X68</f>
        <v>-8</v>
      </c>
      <c r="Y11" s="14"/>
      <c r="Z11" s="43" t="s">
        <v>189</v>
      </c>
      <c r="AA11" s="43" t="s">
        <v>189</v>
      </c>
      <c r="AB11" s="43">
        <v>-1</v>
      </c>
      <c r="AC11" s="12" t="s">
        <v>189</v>
      </c>
      <c r="AD11" s="12" t="s">
        <v>189</v>
      </c>
      <c r="AE11" s="12">
        <f>10^(-AB11)</f>
        <v>10</v>
      </c>
    </row>
    <row r="12" spans="2:31">
      <c r="B12" s="109" t="str">
        <f>+SpeciesDatabase!A67</f>
        <v>Nitrogen (g)</v>
      </c>
      <c r="C12" s="1" t="str">
        <f>+SpeciesDatabase!B67</f>
        <v>N2 (g)</v>
      </c>
      <c r="D12" s="3" t="str">
        <f>+SpeciesDatabase!C67</f>
        <v>N2(g)</v>
      </c>
      <c r="E12" s="3">
        <f>+SpeciesDatabase!D67</f>
        <v>0</v>
      </c>
      <c r="F12" s="1">
        <f>+SpeciesDatabase!E67</f>
        <v>0</v>
      </c>
      <c r="G12" s="1" t="str">
        <f>+SpeciesDatabase!F67</f>
        <v>NA</v>
      </c>
      <c r="H12" s="1">
        <f>+SpeciesDatabase!H67</f>
        <v>0</v>
      </c>
      <c r="I12" s="1">
        <f>+SpeciesDatabase!I67</f>
        <v>0</v>
      </c>
      <c r="J12" s="1">
        <f>+SpeciesDatabase!J67</f>
        <v>0</v>
      </c>
      <c r="K12" s="1">
        <f>+SpeciesDatabase!K67</f>
        <v>2</v>
      </c>
      <c r="L12" s="1">
        <f>+SpeciesDatabase!L67</f>
        <v>0</v>
      </c>
      <c r="M12" s="1">
        <f>+SpeciesDatabase!M67</f>
        <v>0</v>
      </c>
      <c r="N12" s="1">
        <f>+SpeciesDatabase!N67</f>
        <v>0</v>
      </c>
      <c r="O12" s="1">
        <f>+SpeciesDatabase!O67</f>
        <v>0</v>
      </c>
      <c r="P12" s="1">
        <f>+SpeciesDatabase!P67</f>
        <v>0</v>
      </c>
      <c r="Q12" s="1">
        <f>+SpeciesDatabase!Q67</f>
        <v>0</v>
      </c>
      <c r="R12" s="1">
        <f>+SpeciesDatabase!R67</f>
        <v>0</v>
      </c>
      <c r="S12" s="1">
        <f>+SpeciesDatabase!S67</f>
        <v>0</v>
      </c>
      <c r="T12" s="1">
        <f>+SpeciesDatabase!T67</f>
        <v>0</v>
      </c>
      <c r="U12" s="1">
        <f>+SpeciesDatabase!U67</f>
        <v>0</v>
      </c>
      <c r="V12" s="1">
        <f>+SpeciesDatabase!V67</f>
        <v>28</v>
      </c>
      <c r="W12" s="1">
        <f>+SpeciesDatabase!W67</f>
        <v>-6</v>
      </c>
      <c r="X12" s="113">
        <f>+SpeciesDatabase!X67</f>
        <v>-6</v>
      </c>
      <c r="Y12" s="14"/>
      <c r="Z12" s="43" t="s">
        <v>189</v>
      </c>
      <c r="AA12" s="43" t="s">
        <v>189</v>
      </c>
      <c r="AB12" s="43" t="s">
        <v>189</v>
      </c>
      <c r="AC12" s="12" t="s">
        <v>189</v>
      </c>
      <c r="AD12" s="12" t="s">
        <v>189</v>
      </c>
      <c r="AE12" s="12" t="s">
        <v>189</v>
      </c>
    </row>
    <row r="13" spans="2:31">
      <c r="B13" s="109" t="str">
        <f>+SpeciesDatabase!A92</f>
        <v>Hydrogen Sulfide</v>
      </c>
      <c r="C13" s="1" t="str">
        <f>+SpeciesDatabase!B92</f>
        <v>HS-</v>
      </c>
      <c r="D13" s="3" t="str">
        <f>+SpeciesDatabase!C92</f>
        <v>HS-</v>
      </c>
      <c r="E13" s="3">
        <f>+SpeciesDatabase!D92</f>
        <v>12.1</v>
      </c>
      <c r="F13" s="1">
        <f>+SpeciesDatabase!E92</f>
        <v>-17.600000000000001</v>
      </c>
      <c r="G13" s="1">
        <f>+SpeciesDatabase!F92</f>
        <v>62.8</v>
      </c>
      <c r="H13" s="1">
        <f>+SpeciesDatabase!H92</f>
        <v>0</v>
      </c>
      <c r="I13" s="1">
        <f>+SpeciesDatabase!I92</f>
        <v>1</v>
      </c>
      <c r="J13" s="1">
        <f>+SpeciesDatabase!J92</f>
        <v>0</v>
      </c>
      <c r="K13" s="1">
        <f>+SpeciesDatabase!K92</f>
        <v>0</v>
      </c>
      <c r="L13" s="1">
        <f>+SpeciesDatabase!L92</f>
        <v>0</v>
      </c>
      <c r="M13" s="1">
        <f>+SpeciesDatabase!M92</f>
        <v>1</v>
      </c>
      <c r="N13" s="1">
        <f>+SpeciesDatabase!N92</f>
        <v>0</v>
      </c>
      <c r="O13" s="1">
        <f>+SpeciesDatabase!O92</f>
        <v>0</v>
      </c>
      <c r="P13" s="1">
        <f>+SpeciesDatabase!P92</f>
        <v>0</v>
      </c>
      <c r="Q13" s="1">
        <f>+SpeciesDatabase!Q92</f>
        <v>0</v>
      </c>
      <c r="R13" s="1">
        <f>+SpeciesDatabase!R92</f>
        <v>0</v>
      </c>
      <c r="S13" s="1">
        <f>+SpeciesDatabase!S92</f>
        <v>0</v>
      </c>
      <c r="T13" s="1">
        <f>+SpeciesDatabase!T92</f>
        <v>0</v>
      </c>
      <c r="U13" s="1">
        <f>+SpeciesDatabase!U92</f>
        <v>-1</v>
      </c>
      <c r="V13" s="1">
        <f>+SpeciesDatabase!V92</f>
        <v>33</v>
      </c>
      <c r="W13" s="1">
        <f>+SpeciesDatabase!W92</f>
        <v>8</v>
      </c>
      <c r="X13" s="113">
        <f>+SpeciesDatabase!X92</f>
        <v>8</v>
      </c>
      <c r="Y13" s="14"/>
      <c r="Z13" s="43" t="s">
        <v>189</v>
      </c>
      <c r="AA13" s="43">
        <v>11.96</v>
      </c>
      <c r="AB13" s="43">
        <v>7.04</v>
      </c>
      <c r="AC13" s="12" t="s">
        <v>189</v>
      </c>
      <c r="AD13" s="12">
        <f>10^(-AA13)</f>
        <v>1.0964781961431817E-12</v>
      </c>
      <c r="AE13" s="12">
        <f>10^(-AB13)</f>
        <v>9.120108393559095E-8</v>
      </c>
    </row>
    <row r="14" spans="2:31">
      <c r="B14" s="109" t="str">
        <f>+SpeciesDatabase!A95</f>
        <v>Sulfate</v>
      </c>
      <c r="C14" s="1" t="str">
        <f>+SpeciesDatabase!B95</f>
        <v>SO42-</v>
      </c>
      <c r="D14" s="3" t="str">
        <f>+SpeciesDatabase!C95</f>
        <v>SO42-</v>
      </c>
      <c r="E14" s="3">
        <f>+SpeciesDatabase!D95</f>
        <v>-744.6</v>
      </c>
      <c r="F14" s="1">
        <f>+SpeciesDatabase!E95</f>
        <v>-909.6</v>
      </c>
      <c r="G14" s="1">
        <f>+SpeciesDatabase!F95</f>
        <v>20.100000000000001</v>
      </c>
      <c r="H14" s="1">
        <f>+SpeciesDatabase!H95</f>
        <v>0</v>
      </c>
      <c r="I14" s="1">
        <f>+SpeciesDatabase!I95</f>
        <v>0</v>
      </c>
      <c r="J14" s="1">
        <f>+SpeciesDatabase!J95</f>
        <v>4</v>
      </c>
      <c r="K14" s="1">
        <f>+SpeciesDatabase!K95</f>
        <v>0</v>
      </c>
      <c r="L14" s="1">
        <f>+SpeciesDatabase!L95</f>
        <v>0</v>
      </c>
      <c r="M14" s="1">
        <f>+SpeciesDatabase!M95</f>
        <v>1</v>
      </c>
      <c r="N14" s="1">
        <f>+SpeciesDatabase!N95</f>
        <v>0</v>
      </c>
      <c r="O14" s="1">
        <f>+SpeciesDatabase!O95</f>
        <v>0</v>
      </c>
      <c r="P14" s="1">
        <f>+SpeciesDatabase!P95</f>
        <v>0</v>
      </c>
      <c r="Q14" s="1">
        <f>+SpeciesDatabase!Q95</f>
        <v>0</v>
      </c>
      <c r="R14" s="1">
        <f>+SpeciesDatabase!R95</f>
        <v>0</v>
      </c>
      <c r="S14" s="1">
        <f>+SpeciesDatabase!S95</f>
        <v>0</v>
      </c>
      <c r="T14" s="1">
        <f>+SpeciesDatabase!T95</f>
        <v>0</v>
      </c>
      <c r="U14" s="1">
        <f>+SpeciesDatabase!U95</f>
        <v>-2</v>
      </c>
      <c r="V14" s="1">
        <f>+SpeciesDatabase!V95</f>
        <v>96</v>
      </c>
      <c r="W14" s="1">
        <f>+SpeciesDatabase!W95</f>
        <v>0</v>
      </c>
      <c r="X14" s="113">
        <f>+SpeciesDatabase!X95</f>
        <v>0</v>
      </c>
      <c r="Y14" s="14"/>
      <c r="Z14" s="43" t="s">
        <v>189</v>
      </c>
      <c r="AA14" s="43">
        <v>1.99</v>
      </c>
      <c r="AB14" s="43">
        <v>-3</v>
      </c>
      <c r="AC14" s="12" t="s">
        <v>189</v>
      </c>
      <c r="AD14" s="12">
        <f>10^(-AA14)</f>
        <v>1.0232929922807535E-2</v>
      </c>
      <c r="AE14" s="12">
        <f>10^(-AB14)</f>
        <v>1000</v>
      </c>
    </row>
    <row r="15" spans="2:31">
      <c r="B15" s="109" t="str">
        <f>+SpeciesDatabase!A107</f>
        <v>Ferrous iron</v>
      </c>
      <c r="C15" s="1" t="str">
        <f>+SpeciesDatabase!B107</f>
        <v>Fe2+</v>
      </c>
      <c r="D15" s="3" t="str">
        <f>+SpeciesDatabase!C107</f>
        <v>Fe2+</v>
      </c>
      <c r="E15" s="3">
        <f>+SpeciesDatabase!D107</f>
        <v>-78.900000000000006</v>
      </c>
      <c r="F15" s="1">
        <f>+SpeciesDatabase!E107</f>
        <v>-89.1</v>
      </c>
      <c r="G15" s="1" t="str">
        <f>+SpeciesDatabase!F107</f>
        <v>NA</v>
      </c>
      <c r="H15" s="1">
        <f>+SpeciesDatabase!H107</f>
        <v>0</v>
      </c>
      <c r="I15" s="1">
        <f>+SpeciesDatabase!I107</f>
        <v>0</v>
      </c>
      <c r="J15" s="1">
        <f>+SpeciesDatabase!J107</f>
        <v>0</v>
      </c>
      <c r="K15" s="1">
        <f>+SpeciesDatabase!K107</f>
        <v>0</v>
      </c>
      <c r="L15" s="1">
        <f>+SpeciesDatabase!L107</f>
        <v>0</v>
      </c>
      <c r="M15" s="1">
        <f>+SpeciesDatabase!M107</f>
        <v>0</v>
      </c>
      <c r="N15" s="1">
        <f>+SpeciesDatabase!N107</f>
        <v>0</v>
      </c>
      <c r="O15" s="1">
        <f>+SpeciesDatabase!O107</f>
        <v>1</v>
      </c>
      <c r="P15" s="1">
        <f>+SpeciesDatabase!P107</f>
        <v>0</v>
      </c>
      <c r="Q15" s="1">
        <f>+SpeciesDatabase!Q107</f>
        <v>0</v>
      </c>
      <c r="R15" s="1">
        <f>+SpeciesDatabase!R107</f>
        <v>0</v>
      </c>
      <c r="S15" s="1">
        <f>+SpeciesDatabase!S107</f>
        <v>0</v>
      </c>
      <c r="T15" s="1">
        <f>+SpeciesDatabase!T107</f>
        <v>0</v>
      </c>
      <c r="U15" s="1">
        <f>+SpeciesDatabase!U107</f>
        <v>2</v>
      </c>
      <c r="V15" s="1">
        <f>+SpeciesDatabase!V107</f>
        <v>56</v>
      </c>
      <c r="W15" s="1">
        <f>+SpeciesDatabase!W107</f>
        <v>1</v>
      </c>
      <c r="X15" s="113">
        <f>+SpeciesDatabase!X107</f>
        <v>1</v>
      </c>
      <c r="Y15" s="14"/>
      <c r="Z15" s="43" t="s">
        <v>189</v>
      </c>
      <c r="AA15" s="43" t="s">
        <v>189</v>
      </c>
      <c r="AB15" s="43" t="s">
        <v>189</v>
      </c>
      <c r="AC15" s="12" t="s">
        <v>189</v>
      </c>
      <c r="AD15" s="12" t="s">
        <v>189</v>
      </c>
      <c r="AE15" s="12" t="s">
        <v>189</v>
      </c>
    </row>
    <row r="16" spans="2:31">
      <c r="B16" s="109" t="str">
        <f>+SpeciesDatabase!A108</f>
        <v>Ferric iron</v>
      </c>
      <c r="C16" s="1" t="str">
        <f>+SpeciesDatabase!B108</f>
        <v>Fe3+</v>
      </c>
      <c r="D16" s="3" t="str">
        <f>+SpeciesDatabase!C108</f>
        <v>Fe3+</v>
      </c>
      <c r="E16" s="3">
        <f>+SpeciesDatabase!D108</f>
        <v>-4.5999999999999996</v>
      </c>
      <c r="F16" s="1">
        <f>+SpeciesDatabase!E108</f>
        <v>-48.5</v>
      </c>
      <c r="G16" s="1" t="str">
        <f>+SpeciesDatabase!F108</f>
        <v>NA</v>
      </c>
      <c r="H16" s="1">
        <f>+SpeciesDatabase!H108</f>
        <v>0</v>
      </c>
      <c r="I16" s="1">
        <f>+SpeciesDatabase!I108</f>
        <v>0</v>
      </c>
      <c r="J16" s="1">
        <f>+SpeciesDatabase!J108</f>
        <v>0</v>
      </c>
      <c r="K16" s="1">
        <f>+SpeciesDatabase!K108</f>
        <v>0</v>
      </c>
      <c r="L16" s="1">
        <f>+SpeciesDatabase!L108</f>
        <v>0</v>
      </c>
      <c r="M16" s="1">
        <f>+SpeciesDatabase!M108</f>
        <v>0</v>
      </c>
      <c r="N16" s="1">
        <f>+SpeciesDatabase!N108</f>
        <v>0</v>
      </c>
      <c r="O16" s="1">
        <f>+SpeciesDatabase!O108</f>
        <v>1</v>
      </c>
      <c r="P16" s="1">
        <f>+SpeciesDatabase!P108</f>
        <v>0</v>
      </c>
      <c r="Q16" s="1">
        <f>+SpeciesDatabase!Q108</f>
        <v>0</v>
      </c>
      <c r="R16" s="1">
        <f>+SpeciesDatabase!R108</f>
        <v>0</v>
      </c>
      <c r="S16" s="1">
        <f>+SpeciesDatabase!S108</f>
        <v>0</v>
      </c>
      <c r="T16" s="1">
        <f>+SpeciesDatabase!T108</f>
        <v>0</v>
      </c>
      <c r="U16" s="1">
        <f>+SpeciesDatabase!U108</f>
        <v>3</v>
      </c>
      <c r="V16" s="1">
        <f>+SpeciesDatabase!V108</f>
        <v>56</v>
      </c>
      <c r="W16" s="1">
        <f>+SpeciesDatabase!W108</f>
        <v>0</v>
      </c>
      <c r="X16" s="113">
        <f>+SpeciesDatabase!X108</f>
        <v>0</v>
      </c>
      <c r="Y16" s="14"/>
      <c r="Z16" s="43" t="s">
        <v>189</v>
      </c>
      <c r="AA16" s="43" t="s">
        <v>189</v>
      </c>
      <c r="AB16" s="43" t="s">
        <v>189</v>
      </c>
      <c r="AC16" s="12" t="s">
        <v>189</v>
      </c>
      <c r="AD16" s="12" t="s">
        <v>189</v>
      </c>
      <c r="AE16" s="12" t="s">
        <v>189</v>
      </c>
    </row>
    <row r="17" spans="2:31">
      <c r="B17" s="109" t="str">
        <f>+SpeciesDatabase!A73</f>
        <v>Oxygen</v>
      </c>
      <c r="C17" s="1" t="str">
        <f>+SpeciesDatabase!B73</f>
        <v>O2</v>
      </c>
      <c r="D17" s="3" t="str">
        <f>+SpeciesDatabase!C73</f>
        <v>O2</v>
      </c>
      <c r="E17" s="3">
        <f>+SpeciesDatabase!D73</f>
        <v>16.399999999999999</v>
      </c>
      <c r="F17" s="1">
        <f>+SpeciesDatabase!E73</f>
        <v>-11.7</v>
      </c>
      <c r="G17" s="1">
        <f>+SpeciesDatabase!F73</f>
        <v>110.9</v>
      </c>
      <c r="H17" s="1">
        <f>+SpeciesDatabase!H73</f>
        <v>0</v>
      </c>
      <c r="I17" s="1">
        <f>+SpeciesDatabase!I73</f>
        <v>0</v>
      </c>
      <c r="J17" s="1">
        <f>+SpeciesDatabase!J73</f>
        <v>2</v>
      </c>
      <c r="K17" s="1">
        <f>+SpeciesDatabase!K73</f>
        <v>0</v>
      </c>
      <c r="L17" s="1">
        <f>+SpeciesDatabase!L73</f>
        <v>0</v>
      </c>
      <c r="M17" s="1">
        <f>+SpeciesDatabase!M73</f>
        <v>0</v>
      </c>
      <c r="N17" s="1">
        <f>+SpeciesDatabase!N73</f>
        <v>0</v>
      </c>
      <c r="O17" s="1">
        <f>+SpeciesDatabase!O73</f>
        <v>0</v>
      </c>
      <c r="P17" s="1">
        <f>+SpeciesDatabase!P73</f>
        <v>0</v>
      </c>
      <c r="Q17" s="1">
        <f>+SpeciesDatabase!Q73</f>
        <v>0</v>
      </c>
      <c r="R17" s="1">
        <f>+SpeciesDatabase!R73</f>
        <v>0</v>
      </c>
      <c r="S17" s="1">
        <f>+SpeciesDatabase!S73</f>
        <v>0</v>
      </c>
      <c r="T17" s="1">
        <f>+SpeciesDatabase!T73</f>
        <v>0</v>
      </c>
      <c r="U17" s="1">
        <f>+SpeciesDatabase!U73</f>
        <v>0</v>
      </c>
      <c r="V17" s="1">
        <f>+SpeciesDatabase!V73</f>
        <v>32</v>
      </c>
      <c r="W17" s="1">
        <f>+SpeciesDatabase!W73</f>
        <v>-4</v>
      </c>
      <c r="X17" s="113">
        <f>+SpeciesDatabase!X73</f>
        <v>-4</v>
      </c>
      <c r="Y17" s="14"/>
      <c r="Z17" s="43" t="s">
        <v>189</v>
      </c>
      <c r="AA17" s="43" t="s">
        <v>189</v>
      </c>
      <c r="AB17" s="43" t="s">
        <v>189</v>
      </c>
      <c r="AC17" s="12" t="s">
        <v>189</v>
      </c>
      <c r="AD17" s="12" t="s">
        <v>189</v>
      </c>
      <c r="AE17" s="12" t="s">
        <v>189</v>
      </c>
    </row>
    <row r="18" spans="2:31">
      <c r="B18" s="109" t="str">
        <f>+SpeciesDatabase!A109</f>
        <v>Iron trihydroxide (s)</v>
      </c>
      <c r="C18" s="1" t="str">
        <f>+SpeciesDatabase!B109</f>
        <v>Fe(OH)3</v>
      </c>
      <c r="D18" s="1" t="str">
        <f>+SpeciesDatabase!C109</f>
        <v>Fe(OH)3</v>
      </c>
      <c r="E18" s="1">
        <f>+SpeciesDatabase!D109</f>
        <v>-696.6</v>
      </c>
      <c r="F18" s="1">
        <f>+SpeciesDatabase!E109</f>
        <v>-823</v>
      </c>
      <c r="G18" s="1">
        <f>+SpeciesDatabase!F109</f>
        <v>106.7</v>
      </c>
      <c r="H18" s="1">
        <f>+SpeciesDatabase!H109</f>
        <v>0</v>
      </c>
      <c r="I18" s="1">
        <f>+SpeciesDatabase!I109</f>
        <v>1</v>
      </c>
      <c r="J18" s="1">
        <f>+SpeciesDatabase!J109</f>
        <v>2</v>
      </c>
      <c r="K18" s="1">
        <f>+SpeciesDatabase!K109</f>
        <v>0</v>
      </c>
      <c r="L18" s="1">
        <f>+SpeciesDatabase!L109</f>
        <v>0</v>
      </c>
      <c r="M18" s="1">
        <f>+SpeciesDatabase!M109</f>
        <v>0</v>
      </c>
      <c r="N18" s="1">
        <f>+SpeciesDatabase!N109</f>
        <v>0</v>
      </c>
      <c r="O18" s="1">
        <f>+SpeciesDatabase!O109</f>
        <v>1</v>
      </c>
      <c r="P18" s="1">
        <f>+SpeciesDatabase!P109</f>
        <v>0</v>
      </c>
      <c r="Q18" s="1">
        <f>+SpeciesDatabase!Q109</f>
        <v>0</v>
      </c>
      <c r="R18" s="1">
        <f>+SpeciesDatabase!R109</f>
        <v>0</v>
      </c>
      <c r="S18" s="1">
        <f>+SpeciesDatabase!S109</f>
        <v>0</v>
      </c>
      <c r="T18" s="1">
        <f>+SpeciesDatabase!T109</f>
        <v>0</v>
      </c>
      <c r="U18" s="1">
        <f>+SpeciesDatabase!U109</f>
        <v>0</v>
      </c>
      <c r="V18" s="1">
        <f>+SpeciesDatabase!V109</f>
        <v>89</v>
      </c>
      <c r="W18" s="1">
        <f>+SpeciesDatabase!W109</f>
        <v>0</v>
      </c>
      <c r="X18" s="113">
        <f>+SpeciesDatabase!X109</f>
        <v>0</v>
      </c>
      <c r="Y18" s="14"/>
      <c r="Z18" s="43" t="s">
        <v>189</v>
      </c>
      <c r="AA18" s="43" t="s">
        <v>189</v>
      </c>
      <c r="AB18" s="43" t="s">
        <v>189</v>
      </c>
      <c r="AC18" s="12" t="s">
        <v>189</v>
      </c>
      <c r="AD18" s="12" t="s">
        <v>189</v>
      </c>
      <c r="AE18" s="12" t="s">
        <v>189</v>
      </c>
    </row>
    <row r="19" spans="2:31">
      <c r="B19" s="109" t="str">
        <f>+SpeciesDatabase!A55</f>
        <v>Lactate</v>
      </c>
      <c r="C19" s="1" t="str">
        <f>+SpeciesDatabase!B55</f>
        <v>Lac-</v>
      </c>
      <c r="D19" s="1" t="str">
        <f>+SpeciesDatabase!C55</f>
        <v>C3H5O3-</v>
      </c>
      <c r="E19" s="1">
        <f>+SpeciesDatabase!D55</f>
        <v>-517.80999999999995</v>
      </c>
      <c r="F19" s="1">
        <f>+SpeciesDatabase!E55</f>
        <v>-687</v>
      </c>
      <c r="G19" s="1" t="str">
        <f>+SpeciesDatabase!F55</f>
        <v>NA</v>
      </c>
      <c r="H19" s="1">
        <f>+SpeciesDatabase!H55</f>
        <v>3</v>
      </c>
      <c r="I19" s="1">
        <f>+SpeciesDatabase!I55</f>
        <v>5</v>
      </c>
      <c r="J19" s="1">
        <f>+SpeciesDatabase!J55</f>
        <v>3</v>
      </c>
      <c r="K19" s="1">
        <f>+SpeciesDatabase!K55</f>
        <v>0</v>
      </c>
      <c r="L19" s="1">
        <f>+SpeciesDatabase!L55</f>
        <v>0</v>
      </c>
      <c r="M19" s="1">
        <f>+SpeciesDatabase!M55</f>
        <v>0</v>
      </c>
      <c r="N19" s="1">
        <f>+SpeciesDatabase!N55</f>
        <v>0</v>
      </c>
      <c r="O19" s="1">
        <f>+SpeciesDatabase!O55</f>
        <v>0</v>
      </c>
      <c r="P19" s="1">
        <f>+SpeciesDatabase!P55</f>
        <v>0</v>
      </c>
      <c r="Q19" s="1">
        <f>+SpeciesDatabase!Q55</f>
        <v>0</v>
      </c>
      <c r="R19" s="1">
        <f>+SpeciesDatabase!R55</f>
        <v>0</v>
      </c>
      <c r="S19" s="1">
        <f>+SpeciesDatabase!S55</f>
        <v>0</v>
      </c>
      <c r="T19" s="1">
        <f>+SpeciesDatabase!T55</f>
        <v>0</v>
      </c>
      <c r="U19" s="1">
        <f>+SpeciesDatabase!U55</f>
        <v>-1</v>
      </c>
      <c r="V19" s="1">
        <f>+SpeciesDatabase!V55</f>
        <v>89</v>
      </c>
      <c r="W19" s="1">
        <f>+SpeciesDatabase!W55</f>
        <v>12</v>
      </c>
      <c r="X19" s="113">
        <f>+SpeciesDatabase!X55</f>
        <v>4</v>
      </c>
      <c r="Y19" s="14"/>
      <c r="Z19" s="12" t="s">
        <v>189</v>
      </c>
      <c r="AA19" s="12" t="s">
        <v>189</v>
      </c>
      <c r="AB19" s="12">
        <v>3.86</v>
      </c>
      <c r="AC19" s="12" t="s">
        <v>189</v>
      </c>
      <c r="AD19" s="12" t="s">
        <v>189</v>
      </c>
      <c r="AE19" s="12">
        <f>10^(-AB19)</f>
        <v>1.3803842646028844E-4</v>
      </c>
    </row>
    <row r="20" spans="2:31">
      <c r="B20" s="110" t="str">
        <f>SpeciesDatabase!A111</f>
        <v>Water</v>
      </c>
      <c r="C20" s="97" t="str">
        <f>SpeciesDatabase!B111</f>
        <v>H2O</v>
      </c>
      <c r="D20" s="97" t="str">
        <f>SpeciesDatabase!C111</f>
        <v>H2O</v>
      </c>
      <c r="E20" s="97">
        <f>SpeciesDatabase!D111</f>
        <v>-237.18</v>
      </c>
      <c r="F20" s="97">
        <f>SpeciesDatabase!E111</f>
        <v>-285.8</v>
      </c>
      <c r="G20" s="97">
        <f>SpeciesDatabase!F111</f>
        <v>69.900000000000006</v>
      </c>
      <c r="H20" s="97">
        <f>SpeciesDatabase!H111</f>
        <v>0</v>
      </c>
      <c r="I20" s="97">
        <f>SpeciesDatabase!I111</f>
        <v>2</v>
      </c>
      <c r="J20" s="97">
        <f>SpeciesDatabase!J111</f>
        <v>1</v>
      </c>
      <c r="K20" s="97">
        <f>SpeciesDatabase!K111</f>
        <v>0</v>
      </c>
      <c r="L20" s="97">
        <f>SpeciesDatabase!L111</f>
        <v>0</v>
      </c>
      <c r="M20" s="97">
        <f>SpeciesDatabase!M111</f>
        <v>0</v>
      </c>
      <c r="N20" s="97">
        <f>SpeciesDatabase!N111</f>
        <v>0</v>
      </c>
      <c r="O20" s="97">
        <f>SpeciesDatabase!O111</f>
        <v>0</v>
      </c>
      <c r="P20" s="97">
        <f>SpeciesDatabase!P111</f>
        <v>0</v>
      </c>
      <c r="Q20" s="97">
        <f>SpeciesDatabase!Q111</f>
        <v>0</v>
      </c>
      <c r="R20" s="97">
        <f>SpeciesDatabase!R111</f>
        <v>0</v>
      </c>
      <c r="S20" s="97">
        <f>SpeciesDatabase!S111</f>
        <v>0</v>
      </c>
      <c r="T20" s="97">
        <f>SpeciesDatabase!T111</f>
        <v>0</v>
      </c>
      <c r="U20" s="97">
        <f>SpeciesDatabase!U111</f>
        <v>0</v>
      </c>
      <c r="V20" s="97">
        <f>SpeciesDatabase!V111</f>
        <v>18</v>
      </c>
      <c r="W20" s="97">
        <f>SpeciesDatabase!W111</f>
        <v>0</v>
      </c>
      <c r="X20" s="114">
        <f>SpeciesDatabase!X111</f>
        <v>0</v>
      </c>
      <c r="Y20" s="14"/>
      <c r="Z20" s="101" t="s">
        <v>189</v>
      </c>
      <c r="AA20" s="101" t="s">
        <v>189</v>
      </c>
      <c r="AB20" s="101" t="s">
        <v>189</v>
      </c>
      <c r="AC20" s="101" t="s">
        <v>189</v>
      </c>
      <c r="AD20" s="101" t="s">
        <v>189</v>
      </c>
      <c r="AE20" s="101" t="s">
        <v>189</v>
      </c>
    </row>
    <row r="21" spans="2:31">
      <c r="B21" s="109" t="str">
        <f>SpeciesDatabase!A83</f>
        <v>Proton</v>
      </c>
      <c r="C21" s="1" t="str">
        <f>SpeciesDatabase!B83</f>
        <v>H+</v>
      </c>
      <c r="D21" s="1" t="str">
        <f>SpeciesDatabase!C83</f>
        <v>H+</v>
      </c>
      <c r="E21" s="1">
        <f>SpeciesDatabase!D83</f>
        <v>0</v>
      </c>
      <c r="F21" s="1">
        <f>SpeciesDatabase!E83</f>
        <v>0</v>
      </c>
      <c r="G21" s="1">
        <f>SpeciesDatabase!F83</f>
        <v>0</v>
      </c>
      <c r="H21" s="1">
        <f>SpeciesDatabase!H83</f>
        <v>0</v>
      </c>
      <c r="I21" s="1">
        <f>SpeciesDatabase!I83</f>
        <v>1</v>
      </c>
      <c r="J21" s="1">
        <f>SpeciesDatabase!J83</f>
        <v>0</v>
      </c>
      <c r="K21" s="1">
        <f>SpeciesDatabase!K83</f>
        <v>0</v>
      </c>
      <c r="L21" s="1">
        <f>SpeciesDatabase!L83</f>
        <v>0</v>
      </c>
      <c r="M21" s="1">
        <f>SpeciesDatabase!M83</f>
        <v>0</v>
      </c>
      <c r="N21" s="1">
        <f>SpeciesDatabase!N83</f>
        <v>0</v>
      </c>
      <c r="O21" s="1">
        <f>SpeciesDatabase!O83</f>
        <v>0</v>
      </c>
      <c r="P21" s="1">
        <f>SpeciesDatabase!P83</f>
        <v>0</v>
      </c>
      <c r="Q21" s="1">
        <f>SpeciesDatabase!Q83</f>
        <v>0</v>
      </c>
      <c r="R21" s="1">
        <f>SpeciesDatabase!R83</f>
        <v>0</v>
      </c>
      <c r="S21" s="1">
        <f>SpeciesDatabase!S83</f>
        <v>0</v>
      </c>
      <c r="T21" s="1">
        <f>SpeciesDatabase!T83</f>
        <v>0</v>
      </c>
      <c r="U21" s="1">
        <f>SpeciesDatabase!U83</f>
        <v>1</v>
      </c>
      <c r="V21" s="1">
        <f>SpeciesDatabase!V83</f>
        <v>1</v>
      </c>
      <c r="W21" s="1">
        <f>SpeciesDatabase!W83</f>
        <v>0</v>
      </c>
      <c r="X21" s="113">
        <f>SpeciesDatabase!X83</f>
        <v>0</v>
      </c>
      <c r="Y21" s="14"/>
      <c r="Z21" s="12" t="s">
        <v>189</v>
      </c>
      <c r="AA21" s="12" t="s">
        <v>189</v>
      </c>
      <c r="AB21" s="12" t="s">
        <v>189</v>
      </c>
      <c r="AC21" s="12" t="s">
        <v>189</v>
      </c>
      <c r="AD21" s="12" t="s">
        <v>189</v>
      </c>
      <c r="AE21" s="12" t="s">
        <v>189</v>
      </c>
    </row>
    <row r="22" spans="2:31" ht="13.8" thickBot="1">
      <c r="B22" s="109" t="str">
        <f>+SpeciesDatabase!A21</f>
        <v>Biomass (Phytoplankton)</v>
      </c>
      <c r="C22" s="1" t="str">
        <f>+SpeciesDatabase!B21</f>
        <v>Xphyt</v>
      </c>
      <c r="D22" s="1" t="str">
        <f>+SpeciesDatabase!C21</f>
        <v>CH1.66O0.5N0.15</v>
      </c>
      <c r="E22" s="1">
        <f>+SpeciesDatabase!D21</f>
        <v>-67</v>
      </c>
      <c r="F22" s="1">
        <f>+SpeciesDatabase!E21</f>
        <v>-91</v>
      </c>
      <c r="G22" s="1" t="str">
        <f>+SpeciesDatabase!F21</f>
        <v>NA</v>
      </c>
      <c r="H22" s="1">
        <f>+SpeciesDatabase!H21</f>
        <v>1</v>
      </c>
      <c r="I22" s="1">
        <f>+SpeciesDatabase!I21</f>
        <v>1.659</v>
      </c>
      <c r="J22" s="1">
        <f>+SpeciesDatabase!J21</f>
        <v>0.5</v>
      </c>
      <c r="K22" s="1">
        <f>+SpeciesDatabase!K21</f>
        <v>0.153</v>
      </c>
      <c r="L22" s="1">
        <f>+SpeciesDatabase!L21</f>
        <v>0</v>
      </c>
      <c r="M22" s="1">
        <f>+SpeciesDatabase!M21</f>
        <v>0</v>
      </c>
      <c r="N22" s="1">
        <f>+SpeciesDatabase!N21</f>
        <v>0</v>
      </c>
      <c r="O22" s="1">
        <f>+SpeciesDatabase!O21</f>
        <v>0</v>
      </c>
      <c r="P22" s="1">
        <f>+SpeciesDatabase!P21</f>
        <v>0</v>
      </c>
      <c r="Q22" s="1">
        <f>+SpeciesDatabase!Q21</f>
        <v>0</v>
      </c>
      <c r="R22" s="1">
        <f>+SpeciesDatabase!R21</f>
        <v>0</v>
      </c>
      <c r="S22" s="1">
        <f>+SpeciesDatabase!S21</f>
        <v>0</v>
      </c>
      <c r="T22" s="1">
        <f>+SpeciesDatabase!T21</f>
        <v>0</v>
      </c>
      <c r="U22" s="1">
        <f>+SpeciesDatabase!U21</f>
        <v>0</v>
      </c>
      <c r="V22" s="1">
        <f>+SpeciesDatabase!V21</f>
        <v>23.800999999999998</v>
      </c>
      <c r="W22" s="1">
        <f>+SpeciesDatabase!W21</f>
        <v>4.2</v>
      </c>
      <c r="X22" s="113">
        <f>+SpeciesDatabase!X21</f>
        <v>4.2</v>
      </c>
      <c r="Y22" s="14"/>
      <c r="Z22" s="12" t="s">
        <v>189</v>
      </c>
      <c r="AA22" s="12" t="s">
        <v>189</v>
      </c>
      <c r="AB22" s="12" t="s">
        <v>189</v>
      </c>
      <c r="AC22" s="12" t="s">
        <v>189</v>
      </c>
      <c r="AD22" s="12" t="s">
        <v>189</v>
      </c>
      <c r="AE22" s="12" t="s">
        <v>189</v>
      </c>
    </row>
    <row r="23" spans="2:31" ht="13.8" thickBot="1">
      <c r="B23" s="111" t="str">
        <f>SpeciesDatabase!A20</f>
        <v>Biomass (NH4 source)</v>
      </c>
      <c r="C23" s="4" t="str">
        <f>SpeciesDatabase!B20</f>
        <v>X</v>
      </c>
      <c r="D23" s="25" t="str">
        <f>SpeciesDatabase!C20</f>
        <v>CH1.8O0.5N0.2</v>
      </c>
      <c r="E23" s="25">
        <f>SpeciesDatabase!D20</f>
        <v>-67</v>
      </c>
      <c r="F23" s="4">
        <f>SpeciesDatabase!E20</f>
        <v>-91</v>
      </c>
      <c r="G23" s="4" t="str">
        <f>SpeciesDatabase!F20</f>
        <v>NA</v>
      </c>
      <c r="H23" s="4">
        <f>SpeciesDatabase!H20</f>
        <v>1</v>
      </c>
      <c r="I23" s="4">
        <f>SpeciesDatabase!I20</f>
        <v>1.8</v>
      </c>
      <c r="J23" s="4">
        <f>SpeciesDatabase!J20</f>
        <v>0.5</v>
      </c>
      <c r="K23" s="4">
        <f>SpeciesDatabase!K20</f>
        <v>0.2</v>
      </c>
      <c r="L23" s="4">
        <f>SpeciesDatabase!L20</f>
        <v>0</v>
      </c>
      <c r="M23" s="4">
        <f>SpeciesDatabase!M20</f>
        <v>0</v>
      </c>
      <c r="N23" s="4">
        <f>SpeciesDatabase!N20</f>
        <v>0</v>
      </c>
      <c r="O23" s="4">
        <f>SpeciesDatabase!O20</f>
        <v>0</v>
      </c>
      <c r="P23" s="4">
        <f>SpeciesDatabase!P20</f>
        <v>0</v>
      </c>
      <c r="Q23" s="4">
        <f>SpeciesDatabase!Q20</f>
        <v>0</v>
      </c>
      <c r="R23" s="4">
        <f>SpeciesDatabase!R20</f>
        <v>0</v>
      </c>
      <c r="S23" s="4">
        <f>SpeciesDatabase!S20</f>
        <v>0</v>
      </c>
      <c r="T23" s="4">
        <f>SpeciesDatabase!T20</f>
        <v>0</v>
      </c>
      <c r="U23" s="4">
        <f>SpeciesDatabase!U20</f>
        <v>0</v>
      </c>
      <c r="V23" s="4">
        <f>SpeciesDatabase!V20</f>
        <v>24.6</v>
      </c>
      <c r="W23" s="4">
        <f>SpeciesDatabase!W20</f>
        <v>4.1999999999999993</v>
      </c>
      <c r="X23" s="115">
        <f>SpeciesDatabase!X20</f>
        <v>4.1999999999999993</v>
      </c>
      <c r="Y23" s="14"/>
      <c r="Z23" s="26"/>
      <c r="AA23" s="26"/>
      <c r="AB23" s="26"/>
      <c r="AC23" s="26"/>
      <c r="AD23" s="26"/>
      <c r="AE23" s="26"/>
    </row>
    <row r="24" spans="2:31" ht="13.8" thickBot="1">
      <c r="B24" s="112" t="str">
        <f>+SpeciesDatabase!A37</f>
        <v>Electron</v>
      </c>
      <c r="C24" s="6" t="str">
        <f>+SpeciesDatabase!B37</f>
        <v>e-</v>
      </c>
      <c r="D24" s="6" t="str">
        <f>+SpeciesDatabase!C37</f>
        <v>e-</v>
      </c>
      <c r="E24" s="6">
        <f>+SpeciesDatabase!D37</f>
        <v>0</v>
      </c>
      <c r="F24" s="6">
        <f>+SpeciesDatabase!E37</f>
        <v>0</v>
      </c>
      <c r="G24" s="6">
        <f>+SpeciesDatabase!F37</f>
        <v>65.25</v>
      </c>
      <c r="H24" s="6">
        <f>+SpeciesDatabase!H37</f>
        <v>0</v>
      </c>
      <c r="I24" s="6">
        <f>+SpeciesDatabase!I37</f>
        <v>0</v>
      </c>
      <c r="J24" s="6">
        <f>+SpeciesDatabase!J37</f>
        <v>0</v>
      </c>
      <c r="K24" s="6">
        <f>+SpeciesDatabase!K37</f>
        <v>0</v>
      </c>
      <c r="L24" s="6">
        <f>+SpeciesDatabase!L37</f>
        <v>0</v>
      </c>
      <c r="M24" s="6">
        <f>+SpeciesDatabase!M37</f>
        <v>0</v>
      </c>
      <c r="N24" s="6">
        <f>+SpeciesDatabase!N37</f>
        <v>0</v>
      </c>
      <c r="O24" s="6">
        <f>+SpeciesDatabase!O37</f>
        <v>0</v>
      </c>
      <c r="P24" s="6">
        <f>+SpeciesDatabase!P37</f>
        <v>0</v>
      </c>
      <c r="Q24" s="6">
        <f>+SpeciesDatabase!Q37</f>
        <v>0</v>
      </c>
      <c r="R24" s="6">
        <f>+SpeciesDatabase!R37</f>
        <v>0</v>
      </c>
      <c r="S24" s="6">
        <f>+SpeciesDatabase!S37</f>
        <v>0</v>
      </c>
      <c r="T24" s="6">
        <f>+SpeciesDatabase!T37</f>
        <v>0</v>
      </c>
      <c r="U24" s="6">
        <f>+SpeciesDatabase!U37</f>
        <v>-1</v>
      </c>
      <c r="V24" s="6">
        <f>+SpeciesDatabase!V37</f>
        <v>0</v>
      </c>
      <c r="W24" s="6">
        <f>+SpeciesDatabase!W37</f>
        <v>1</v>
      </c>
      <c r="X24" s="116">
        <f>+SpeciesDatabase!X37</f>
        <v>1</v>
      </c>
      <c r="Y24" s="14"/>
      <c r="Z24" s="127" t="str">
        <f t="shared" ref="Z24:AE24" si="0">Z21</f>
        <v>NA</v>
      </c>
      <c r="AA24" s="127" t="str">
        <f t="shared" si="0"/>
        <v>NA</v>
      </c>
      <c r="AB24" s="127" t="str">
        <f t="shared" si="0"/>
        <v>NA</v>
      </c>
      <c r="AC24" s="127" t="str">
        <f t="shared" si="0"/>
        <v>NA</v>
      </c>
      <c r="AD24" s="127" t="str">
        <f t="shared" si="0"/>
        <v>NA</v>
      </c>
      <c r="AE24" s="127" t="str">
        <f t="shared" si="0"/>
        <v>NA</v>
      </c>
    </row>
    <row r="25" spans="2:31" ht="13.8" thickTop="1">
      <c r="B25" s="14"/>
      <c r="C25" s="14"/>
      <c r="D25" s="14"/>
      <c r="E25" s="14"/>
      <c r="F25" s="14"/>
      <c r="G25" s="30" t="s">
        <v>191</v>
      </c>
      <c r="H25" s="31">
        <f>SpeciesDatabase!H112</f>
        <v>12</v>
      </c>
      <c r="I25" s="32">
        <f>SpeciesDatabase!I112</f>
        <v>1</v>
      </c>
      <c r="J25" s="32">
        <f>SpeciesDatabase!J112</f>
        <v>16</v>
      </c>
      <c r="K25" s="32">
        <f>SpeciesDatabase!K112</f>
        <v>14</v>
      </c>
      <c r="L25" s="33">
        <f>SpeciesDatabase!L112</f>
        <v>31</v>
      </c>
      <c r="M25" s="33">
        <f>SpeciesDatabase!M112</f>
        <v>32</v>
      </c>
      <c r="N25" s="33">
        <f>SpeciesDatabase!N112</f>
        <v>35.5</v>
      </c>
      <c r="O25" s="33">
        <f>SpeciesDatabase!O112</f>
        <v>56</v>
      </c>
      <c r="P25" s="33">
        <f>SpeciesDatabase!P112</f>
        <v>0</v>
      </c>
      <c r="Q25" s="33">
        <f>SpeciesDatabase!Q112</f>
        <v>0</v>
      </c>
      <c r="R25" s="33">
        <f>SpeciesDatabase!R112</f>
        <v>0</v>
      </c>
      <c r="S25" s="33">
        <f>SpeciesDatabase!S112</f>
        <v>0</v>
      </c>
      <c r="T25" s="33">
        <f>SpeciesDatabase!T112</f>
        <v>0</v>
      </c>
      <c r="U25" s="86">
        <f>SpeciesDatabase!U112</f>
        <v>0</v>
      </c>
      <c r="V25" s="14"/>
      <c r="W25" s="14"/>
      <c r="X25" s="14"/>
      <c r="Y25" s="14"/>
      <c r="Z25" s="14"/>
      <c r="AA25" s="14"/>
      <c r="AB25" s="14"/>
      <c r="AC25" s="14"/>
      <c r="AD25" s="14"/>
      <c r="AE25" s="14"/>
    </row>
    <row r="26" spans="2:31" ht="13.8" thickBot="1">
      <c r="B26" s="14"/>
      <c r="C26" s="14"/>
      <c r="D26" s="14"/>
      <c r="E26" s="14"/>
      <c r="F26" s="14"/>
      <c r="G26" s="35" t="s">
        <v>128</v>
      </c>
      <c r="H26" s="36">
        <f>SpeciesDatabase!H113</f>
        <v>4</v>
      </c>
      <c r="I26" s="37">
        <f>SpeciesDatabase!I113</f>
        <v>1</v>
      </c>
      <c r="J26" s="37">
        <f>SpeciesDatabase!J113</f>
        <v>-2</v>
      </c>
      <c r="K26" s="37">
        <f>SpeciesDatabase!K113</f>
        <v>-3</v>
      </c>
      <c r="L26" s="38">
        <f>SpeciesDatabase!L113</f>
        <v>5</v>
      </c>
      <c r="M26" s="38">
        <f>SpeciesDatabase!M113</f>
        <v>6</v>
      </c>
      <c r="N26" s="38">
        <f>SpeciesDatabase!N113</f>
        <v>-1</v>
      </c>
      <c r="O26" s="38">
        <f>SpeciesDatabase!O113</f>
        <v>3</v>
      </c>
      <c r="P26" s="38">
        <f>SpeciesDatabase!P113</f>
        <v>0</v>
      </c>
      <c r="Q26" s="38">
        <f>SpeciesDatabase!Q113</f>
        <v>0</v>
      </c>
      <c r="R26" s="38">
        <f>SpeciesDatabase!R113</f>
        <v>-2</v>
      </c>
      <c r="S26" s="38">
        <f>SpeciesDatabase!S113</f>
        <v>0</v>
      </c>
      <c r="T26" s="38">
        <f>SpeciesDatabase!T113</f>
        <v>0</v>
      </c>
      <c r="U26" s="85">
        <f>SpeciesDatabase!U113</f>
        <v>-1</v>
      </c>
      <c r="V26" s="14"/>
      <c r="W26" s="14"/>
      <c r="X26" s="14"/>
      <c r="Y26" s="14"/>
      <c r="Z26" s="14"/>
      <c r="AA26" s="14"/>
      <c r="AB26" s="14"/>
      <c r="AC26" s="14"/>
      <c r="AD26" s="14"/>
      <c r="AE26" s="14"/>
    </row>
    <row r="27" spans="2:31" ht="13.8" thickTop="1">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row>
  </sheetData>
  <phoneticPr fontId="61" type="noConversion"/>
  <conditionalFormatting sqref="Z23:AE23">
    <cfRule type="cellIs" dxfId="2" priority="1" stopIfTrue="1" operator="equal">
      <formula>0</formula>
    </cfRule>
  </conditionalFormatting>
  <conditionalFormatting sqref="Z24:AE24 Z4:AE22">
    <cfRule type="cellIs" dxfId="1" priority="2" stopIfTrue="1" operator="equal">
      <formula>"NA"</formula>
    </cfRule>
    <cfRule type="cellIs" dxfId="0" priority="3" stopIfTrue="1" operator="equal">
      <formula>0</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9">
    <tabColor indexed="8"/>
  </sheetPr>
  <dimension ref="A1:X126"/>
  <sheetViews>
    <sheetView workbookViewId="0"/>
  </sheetViews>
  <sheetFormatPr defaultColWidth="11.44140625" defaultRowHeight="13.2"/>
  <cols>
    <col min="1" max="1" width="23.5546875" style="15" bestFit="1" customWidth="1"/>
    <col min="2" max="2" width="15.5546875" style="15" bestFit="1" customWidth="1"/>
    <col min="3" max="3" width="13.44140625" style="15" bestFit="1" customWidth="1"/>
    <col min="4" max="4" width="13.33203125" style="16" bestFit="1" customWidth="1"/>
    <col min="5" max="5" width="9.5546875" style="15" bestFit="1" customWidth="1"/>
    <col min="6" max="6" width="11.88671875" style="15" bestFit="1" customWidth="1"/>
    <col min="7" max="7" width="12.5546875" style="15" bestFit="1" customWidth="1"/>
    <col min="8" max="15" width="4.6640625" style="15" customWidth="1"/>
    <col min="16" max="16" width="5.6640625" style="15" customWidth="1"/>
    <col min="17" max="17" width="6.44140625" style="15" customWidth="1"/>
    <col min="18" max="18" width="6.88671875" style="15" bestFit="1" customWidth="1"/>
    <col min="19" max="19" width="7.33203125" style="15" bestFit="1" customWidth="1"/>
    <col min="20" max="20" width="5" style="15" bestFit="1" customWidth="1"/>
    <col min="21" max="21" width="8.44140625" style="15" bestFit="1" customWidth="1"/>
    <col min="22" max="22" width="8.109375" style="15" bestFit="1" customWidth="1"/>
    <col min="23" max="23" width="10.109375" style="15" bestFit="1" customWidth="1"/>
    <col min="24" max="24" width="13" style="73" bestFit="1" customWidth="1"/>
    <col min="25" max="16384" width="11.44140625" style="14"/>
  </cols>
  <sheetData>
    <row r="1" spans="1:24" ht="13.8" thickBot="1">
      <c r="A1" s="45"/>
      <c r="B1" s="45"/>
      <c r="C1" s="45"/>
      <c r="D1" s="46"/>
      <c r="E1" s="45"/>
      <c r="F1" s="45"/>
      <c r="G1" s="45"/>
      <c r="H1" s="45"/>
      <c r="I1" s="45"/>
      <c r="J1" s="45"/>
      <c r="K1" s="45"/>
      <c r="L1" s="45"/>
      <c r="M1" s="45"/>
      <c r="N1" s="45"/>
      <c r="O1" s="45"/>
      <c r="P1" s="45"/>
      <c r="Q1" s="45"/>
      <c r="R1" s="45"/>
      <c r="S1" s="45"/>
      <c r="T1" s="45"/>
      <c r="U1" s="45"/>
      <c r="V1" s="45"/>
      <c r="W1" s="45"/>
      <c r="X1" s="47" t="s">
        <v>209</v>
      </c>
    </row>
    <row r="2" spans="1:24" ht="40.799999999999997" thickTop="1" thickBot="1">
      <c r="A2" s="48" t="s">
        <v>0</v>
      </c>
      <c r="B2" s="23" t="s">
        <v>267</v>
      </c>
      <c r="C2" s="23" t="s">
        <v>1</v>
      </c>
      <c r="D2" s="49" t="s">
        <v>804</v>
      </c>
      <c r="E2" s="49" t="s">
        <v>803</v>
      </c>
      <c r="F2" s="49" t="s">
        <v>802</v>
      </c>
      <c r="G2" s="369" t="s">
        <v>805</v>
      </c>
      <c r="H2" s="23" t="s">
        <v>2</v>
      </c>
      <c r="I2" s="23" t="s">
        <v>3</v>
      </c>
      <c r="J2" s="23" t="s">
        <v>4</v>
      </c>
      <c r="K2" s="23" t="s">
        <v>5</v>
      </c>
      <c r="L2" s="23" t="s">
        <v>6</v>
      </c>
      <c r="M2" s="23" t="s">
        <v>291</v>
      </c>
      <c r="N2" s="23" t="s">
        <v>300</v>
      </c>
      <c r="O2" s="23" t="s">
        <v>331</v>
      </c>
      <c r="P2" s="23" t="s">
        <v>7</v>
      </c>
      <c r="Q2" s="23" t="s">
        <v>218</v>
      </c>
      <c r="R2" s="23" t="s">
        <v>217</v>
      </c>
      <c r="S2" s="23" t="s">
        <v>8</v>
      </c>
      <c r="T2" s="23" t="s">
        <v>194</v>
      </c>
      <c r="U2" s="23" t="s">
        <v>10</v>
      </c>
      <c r="V2" s="50" t="s">
        <v>11</v>
      </c>
      <c r="W2" s="50" t="s">
        <v>12</v>
      </c>
      <c r="X2" s="51" t="s">
        <v>190</v>
      </c>
    </row>
    <row r="3" spans="1:24" ht="16.2" thickTop="1">
      <c r="A3" s="163" t="s">
        <v>242</v>
      </c>
      <c r="B3" s="8" t="s">
        <v>251</v>
      </c>
      <c r="C3" s="8" t="s">
        <v>174</v>
      </c>
      <c r="D3" s="57">
        <v>-284.89999999999998</v>
      </c>
      <c r="E3" s="9" t="s">
        <v>189</v>
      </c>
      <c r="F3" s="9" t="s">
        <v>189</v>
      </c>
      <c r="G3" s="9" t="e">
        <f t="shared" ref="G3:G34" si="0">+(D3-E3)/298</f>
        <v>#VALUE!</v>
      </c>
      <c r="H3" s="8">
        <v>4</v>
      </c>
      <c r="I3" s="8">
        <v>7</v>
      </c>
      <c r="J3" s="8">
        <v>2</v>
      </c>
      <c r="K3" s="8">
        <v>0</v>
      </c>
      <c r="L3" s="8">
        <v>0</v>
      </c>
      <c r="M3" s="8">
        <v>0</v>
      </c>
      <c r="N3" s="8">
        <v>0</v>
      </c>
      <c r="O3" s="8">
        <v>0</v>
      </c>
      <c r="P3" s="8">
        <v>0</v>
      </c>
      <c r="Q3" s="8">
        <v>0</v>
      </c>
      <c r="R3" s="8">
        <v>0</v>
      </c>
      <c r="S3" s="8">
        <v>1</v>
      </c>
      <c r="T3" s="8">
        <v>0</v>
      </c>
      <c r="U3" s="8">
        <v>0</v>
      </c>
      <c r="V3" s="54">
        <f t="shared" ref="V3:V35" si="1">SUMPRODUCT(H3:U3,$H$112:$U$112)</f>
        <v>87</v>
      </c>
      <c r="W3" s="54">
        <f t="shared" ref="W3:W34" si="2">SUMPRODUCT($H3:$U3,$H$113:$U$113)</f>
        <v>19</v>
      </c>
      <c r="X3" s="55">
        <f t="shared" ref="X3:X34" si="3">(IF(H3&lt;&gt;0,SUMPRODUCT($H3:$U3,$H$113:$U$113)/$H3,SUMPRODUCT($H3:$U3,$H$113:$U$113)))</f>
        <v>4.75</v>
      </c>
    </row>
    <row r="4" spans="1:24" ht="15.6">
      <c r="A4" s="52" t="s">
        <v>51</v>
      </c>
      <c r="B4" s="8" t="s">
        <v>52</v>
      </c>
      <c r="C4" s="12" t="s">
        <v>164</v>
      </c>
      <c r="D4" s="120">
        <v>-139.9</v>
      </c>
      <c r="E4" s="9" t="s">
        <v>189</v>
      </c>
      <c r="F4" s="9" t="s">
        <v>189</v>
      </c>
      <c r="G4" s="9" t="e">
        <f t="shared" si="0"/>
        <v>#VALUE!</v>
      </c>
      <c r="H4" s="8">
        <v>2</v>
      </c>
      <c r="I4" s="8">
        <v>4</v>
      </c>
      <c r="J4" s="8">
        <v>1</v>
      </c>
      <c r="K4" s="8">
        <v>0</v>
      </c>
      <c r="L4" s="8">
        <v>0</v>
      </c>
      <c r="M4" s="8">
        <v>0</v>
      </c>
      <c r="N4" s="8">
        <v>0</v>
      </c>
      <c r="O4" s="8">
        <v>0</v>
      </c>
      <c r="P4" s="8">
        <v>0</v>
      </c>
      <c r="Q4" s="8">
        <v>0</v>
      </c>
      <c r="R4" s="8">
        <v>0</v>
      </c>
      <c r="S4" s="8">
        <v>0</v>
      </c>
      <c r="T4" s="8">
        <v>0</v>
      </c>
      <c r="U4" s="8">
        <v>0</v>
      </c>
      <c r="V4" s="54">
        <f t="shared" si="1"/>
        <v>44</v>
      </c>
      <c r="W4" s="54">
        <f t="shared" si="2"/>
        <v>10</v>
      </c>
      <c r="X4" s="55">
        <f t="shared" si="3"/>
        <v>5</v>
      </c>
    </row>
    <row r="5" spans="1:24" ht="15.6">
      <c r="A5" s="52" t="s">
        <v>55</v>
      </c>
      <c r="B5" s="8" t="s">
        <v>56</v>
      </c>
      <c r="C5" s="8" t="s">
        <v>166</v>
      </c>
      <c r="D5" s="63">
        <v>-369.41</v>
      </c>
      <c r="E5" s="63">
        <v>-486</v>
      </c>
      <c r="F5" s="63">
        <v>86.6</v>
      </c>
      <c r="G5" s="9">
        <f t="shared" si="0"/>
        <v>0.39124161073825497</v>
      </c>
      <c r="H5" s="8">
        <v>2</v>
      </c>
      <c r="I5" s="8">
        <v>3</v>
      </c>
      <c r="J5" s="8">
        <v>2</v>
      </c>
      <c r="K5" s="8">
        <v>0</v>
      </c>
      <c r="L5" s="8">
        <v>0</v>
      </c>
      <c r="M5" s="8">
        <v>0</v>
      </c>
      <c r="N5" s="8">
        <v>0</v>
      </c>
      <c r="O5" s="8">
        <v>0</v>
      </c>
      <c r="P5" s="8">
        <v>0</v>
      </c>
      <c r="Q5" s="8">
        <v>0</v>
      </c>
      <c r="R5" s="8">
        <v>0</v>
      </c>
      <c r="S5" s="8">
        <v>0</v>
      </c>
      <c r="T5" s="8">
        <v>0</v>
      </c>
      <c r="U5" s="8">
        <v>-1</v>
      </c>
      <c r="V5" s="54">
        <f t="shared" si="1"/>
        <v>59</v>
      </c>
      <c r="W5" s="54">
        <f t="shared" si="2"/>
        <v>8</v>
      </c>
      <c r="X5" s="55">
        <f t="shared" si="3"/>
        <v>4</v>
      </c>
    </row>
    <row r="6" spans="1:24" ht="15.6">
      <c r="A6" s="52" t="s">
        <v>53</v>
      </c>
      <c r="B6" s="8" t="s">
        <v>54</v>
      </c>
      <c r="C6" s="8" t="s">
        <v>165</v>
      </c>
      <c r="D6" s="63">
        <v>-396.6</v>
      </c>
      <c r="E6" s="63">
        <v>-485.8</v>
      </c>
      <c r="F6" s="63">
        <v>178.7</v>
      </c>
      <c r="G6" s="9">
        <f t="shared" si="0"/>
        <v>0.29932885906040263</v>
      </c>
      <c r="H6" s="8">
        <v>2</v>
      </c>
      <c r="I6" s="8">
        <v>4</v>
      </c>
      <c r="J6" s="8">
        <v>2</v>
      </c>
      <c r="K6" s="8">
        <v>0</v>
      </c>
      <c r="L6" s="8">
        <v>0</v>
      </c>
      <c r="M6" s="8">
        <v>0</v>
      </c>
      <c r="N6" s="8">
        <v>0</v>
      </c>
      <c r="O6" s="8">
        <v>0</v>
      </c>
      <c r="P6" s="8">
        <v>0</v>
      </c>
      <c r="Q6" s="8">
        <v>0</v>
      </c>
      <c r="R6" s="8">
        <v>0</v>
      </c>
      <c r="S6" s="8">
        <v>0</v>
      </c>
      <c r="T6" s="8">
        <v>0</v>
      </c>
      <c r="U6" s="8">
        <v>0</v>
      </c>
      <c r="V6" s="54">
        <f t="shared" si="1"/>
        <v>60</v>
      </c>
      <c r="W6" s="54">
        <f t="shared" si="2"/>
        <v>8</v>
      </c>
      <c r="X6" s="55">
        <f t="shared" si="3"/>
        <v>4</v>
      </c>
    </row>
    <row r="7" spans="1:24" ht="15.6">
      <c r="A7" s="52" t="s">
        <v>22</v>
      </c>
      <c r="B7" s="52" t="s">
        <v>23</v>
      </c>
      <c r="C7" s="8" t="s">
        <v>149</v>
      </c>
      <c r="D7" s="57">
        <v>-379.4</v>
      </c>
      <c r="E7" s="9" t="s">
        <v>189</v>
      </c>
      <c r="F7" s="9" t="s">
        <v>189</v>
      </c>
      <c r="G7" s="9" t="e">
        <f t="shared" si="0"/>
        <v>#VALUE!</v>
      </c>
      <c r="H7" s="8">
        <v>4</v>
      </c>
      <c r="I7" s="8">
        <v>5</v>
      </c>
      <c r="J7" s="8">
        <v>3</v>
      </c>
      <c r="K7" s="8">
        <v>0</v>
      </c>
      <c r="L7" s="8">
        <v>0</v>
      </c>
      <c r="M7" s="8">
        <v>0</v>
      </c>
      <c r="N7" s="8">
        <v>0</v>
      </c>
      <c r="O7" s="8">
        <v>0</v>
      </c>
      <c r="P7" s="8">
        <v>0</v>
      </c>
      <c r="Q7" s="8">
        <v>0</v>
      </c>
      <c r="R7" s="8">
        <v>0</v>
      </c>
      <c r="S7" s="8">
        <v>0</v>
      </c>
      <c r="T7" s="8">
        <v>0</v>
      </c>
      <c r="U7" s="8">
        <v>-1</v>
      </c>
      <c r="V7" s="54">
        <f t="shared" si="1"/>
        <v>101</v>
      </c>
      <c r="W7" s="54">
        <f t="shared" si="2"/>
        <v>16</v>
      </c>
      <c r="X7" s="55">
        <f t="shared" si="3"/>
        <v>4</v>
      </c>
    </row>
    <row r="8" spans="1:24" ht="15.6">
      <c r="A8" s="52" t="s">
        <v>264</v>
      </c>
      <c r="B8" s="52" t="s">
        <v>265</v>
      </c>
      <c r="C8" s="8" t="s">
        <v>266</v>
      </c>
      <c r="D8" s="57">
        <v>-399.343515934263</v>
      </c>
      <c r="E8" s="9" t="s">
        <v>189</v>
      </c>
      <c r="F8" s="9" t="s">
        <v>189</v>
      </c>
      <c r="G8" s="9" t="e">
        <f t="shared" si="0"/>
        <v>#VALUE!</v>
      </c>
      <c r="H8" s="8">
        <v>4</v>
      </c>
      <c r="I8" s="8">
        <v>6</v>
      </c>
      <c r="J8" s="8">
        <v>3</v>
      </c>
      <c r="K8" s="8">
        <v>0</v>
      </c>
      <c r="L8" s="8">
        <v>0</v>
      </c>
      <c r="M8" s="8">
        <v>0</v>
      </c>
      <c r="N8" s="8">
        <v>0</v>
      </c>
      <c r="O8" s="8">
        <v>0</v>
      </c>
      <c r="P8" s="8">
        <v>0</v>
      </c>
      <c r="Q8" s="8">
        <v>0</v>
      </c>
      <c r="R8" s="8">
        <v>0</v>
      </c>
      <c r="S8" s="8">
        <v>0</v>
      </c>
      <c r="T8" s="8">
        <v>0</v>
      </c>
      <c r="U8" s="8">
        <v>0</v>
      </c>
      <c r="V8" s="54">
        <f t="shared" si="1"/>
        <v>102</v>
      </c>
      <c r="W8" s="54">
        <f t="shared" si="2"/>
        <v>16</v>
      </c>
      <c r="X8" s="55">
        <f t="shared" si="3"/>
        <v>4</v>
      </c>
    </row>
    <row r="9" spans="1:24" ht="15.6">
      <c r="A9" s="52" t="s">
        <v>72</v>
      </c>
      <c r="B9" s="8" t="s">
        <v>249</v>
      </c>
      <c r="C9" s="8" t="s">
        <v>176</v>
      </c>
      <c r="D9" s="57">
        <v>-245.2</v>
      </c>
      <c r="E9" s="9" t="s">
        <v>189</v>
      </c>
      <c r="F9" s="9" t="s">
        <v>189</v>
      </c>
      <c r="G9" s="9" t="e">
        <f t="shared" si="0"/>
        <v>#VALUE!</v>
      </c>
      <c r="H9" s="8">
        <v>4</v>
      </c>
      <c r="I9" s="8">
        <v>5</v>
      </c>
      <c r="J9" s="8">
        <v>2</v>
      </c>
      <c r="K9" s="8">
        <v>0</v>
      </c>
      <c r="L9" s="8">
        <v>0</v>
      </c>
      <c r="M9" s="8">
        <v>0</v>
      </c>
      <c r="N9" s="8">
        <v>0</v>
      </c>
      <c r="O9" s="8">
        <v>0</v>
      </c>
      <c r="P9" s="8">
        <v>0</v>
      </c>
      <c r="Q9" s="8">
        <v>0</v>
      </c>
      <c r="R9" s="8">
        <v>0</v>
      </c>
      <c r="S9" s="8">
        <v>1</v>
      </c>
      <c r="T9" s="8">
        <v>0</v>
      </c>
      <c r="U9" s="8">
        <v>0</v>
      </c>
      <c r="V9" s="54">
        <f t="shared" si="1"/>
        <v>85</v>
      </c>
      <c r="W9" s="54">
        <f t="shared" si="2"/>
        <v>17</v>
      </c>
      <c r="X9" s="55">
        <f t="shared" si="3"/>
        <v>4.25</v>
      </c>
    </row>
    <row r="10" spans="1:24" ht="15.6">
      <c r="A10" s="52" t="s">
        <v>38</v>
      </c>
      <c r="B10" s="8" t="s">
        <v>38</v>
      </c>
      <c r="C10" s="8" t="s">
        <v>157</v>
      </c>
      <c r="D10" s="59">
        <v>-159.81</v>
      </c>
      <c r="E10" s="59">
        <v>-221.86</v>
      </c>
      <c r="F10" s="9" t="s">
        <v>189</v>
      </c>
      <c r="G10" s="9">
        <f t="shared" si="0"/>
        <v>0.20822147651006714</v>
      </c>
      <c r="H10" s="8">
        <v>3</v>
      </c>
      <c r="I10" s="8">
        <v>6</v>
      </c>
      <c r="J10" s="8">
        <v>1</v>
      </c>
      <c r="K10" s="8">
        <v>0</v>
      </c>
      <c r="L10" s="8">
        <v>0</v>
      </c>
      <c r="M10" s="8">
        <v>0</v>
      </c>
      <c r="N10" s="8">
        <v>0</v>
      </c>
      <c r="O10" s="8">
        <v>0</v>
      </c>
      <c r="P10" s="8">
        <v>0</v>
      </c>
      <c r="Q10" s="8">
        <v>0</v>
      </c>
      <c r="R10" s="8">
        <v>0</v>
      </c>
      <c r="S10" s="8">
        <v>0</v>
      </c>
      <c r="T10" s="8">
        <v>0</v>
      </c>
      <c r="U10" s="8">
        <v>0</v>
      </c>
      <c r="V10" s="54">
        <f t="shared" si="1"/>
        <v>58</v>
      </c>
      <c r="W10" s="54">
        <f t="shared" si="2"/>
        <v>16</v>
      </c>
      <c r="X10" s="62">
        <f t="shared" si="3"/>
        <v>5.333333333333333</v>
      </c>
    </row>
    <row r="11" spans="1:24" ht="15.6">
      <c r="A11" s="52" t="s">
        <v>79</v>
      </c>
      <c r="B11" s="8" t="s">
        <v>256</v>
      </c>
      <c r="C11" s="8" t="s">
        <v>181</v>
      </c>
      <c r="D11" s="58">
        <v>-136.15</v>
      </c>
      <c r="E11" s="9" t="s">
        <v>189</v>
      </c>
      <c r="F11" s="9" t="s">
        <v>189</v>
      </c>
      <c r="G11" s="9" t="e">
        <f t="shared" si="0"/>
        <v>#VALUE!</v>
      </c>
      <c r="H11" s="8">
        <v>2</v>
      </c>
      <c r="I11" s="8">
        <v>3</v>
      </c>
      <c r="J11" s="8">
        <v>1</v>
      </c>
      <c r="K11" s="8">
        <v>0</v>
      </c>
      <c r="L11" s="8">
        <v>0</v>
      </c>
      <c r="M11" s="8">
        <v>0</v>
      </c>
      <c r="N11" s="8">
        <v>0</v>
      </c>
      <c r="O11" s="8">
        <v>0</v>
      </c>
      <c r="P11" s="8">
        <v>0</v>
      </c>
      <c r="Q11" s="8">
        <v>0</v>
      </c>
      <c r="R11" s="8">
        <v>0</v>
      </c>
      <c r="S11" s="8">
        <v>1</v>
      </c>
      <c r="T11" s="8">
        <v>0</v>
      </c>
      <c r="U11" s="8">
        <v>0</v>
      </c>
      <c r="V11" s="54">
        <f t="shared" si="1"/>
        <v>43</v>
      </c>
      <c r="W11" s="54">
        <f t="shared" si="2"/>
        <v>9</v>
      </c>
      <c r="X11" s="55">
        <f t="shared" si="3"/>
        <v>4.5</v>
      </c>
    </row>
    <row r="12" spans="1:24" ht="15.6">
      <c r="A12" s="52" t="s">
        <v>230</v>
      </c>
      <c r="B12" s="8" t="s">
        <v>231</v>
      </c>
      <c r="C12" s="8" t="s">
        <v>232</v>
      </c>
      <c r="D12" s="58">
        <v>-1230.2752196670579</v>
      </c>
      <c r="E12" s="9" t="s">
        <v>189</v>
      </c>
      <c r="F12" s="9" t="s">
        <v>189</v>
      </c>
      <c r="G12" s="9" t="e">
        <f t="shared" si="0"/>
        <v>#VALUE!</v>
      </c>
      <c r="H12" s="8">
        <v>2</v>
      </c>
      <c r="I12" s="8">
        <v>3</v>
      </c>
      <c r="J12" s="8">
        <v>5</v>
      </c>
      <c r="K12" s="8">
        <v>0</v>
      </c>
      <c r="L12" s="8">
        <v>1</v>
      </c>
      <c r="M12" s="8">
        <v>0</v>
      </c>
      <c r="N12" s="8">
        <v>0</v>
      </c>
      <c r="O12" s="8">
        <v>0</v>
      </c>
      <c r="P12" s="8">
        <v>0</v>
      </c>
      <c r="Q12" s="8">
        <v>0</v>
      </c>
      <c r="R12" s="8">
        <v>0</v>
      </c>
      <c r="S12" s="8">
        <v>0</v>
      </c>
      <c r="T12" s="8">
        <v>0</v>
      </c>
      <c r="U12" s="8">
        <v>-2</v>
      </c>
      <c r="V12" s="54">
        <f t="shared" si="1"/>
        <v>138</v>
      </c>
      <c r="W12" s="54">
        <f t="shared" si="2"/>
        <v>8</v>
      </c>
      <c r="X12" s="55">
        <f t="shared" si="3"/>
        <v>4</v>
      </c>
    </row>
    <row r="13" spans="1:24" ht="15.6">
      <c r="A13" s="52" t="s">
        <v>78</v>
      </c>
      <c r="B13" s="8" t="s">
        <v>255</v>
      </c>
      <c r="C13" s="8" t="s">
        <v>180</v>
      </c>
      <c r="D13" s="57">
        <v>-48.5</v>
      </c>
      <c r="E13" s="9" t="s">
        <v>189</v>
      </c>
      <c r="F13" s="9" t="s">
        <v>189</v>
      </c>
      <c r="G13" s="9" t="e">
        <f t="shared" si="0"/>
        <v>#VALUE!</v>
      </c>
      <c r="H13" s="8">
        <v>3</v>
      </c>
      <c r="I13" s="8">
        <v>3</v>
      </c>
      <c r="J13" s="8">
        <v>1</v>
      </c>
      <c r="K13" s="8">
        <v>0</v>
      </c>
      <c r="L13" s="8">
        <v>0</v>
      </c>
      <c r="M13" s="8">
        <v>0</v>
      </c>
      <c r="N13" s="8">
        <v>0</v>
      </c>
      <c r="O13" s="8">
        <v>0</v>
      </c>
      <c r="P13" s="8">
        <v>0</v>
      </c>
      <c r="Q13" s="8">
        <v>0</v>
      </c>
      <c r="R13" s="8">
        <v>0</v>
      </c>
      <c r="S13" s="8">
        <v>1</v>
      </c>
      <c r="T13" s="8">
        <v>0</v>
      </c>
      <c r="U13" s="8">
        <v>0</v>
      </c>
      <c r="V13" s="54">
        <f t="shared" si="1"/>
        <v>55</v>
      </c>
      <c r="W13" s="54">
        <f t="shared" si="2"/>
        <v>13</v>
      </c>
      <c r="X13" s="62">
        <f t="shared" si="3"/>
        <v>4.333333333333333</v>
      </c>
    </row>
    <row r="14" spans="1:24" ht="15.6">
      <c r="A14" s="52" t="s">
        <v>114</v>
      </c>
      <c r="B14" s="8" t="s">
        <v>114</v>
      </c>
      <c r="C14" s="8" t="s">
        <v>115</v>
      </c>
      <c r="D14" s="124">
        <v>71.011789325447893</v>
      </c>
      <c r="E14" s="9">
        <v>11.43</v>
      </c>
      <c r="F14" s="9" t="s">
        <v>189</v>
      </c>
      <c r="G14" s="9">
        <f t="shared" si="0"/>
        <v>0.19993889035385198</v>
      </c>
      <c r="H14" s="8">
        <v>0</v>
      </c>
      <c r="I14" s="8">
        <v>0</v>
      </c>
      <c r="J14" s="8">
        <v>7</v>
      </c>
      <c r="K14" s="8">
        <v>0</v>
      </c>
      <c r="L14" s="8">
        <v>2</v>
      </c>
      <c r="M14" s="8">
        <v>0</v>
      </c>
      <c r="N14" s="8">
        <v>0</v>
      </c>
      <c r="O14" s="8">
        <v>0</v>
      </c>
      <c r="P14" s="8">
        <v>1</v>
      </c>
      <c r="Q14" s="8">
        <v>0</v>
      </c>
      <c r="R14" s="8">
        <v>0</v>
      </c>
      <c r="S14" s="8">
        <v>0</v>
      </c>
      <c r="T14" s="8">
        <v>0</v>
      </c>
      <c r="U14" s="8">
        <v>-3</v>
      </c>
      <c r="V14" s="54">
        <f t="shared" si="1"/>
        <v>174</v>
      </c>
      <c r="W14" s="54">
        <f t="shared" si="2"/>
        <v>-1</v>
      </c>
      <c r="X14" s="55">
        <f t="shared" si="3"/>
        <v>-1</v>
      </c>
    </row>
    <row r="15" spans="1:24" ht="15.6">
      <c r="A15" s="52" t="s">
        <v>90</v>
      </c>
      <c r="B15" s="8" t="s">
        <v>91</v>
      </c>
      <c r="C15" s="8" t="s">
        <v>183</v>
      </c>
      <c r="D15" s="65">
        <v>-26.6</v>
      </c>
      <c r="E15" s="65">
        <v>-80.3</v>
      </c>
      <c r="F15" s="65">
        <v>111.3</v>
      </c>
      <c r="G15" s="9">
        <f t="shared" si="0"/>
        <v>0.18020134228187917</v>
      </c>
      <c r="H15" s="8">
        <v>0</v>
      </c>
      <c r="I15" s="8">
        <v>3</v>
      </c>
      <c r="J15" s="8">
        <v>0</v>
      </c>
      <c r="K15" s="8">
        <v>1</v>
      </c>
      <c r="L15" s="8">
        <v>0</v>
      </c>
      <c r="M15" s="8">
        <v>0</v>
      </c>
      <c r="N15" s="8">
        <v>0</v>
      </c>
      <c r="O15" s="8">
        <v>0</v>
      </c>
      <c r="P15" s="8">
        <v>0</v>
      </c>
      <c r="Q15" s="8">
        <v>0</v>
      </c>
      <c r="R15" s="8">
        <v>0</v>
      </c>
      <c r="S15" s="8">
        <v>0</v>
      </c>
      <c r="T15" s="8">
        <v>0</v>
      </c>
      <c r="U15" s="8">
        <v>0</v>
      </c>
      <c r="V15" s="54">
        <f t="shared" si="1"/>
        <v>17</v>
      </c>
      <c r="W15" s="54">
        <f t="shared" si="2"/>
        <v>0</v>
      </c>
      <c r="X15" s="55">
        <f t="shared" si="3"/>
        <v>0</v>
      </c>
    </row>
    <row r="16" spans="1:24" ht="15.6">
      <c r="A16" s="52" t="s">
        <v>89</v>
      </c>
      <c r="B16" s="8" t="s">
        <v>183</v>
      </c>
      <c r="C16" s="8" t="s">
        <v>183</v>
      </c>
      <c r="D16" s="65">
        <v>-16.5</v>
      </c>
      <c r="E16" s="65">
        <v>-46.1</v>
      </c>
      <c r="F16" s="65">
        <v>192.7</v>
      </c>
      <c r="G16" s="9">
        <f t="shared" si="0"/>
        <v>9.9328859060402688E-2</v>
      </c>
      <c r="H16" s="8">
        <v>0</v>
      </c>
      <c r="I16" s="8">
        <v>3</v>
      </c>
      <c r="J16" s="8">
        <v>0</v>
      </c>
      <c r="K16" s="8">
        <v>1</v>
      </c>
      <c r="L16" s="8">
        <v>0</v>
      </c>
      <c r="M16" s="8">
        <v>0</v>
      </c>
      <c r="N16" s="8">
        <v>0</v>
      </c>
      <c r="O16" s="8">
        <v>0</v>
      </c>
      <c r="P16" s="8">
        <v>0</v>
      </c>
      <c r="Q16" s="8">
        <v>0</v>
      </c>
      <c r="R16" s="8">
        <v>0</v>
      </c>
      <c r="S16" s="8">
        <v>0</v>
      </c>
      <c r="T16" s="8">
        <v>0</v>
      </c>
      <c r="U16" s="8">
        <v>0</v>
      </c>
      <c r="V16" s="54">
        <f t="shared" si="1"/>
        <v>17</v>
      </c>
      <c r="W16" s="54">
        <f t="shared" si="2"/>
        <v>0</v>
      </c>
      <c r="X16" s="55">
        <f t="shared" si="3"/>
        <v>0</v>
      </c>
    </row>
    <row r="17" spans="1:24" ht="15.6">
      <c r="A17" s="52" t="s">
        <v>92</v>
      </c>
      <c r="B17" s="8" t="s">
        <v>184</v>
      </c>
      <c r="C17" s="8" t="s">
        <v>184</v>
      </c>
      <c r="D17" s="65">
        <v>-79.37</v>
      </c>
      <c r="E17" s="65">
        <v>-133.30000000000001</v>
      </c>
      <c r="F17" s="65">
        <v>111.2</v>
      </c>
      <c r="G17" s="9">
        <f t="shared" si="0"/>
        <v>0.18097315436241612</v>
      </c>
      <c r="H17" s="8">
        <v>0</v>
      </c>
      <c r="I17" s="8">
        <v>4</v>
      </c>
      <c r="J17" s="8">
        <v>0</v>
      </c>
      <c r="K17" s="8">
        <v>1</v>
      </c>
      <c r="L17" s="8">
        <v>0</v>
      </c>
      <c r="M17" s="8">
        <v>0</v>
      </c>
      <c r="N17" s="8">
        <v>0</v>
      </c>
      <c r="O17" s="8">
        <v>0</v>
      </c>
      <c r="P17" s="8">
        <v>0</v>
      </c>
      <c r="Q17" s="8">
        <v>0</v>
      </c>
      <c r="R17" s="8">
        <v>0</v>
      </c>
      <c r="S17" s="8">
        <v>0</v>
      </c>
      <c r="T17" s="8">
        <v>0</v>
      </c>
      <c r="U17" s="8">
        <v>1</v>
      </c>
      <c r="V17" s="54">
        <f t="shared" si="1"/>
        <v>18</v>
      </c>
      <c r="W17" s="54">
        <f t="shared" si="2"/>
        <v>0</v>
      </c>
      <c r="X17" s="55">
        <f t="shared" si="3"/>
        <v>0</v>
      </c>
    </row>
    <row r="18" spans="1:24" ht="15.6">
      <c r="A18" s="52" t="s">
        <v>112</v>
      </c>
      <c r="B18" s="8" t="s">
        <v>112</v>
      </c>
      <c r="C18" s="8" t="s">
        <v>113</v>
      </c>
      <c r="D18" s="124">
        <v>933.45357865089568</v>
      </c>
      <c r="E18" s="9" t="s">
        <v>189</v>
      </c>
      <c r="F18" s="9" t="s">
        <v>189</v>
      </c>
      <c r="G18" s="9" t="e">
        <f t="shared" si="0"/>
        <v>#VALUE!</v>
      </c>
      <c r="H18" s="8">
        <v>0</v>
      </c>
      <c r="I18" s="8">
        <v>0</v>
      </c>
      <c r="J18" s="8">
        <v>4</v>
      </c>
      <c r="K18" s="8">
        <v>0</v>
      </c>
      <c r="L18" s="8">
        <v>1</v>
      </c>
      <c r="M18" s="8">
        <v>0</v>
      </c>
      <c r="N18" s="8">
        <v>0</v>
      </c>
      <c r="O18" s="8">
        <v>0</v>
      </c>
      <c r="P18" s="8">
        <v>1</v>
      </c>
      <c r="Q18" s="8">
        <v>0</v>
      </c>
      <c r="R18" s="8">
        <v>0</v>
      </c>
      <c r="S18" s="8">
        <v>0</v>
      </c>
      <c r="T18" s="8">
        <v>0</v>
      </c>
      <c r="U18" s="8">
        <v>-2</v>
      </c>
      <c r="V18" s="54">
        <f t="shared" si="1"/>
        <v>95</v>
      </c>
      <c r="W18" s="54">
        <f t="shared" si="2"/>
        <v>-1</v>
      </c>
      <c r="X18" s="55">
        <f t="shared" si="3"/>
        <v>-1</v>
      </c>
    </row>
    <row r="19" spans="1:24" ht="15.6">
      <c r="A19" s="52" t="s">
        <v>116</v>
      </c>
      <c r="B19" s="8" t="s">
        <v>116</v>
      </c>
      <c r="C19" s="8" t="s">
        <v>117</v>
      </c>
      <c r="D19" s="122">
        <v>-791.43</v>
      </c>
      <c r="E19" s="9">
        <v>-979.42</v>
      </c>
      <c r="F19" s="9" t="s">
        <v>189</v>
      </c>
      <c r="G19" s="9">
        <f t="shared" si="0"/>
        <v>0.63083892617449666</v>
      </c>
      <c r="H19" s="8">
        <v>0</v>
      </c>
      <c r="I19" s="8">
        <v>0</v>
      </c>
      <c r="J19" s="8">
        <v>10</v>
      </c>
      <c r="K19" s="8">
        <v>0</v>
      </c>
      <c r="L19" s="8">
        <v>3</v>
      </c>
      <c r="M19" s="8">
        <v>0</v>
      </c>
      <c r="N19" s="8">
        <v>0</v>
      </c>
      <c r="O19" s="8">
        <v>0</v>
      </c>
      <c r="P19" s="8">
        <v>1</v>
      </c>
      <c r="Q19" s="8">
        <v>0</v>
      </c>
      <c r="R19" s="8">
        <v>0</v>
      </c>
      <c r="S19" s="8">
        <v>0</v>
      </c>
      <c r="T19" s="8">
        <v>0</v>
      </c>
      <c r="U19" s="8">
        <v>-4</v>
      </c>
      <c r="V19" s="54">
        <f t="shared" si="1"/>
        <v>253</v>
      </c>
      <c r="W19" s="54">
        <f t="shared" si="2"/>
        <v>-1</v>
      </c>
      <c r="X19" s="55">
        <f t="shared" si="3"/>
        <v>-1</v>
      </c>
    </row>
    <row r="20" spans="1:24" ht="15.6">
      <c r="A20" s="52" t="s">
        <v>61</v>
      </c>
      <c r="B20" s="8" t="s">
        <v>62</v>
      </c>
      <c r="C20" s="8" t="s">
        <v>168</v>
      </c>
      <c r="D20" s="53">
        <v>-67</v>
      </c>
      <c r="E20" s="53">
        <v>-91</v>
      </c>
      <c r="F20" s="9" t="s">
        <v>189</v>
      </c>
      <c r="G20" s="9">
        <f t="shared" si="0"/>
        <v>8.0536912751677847E-2</v>
      </c>
      <c r="H20" s="8">
        <v>1</v>
      </c>
      <c r="I20" s="8">
        <v>1.8</v>
      </c>
      <c r="J20" s="8">
        <v>0.5</v>
      </c>
      <c r="K20" s="8">
        <v>0.2</v>
      </c>
      <c r="L20" s="8">
        <v>0</v>
      </c>
      <c r="M20" s="8">
        <v>0</v>
      </c>
      <c r="N20" s="8">
        <v>0</v>
      </c>
      <c r="O20" s="8">
        <v>0</v>
      </c>
      <c r="P20" s="8">
        <v>0</v>
      </c>
      <c r="Q20" s="8">
        <v>0</v>
      </c>
      <c r="R20" s="8">
        <v>0</v>
      </c>
      <c r="S20" s="8">
        <v>0</v>
      </c>
      <c r="T20" s="8">
        <v>0</v>
      </c>
      <c r="U20" s="8">
        <v>0</v>
      </c>
      <c r="V20" s="54">
        <f t="shared" si="1"/>
        <v>24.6</v>
      </c>
      <c r="W20" s="54">
        <f t="shared" si="2"/>
        <v>4.1999999999999993</v>
      </c>
      <c r="X20" s="55">
        <f t="shared" si="3"/>
        <v>4.1999999999999993</v>
      </c>
    </row>
    <row r="21" spans="1:24" ht="15.6">
      <c r="A21" s="52" t="s">
        <v>748</v>
      </c>
      <c r="B21" s="8" t="s">
        <v>749</v>
      </c>
      <c r="C21" s="8" t="s">
        <v>750</v>
      </c>
      <c r="D21" s="53">
        <v>-67</v>
      </c>
      <c r="E21" s="53">
        <v>-91</v>
      </c>
      <c r="F21" s="9" t="s">
        <v>189</v>
      </c>
      <c r="G21" s="9">
        <f t="shared" si="0"/>
        <v>8.0536912751677847E-2</v>
      </c>
      <c r="H21" s="8">
        <v>1</v>
      </c>
      <c r="I21" s="8">
        <v>1.659</v>
      </c>
      <c r="J21" s="8">
        <v>0.5</v>
      </c>
      <c r="K21" s="8">
        <v>0.153</v>
      </c>
      <c r="L21" s="8">
        <v>0</v>
      </c>
      <c r="M21" s="8">
        <v>0</v>
      </c>
      <c r="N21" s="8">
        <v>0</v>
      </c>
      <c r="O21" s="8">
        <v>0</v>
      </c>
      <c r="P21" s="8">
        <v>0</v>
      </c>
      <c r="Q21" s="8">
        <v>0</v>
      </c>
      <c r="R21" s="8">
        <v>0</v>
      </c>
      <c r="S21" s="8">
        <v>0</v>
      </c>
      <c r="T21" s="8">
        <v>0</v>
      </c>
      <c r="U21" s="8">
        <v>0</v>
      </c>
      <c r="V21" s="54">
        <f t="shared" si="1"/>
        <v>23.800999999999998</v>
      </c>
      <c r="W21" s="54">
        <f t="shared" si="2"/>
        <v>4.2</v>
      </c>
      <c r="X21" s="55">
        <f t="shared" si="3"/>
        <v>4.2</v>
      </c>
    </row>
    <row r="22" spans="1:24" ht="15.6">
      <c r="A22" s="113" t="s">
        <v>285</v>
      </c>
      <c r="B22" s="13" t="s">
        <v>288</v>
      </c>
      <c r="C22" s="13" t="s">
        <v>287</v>
      </c>
      <c r="D22" s="53" t="s">
        <v>189</v>
      </c>
      <c r="E22" s="53" t="s">
        <v>189</v>
      </c>
      <c r="F22" s="9" t="s">
        <v>189</v>
      </c>
      <c r="G22" s="9" t="e">
        <f t="shared" si="0"/>
        <v>#VALUE!</v>
      </c>
      <c r="H22" s="8">
        <v>5</v>
      </c>
      <c r="I22" s="8">
        <v>10</v>
      </c>
      <c r="J22" s="8">
        <v>2</v>
      </c>
      <c r="K22" s="8">
        <v>0</v>
      </c>
      <c r="L22" s="8">
        <v>0</v>
      </c>
      <c r="M22" s="8">
        <v>0</v>
      </c>
      <c r="N22" s="8">
        <v>0</v>
      </c>
      <c r="O22" s="8">
        <v>0</v>
      </c>
      <c r="P22" s="8">
        <v>0</v>
      </c>
      <c r="Q22" s="8">
        <v>0</v>
      </c>
      <c r="R22" s="8">
        <v>0</v>
      </c>
      <c r="S22" s="8">
        <v>0</v>
      </c>
      <c r="T22" s="8">
        <v>0</v>
      </c>
      <c r="U22" s="8">
        <v>0</v>
      </c>
      <c r="V22" s="54">
        <f t="shared" si="1"/>
        <v>102</v>
      </c>
      <c r="W22" s="54">
        <f t="shared" si="2"/>
        <v>26</v>
      </c>
      <c r="X22" s="55">
        <f t="shared" si="3"/>
        <v>5.2</v>
      </c>
    </row>
    <row r="23" spans="1:24" ht="15.6">
      <c r="A23" s="113" t="s">
        <v>286</v>
      </c>
      <c r="B23" s="13" t="s">
        <v>289</v>
      </c>
      <c r="C23" s="13" t="s">
        <v>290</v>
      </c>
      <c r="D23" s="65">
        <v>-344.3</v>
      </c>
      <c r="E23" s="53" t="s">
        <v>189</v>
      </c>
      <c r="F23" s="109" t="s">
        <v>189</v>
      </c>
      <c r="G23" s="9" t="e">
        <f t="shared" si="0"/>
        <v>#VALUE!</v>
      </c>
      <c r="H23" s="8">
        <v>5</v>
      </c>
      <c r="I23" s="8">
        <v>9</v>
      </c>
      <c r="J23" s="8">
        <v>2</v>
      </c>
      <c r="K23" s="8">
        <v>0</v>
      </c>
      <c r="L23" s="8">
        <v>0</v>
      </c>
      <c r="M23" s="8">
        <v>0</v>
      </c>
      <c r="N23" s="8">
        <v>0</v>
      </c>
      <c r="O23" s="8">
        <v>0</v>
      </c>
      <c r="P23" s="8">
        <v>0</v>
      </c>
      <c r="Q23" s="8">
        <v>0</v>
      </c>
      <c r="R23" s="8">
        <v>0</v>
      </c>
      <c r="S23" s="8">
        <v>0</v>
      </c>
      <c r="T23" s="8">
        <v>0</v>
      </c>
      <c r="U23" s="8">
        <v>-1</v>
      </c>
      <c r="V23" s="54">
        <f t="shared" si="1"/>
        <v>101</v>
      </c>
      <c r="W23" s="54">
        <f t="shared" si="2"/>
        <v>26</v>
      </c>
      <c r="X23" s="55">
        <f t="shared" si="3"/>
        <v>5.2</v>
      </c>
    </row>
    <row r="24" spans="1:24" ht="15.6">
      <c r="A24" s="52" t="s">
        <v>210</v>
      </c>
      <c r="B24" s="8" t="s">
        <v>252</v>
      </c>
      <c r="C24" s="8" t="s">
        <v>173</v>
      </c>
      <c r="D24" s="57">
        <v>-124.3</v>
      </c>
      <c r="E24" s="9" t="s">
        <v>189</v>
      </c>
      <c r="F24" s="9" t="s">
        <v>189</v>
      </c>
      <c r="G24" s="9" t="e">
        <f t="shared" si="0"/>
        <v>#VALUE!</v>
      </c>
      <c r="H24" s="8">
        <v>4</v>
      </c>
      <c r="I24" s="8">
        <v>7</v>
      </c>
      <c r="J24" s="8">
        <v>1</v>
      </c>
      <c r="K24" s="8">
        <v>0</v>
      </c>
      <c r="L24" s="8">
        <v>0</v>
      </c>
      <c r="M24" s="8">
        <v>0</v>
      </c>
      <c r="N24" s="8">
        <v>0</v>
      </c>
      <c r="O24" s="8">
        <v>0</v>
      </c>
      <c r="P24" s="8">
        <v>0</v>
      </c>
      <c r="Q24" s="8">
        <v>0</v>
      </c>
      <c r="R24" s="8">
        <v>0</v>
      </c>
      <c r="S24" s="8">
        <v>1</v>
      </c>
      <c r="T24" s="8">
        <v>0</v>
      </c>
      <c r="U24" s="8">
        <v>0</v>
      </c>
      <c r="V24" s="54">
        <f t="shared" si="1"/>
        <v>71</v>
      </c>
      <c r="W24" s="54">
        <f t="shared" si="2"/>
        <v>21</v>
      </c>
      <c r="X24" s="55">
        <f t="shared" si="3"/>
        <v>5.25</v>
      </c>
    </row>
    <row r="25" spans="1:24" ht="15.6">
      <c r="A25" s="52" t="s">
        <v>244</v>
      </c>
      <c r="B25" s="8" t="s">
        <v>243</v>
      </c>
      <c r="C25" s="12" t="s">
        <v>245</v>
      </c>
      <c r="D25" s="53">
        <v>-119.67</v>
      </c>
      <c r="E25" s="9" t="s">
        <v>189</v>
      </c>
      <c r="F25" s="9" t="s">
        <v>189</v>
      </c>
      <c r="G25" s="9" t="e">
        <f t="shared" si="0"/>
        <v>#VALUE!</v>
      </c>
      <c r="H25" s="8">
        <v>4</v>
      </c>
      <c r="I25" s="8">
        <v>8</v>
      </c>
      <c r="J25" s="8">
        <v>1</v>
      </c>
      <c r="K25" s="8">
        <v>0</v>
      </c>
      <c r="L25" s="8">
        <v>0</v>
      </c>
      <c r="M25" s="8">
        <v>0</v>
      </c>
      <c r="N25" s="8">
        <v>0</v>
      </c>
      <c r="O25" s="8">
        <v>0</v>
      </c>
      <c r="P25" s="8">
        <v>0</v>
      </c>
      <c r="Q25" s="8">
        <v>0</v>
      </c>
      <c r="R25" s="8">
        <v>0</v>
      </c>
      <c r="S25" s="8">
        <v>0</v>
      </c>
      <c r="T25" s="8">
        <v>0</v>
      </c>
      <c r="U25" s="8">
        <v>0</v>
      </c>
      <c r="V25" s="54">
        <f t="shared" si="1"/>
        <v>72</v>
      </c>
      <c r="W25" s="54">
        <f t="shared" si="2"/>
        <v>22</v>
      </c>
      <c r="X25" s="55">
        <f t="shared" si="3"/>
        <v>5.5</v>
      </c>
    </row>
    <row r="26" spans="1:24" ht="15.6">
      <c r="A26" s="52" t="s">
        <v>246</v>
      </c>
      <c r="B26" s="8" t="s">
        <v>247</v>
      </c>
      <c r="C26" s="8" t="s">
        <v>146</v>
      </c>
      <c r="D26" s="53">
        <v>-116.3</v>
      </c>
      <c r="E26" s="9" t="s">
        <v>189</v>
      </c>
      <c r="F26" s="9" t="s">
        <v>189</v>
      </c>
      <c r="G26" s="9" t="e">
        <f t="shared" si="0"/>
        <v>#VALUE!</v>
      </c>
      <c r="H26" s="8">
        <v>4</v>
      </c>
      <c r="I26" s="8">
        <v>8</v>
      </c>
      <c r="J26" s="8">
        <v>1</v>
      </c>
      <c r="K26" s="8">
        <v>0</v>
      </c>
      <c r="L26" s="8">
        <v>0</v>
      </c>
      <c r="M26" s="8">
        <v>0</v>
      </c>
      <c r="N26" s="8">
        <v>0</v>
      </c>
      <c r="O26" s="8">
        <v>0</v>
      </c>
      <c r="P26" s="8">
        <v>0</v>
      </c>
      <c r="Q26" s="8">
        <v>0</v>
      </c>
      <c r="R26" s="8">
        <v>0</v>
      </c>
      <c r="S26" s="8">
        <v>0</v>
      </c>
      <c r="T26" s="8">
        <v>0</v>
      </c>
      <c r="U26" s="8">
        <v>0</v>
      </c>
      <c r="V26" s="54">
        <f t="shared" si="1"/>
        <v>72</v>
      </c>
      <c r="W26" s="54">
        <f t="shared" si="2"/>
        <v>22</v>
      </c>
      <c r="X26" s="55">
        <f t="shared" si="3"/>
        <v>5.5</v>
      </c>
    </row>
    <row r="27" spans="1:24" ht="15.6">
      <c r="A27" s="52" t="s">
        <v>20</v>
      </c>
      <c r="B27" s="8" t="s">
        <v>21</v>
      </c>
      <c r="C27" s="12" t="s">
        <v>148</v>
      </c>
      <c r="D27" s="56">
        <v>-352.63</v>
      </c>
      <c r="E27" s="9">
        <v>-535</v>
      </c>
      <c r="F27" s="9" t="s">
        <v>189</v>
      </c>
      <c r="G27" s="9">
        <f t="shared" si="0"/>
        <v>0.61197986577181207</v>
      </c>
      <c r="H27" s="8">
        <v>4</v>
      </c>
      <c r="I27" s="8">
        <v>7</v>
      </c>
      <c r="J27" s="8">
        <v>2</v>
      </c>
      <c r="K27" s="8">
        <v>0</v>
      </c>
      <c r="L27" s="8">
        <v>0</v>
      </c>
      <c r="M27" s="8">
        <v>0</v>
      </c>
      <c r="N27" s="8">
        <v>0</v>
      </c>
      <c r="O27" s="8">
        <v>0</v>
      </c>
      <c r="P27" s="8">
        <v>0</v>
      </c>
      <c r="Q27" s="8">
        <v>0</v>
      </c>
      <c r="R27" s="8">
        <v>0</v>
      </c>
      <c r="S27" s="8">
        <v>0</v>
      </c>
      <c r="T27" s="8">
        <v>0</v>
      </c>
      <c r="U27" s="8">
        <v>-1</v>
      </c>
      <c r="V27" s="54">
        <f t="shared" si="1"/>
        <v>87</v>
      </c>
      <c r="W27" s="54">
        <f t="shared" si="2"/>
        <v>20</v>
      </c>
      <c r="X27" s="55">
        <f t="shared" si="3"/>
        <v>5</v>
      </c>
    </row>
    <row r="28" spans="1:24" ht="15.6">
      <c r="A28" s="52" t="s">
        <v>18</v>
      </c>
      <c r="B28" s="8" t="s">
        <v>19</v>
      </c>
      <c r="C28" s="12" t="s">
        <v>147</v>
      </c>
      <c r="D28" s="119">
        <v>-380.1</v>
      </c>
      <c r="E28" s="9" t="s">
        <v>189</v>
      </c>
      <c r="F28" s="9" t="s">
        <v>189</v>
      </c>
      <c r="G28" s="9" t="e">
        <f t="shared" si="0"/>
        <v>#VALUE!</v>
      </c>
      <c r="H28" s="8">
        <v>4</v>
      </c>
      <c r="I28" s="8">
        <v>8</v>
      </c>
      <c r="J28" s="8">
        <v>2</v>
      </c>
      <c r="K28" s="8">
        <v>0</v>
      </c>
      <c r="L28" s="8">
        <v>0</v>
      </c>
      <c r="M28" s="8">
        <v>0</v>
      </c>
      <c r="N28" s="8">
        <v>0</v>
      </c>
      <c r="O28" s="8">
        <v>0</v>
      </c>
      <c r="P28" s="8">
        <v>0</v>
      </c>
      <c r="Q28" s="8">
        <v>0</v>
      </c>
      <c r="R28" s="8">
        <v>0</v>
      </c>
      <c r="S28" s="8">
        <v>0</v>
      </c>
      <c r="T28" s="8">
        <v>0</v>
      </c>
      <c r="U28" s="8">
        <v>0</v>
      </c>
      <c r="V28" s="54">
        <f t="shared" si="1"/>
        <v>88</v>
      </c>
      <c r="W28" s="54">
        <f t="shared" si="2"/>
        <v>20</v>
      </c>
      <c r="X28" s="55">
        <f t="shared" si="3"/>
        <v>5</v>
      </c>
    </row>
    <row r="29" spans="1:24" ht="15.6">
      <c r="A29" s="52" t="s">
        <v>235</v>
      </c>
      <c r="B29" s="8" t="s">
        <v>233</v>
      </c>
      <c r="C29" s="8" t="s">
        <v>234</v>
      </c>
      <c r="D29" s="121">
        <v>-1213.49522</v>
      </c>
      <c r="E29" s="9" t="s">
        <v>189</v>
      </c>
      <c r="F29" s="9" t="s">
        <v>189</v>
      </c>
      <c r="G29" s="9" t="e">
        <f t="shared" si="0"/>
        <v>#VALUE!</v>
      </c>
      <c r="H29" s="8">
        <v>4</v>
      </c>
      <c r="I29" s="8">
        <v>7</v>
      </c>
      <c r="J29" s="8">
        <v>5</v>
      </c>
      <c r="K29" s="8">
        <v>0</v>
      </c>
      <c r="L29" s="8">
        <v>1</v>
      </c>
      <c r="M29" s="8">
        <v>0</v>
      </c>
      <c r="N29" s="8">
        <v>0</v>
      </c>
      <c r="O29" s="8">
        <v>0</v>
      </c>
      <c r="P29" s="8">
        <v>0</v>
      </c>
      <c r="Q29" s="8">
        <v>0</v>
      </c>
      <c r="R29" s="8">
        <v>0</v>
      </c>
      <c r="S29" s="8">
        <v>0</v>
      </c>
      <c r="T29" s="8">
        <v>0</v>
      </c>
      <c r="U29" s="8">
        <v>-2</v>
      </c>
      <c r="V29" s="54">
        <f t="shared" si="1"/>
        <v>166</v>
      </c>
      <c r="W29" s="54">
        <f t="shared" si="2"/>
        <v>20</v>
      </c>
      <c r="X29" s="55">
        <f t="shared" si="3"/>
        <v>5</v>
      </c>
    </row>
    <row r="30" spans="1:24" ht="15.6">
      <c r="A30" s="52" t="s">
        <v>69</v>
      </c>
      <c r="B30" s="8" t="s">
        <v>172</v>
      </c>
      <c r="C30" s="8" t="s">
        <v>172</v>
      </c>
      <c r="D30" s="65">
        <v>-386</v>
      </c>
      <c r="E30" s="9">
        <v>-413.8</v>
      </c>
      <c r="F30" s="9">
        <v>117.6</v>
      </c>
      <c r="G30" s="9">
        <f t="shared" si="0"/>
        <v>9.3288590604026889E-2</v>
      </c>
      <c r="H30" s="8">
        <v>1</v>
      </c>
      <c r="I30" s="8">
        <v>0</v>
      </c>
      <c r="J30" s="8">
        <v>2</v>
      </c>
      <c r="K30" s="8">
        <v>0</v>
      </c>
      <c r="L30" s="8">
        <v>0</v>
      </c>
      <c r="M30" s="8">
        <v>0</v>
      </c>
      <c r="N30" s="8">
        <v>0</v>
      </c>
      <c r="O30" s="8">
        <v>0</v>
      </c>
      <c r="P30" s="8">
        <v>0</v>
      </c>
      <c r="Q30" s="8">
        <v>0</v>
      </c>
      <c r="R30" s="8">
        <v>0</v>
      </c>
      <c r="S30" s="8">
        <v>0</v>
      </c>
      <c r="T30" s="8">
        <v>0</v>
      </c>
      <c r="U30" s="8">
        <v>0</v>
      </c>
      <c r="V30" s="54">
        <f t="shared" si="1"/>
        <v>44</v>
      </c>
      <c r="W30" s="54">
        <f t="shared" si="2"/>
        <v>0</v>
      </c>
      <c r="X30" s="55">
        <f t="shared" si="3"/>
        <v>0</v>
      </c>
    </row>
    <row r="31" spans="1:24" ht="15.6">
      <c r="A31" s="52" t="s">
        <v>67</v>
      </c>
      <c r="B31" s="8" t="s">
        <v>68</v>
      </c>
      <c r="C31" s="8" t="s">
        <v>172</v>
      </c>
      <c r="D31" s="65">
        <v>-394.4</v>
      </c>
      <c r="E31" s="65">
        <v>-393.5</v>
      </c>
      <c r="F31" s="65">
        <v>213.7</v>
      </c>
      <c r="G31" s="9">
        <f t="shared" si="0"/>
        <v>-3.020134228187843E-3</v>
      </c>
      <c r="H31" s="8">
        <v>1</v>
      </c>
      <c r="I31" s="8">
        <v>0</v>
      </c>
      <c r="J31" s="8">
        <v>2</v>
      </c>
      <c r="K31" s="8">
        <v>0</v>
      </c>
      <c r="L31" s="8">
        <v>0</v>
      </c>
      <c r="M31" s="8">
        <v>0</v>
      </c>
      <c r="N31" s="8">
        <v>0</v>
      </c>
      <c r="O31" s="8">
        <v>0</v>
      </c>
      <c r="P31" s="8">
        <v>0</v>
      </c>
      <c r="Q31" s="8">
        <v>0</v>
      </c>
      <c r="R31" s="8">
        <v>0</v>
      </c>
      <c r="S31" s="8">
        <v>0</v>
      </c>
      <c r="T31" s="8">
        <v>0</v>
      </c>
      <c r="U31" s="8">
        <v>0</v>
      </c>
      <c r="V31" s="54">
        <f t="shared" si="1"/>
        <v>44</v>
      </c>
      <c r="W31" s="54">
        <f t="shared" si="2"/>
        <v>0</v>
      </c>
      <c r="X31" s="55">
        <f t="shared" si="3"/>
        <v>0</v>
      </c>
    </row>
    <row r="32" spans="1:24" ht="15.6">
      <c r="A32" s="52" t="s">
        <v>71</v>
      </c>
      <c r="B32" s="13" t="s">
        <v>284</v>
      </c>
      <c r="C32" s="13" t="s">
        <v>284</v>
      </c>
      <c r="D32" s="65">
        <v>-527.9</v>
      </c>
      <c r="E32" s="65">
        <v>-677.1</v>
      </c>
      <c r="F32" s="65">
        <v>-56.9</v>
      </c>
      <c r="G32" s="9">
        <f t="shared" si="0"/>
        <v>0.50067114093959741</v>
      </c>
      <c r="H32" s="8">
        <v>1</v>
      </c>
      <c r="I32" s="8">
        <v>0</v>
      </c>
      <c r="J32" s="8">
        <v>3</v>
      </c>
      <c r="K32" s="8">
        <v>0</v>
      </c>
      <c r="L32" s="8">
        <v>0</v>
      </c>
      <c r="M32" s="8">
        <v>0</v>
      </c>
      <c r="N32" s="8">
        <v>0</v>
      </c>
      <c r="O32" s="8">
        <v>0</v>
      </c>
      <c r="P32" s="8">
        <v>0</v>
      </c>
      <c r="Q32" s="8">
        <v>0</v>
      </c>
      <c r="R32" s="8">
        <v>0</v>
      </c>
      <c r="S32" s="8">
        <v>0</v>
      </c>
      <c r="T32" s="8">
        <v>0</v>
      </c>
      <c r="U32" s="8">
        <v>-2</v>
      </c>
      <c r="V32" s="54">
        <f t="shared" si="1"/>
        <v>60</v>
      </c>
      <c r="W32" s="54">
        <f t="shared" si="2"/>
        <v>0</v>
      </c>
      <c r="X32" s="55">
        <f t="shared" si="3"/>
        <v>0</v>
      </c>
    </row>
    <row r="33" spans="1:24" ht="15.75" customHeight="1">
      <c r="A33" s="52" t="s">
        <v>70</v>
      </c>
      <c r="B33" s="13" t="s">
        <v>283</v>
      </c>
      <c r="C33" s="13" t="s">
        <v>283</v>
      </c>
      <c r="D33" s="65">
        <v>-623.20000000000005</v>
      </c>
      <c r="E33" s="65">
        <v>-699.6</v>
      </c>
      <c r="F33" s="65">
        <v>187.4</v>
      </c>
      <c r="G33" s="9">
        <f t="shared" si="0"/>
        <v>0.25637583892617444</v>
      </c>
      <c r="H33" s="8">
        <v>1</v>
      </c>
      <c r="I33" s="8">
        <v>2</v>
      </c>
      <c r="J33" s="8">
        <v>3</v>
      </c>
      <c r="K33" s="8">
        <v>0</v>
      </c>
      <c r="L33" s="8">
        <v>0</v>
      </c>
      <c r="M33" s="8">
        <v>0</v>
      </c>
      <c r="N33" s="8">
        <v>0</v>
      </c>
      <c r="O33" s="8">
        <v>0</v>
      </c>
      <c r="P33" s="8">
        <v>0</v>
      </c>
      <c r="Q33" s="8">
        <v>0</v>
      </c>
      <c r="R33" s="8">
        <v>0</v>
      </c>
      <c r="S33" s="8">
        <v>0</v>
      </c>
      <c r="T33" s="8">
        <v>0</v>
      </c>
      <c r="U33" s="8">
        <v>0</v>
      </c>
      <c r="V33" s="54">
        <f t="shared" si="1"/>
        <v>62</v>
      </c>
      <c r="W33" s="54">
        <f t="shared" si="2"/>
        <v>0</v>
      </c>
      <c r="X33" s="55">
        <f t="shared" si="3"/>
        <v>0</v>
      </c>
    </row>
    <row r="34" spans="1:24" ht="15.6">
      <c r="A34" s="52" t="s">
        <v>65</v>
      </c>
      <c r="B34" s="8" t="s">
        <v>66</v>
      </c>
      <c r="C34" s="12" t="s">
        <v>171</v>
      </c>
      <c r="D34" s="63">
        <v>-586.9</v>
      </c>
      <c r="E34" s="63">
        <v>-692</v>
      </c>
      <c r="F34" s="63">
        <v>91.2</v>
      </c>
      <c r="G34" s="9">
        <f t="shared" si="0"/>
        <v>0.35268456375838936</v>
      </c>
      <c r="H34" s="8">
        <v>1</v>
      </c>
      <c r="I34" s="8">
        <v>1</v>
      </c>
      <c r="J34" s="8">
        <v>3</v>
      </c>
      <c r="K34" s="8">
        <v>0</v>
      </c>
      <c r="L34" s="8">
        <v>0</v>
      </c>
      <c r="M34" s="8">
        <v>0</v>
      </c>
      <c r="N34" s="8">
        <v>0</v>
      </c>
      <c r="O34" s="8">
        <v>0</v>
      </c>
      <c r="P34" s="8">
        <v>0</v>
      </c>
      <c r="Q34" s="8">
        <v>0</v>
      </c>
      <c r="R34" s="8">
        <v>0</v>
      </c>
      <c r="S34" s="8">
        <v>0</v>
      </c>
      <c r="T34" s="8">
        <v>0</v>
      </c>
      <c r="U34" s="8">
        <v>-1</v>
      </c>
      <c r="V34" s="54">
        <f t="shared" si="1"/>
        <v>61</v>
      </c>
      <c r="W34" s="54">
        <f t="shared" si="2"/>
        <v>0</v>
      </c>
      <c r="X34" s="55">
        <f t="shared" si="3"/>
        <v>0</v>
      </c>
    </row>
    <row r="35" spans="1:24" ht="15.75" customHeight="1">
      <c r="A35" s="52" t="s">
        <v>80</v>
      </c>
      <c r="B35" s="8" t="s">
        <v>81</v>
      </c>
      <c r="C35" s="8" t="s">
        <v>81</v>
      </c>
      <c r="D35" s="66">
        <v>0</v>
      </c>
      <c r="E35" s="9" t="s">
        <v>189</v>
      </c>
      <c r="F35" s="9" t="s">
        <v>189</v>
      </c>
      <c r="G35" s="9" t="e">
        <f t="shared" ref="G35:G66" si="4">+(D35-E35)/298</f>
        <v>#VALUE!</v>
      </c>
      <c r="H35" s="8">
        <v>0</v>
      </c>
      <c r="I35" s="8">
        <v>1</v>
      </c>
      <c r="J35" s="8">
        <v>0</v>
      </c>
      <c r="K35" s="8">
        <v>0</v>
      </c>
      <c r="L35" s="8">
        <v>0</v>
      </c>
      <c r="M35" s="8">
        <v>0</v>
      </c>
      <c r="N35" s="8">
        <v>0</v>
      </c>
      <c r="O35" s="8">
        <v>0</v>
      </c>
      <c r="P35" s="8">
        <v>0</v>
      </c>
      <c r="Q35" s="8">
        <v>0</v>
      </c>
      <c r="R35" s="8">
        <v>0</v>
      </c>
      <c r="S35" s="8">
        <v>1</v>
      </c>
      <c r="T35" s="8">
        <v>0</v>
      </c>
      <c r="U35" s="8">
        <v>0</v>
      </c>
      <c r="V35" s="54">
        <f t="shared" si="1"/>
        <v>1</v>
      </c>
      <c r="W35" s="54">
        <f t="shared" ref="W35:W66" si="5">SUMPRODUCT($H35:$U35,$H$113:$U$113)</f>
        <v>1</v>
      </c>
      <c r="X35" s="55">
        <f t="shared" ref="X35:X66" si="6">(IF(H35&lt;&gt;0,SUMPRODUCT($H35:$U35,$H$113:$U$113)/$H35,SUMPRODUCT($H35:$U35,$H$113:$U$113)))</f>
        <v>1</v>
      </c>
    </row>
    <row r="36" spans="1:24" ht="15.75" customHeight="1">
      <c r="A36" s="52" t="s">
        <v>211</v>
      </c>
      <c r="B36" s="8" t="s">
        <v>250</v>
      </c>
      <c r="C36" s="8" t="s">
        <v>175</v>
      </c>
      <c r="D36" s="117">
        <v>-46</v>
      </c>
      <c r="E36" s="9" t="s">
        <v>189</v>
      </c>
      <c r="F36" s="9" t="s">
        <v>189</v>
      </c>
      <c r="G36" s="9" t="e">
        <f t="shared" si="4"/>
        <v>#VALUE!</v>
      </c>
      <c r="H36" s="8">
        <v>4</v>
      </c>
      <c r="I36" s="8">
        <v>5</v>
      </c>
      <c r="J36" s="8">
        <v>1</v>
      </c>
      <c r="K36" s="8">
        <v>0</v>
      </c>
      <c r="L36" s="8">
        <v>0</v>
      </c>
      <c r="M36" s="8">
        <v>0</v>
      </c>
      <c r="N36" s="8">
        <v>0</v>
      </c>
      <c r="O36" s="8">
        <v>0</v>
      </c>
      <c r="P36" s="8">
        <v>0</v>
      </c>
      <c r="Q36" s="8">
        <v>0</v>
      </c>
      <c r="R36" s="8">
        <v>0</v>
      </c>
      <c r="S36" s="8">
        <v>1</v>
      </c>
      <c r="T36" s="8">
        <v>0</v>
      </c>
      <c r="U36" s="8">
        <v>0</v>
      </c>
      <c r="V36" s="54">
        <f t="shared" ref="V36:V68" si="7">SUMPRODUCT(H36:U36,$H$112:$U$112)</f>
        <v>69</v>
      </c>
      <c r="W36" s="54">
        <f t="shared" si="5"/>
        <v>19</v>
      </c>
      <c r="X36" s="55">
        <f t="shared" si="6"/>
        <v>4.75</v>
      </c>
    </row>
    <row r="37" spans="1:24" ht="15.75" customHeight="1">
      <c r="A37" s="52" t="s">
        <v>125</v>
      </c>
      <c r="B37" s="8" t="s">
        <v>126</v>
      </c>
      <c r="C37" s="8" t="s">
        <v>127</v>
      </c>
      <c r="D37" s="61">
        <v>0</v>
      </c>
      <c r="E37" s="9">
        <v>0</v>
      </c>
      <c r="F37" s="9">
        <v>65.25</v>
      </c>
      <c r="G37" s="9">
        <f t="shared" si="4"/>
        <v>0</v>
      </c>
      <c r="H37" s="8">
        <v>0</v>
      </c>
      <c r="I37" s="8">
        <v>0</v>
      </c>
      <c r="J37" s="8">
        <v>0</v>
      </c>
      <c r="K37" s="8">
        <v>0</v>
      </c>
      <c r="L37" s="8">
        <v>0</v>
      </c>
      <c r="M37" s="8">
        <v>0</v>
      </c>
      <c r="N37" s="8">
        <v>0</v>
      </c>
      <c r="O37" s="8">
        <v>0</v>
      </c>
      <c r="P37" s="8">
        <v>0</v>
      </c>
      <c r="Q37" s="8">
        <v>0</v>
      </c>
      <c r="R37" s="8">
        <v>0</v>
      </c>
      <c r="S37" s="8">
        <v>0</v>
      </c>
      <c r="T37" s="8">
        <v>0</v>
      </c>
      <c r="U37" s="8">
        <v>-1</v>
      </c>
      <c r="V37" s="54">
        <f t="shared" si="7"/>
        <v>0</v>
      </c>
      <c r="W37" s="54">
        <f t="shared" si="5"/>
        <v>1</v>
      </c>
      <c r="X37" s="55">
        <f t="shared" si="6"/>
        <v>1</v>
      </c>
    </row>
    <row r="38" spans="1:24" ht="15.75" customHeight="1">
      <c r="A38" s="52" t="s">
        <v>49</v>
      </c>
      <c r="B38" s="8" t="s">
        <v>50</v>
      </c>
      <c r="C38" s="8" t="s">
        <v>163</v>
      </c>
      <c r="D38" s="61">
        <v>-181.75</v>
      </c>
      <c r="E38" s="9">
        <v>-288</v>
      </c>
      <c r="F38" s="9">
        <v>148.5</v>
      </c>
      <c r="G38" s="9">
        <f t="shared" si="4"/>
        <v>0.35654362416107382</v>
      </c>
      <c r="H38" s="8">
        <v>2</v>
      </c>
      <c r="I38" s="8">
        <v>6</v>
      </c>
      <c r="J38" s="8">
        <v>1</v>
      </c>
      <c r="K38" s="8">
        <v>0</v>
      </c>
      <c r="L38" s="8">
        <v>0</v>
      </c>
      <c r="M38" s="8">
        <v>0</v>
      </c>
      <c r="N38" s="8">
        <v>0</v>
      </c>
      <c r="O38" s="8">
        <v>0</v>
      </c>
      <c r="P38" s="8">
        <v>0</v>
      </c>
      <c r="Q38" s="8">
        <v>0</v>
      </c>
      <c r="R38" s="8">
        <v>0</v>
      </c>
      <c r="S38" s="8">
        <v>0</v>
      </c>
      <c r="T38" s="8">
        <v>0</v>
      </c>
      <c r="U38" s="8">
        <v>0</v>
      </c>
      <c r="V38" s="54">
        <f t="shared" si="7"/>
        <v>46</v>
      </c>
      <c r="W38" s="54">
        <f t="shared" si="5"/>
        <v>12</v>
      </c>
      <c r="X38" s="55">
        <f t="shared" si="6"/>
        <v>6</v>
      </c>
    </row>
    <row r="39" spans="1:24" ht="15.75" customHeight="1">
      <c r="A39" s="52" t="s">
        <v>9</v>
      </c>
      <c r="B39" s="8" t="s">
        <v>9</v>
      </c>
      <c r="C39" s="8" t="s">
        <v>9</v>
      </c>
      <c r="D39" s="68">
        <v>0</v>
      </c>
      <c r="E39" s="9" t="s">
        <v>189</v>
      </c>
      <c r="F39" s="9" t="s">
        <v>189</v>
      </c>
      <c r="G39" s="9" t="e">
        <f t="shared" si="4"/>
        <v>#VALUE!</v>
      </c>
      <c r="H39" s="8">
        <v>0</v>
      </c>
      <c r="I39" s="8">
        <v>0</v>
      </c>
      <c r="J39" s="8">
        <v>0</v>
      </c>
      <c r="K39" s="8">
        <v>0</v>
      </c>
      <c r="L39" s="8">
        <v>0</v>
      </c>
      <c r="M39" s="8">
        <v>0</v>
      </c>
      <c r="N39" s="8">
        <v>0</v>
      </c>
      <c r="O39" s="8">
        <v>0</v>
      </c>
      <c r="P39" s="8">
        <v>0</v>
      </c>
      <c r="Q39" s="8">
        <v>1</v>
      </c>
      <c r="R39" s="8">
        <v>0</v>
      </c>
      <c r="S39" s="8">
        <v>0</v>
      </c>
      <c r="T39" s="8">
        <v>0</v>
      </c>
      <c r="U39" s="8">
        <v>0</v>
      </c>
      <c r="V39" s="54">
        <f t="shared" si="7"/>
        <v>0</v>
      </c>
      <c r="W39" s="54">
        <f t="shared" si="5"/>
        <v>0</v>
      </c>
      <c r="X39" s="55">
        <f t="shared" si="6"/>
        <v>0</v>
      </c>
    </row>
    <row r="40" spans="1:24" ht="15.75" customHeight="1">
      <c r="A40" s="52" t="s">
        <v>182</v>
      </c>
      <c r="B40" s="8" t="s">
        <v>88</v>
      </c>
      <c r="C40" s="8" t="s">
        <v>182</v>
      </c>
      <c r="D40" s="68">
        <v>37.4</v>
      </c>
      <c r="E40" s="9" t="s">
        <v>189</v>
      </c>
      <c r="F40" s="9" t="s">
        <v>189</v>
      </c>
      <c r="G40" s="9" t="e">
        <f t="shared" si="4"/>
        <v>#VALUE!</v>
      </c>
      <c r="H40" s="8">
        <v>0</v>
      </c>
      <c r="I40" s="8">
        <v>2</v>
      </c>
      <c r="J40" s="8">
        <v>0</v>
      </c>
      <c r="K40" s="8">
        <v>0</v>
      </c>
      <c r="L40" s="8">
        <v>0</v>
      </c>
      <c r="M40" s="8">
        <v>0</v>
      </c>
      <c r="N40" s="8">
        <v>0</v>
      </c>
      <c r="O40" s="8">
        <v>0</v>
      </c>
      <c r="P40" s="8">
        <v>0</v>
      </c>
      <c r="Q40" s="8">
        <v>1</v>
      </c>
      <c r="R40" s="8">
        <v>0</v>
      </c>
      <c r="S40" s="8">
        <v>0</v>
      </c>
      <c r="T40" s="8">
        <v>0</v>
      </c>
      <c r="U40" s="8">
        <v>0</v>
      </c>
      <c r="V40" s="54">
        <f t="shared" si="7"/>
        <v>2</v>
      </c>
      <c r="W40" s="54">
        <f t="shared" si="5"/>
        <v>2</v>
      </c>
      <c r="X40" s="55">
        <f t="shared" si="6"/>
        <v>2</v>
      </c>
    </row>
    <row r="41" spans="1:24" ht="15.75" customHeight="1">
      <c r="A41" s="52" t="s">
        <v>215</v>
      </c>
      <c r="B41" s="8" t="s">
        <v>213</v>
      </c>
      <c r="C41" s="8" t="s">
        <v>213</v>
      </c>
      <c r="D41" s="68">
        <v>0</v>
      </c>
      <c r="E41" s="9" t="s">
        <v>189</v>
      </c>
      <c r="F41" s="9" t="s">
        <v>189</v>
      </c>
      <c r="G41" s="9" t="e">
        <f t="shared" si="4"/>
        <v>#VALUE!</v>
      </c>
      <c r="H41" s="8">
        <v>0</v>
      </c>
      <c r="I41" s="8">
        <v>0</v>
      </c>
      <c r="J41" s="8">
        <v>0</v>
      </c>
      <c r="K41" s="8">
        <v>0</v>
      </c>
      <c r="L41" s="8">
        <v>0</v>
      </c>
      <c r="M41" s="8">
        <v>0</v>
      </c>
      <c r="N41" s="8">
        <v>0</v>
      </c>
      <c r="O41" s="8">
        <v>0</v>
      </c>
      <c r="P41" s="8">
        <v>0</v>
      </c>
      <c r="Q41" s="8">
        <v>1</v>
      </c>
      <c r="R41" s="8">
        <v>0</v>
      </c>
      <c r="S41" s="8">
        <v>0</v>
      </c>
      <c r="T41" s="8">
        <v>0</v>
      </c>
      <c r="U41" s="8">
        <v>-1</v>
      </c>
      <c r="V41" s="54">
        <f t="shared" si="7"/>
        <v>0</v>
      </c>
      <c r="W41" s="54">
        <f t="shared" si="5"/>
        <v>1</v>
      </c>
      <c r="X41" s="55">
        <f t="shared" si="6"/>
        <v>1</v>
      </c>
    </row>
    <row r="42" spans="1:24" ht="15.75" customHeight="1">
      <c r="A42" s="52" t="s">
        <v>216</v>
      </c>
      <c r="B42" s="8" t="s">
        <v>214</v>
      </c>
      <c r="C42" s="8" t="s">
        <v>214</v>
      </c>
      <c r="D42" s="125">
        <v>79.117699999999999</v>
      </c>
      <c r="E42" s="9" t="s">
        <v>189</v>
      </c>
      <c r="F42" s="9" t="s">
        <v>189</v>
      </c>
      <c r="G42" s="9" t="e">
        <f t="shared" si="4"/>
        <v>#VALUE!</v>
      </c>
      <c r="H42" s="8">
        <v>0</v>
      </c>
      <c r="I42" s="8">
        <v>0</v>
      </c>
      <c r="J42" s="8">
        <v>0</v>
      </c>
      <c r="K42" s="8">
        <v>0</v>
      </c>
      <c r="L42" s="8">
        <v>0</v>
      </c>
      <c r="M42" s="8">
        <v>0</v>
      </c>
      <c r="N42" s="8">
        <v>0</v>
      </c>
      <c r="O42" s="8">
        <v>0</v>
      </c>
      <c r="P42" s="8">
        <v>0</v>
      </c>
      <c r="Q42" s="8">
        <v>1</v>
      </c>
      <c r="R42" s="8">
        <v>0</v>
      </c>
      <c r="S42" s="8">
        <v>0</v>
      </c>
      <c r="T42" s="8">
        <v>0</v>
      </c>
      <c r="U42" s="8">
        <v>-3</v>
      </c>
      <c r="V42" s="54">
        <f t="shared" si="7"/>
        <v>0</v>
      </c>
      <c r="W42" s="54">
        <f t="shared" si="5"/>
        <v>3</v>
      </c>
      <c r="X42" s="55">
        <f t="shared" si="6"/>
        <v>3</v>
      </c>
    </row>
    <row r="43" spans="1:24" ht="15.75" customHeight="1">
      <c r="A43" s="52" t="s">
        <v>64</v>
      </c>
      <c r="B43" s="8" t="s">
        <v>258</v>
      </c>
      <c r="C43" s="12" t="s">
        <v>170</v>
      </c>
      <c r="D43" s="56">
        <v>-351</v>
      </c>
      <c r="E43" s="9">
        <v>-425.6</v>
      </c>
      <c r="F43" s="9">
        <v>92</v>
      </c>
      <c r="G43" s="9">
        <f t="shared" si="4"/>
        <v>0.25033557046979871</v>
      </c>
      <c r="H43" s="8">
        <v>1</v>
      </c>
      <c r="I43" s="8">
        <v>1</v>
      </c>
      <c r="J43" s="8">
        <v>2</v>
      </c>
      <c r="K43" s="8">
        <v>0</v>
      </c>
      <c r="L43" s="8">
        <v>0</v>
      </c>
      <c r="M43" s="8">
        <v>0</v>
      </c>
      <c r="N43" s="8">
        <v>0</v>
      </c>
      <c r="O43" s="8">
        <v>0</v>
      </c>
      <c r="P43" s="8">
        <v>0</v>
      </c>
      <c r="Q43" s="8">
        <v>0</v>
      </c>
      <c r="R43" s="8">
        <v>0</v>
      </c>
      <c r="S43" s="8">
        <v>0</v>
      </c>
      <c r="T43" s="8">
        <v>0</v>
      </c>
      <c r="U43" s="8">
        <v>-1</v>
      </c>
      <c r="V43" s="54">
        <f t="shared" si="7"/>
        <v>45</v>
      </c>
      <c r="W43" s="54">
        <f t="shared" si="5"/>
        <v>2</v>
      </c>
      <c r="X43" s="55">
        <f t="shared" si="6"/>
        <v>2</v>
      </c>
    </row>
    <row r="44" spans="1:24" ht="15.75" customHeight="1">
      <c r="A44" s="52" t="s">
        <v>63</v>
      </c>
      <c r="B44" s="8" t="s">
        <v>259</v>
      </c>
      <c r="C44" s="8" t="s">
        <v>169</v>
      </c>
      <c r="D44" s="53">
        <v>-372.4</v>
      </c>
      <c r="E44" s="53">
        <v>-425.4</v>
      </c>
      <c r="F44" s="9">
        <v>163.19999999999999</v>
      </c>
      <c r="G44" s="9">
        <f t="shared" si="4"/>
        <v>0.17785234899328858</v>
      </c>
      <c r="H44" s="8">
        <v>1</v>
      </c>
      <c r="I44" s="8">
        <v>2</v>
      </c>
      <c r="J44" s="8">
        <v>2</v>
      </c>
      <c r="K44" s="8">
        <v>0</v>
      </c>
      <c r="L44" s="8">
        <v>0</v>
      </c>
      <c r="M44" s="8">
        <v>0</v>
      </c>
      <c r="N44" s="8">
        <v>0</v>
      </c>
      <c r="O44" s="8">
        <v>0</v>
      </c>
      <c r="P44" s="8">
        <v>0</v>
      </c>
      <c r="Q44" s="8">
        <v>0</v>
      </c>
      <c r="R44" s="8">
        <v>0</v>
      </c>
      <c r="S44" s="8">
        <v>0</v>
      </c>
      <c r="T44" s="8">
        <v>0</v>
      </c>
      <c r="U44" s="8">
        <v>0</v>
      </c>
      <c r="V44" s="54">
        <f t="shared" si="7"/>
        <v>46</v>
      </c>
      <c r="W44" s="54">
        <f t="shared" si="5"/>
        <v>2</v>
      </c>
      <c r="X44" s="55">
        <f t="shared" si="6"/>
        <v>2</v>
      </c>
    </row>
    <row r="45" spans="1:24" ht="15.75" customHeight="1">
      <c r="A45" s="52" t="s">
        <v>31</v>
      </c>
      <c r="B45" s="8" t="s">
        <v>32</v>
      </c>
      <c r="C45" s="8" t="s">
        <v>153</v>
      </c>
      <c r="D45" s="60">
        <v>-602.27</v>
      </c>
      <c r="E45" s="59">
        <v>-777.91</v>
      </c>
      <c r="F45" s="59" t="s">
        <v>189</v>
      </c>
      <c r="G45" s="9">
        <f t="shared" si="4"/>
        <v>0.58939597315436232</v>
      </c>
      <c r="H45" s="8">
        <v>4</v>
      </c>
      <c r="I45" s="8">
        <v>2</v>
      </c>
      <c r="J45" s="8">
        <v>4</v>
      </c>
      <c r="K45" s="8">
        <v>0</v>
      </c>
      <c r="L45" s="8">
        <v>0</v>
      </c>
      <c r="M45" s="8">
        <v>0</v>
      </c>
      <c r="N45" s="8">
        <v>0</v>
      </c>
      <c r="O45" s="8">
        <v>0</v>
      </c>
      <c r="P45" s="8">
        <v>0</v>
      </c>
      <c r="Q45" s="8">
        <v>0</v>
      </c>
      <c r="R45" s="8">
        <v>0</v>
      </c>
      <c r="S45" s="8">
        <v>0</v>
      </c>
      <c r="T45" s="8">
        <v>0</v>
      </c>
      <c r="U45" s="8">
        <v>-2</v>
      </c>
      <c r="V45" s="54">
        <f t="shared" si="7"/>
        <v>114</v>
      </c>
      <c r="W45" s="54">
        <f t="shared" si="5"/>
        <v>12</v>
      </c>
      <c r="X45" s="55">
        <f t="shared" si="6"/>
        <v>3</v>
      </c>
    </row>
    <row r="46" spans="1:24" ht="15.75" customHeight="1">
      <c r="A46" s="52" t="s">
        <v>13</v>
      </c>
      <c r="B46" s="8" t="s">
        <v>14</v>
      </c>
      <c r="C46" s="8" t="s">
        <v>143</v>
      </c>
      <c r="D46" s="53">
        <v>-917.22</v>
      </c>
      <c r="E46" s="9">
        <v>-1264</v>
      </c>
      <c r="F46" s="9" t="s">
        <v>189</v>
      </c>
      <c r="G46" s="9">
        <f t="shared" si="4"/>
        <v>1.163691275167785</v>
      </c>
      <c r="H46" s="8">
        <v>6</v>
      </c>
      <c r="I46" s="8">
        <v>12</v>
      </c>
      <c r="J46" s="8">
        <v>6</v>
      </c>
      <c r="K46" s="8">
        <v>0</v>
      </c>
      <c r="L46" s="8">
        <v>0</v>
      </c>
      <c r="M46" s="8">
        <v>0</v>
      </c>
      <c r="N46" s="8">
        <v>0</v>
      </c>
      <c r="O46" s="8">
        <v>0</v>
      </c>
      <c r="P46" s="8">
        <v>0</v>
      </c>
      <c r="Q46" s="8">
        <v>0</v>
      </c>
      <c r="R46" s="8">
        <v>0</v>
      </c>
      <c r="S46" s="8">
        <v>0</v>
      </c>
      <c r="T46" s="8">
        <v>0</v>
      </c>
      <c r="U46" s="8">
        <v>0</v>
      </c>
      <c r="V46" s="54">
        <f t="shared" si="7"/>
        <v>180</v>
      </c>
      <c r="W46" s="54">
        <f t="shared" si="5"/>
        <v>24</v>
      </c>
      <c r="X46" s="55">
        <f t="shared" si="6"/>
        <v>4</v>
      </c>
    </row>
    <row r="47" spans="1:24" ht="15.75" customHeight="1">
      <c r="A47" s="52" t="s">
        <v>274</v>
      </c>
      <c r="B47" s="8" t="s">
        <v>275</v>
      </c>
      <c r="C47" s="8" t="s">
        <v>276</v>
      </c>
      <c r="D47" s="53" t="s">
        <v>189</v>
      </c>
      <c r="E47" s="9" t="s">
        <v>189</v>
      </c>
      <c r="F47" s="9" t="s">
        <v>189</v>
      </c>
      <c r="G47" s="9" t="e">
        <f t="shared" si="4"/>
        <v>#VALUE!</v>
      </c>
      <c r="H47" s="8">
        <v>5</v>
      </c>
      <c r="I47" s="8">
        <v>10</v>
      </c>
      <c r="J47" s="8">
        <v>5</v>
      </c>
      <c r="K47" s="8">
        <v>0</v>
      </c>
      <c r="L47" s="8">
        <v>0</v>
      </c>
      <c r="M47" s="8">
        <v>0</v>
      </c>
      <c r="N47" s="8">
        <v>0</v>
      </c>
      <c r="O47" s="8">
        <v>0</v>
      </c>
      <c r="P47" s="8">
        <v>0</v>
      </c>
      <c r="Q47" s="8">
        <v>0</v>
      </c>
      <c r="R47" s="8">
        <v>0</v>
      </c>
      <c r="S47" s="8">
        <v>0</v>
      </c>
      <c r="T47" s="8">
        <v>0</v>
      </c>
      <c r="U47" s="8">
        <v>0</v>
      </c>
      <c r="V47" s="54">
        <f t="shared" si="7"/>
        <v>150</v>
      </c>
      <c r="W47" s="54">
        <f t="shared" si="5"/>
        <v>20</v>
      </c>
      <c r="X47" s="55">
        <f t="shared" si="6"/>
        <v>4</v>
      </c>
    </row>
    <row r="48" spans="1:24" ht="15.75" customHeight="1">
      <c r="A48" s="52" t="s">
        <v>35</v>
      </c>
      <c r="B48" s="8" t="s">
        <v>36</v>
      </c>
      <c r="C48" s="12" t="s">
        <v>155</v>
      </c>
      <c r="D48" s="9">
        <v>-488.5</v>
      </c>
      <c r="E48" s="9">
        <v>-676</v>
      </c>
      <c r="F48" s="9">
        <v>206.3</v>
      </c>
      <c r="G48" s="9">
        <f t="shared" si="4"/>
        <v>0.62919463087248317</v>
      </c>
      <c r="H48" s="8">
        <v>3</v>
      </c>
      <c r="I48" s="8">
        <v>8</v>
      </c>
      <c r="J48" s="8">
        <v>3</v>
      </c>
      <c r="K48" s="8">
        <v>0</v>
      </c>
      <c r="L48" s="8">
        <v>0</v>
      </c>
      <c r="M48" s="8">
        <v>0</v>
      </c>
      <c r="N48" s="8">
        <v>0</v>
      </c>
      <c r="O48" s="8">
        <v>0</v>
      </c>
      <c r="P48" s="8">
        <v>0</v>
      </c>
      <c r="Q48" s="8">
        <v>0</v>
      </c>
      <c r="R48" s="8">
        <v>0</v>
      </c>
      <c r="S48" s="8">
        <v>0</v>
      </c>
      <c r="T48" s="8">
        <v>0</v>
      </c>
      <c r="U48" s="8">
        <v>0</v>
      </c>
      <c r="V48" s="54">
        <f t="shared" si="7"/>
        <v>92</v>
      </c>
      <c r="W48" s="54">
        <f t="shared" si="5"/>
        <v>14</v>
      </c>
      <c r="X48" s="55">
        <f t="shared" si="6"/>
        <v>4.666666666666667</v>
      </c>
    </row>
    <row r="49" spans="1:24" ht="15.75" customHeight="1">
      <c r="A49" s="52" t="s">
        <v>268</v>
      </c>
      <c r="B49" s="8" t="s">
        <v>269</v>
      </c>
      <c r="C49" s="12" t="s">
        <v>158</v>
      </c>
      <c r="D49" s="9" t="s">
        <v>189</v>
      </c>
      <c r="E49" s="9" t="s">
        <v>189</v>
      </c>
      <c r="F49" s="9" t="s">
        <v>189</v>
      </c>
      <c r="G49" s="9" t="e">
        <f t="shared" si="4"/>
        <v>#VALUE!</v>
      </c>
      <c r="H49" s="8">
        <v>3</v>
      </c>
      <c r="I49" s="8">
        <v>6</v>
      </c>
      <c r="J49" s="8">
        <v>2</v>
      </c>
      <c r="K49" s="8">
        <v>0</v>
      </c>
      <c r="L49" s="8">
        <v>0</v>
      </c>
      <c r="M49" s="8">
        <v>0</v>
      </c>
      <c r="N49" s="8">
        <v>0</v>
      </c>
      <c r="O49" s="8">
        <v>0</v>
      </c>
      <c r="P49" s="8">
        <v>0</v>
      </c>
      <c r="Q49" s="8">
        <v>0</v>
      </c>
      <c r="R49" s="8">
        <v>0</v>
      </c>
      <c r="S49" s="8">
        <v>0</v>
      </c>
      <c r="T49" s="8">
        <v>0</v>
      </c>
      <c r="U49" s="8">
        <v>0</v>
      </c>
      <c r="V49" s="54">
        <f t="shared" si="7"/>
        <v>74</v>
      </c>
      <c r="W49" s="54">
        <f t="shared" si="5"/>
        <v>14</v>
      </c>
      <c r="X49" s="55">
        <f t="shared" si="6"/>
        <v>4.666666666666667</v>
      </c>
    </row>
    <row r="50" spans="1:24" ht="15.75" customHeight="1">
      <c r="A50" s="52" t="s">
        <v>270</v>
      </c>
      <c r="B50" s="8" t="s">
        <v>271</v>
      </c>
      <c r="C50" s="12" t="s">
        <v>272</v>
      </c>
      <c r="D50" s="9">
        <v>-327</v>
      </c>
      <c r="E50" s="9" t="s">
        <v>189</v>
      </c>
      <c r="F50" s="9" t="s">
        <v>189</v>
      </c>
      <c r="G50" s="9" t="e">
        <f t="shared" si="4"/>
        <v>#VALUE!</v>
      </c>
      <c r="H50" s="8">
        <v>3</v>
      </c>
      <c r="I50" s="8">
        <v>8</v>
      </c>
      <c r="J50" s="8">
        <v>2</v>
      </c>
      <c r="K50" s="8">
        <v>0</v>
      </c>
      <c r="L50" s="8">
        <v>0</v>
      </c>
      <c r="M50" s="8">
        <v>0</v>
      </c>
      <c r="N50" s="8">
        <v>0</v>
      </c>
      <c r="O50" s="8">
        <v>0</v>
      </c>
      <c r="P50" s="8">
        <v>0</v>
      </c>
      <c r="Q50" s="8">
        <v>0</v>
      </c>
      <c r="R50" s="8">
        <v>0</v>
      </c>
      <c r="S50" s="8">
        <v>0</v>
      </c>
      <c r="T50" s="8">
        <v>0</v>
      </c>
      <c r="U50" s="8">
        <v>0</v>
      </c>
      <c r="V50" s="54">
        <f t="shared" si="7"/>
        <v>76</v>
      </c>
      <c r="W50" s="54">
        <f t="shared" si="5"/>
        <v>16</v>
      </c>
      <c r="X50" s="55">
        <f t="shared" si="6"/>
        <v>5.333333333333333</v>
      </c>
    </row>
    <row r="51" spans="1:24" ht="15.75" customHeight="1">
      <c r="A51" s="52" t="s">
        <v>108</v>
      </c>
      <c r="B51" s="8" t="s">
        <v>107</v>
      </c>
      <c r="C51" s="8" t="s">
        <v>185</v>
      </c>
      <c r="D51" s="126">
        <v>17.55</v>
      </c>
      <c r="E51" s="9">
        <v>-4.16</v>
      </c>
      <c r="F51" s="9">
        <v>57.7</v>
      </c>
      <c r="G51" s="9">
        <f t="shared" si="4"/>
        <v>7.2852348993288588E-2</v>
      </c>
      <c r="H51" s="8">
        <v>0</v>
      </c>
      <c r="I51" s="8">
        <v>2</v>
      </c>
      <c r="J51" s="8">
        <v>0</v>
      </c>
      <c r="K51" s="8">
        <v>0</v>
      </c>
      <c r="L51" s="8">
        <v>0</v>
      </c>
      <c r="M51" s="8">
        <v>0</v>
      </c>
      <c r="N51" s="8">
        <v>0</v>
      </c>
      <c r="O51" s="8">
        <v>0</v>
      </c>
      <c r="P51" s="8">
        <v>0</v>
      </c>
      <c r="Q51" s="8">
        <v>0</v>
      </c>
      <c r="R51" s="8">
        <v>0</v>
      </c>
      <c r="S51" s="8">
        <v>0</v>
      </c>
      <c r="T51" s="8">
        <v>0</v>
      </c>
      <c r="U51" s="8">
        <v>0</v>
      </c>
      <c r="V51" s="54">
        <f t="shared" si="7"/>
        <v>2</v>
      </c>
      <c r="W51" s="54">
        <f t="shared" si="5"/>
        <v>2</v>
      </c>
      <c r="X51" s="55">
        <f t="shared" si="6"/>
        <v>2</v>
      </c>
    </row>
    <row r="52" spans="1:24" ht="15.75" customHeight="1">
      <c r="A52" s="52" t="s">
        <v>106</v>
      </c>
      <c r="B52" s="8" t="s">
        <v>262</v>
      </c>
      <c r="C52" s="8" t="s">
        <v>185</v>
      </c>
      <c r="D52" s="56">
        <v>0</v>
      </c>
      <c r="E52" s="9">
        <v>0</v>
      </c>
      <c r="F52" s="9">
        <v>130.5</v>
      </c>
      <c r="G52" s="9">
        <f t="shared" si="4"/>
        <v>0</v>
      </c>
      <c r="H52" s="8">
        <v>0</v>
      </c>
      <c r="I52" s="8">
        <v>2</v>
      </c>
      <c r="J52" s="8">
        <v>0</v>
      </c>
      <c r="K52" s="8">
        <v>0</v>
      </c>
      <c r="L52" s="8">
        <v>0</v>
      </c>
      <c r="M52" s="8">
        <v>0</v>
      </c>
      <c r="N52" s="8">
        <v>0</v>
      </c>
      <c r="O52" s="8">
        <v>0</v>
      </c>
      <c r="P52" s="8">
        <v>0</v>
      </c>
      <c r="Q52" s="8">
        <v>0</v>
      </c>
      <c r="R52" s="8">
        <v>0</v>
      </c>
      <c r="S52" s="8">
        <v>0</v>
      </c>
      <c r="T52" s="8">
        <v>0</v>
      </c>
      <c r="U52" s="8">
        <v>0</v>
      </c>
      <c r="V52" s="54">
        <f t="shared" si="7"/>
        <v>2</v>
      </c>
      <c r="W52" s="54">
        <f t="shared" si="5"/>
        <v>2</v>
      </c>
      <c r="X52" s="55">
        <f t="shared" si="6"/>
        <v>2</v>
      </c>
    </row>
    <row r="53" spans="1:24" ht="15.75" customHeight="1">
      <c r="A53" s="52" t="s">
        <v>120</v>
      </c>
      <c r="B53" s="8" t="s">
        <v>121</v>
      </c>
      <c r="C53" s="8" t="s">
        <v>121</v>
      </c>
      <c r="D53" s="63">
        <v>-157.30000000000001</v>
      </c>
      <c r="E53" s="63">
        <v>-230</v>
      </c>
      <c r="F53" s="63">
        <v>-10.7</v>
      </c>
      <c r="G53" s="9">
        <f t="shared" si="4"/>
        <v>0.24395973154362413</v>
      </c>
      <c r="H53" s="8">
        <v>0</v>
      </c>
      <c r="I53" s="8">
        <v>1</v>
      </c>
      <c r="J53" s="8">
        <v>1</v>
      </c>
      <c r="K53" s="8">
        <v>0</v>
      </c>
      <c r="L53" s="8">
        <v>0</v>
      </c>
      <c r="M53" s="8">
        <v>0</v>
      </c>
      <c r="N53" s="8">
        <v>0</v>
      </c>
      <c r="O53" s="8">
        <v>0</v>
      </c>
      <c r="P53" s="8">
        <v>0</v>
      </c>
      <c r="Q53" s="8">
        <v>0</v>
      </c>
      <c r="R53" s="8">
        <v>0</v>
      </c>
      <c r="S53" s="8">
        <v>0</v>
      </c>
      <c r="T53" s="8">
        <v>0</v>
      </c>
      <c r="U53" s="8">
        <v>-1</v>
      </c>
      <c r="V53" s="54">
        <f t="shared" si="7"/>
        <v>17</v>
      </c>
      <c r="W53" s="54">
        <f t="shared" si="5"/>
        <v>0</v>
      </c>
      <c r="X53" s="55">
        <f t="shared" si="6"/>
        <v>0</v>
      </c>
    </row>
    <row r="54" spans="1:24" ht="15.75" customHeight="1">
      <c r="A54" s="52" t="s">
        <v>37</v>
      </c>
      <c r="B54" s="8" t="s">
        <v>261</v>
      </c>
      <c r="C54" s="12" t="s">
        <v>156</v>
      </c>
      <c r="D54" s="123">
        <v>-185.9</v>
      </c>
      <c r="E54" s="59">
        <v>-331.05</v>
      </c>
      <c r="F54" s="9" t="s">
        <v>189</v>
      </c>
      <c r="G54" s="9">
        <f t="shared" si="4"/>
        <v>0.48708053691275172</v>
      </c>
      <c r="H54" s="8">
        <v>3</v>
      </c>
      <c r="I54" s="8">
        <v>8</v>
      </c>
      <c r="J54" s="8">
        <v>1</v>
      </c>
      <c r="K54" s="8">
        <v>0</v>
      </c>
      <c r="L54" s="8">
        <v>0</v>
      </c>
      <c r="M54" s="8">
        <v>0</v>
      </c>
      <c r="N54" s="8">
        <v>0</v>
      </c>
      <c r="O54" s="8">
        <v>0</v>
      </c>
      <c r="P54" s="8">
        <v>0</v>
      </c>
      <c r="Q54" s="8">
        <v>0</v>
      </c>
      <c r="R54" s="8">
        <v>0</v>
      </c>
      <c r="S54" s="8">
        <v>0</v>
      </c>
      <c r="T54" s="8">
        <v>0</v>
      </c>
      <c r="U54" s="8">
        <v>0</v>
      </c>
      <c r="V54" s="54">
        <f t="shared" si="7"/>
        <v>60</v>
      </c>
      <c r="W54" s="54">
        <f t="shared" si="5"/>
        <v>18</v>
      </c>
      <c r="X54" s="55">
        <f t="shared" si="6"/>
        <v>6</v>
      </c>
    </row>
    <row r="55" spans="1:24" ht="15.75" customHeight="1">
      <c r="A55" s="52" t="s">
        <v>45</v>
      </c>
      <c r="B55" s="8" t="s">
        <v>46</v>
      </c>
      <c r="C55" s="12" t="s">
        <v>161</v>
      </c>
      <c r="D55" s="61">
        <v>-517.80999999999995</v>
      </c>
      <c r="E55" s="9">
        <v>-687</v>
      </c>
      <c r="F55" s="9" t="s">
        <v>189</v>
      </c>
      <c r="G55" s="9">
        <f t="shared" si="4"/>
        <v>0.56775167785234915</v>
      </c>
      <c r="H55" s="8">
        <v>3</v>
      </c>
      <c r="I55" s="8">
        <v>5</v>
      </c>
      <c r="J55" s="8">
        <v>3</v>
      </c>
      <c r="K55" s="8">
        <v>0</v>
      </c>
      <c r="L55" s="8">
        <v>0</v>
      </c>
      <c r="M55" s="8">
        <v>0</v>
      </c>
      <c r="N55" s="8">
        <v>0</v>
      </c>
      <c r="O55" s="8">
        <v>0</v>
      </c>
      <c r="P55" s="8">
        <v>0</v>
      </c>
      <c r="Q55" s="8">
        <v>0</v>
      </c>
      <c r="R55" s="8">
        <v>0</v>
      </c>
      <c r="S55" s="8">
        <v>0</v>
      </c>
      <c r="T55" s="8">
        <v>0</v>
      </c>
      <c r="U55" s="8">
        <v>-1</v>
      </c>
      <c r="V55" s="54">
        <f t="shared" si="7"/>
        <v>89</v>
      </c>
      <c r="W55" s="54">
        <f t="shared" si="5"/>
        <v>12</v>
      </c>
      <c r="X55" s="55">
        <f t="shared" si="6"/>
        <v>4</v>
      </c>
    </row>
    <row r="56" spans="1:24" ht="15.75" customHeight="1">
      <c r="A56" s="52" t="s">
        <v>43</v>
      </c>
      <c r="B56" s="8" t="s">
        <v>44</v>
      </c>
      <c r="C56" s="12" t="s">
        <v>160</v>
      </c>
      <c r="D56" s="61">
        <v>-539.83000000000004</v>
      </c>
      <c r="E56" s="9" t="s">
        <v>189</v>
      </c>
      <c r="F56" s="9" t="s">
        <v>189</v>
      </c>
      <c r="G56" s="9" t="e">
        <f t="shared" si="4"/>
        <v>#VALUE!</v>
      </c>
      <c r="H56" s="8">
        <v>3</v>
      </c>
      <c r="I56" s="8">
        <v>6</v>
      </c>
      <c r="J56" s="8">
        <v>3</v>
      </c>
      <c r="K56" s="8">
        <v>0</v>
      </c>
      <c r="L56" s="8">
        <v>0</v>
      </c>
      <c r="M56" s="8">
        <v>0</v>
      </c>
      <c r="N56" s="8">
        <v>0</v>
      </c>
      <c r="O56" s="8">
        <v>0</v>
      </c>
      <c r="P56" s="8">
        <v>0</v>
      </c>
      <c r="Q56" s="8">
        <v>0</v>
      </c>
      <c r="R56" s="8">
        <v>0</v>
      </c>
      <c r="S56" s="8">
        <v>0</v>
      </c>
      <c r="T56" s="8">
        <v>0</v>
      </c>
      <c r="U56" s="8">
        <v>0</v>
      </c>
      <c r="V56" s="54">
        <f t="shared" si="7"/>
        <v>90</v>
      </c>
      <c r="W56" s="54">
        <f t="shared" si="5"/>
        <v>12</v>
      </c>
      <c r="X56" s="55">
        <f t="shared" si="6"/>
        <v>4</v>
      </c>
    </row>
    <row r="57" spans="1:24" ht="15.75" customHeight="1">
      <c r="A57" s="52" t="s">
        <v>77</v>
      </c>
      <c r="B57" s="8" t="s">
        <v>254</v>
      </c>
      <c r="C57" s="8" t="s">
        <v>179</v>
      </c>
      <c r="D57" s="117">
        <v>-287.8</v>
      </c>
      <c r="E57" s="9" t="s">
        <v>189</v>
      </c>
      <c r="F57" s="9" t="s">
        <v>189</v>
      </c>
      <c r="G57" s="9" t="e">
        <f t="shared" si="4"/>
        <v>#VALUE!</v>
      </c>
      <c r="H57" s="8">
        <v>3</v>
      </c>
      <c r="I57" s="8">
        <v>5</v>
      </c>
      <c r="J57" s="8">
        <v>2</v>
      </c>
      <c r="K57" s="8">
        <v>0</v>
      </c>
      <c r="L57" s="8">
        <v>0</v>
      </c>
      <c r="M57" s="8">
        <v>0</v>
      </c>
      <c r="N57" s="8">
        <v>0</v>
      </c>
      <c r="O57" s="8">
        <v>0</v>
      </c>
      <c r="P57" s="8">
        <v>0</v>
      </c>
      <c r="Q57" s="8">
        <v>0</v>
      </c>
      <c r="R57" s="8">
        <v>0</v>
      </c>
      <c r="S57" s="8">
        <v>1</v>
      </c>
      <c r="T57" s="8">
        <v>0</v>
      </c>
      <c r="U57" s="8">
        <v>0</v>
      </c>
      <c r="V57" s="54">
        <f t="shared" si="7"/>
        <v>73</v>
      </c>
      <c r="W57" s="54">
        <f t="shared" si="5"/>
        <v>13</v>
      </c>
      <c r="X57" s="62">
        <f t="shared" si="6"/>
        <v>4.333333333333333</v>
      </c>
    </row>
    <row r="58" spans="1:24" ht="15.75" customHeight="1">
      <c r="A58" s="52" t="s">
        <v>28</v>
      </c>
      <c r="B58" s="8" t="s">
        <v>29</v>
      </c>
      <c r="C58" s="52" t="s">
        <v>152</v>
      </c>
      <c r="D58" s="118">
        <v>-843.22</v>
      </c>
      <c r="E58" s="59" t="s">
        <v>30</v>
      </c>
      <c r="F58" s="59" t="s">
        <v>189</v>
      </c>
      <c r="G58" s="9" t="e">
        <f t="shared" si="4"/>
        <v>#VALUE!</v>
      </c>
      <c r="H58" s="8">
        <v>4</v>
      </c>
      <c r="I58" s="8">
        <v>4</v>
      </c>
      <c r="J58" s="8">
        <v>5</v>
      </c>
      <c r="K58" s="8">
        <v>0</v>
      </c>
      <c r="L58" s="8">
        <v>0</v>
      </c>
      <c r="M58" s="8">
        <v>0</v>
      </c>
      <c r="N58" s="8">
        <v>0</v>
      </c>
      <c r="O58" s="8">
        <v>0</v>
      </c>
      <c r="P58" s="8">
        <v>0</v>
      </c>
      <c r="Q58" s="8">
        <v>0</v>
      </c>
      <c r="R58" s="8">
        <v>0</v>
      </c>
      <c r="S58" s="8">
        <v>0</v>
      </c>
      <c r="T58" s="8">
        <v>0</v>
      </c>
      <c r="U58" s="8">
        <v>-2</v>
      </c>
      <c r="V58" s="54">
        <f t="shared" si="7"/>
        <v>132</v>
      </c>
      <c r="W58" s="54">
        <f t="shared" si="5"/>
        <v>12</v>
      </c>
      <c r="X58" s="55">
        <f t="shared" si="6"/>
        <v>3</v>
      </c>
    </row>
    <row r="59" spans="1:24" ht="15.6">
      <c r="A59" s="52" t="s">
        <v>59</v>
      </c>
      <c r="B59" s="8" t="s">
        <v>60</v>
      </c>
      <c r="C59" s="8" t="s">
        <v>167</v>
      </c>
      <c r="D59" s="61">
        <v>-34.4</v>
      </c>
      <c r="E59" s="9">
        <v>-89</v>
      </c>
      <c r="F59" s="9">
        <v>83.7</v>
      </c>
      <c r="G59" s="9">
        <f t="shared" si="4"/>
        <v>0.18322147651006712</v>
      </c>
      <c r="H59" s="8">
        <v>1</v>
      </c>
      <c r="I59" s="8">
        <v>4</v>
      </c>
      <c r="J59" s="8">
        <v>0</v>
      </c>
      <c r="K59" s="8">
        <v>0</v>
      </c>
      <c r="L59" s="8">
        <v>0</v>
      </c>
      <c r="M59" s="8">
        <v>0</v>
      </c>
      <c r="N59" s="8">
        <v>0</v>
      </c>
      <c r="O59" s="8">
        <v>0</v>
      </c>
      <c r="P59" s="8">
        <v>0</v>
      </c>
      <c r="Q59" s="8">
        <v>0</v>
      </c>
      <c r="R59" s="8">
        <v>0</v>
      </c>
      <c r="S59" s="8">
        <v>0</v>
      </c>
      <c r="T59" s="8">
        <v>0</v>
      </c>
      <c r="U59" s="8">
        <v>0</v>
      </c>
      <c r="V59" s="54">
        <f t="shared" si="7"/>
        <v>16</v>
      </c>
      <c r="W59" s="54">
        <f t="shared" si="5"/>
        <v>8</v>
      </c>
      <c r="X59" s="55">
        <f t="shared" si="6"/>
        <v>8</v>
      </c>
    </row>
    <row r="60" spans="1:24" ht="15.6">
      <c r="A60" s="52" t="s">
        <v>57</v>
      </c>
      <c r="B60" s="8" t="s">
        <v>58</v>
      </c>
      <c r="C60" s="8" t="s">
        <v>167</v>
      </c>
      <c r="D60" s="61">
        <v>-50.8</v>
      </c>
      <c r="E60" s="9">
        <v>-74.8</v>
      </c>
      <c r="F60" s="9">
        <v>186.2</v>
      </c>
      <c r="G60" s="9">
        <f t="shared" si="4"/>
        <v>8.0536912751677847E-2</v>
      </c>
      <c r="H60" s="8">
        <v>1</v>
      </c>
      <c r="I60" s="8">
        <v>4</v>
      </c>
      <c r="J60" s="8">
        <v>0</v>
      </c>
      <c r="K60" s="8">
        <v>0</v>
      </c>
      <c r="L60" s="8">
        <v>0</v>
      </c>
      <c r="M60" s="8">
        <v>0</v>
      </c>
      <c r="N60" s="8">
        <v>0</v>
      </c>
      <c r="O60" s="8">
        <v>0</v>
      </c>
      <c r="P60" s="8">
        <v>0</v>
      </c>
      <c r="Q60" s="8">
        <v>0</v>
      </c>
      <c r="R60" s="8">
        <v>0</v>
      </c>
      <c r="S60" s="8">
        <v>0</v>
      </c>
      <c r="T60" s="8">
        <v>0</v>
      </c>
      <c r="U60" s="8">
        <v>0</v>
      </c>
      <c r="V60" s="54">
        <f t="shared" si="7"/>
        <v>16</v>
      </c>
      <c r="W60" s="54">
        <f t="shared" si="5"/>
        <v>8</v>
      </c>
      <c r="X60" s="55">
        <f t="shared" si="6"/>
        <v>8</v>
      </c>
    </row>
    <row r="61" spans="1:24" ht="15.6">
      <c r="A61" s="52" t="s">
        <v>75</v>
      </c>
      <c r="B61" s="8" t="s">
        <v>208</v>
      </c>
      <c r="C61" s="8" t="s">
        <v>177</v>
      </c>
      <c r="D61" s="117">
        <v>-459.4</v>
      </c>
      <c r="E61" s="9" t="s">
        <v>189</v>
      </c>
      <c r="F61" s="9" t="s">
        <v>189</v>
      </c>
      <c r="G61" s="9" t="e">
        <f t="shared" si="4"/>
        <v>#VALUE!</v>
      </c>
      <c r="H61" s="8">
        <v>4</v>
      </c>
      <c r="I61" s="8">
        <v>5</v>
      </c>
      <c r="J61" s="8">
        <v>3</v>
      </c>
      <c r="K61" s="8">
        <v>0</v>
      </c>
      <c r="L61" s="8">
        <v>0</v>
      </c>
      <c r="M61" s="8">
        <v>0</v>
      </c>
      <c r="N61" s="8">
        <v>0</v>
      </c>
      <c r="O61" s="8">
        <v>0</v>
      </c>
      <c r="P61" s="8">
        <v>0</v>
      </c>
      <c r="Q61" s="8">
        <v>0</v>
      </c>
      <c r="R61" s="8">
        <v>0</v>
      </c>
      <c r="S61" s="8">
        <v>1</v>
      </c>
      <c r="T61" s="8">
        <v>0</v>
      </c>
      <c r="U61" s="8">
        <v>0</v>
      </c>
      <c r="V61" s="54">
        <f t="shared" si="7"/>
        <v>101</v>
      </c>
      <c r="W61" s="54">
        <f t="shared" si="5"/>
        <v>15</v>
      </c>
      <c r="X61" s="55">
        <f t="shared" si="6"/>
        <v>3.75</v>
      </c>
    </row>
    <row r="62" spans="1:24" ht="15.6">
      <c r="A62" s="52" t="s">
        <v>85</v>
      </c>
      <c r="B62" s="8" t="s">
        <v>85</v>
      </c>
      <c r="C62" s="8" t="s">
        <v>86</v>
      </c>
      <c r="D62" s="67">
        <v>0</v>
      </c>
      <c r="E62" s="9" t="s">
        <v>189</v>
      </c>
      <c r="F62" s="9" t="s">
        <v>189</v>
      </c>
      <c r="G62" s="9" t="e">
        <f t="shared" si="4"/>
        <v>#VALUE!</v>
      </c>
      <c r="H62" s="8">
        <v>0</v>
      </c>
      <c r="I62" s="8">
        <v>0</v>
      </c>
      <c r="J62" s="8">
        <v>0</v>
      </c>
      <c r="K62" s="8">
        <v>0</v>
      </c>
      <c r="L62" s="8">
        <v>0</v>
      </c>
      <c r="M62" s="8">
        <v>0</v>
      </c>
      <c r="N62" s="8">
        <v>0</v>
      </c>
      <c r="O62" s="8">
        <v>0</v>
      </c>
      <c r="P62" s="8">
        <v>0</v>
      </c>
      <c r="Q62" s="8">
        <v>1</v>
      </c>
      <c r="R62" s="8">
        <v>0</v>
      </c>
      <c r="S62" s="8">
        <v>0</v>
      </c>
      <c r="T62" s="8">
        <v>0</v>
      </c>
      <c r="U62" s="8">
        <v>1</v>
      </c>
      <c r="V62" s="54">
        <f t="shared" si="7"/>
        <v>0</v>
      </c>
      <c r="W62" s="54">
        <f t="shared" si="5"/>
        <v>-1</v>
      </c>
      <c r="X62" s="55">
        <f t="shared" si="6"/>
        <v>-1</v>
      </c>
    </row>
    <row r="63" spans="1:24">
      <c r="A63" s="52" t="s">
        <v>87</v>
      </c>
      <c r="B63" s="8" t="s">
        <v>87</v>
      </c>
      <c r="C63" s="8" t="s">
        <v>87</v>
      </c>
      <c r="D63" s="67">
        <v>21.83</v>
      </c>
      <c r="E63" s="9" t="s">
        <v>189</v>
      </c>
      <c r="F63" s="9" t="s">
        <v>189</v>
      </c>
      <c r="G63" s="9" t="e">
        <f t="shared" si="4"/>
        <v>#VALUE!</v>
      </c>
      <c r="H63" s="8">
        <v>0</v>
      </c>
      <c r="I63" s="8">
        <v>1</v>
      </c>
      <c r="J63" s="8">
        <v>0</v>
      </c>
      <c r="K63" s="8">
        <v>0</v>
      </c>
      <c r="L63" s="8">
        <v>0</v>
      </c>
      <c r="M63" s="8">
        <v>0</v>
      </c>
      <c r="N63" s="8">
        <v>0</v>
      </c>
      <c r="O63" s="8">
        <v>0</v>
      </c>
      <c r="P63" s="8">
        <v>0</v>
      </c>
      <c r="Q63" s="8">
        <v>1</v>
      </c>
      <c r="R63" s="8">
        <v>0</v>
      </c>
      <c r="S63" s="8">
        <v>0</v>
      </c>
      <c r="T63" s="8">
        <v>0</v>
      </c>
      <c r="U63" s="8">
        <v>0</v>
      </c>
      <c r="V63" s="54">
        <f t="shared" si="7"/>
        <v>1</v>
      </c>
      <c r="W63" s="54">
        <f t="shared" si="5"/>
        <v>1</v>
      </c>
      <c r="X63" s="55">
        <f t="shared" si="6"/>
        <v>1</v>
      </c>
    </row>
    <row r="64" spans="1:24" ht="15.6">
      <c r="A64" s="52" t="s">
        <v>82</v>
      </c>
      <c r="B64" s="52" t="s">
        <v>82</v>
      </c>
      <c r="C64" s="52" t="s">
        <v>83</v>
      </c>
      <c r="D64" s="67">
        <v>0</v>
      </c>
      <c r="E64" s="9" t="s">
        <v>189</v>
      </c>
      <c r="F64" s="9" t="s">
        <v>189</v>
      </c>
      <c r="G64" s="9" t="e">
        <f t="shared" si="4"/>
        <v>#VALUE!</v>
      </c>
      <c r="H64" s="8">
        <v>0</v>
      </c>
      <c r="I64" s="8">
        <v>1</v>
      </c>
      <c r="J64" s="8">
        <v>3</v>
      </c>
      <c r="K64" s="8">
        <v>0</v>
      </c>
      <c r="L64" s="8">
        <v>1</v>
      </c>
      <c r="M64" s="8">
        <v>0</v>
      </c>
      <c r="N64" s="8">
        <v>0</v>
      </c>
      <c r="O64" s="8">
        <v>0</v>
      </c>
      <c r="P64" s="8">
        <v>0</v>
      </c>
      <c r="Q64" s="8">
        <v>1</v>
      </c>
      <c r="R64" s="8">
        <v>0</v>
      </c>
      <c r="S64" s="8">
        <v>0</v>
      </c>
      <c r="T64" s="8">
        <v>0</v>
      </c>
      <c r="U64" s="8">
        <v>1</v>
      </c>
      <c r="V64" s="54">
        <f t="shared" si="7"/>
        <v>80</v>
      </c>
      <c r="W64" s="54">
        <f t="shared" si="5"/>
        <v>-1</v>
      </c>
      <c r="X64" s="55">
        <f t="shared" si="6"/>
        <v>-1</v>
      </c>
    </row>
    <row r="65" spans="1:24">
      <c r="A65" s="52" t="s">
        <v>84</v>
      </c>
      <c r="B65" s="52" t="s">
        <v>84</v>
      </c>
      <c r="C65" s="52" t="s">
        <v>84</v>
      </c>
      <c r="D65" s="67">
        <v>21.83</v>
      </c>
      <c r="E65" s="9" t="s">
        <v>189</v>
      </c>
      <c r="F65" s="9" t="s">
        <v>189</v>
      </c>
      <c r="G65" s="9" t="e">
        <f t="shared" si="4"/>
        <v>#VALUE!</v>
      </c>
      <c r="H65" s="8">
        <v>0</v>
      </c>
      <c r="I65" s="8">
        <v>2</v>
      </c>
      <c r="J65" s="8">
        <v>3</v>
      </c>
      <c r="K65" s="8">
        <v>0</v>
      </c>
      <c r="L65" s="8">
        <v>1</v>
      </c>
      <c r="M65" s="8">
        <v>0</v>
      </c>
      <c r="N65" s="8">
        <v>0</v>
      </c>
      <c r="O65" s="8">
        <v>0</v>
      </c>
      <c r="P65" s="8">
        <v>0</v>
      </c>
      <c r="Q65" s="8">
        <v>1</v>
      </c>
      <c r="R65" s="8">
        <v>0</v>
      </c>
      <c r="S65" s="8">
        <v>0</v>
      </c>
      <c r="T65" s="8">
        <v>0</v>
      </c>
      <c r="U65" s="8">
        <v>0</v>
      </c>
      <c r="V65" s="54">
        <f t="shared" si="7"/>
        <v>81</v>
      </c>
      <c r="W65" s="54">
        <f t="shared" si="5"/>
        <v>1</v>
      </c>
      <c r="X65" s="55">
        <f t="shared" si="6"/>
        <v>1</v>
      </c>
    </row>
    <row r="66" spans="1:24" ht="15.6">
      <c r="A66" s="52" t="s">
        <v>17</v>
      </c>
      <c r="B66" s="52" t="s">
        <v>260</v>
      </c>
      <c r="C66" s="52" t="s">
        <v>145</v>
      </c>
      <c r="D66" s="123">
        <v>-171.8</v>
      </c>
      <c r="E66" s="9" t="s">
        <v>189</v>
      </c>
      <c r="F66" s="9" t="s">
        <v>189</v>
      </c>
      <c r="G66" s="9" t="e">
        <f t="shared" si="4"/>
        <v>#VALUE!</v>
      </c>
      <c r="H66" s="8">
        <v>4</v>
      </c>
      <c r="I66" s="8">
        <v>10</v>
      </c>
      <c r="J66" s="8">
        <v>1</v>
      </c>
      <c r="K66" s="8">
        <v>0</v>
      </c>
      <c r="L66" s="8">
        <v>0</v>
      </c>
      <c r="M66" s="8">
        <v>0</v>
      </c>
      <c r="N66" s="8">
        <v>0</v>
      </c>
      <c r="O66" s="8">
        <v>0</v>
      </c>
      <c r="P66" s="8">
        <v>0</v>
      </c>
      <c r="Q66" s="8">
        <v>0</v>
      </c>
      <c r="R66" s="8">
        <v>0</v>
      </c>
      <c r="S66" s="8">
        <v>0</v>
      </c>
      <c r="T66" s="8">
        <v>0</v>
      </c>
      <c r="U66" s="8">
        <v>0</v>
      </c>
      <c r="V66" s="54">
        <f t="shared" si="7"/>
        <v>74</v>
      </c>
      <c r="W66" s="54">
        <f t="shared" si="5"/>
        <v>24</v>
      </c>
      <c r="X66" s="55">
        <f t="shared" si="6"/>
        <v>6</v>
      </c>
    </row>
    <row r="67" spans="1:24">
      <c r="A67" s="52" t="s">
        <v>394</v>
      </c>
      <c r="B67" s="52" t="s">
        <v>395</v>
      </c>
      <c r="C67" s="8" t="s">
        <v>396</v>
      </c>
      <c r="D67" s="67">
        <v>0</v>
      </c>
      <c r="E67" s="109">
        <v>0</v>
      </c>
      <c r="F67" s="9" t="s">
        <v>189</v>
      </c>
      <c r="G67" s="9">
        <f t="shared" ref="G67:G98" si="8">+(D67-E67)/298</f>
        <v>0</v>
      </c>
      <c r="H67" s="8">
        <v>0</v>
      </c>
      <c r="I67" s="8">
        <v>0</v>
      </c>
      <c r="J67" s="8">
        <v>0</v>
      </c>
      <c r="K67" s="8">
        <v>2</v>
      </c>
      <c r="L67" s="8">
        <v>0</v>
      </c>
      <c r="M67" s="8">
        <v>0</v>
      </c>
      <c r="N67" s="8">
        <v>0</v>
      </c>
      <c r="O67" s="8">
        <v>0</v>
      </c>
      <c r="P67" s="8">
        <v>0</v>
      </c>
      <c r="Q67" s="8">
        <v>0</v>
      </c>
      <c r="R67" s="8">
        <v>0</v>
      </c>
      <c r="S67" s="8">
        <v>0</v>
      </c>
      <c r="T67" s="8">
        <v>0</v>
      </c>
      <c r="U67" s="8">
        <v>0</v>
      </c>
      <c r="V67" s="54">
        <f>SUMPRODUCT(H67:U67,$H$112:$U$112)</f>
        <v>28</v>
      </c>
      <c r="W67" s="54">
        <f t="shared" ref="W67:W98" si="9">SUMPRODUCT($H67:$U67,$H$113:$U$113)</f>
        <v>-6</v>
      </c>
      <c r="X67" s="55">
        <f t="shared" ref="X67:X98" si="10">(IF(H67&lt;&gt;0,SUMPRODUCT($H67:$U67,$H$113:$U$113)/$H67,SUMPRODUCT($H67:$U67,$H$113:$U$113)))</f>
        <v>-6</v>
      </c>
    </row>
    <row r="68" spans="1:24">
      <c r="A68" s="52" t="s">
        <v>101</v>
      </c>
      <c r="B68" s="52" t="s">
        <v>102</v>
      </c>
      <c r="C68" s="52" t="s">
        <v>102</v>
      </c>
      <c r="D68" s="61">
        <v>-111.3</v>
      </c>
      <c r="E68" s="9">
        <v>-207.4</v>
      </c>
      <c r="F68" s="9">
        <v>146.4</v>
      </c>
      <c r="G68" s="9">
        <f t="shared" si="8"/>
        <v>0.3224832214765101</v>
      </c>
      <c r="H68" s="8">
        <v>0</v>
      </c>
      <c r="I68" s="8">
        <v>0</v>
      </c>
      <c r="J68" s="8">
        <v>3</v>
      </c>
      <c r="K68" s="8">
        <v>1</v>
      </c>
      <c r="L68" s="8">
        <v>0</v>
      </c>
      <c r="M68" s="8">
        <v>0</v>
      </c>
      <c r="N68" s="8">
        <v>0</v>
      </c>
      <c r="O68" s="8">
        <v>0</v>
      </c>
      <c r="P68" s="8">
        <v>0</v>
      </c>
      <c r="Q68" s="8">
        <v>0</v>
      </c>
      <c r="R68" s="8">
        <v>0</v>
      </c>
      <c r="S68" s="8">
        <v>0</v>
      </c>
      <c r="T68" s="8">
        <v>0</v>
      </c>
      <c r="U68" s="8">
        <v>-1</v>
      </c>
      <c r="V68" s="54">
        <f t="shared" si="7"/>
        <v>62</v>
      </c>
      <c r="W68" s="54">
        <f t="shared" si="9"/>
        <v>-8</v>
      </c>
      <c r="X68" s="55">
        <f t="shared" si="10"/>
        <v>-8</v>
      </c>
    </row>
    <row r="69" spans="1:24">
      <c r="A69" s="52" t="s">
        <v>98</v>
      </c>
      <c r="B69" s="8" t="s">
        <v>99</v>
      </c>
      <c r="C69" s="8" t="s">
        <v>100</v>
      </c>
      <c r="D69" s="55">
        <f>+$D$68+0.008314*298*LN(10^1.4)</f>
        <v>-103.31325150437277</v>
      </c>
      <c r="E69" s="9" t="s">
        <v>189</v>
      </c>
      <c r="F69" s="9" t="s">
        <v>189</v>
      </c>
      <c r="G69" s="9" t="e">
        <f t="shared" si="8"/>
        <v>#VALUE!</v>
      </c>
      <c r="H69" s="8">
        <v>0</v>
      </c>
      <c r="I69" s="8">
        <v>1</v>
      </c>
      <c r="J69" s="8">
        <v>3</v>
      </c>
      <c r="K69" s="8">
        <v>1</v>
      </c>
      <c r="L69" s="8">
        <v>0</v>
      </c>
      <c r="M69" s="8">
        <v>0</v>
      </c>
      <c r="N69" s="8">
        <v>0</v>
      </c>
      <c r="O69" s="8">
        <v>0</v>
      </c>
      <c r="P69" s="8">
        <v>0</v>
      </c>
      <c r="Q69" s="8">
        <v>0</v>
      </c>
      <c r="R69" s="8">
        <v>0</v>
      </c>
      <c r="S69" s="8">
        <v>0</v>
      </c>
      <c r="T69" s="8">
        <v>0</v>
      </c>
      <c r="U69" s="8">
        <v>0</v>
      </c>
      <c r="V69" s="54">
        <f t="shared" ref="V69:V102" si="11">SUMPRODUCT(H69:U69,$H$112:$U$112)</f>
        <v>63</v>
      </c>
      <c r="W69" s="54">
        <f t="shared" si="9"/>
        <v>-8</v>
      </c>
      <c r="X69" s="55">
        <f t="shared" si="10"/>
        <v>-8</v>
      </c>
    </row>
    <row r="70" spans="1:24">
      <c r="A70" s="52" t="s">
        <v>96</v>
      </c>
      <c r="B70" s="8" t="s">
        <v>97</v>
      </c>
      <c r="C70" s="8" t="s">
        <v>97</v>
      </c>
      <c r="D70" s="61">
        <v>-32.200000000000003</v>
      </c>
      <c r="E70" s="9">
        <v>-104.6</v>
      </c>
      <c r="F70" s="9">
        <v>123</v>
      </c>
      <c r="G70" s="9">
        <f t="shared" si="8"/>
        <v>0.24295302013422815</v>
      </c>
      <c r="H70" s="8">
        <v>0</v>
      </c>
      <c r="I70" s="8">
        <v>0</v>
      </c>
      <c r="J70" s="8">
        <v>2</v>
      </c>
      <c r="K70" s="8">
        <v>1</v>
      </c>
      <c r="L70" s="8">
        <v>0</v>
      </c>
      <c r="M70" s="8">
        <v>0</v>
      </c>
      <c r="N70" s="8">
        <v>0</v>
      </c>
      <c r="O70" s="8">
        <v>0</v>
      </c>
      <c r="P70" s="8">
        <v>0</v>
      </c>
      <c r="Q70" s="8">
        <v>0</v>
      </c>
      <c r="R70" s="8">
        <v>0</v>
      </c>
      <c r="S70" s="8">
        <v>0</v>
      </c>
      <c r="T70" s="8">
        <v>0</v>
      </c>
      <c r="U70" s="8">
        <v>-1</v>
      </c>
      <c r="V70" s="54">
        <f t="shared" si="11"/>
        <v>46</v>
      </c>
      <c r="W70" s="54">
        <f t="shared" si="9"/>
        <v>-6</v>
      </c>
      <c r="X70" s="55">
        <f t="shared" si="10"/>
        <v>-6</v>
      </c>
    </row>
    <row r="71" spans="1:24">
      <c r="A71" s="52" t="s">
        <v>93</v>
      </c>
      <c r="B71" s="8" t="s">
        <v>94</v>
      </c>
      <c r="C71" s="8" t="s">
        <v>95</v>
      </c>
      <c r="D71" s="61">
        <v>-50.6</v>
      </c>
      <c r="E71" s="9">
        <v>-119.2</v>
      </c>
      <c r="F71" s="9">
        <v>135.6</v>
      </c>
      <c r="G71" s="9">
        <f t="shared" si="8"/>
        <v>0.23020134228187916</v>
      </c>
      <c r="H71" s="8">
        <v>0</v>
      </c>
      <c r="I71" s="8">
        <v>1</v>
      </c>
      <c r="J71" s="8">
        <v>2</v>
      </c>
      <c r="K71" s="8">
        <v>1</v>
      </c>
      <c r="L71" s="8">
        <v>0</v>
      </c>
      <c r="M71" s="8">
        <v>0</v>
      </c>
      <c r="N71" s="8">
        <v>0</v>
      </c>
      <c r="O71" s="8">
        <v>0</v>
      </c>
      <c r="P71" s="8">
        <v>0</v>
      </c>
      <c r="Q71" s="8">
        <v>0</v>
      </c>
      <c r="R71" s="8">
        <v>0</v>
      </c>
      <c r="S71" s="8">
        <v>0</v>
      </c>
      <c r="T71" s="8">
        <v>0</v>
      </c>
      <c r="U71" s="8">
        <v>0</v>
      </c>
      <c r="V71" s="54">
        <f t="shared" si="11"/>
        <v>47</v>
      </c>
      <c r="W71" s="54">
        <f t="shared" si="9"/>
        <v>-6</v>
      </c>
      <c r="X71" s="55">
        <f t="shared" si="10"/>
        <v>-6</v>
      </c>
    </row>
    <row r="72" spans="1:24" ht="15.6">
      <c r="A72" s="52" t="s">
        <v>33</v>
      </c>
      <c r="B72" s="8" t="s">
        <v>257</v>
      </c>
      <c r="C72" s="8" t="s">
        <v>154</v>
      </c>
      <c r="D72" s="118">
        <v>-793.82</v>
      </c>
      <c r="E72" s="59" t="s">
        <v>34</v>
      </c>
      <c r="F72" s="59" t="s">
        <v>189</v>
      </c>
      <c r="G72" s="9" t="e">
        <f t="shared" si="8"/>
        <v>#VALUE!</v>
      </c>
      <c r="H72" s="8">
        <v>4</v>
      </c>
      <c r="I72" s="8">
        <v>2</v>
      </c>
      <c r="J72" s="8">
        <v>5</v>
      </c>
      <c r="K72" s="8">
        <v>0</v>
      </c>
      <c r="L72" s="8">
        <v>0</v>
      </c>
      <c r="M72" s="8">
        <v>0</v>
      </c>
      <c r="N72" s="8">
        <v>0</v>
      </c>
      <c r="O72" s="8">
        <v>0</v>
      </c>
      <c r="P72" s="8">
        <v>0</v>
      </c>
      <c r="Q72" s="8">
        <v>0</v>
      </c>
      <c r="R72" s="8">
        <v>0</v>
      </c>
      <c r="S72" s="8">
        <v>0</v>
      </c>
      <c r="T72" s="8">
        <v>0</v>
      </c>
      <c r="U72" s="8">
        <v>-2</v>
      </c>
      <c r="V72" s="54">
        <f t="shared" si="11"/>
        <v>130</v>
      </c>
      <c r="W72" s="54">
        <f t="shared" si="9"/>
        <v>10</v>
      </c>
      <c r="X72" s="55">
        <f t="shared" si="10"/>
        <v>2.5</v>
      </c>
    </row>
    <row r="73" spans="1:24">
      <c r="A73" s="52" t="s">
        <v>105</v>
      </c>
      <c r="B73" s="8" t="s">
        <v>104</v>
      </c>
      <c r="C73" s="8" t="s">
        <v>104</v>
      </c>
      <c r="D73" s="61">
        <v>16.399999999999999</v>
      </c>
      <c r="E73" s="9">
        <v>-11.7</v>
      </c>
      <c r="F73" s="9">
        <v>110.9</v>
      </c>
      <c r="G73" s="9">
        <f t="shared" si="8"/>
        <v>9.4295302013422816E-2</v>
      </c>
      <c r="H73" s="8">
        <v>0</v>
      </c>
      <c r="I73" s="8">
        <v>0</v>
      </c>
      <c r="J73" s="8">
        <v>2</v>
      </c>
      <c r="K73" s="8">
        <v>0</v>
      </c>
      <c r="L73" s="8">
        <v>0</v>
      </c>
      <c r="M73" s="8">
        <v>0</v>
      </c>
      <c r="N73" s="8">
        <v>0</v>
      </c>
      <c r="O73" s="8">
        <v>0</v>
      </c>
      <c r="P73" s="8">
        <v>0</v>
      </c>
      <c r="Q73" s="8">
        <v>0</v>
      </c>
      <c r="R73" s="8">
        <v>0</v>
      </c>
      <c r="S73" s="8">
        <v>0</v>
      </c>
      <c r="T73" s="8">
        <v>0</v>
      </c>
      <c r="U73" s="8">
        <v>0</v>
      </c>
      <c r="V73" s="54">
        <f t="shared" si="11"/>
        <v>32</v>
      </c>
      <c r="W73" s="54">
        <f t="shared" si="9"/>
        <v>-4</v>
      </c>
      <c r="X73" s="55">
        <f t="shared" si="10"/>
        <v>-4</v>
      </c>
    </row>
    <row r="74" spans="1:24">
      <c r="A74" s="52" t="s">
        <v>103</v>
      </c>
      <c r="B74" s="8" t="s">
        <v>370</v>
      </c>
      <c r="C74" s="8" t="s">
        <v>370</v>
      </c>
      <c r="D74" s="61">
        <v>0</v>
      </c>
      <c r="E74" s="9">
        <v>0</v>
      </c>
      <c r="F74" s="9">
        <v>205</v>
      </c>
      <c r="G74" s="9">
        <f t="shared" si="8"/>
        <v>0</v>
      </c>
      <c r="H74" s="8">
        <v>0</v>
      </c>
      <c r="I74" s="8">
        <v>0</v>
      </c>
      <c r="J74" s="8">
        <v>2</v>
      </c>
      <c r="K74" s="8">
        <v>0</v>
      </c>
      <c r="L74" s="8">
        <v>0</v>
      </c>
      <c r="M74" s="8">
        <v>0</v>
      </c>
      <c r="N74" s="8">
        <v>0</v>
      </c>
      <c r="O74" s="8">
        <v>0</v>
      </c>
      <c r="P74" s="8">
        <v>0</v>
      </c>
      <c r="Q74" s="8">
        <v>0</v>
      </c>
      <c r="R74" s="8">
        <v>0</v>
      </c>
      <c r="S74" s="8">
        <v>0</v>
      </c>
      <c r="T74" s="8">
        <v>0</v>
      </c>
      <c r="U74" s="8">
        <v>0</v>
      </c>
      <c r="V74" s="54">
        <f t="shared" si="11"/>
        <v>32</v>
      </c>
      <c r="W74" s="54">
        <f t="shared" si="9"/>
        <v>-4</v>
      </c>
      <c r="X74" s="55">
        <f t="shared" si="10"/>
        <v>-4</v>
      </c>
    </row>
    <row r="75" spans="1:24" ht="15.6">
      <c r="A75" s="52" t="s">
        <v>278</v>
      </c>
      <c r="B75" s="8" t="s">
        <v>279</v>
      </c>
      <c r="C75" s="8" t="s">
        <v>279</v>
      </c>
      <c r="D75" s="69">
        <v>-1142.5999999999999</v>
      </c>
      <c r="E75" s="69">
        <v>-1288.3</v>
      </c>
      <c r="F75" s="69">
        <v>158.19999999999999</v>
      </c>
      <c r="G75" s="9">
        <f t="shared" si="8"/>
        <v>0.48892617449664444</v>
      </c>
      <c r="H75" s="8">
        <v>0</v>
      </c>
      <c r="I75" s="8">
        <v>3</v>
      </c>
      <c r="J75" s="8">
        <v>4</v>
      </c>
      <c r="K75" s="8">
        <v>0</v>
      </c>
      <c r="L75" s="8">
        <v>1</v>
      </c>
      <c r="M75" s="8">
        <v>0</v>
      </c>
      <c r="N75" s="8">
        <v>0</v>
      </c>
      <c r="O75" s="8">
        <v>0</v>
      </c>
      <c r="P75" s="8">
        <v>0</v>
      </c>
      <c r="Q75" s="8">
        <v>0</v>
      </c>
      <c r="R75" s="8">
        <v>0</v>
      </c>
      <c r="S75" s="8">
        <v>0</v>
      </c>
      <c r="T75" s="8">
        <v>0</v>
      </c>
      <c r="U75" s="8">
        <v>0</v>
      </c>
      <c r="V75" s="54">
        <f t="shared" si="11"/>
        <v>98</v>
      </c>
      <c r="W75" s="54">
        <f t="shared" si="9"/>
        <v>0</v>
      </c>
      <c r="X75" s="55">
        <f t="shared" si="10"/>
        <v>0</v>
      </c>
    </row>
    <row r="76" spans="1:24" ht="15.6">
      <c r="A76" s="52" t="s">
        <v>280</v>
      </c>
      <c r="B76" s="8" t="s">
        <v>281</v>
      </c>
      <c r="C76" s="8" t="s">
        <v>281</v>
      </c>
      <c r="D76" s="69">
        <v>-1130.3</v>
      </c>
      <c r="E76" s="69">
        <v>-1296.3</v>
      </c>
      <c r="F76" s="69">
        <v>90.4</v>
      </c>
      <c r="G76" s="9">
        <f t="shared" si="8"/>
        <v>0.55704697986577179</v>
      </c>
      <c r="H76" s="8">
        <v>0</v>
      </c>
      <c r="I76" s="8">
        <v>2</v>
      </c>
      <c r="J76" s="8">
        <v>4</v>
      </c>
      <c r="K76" s="8">
        <v>0</v>
      </c>
      <c r="L76" s="8">
        <v>1</v>
      </c>
      <c r="M76" s="8">
        <v>0</v>
      </c>
      <c r="N76" s="8">
        <v>0</v>
      </c>
      <c r="O76" s="8">
        <v>0</v>
      </c>
      <c r="P76" s="8">
        <v>0</v>
      </c>
      <c r="Q76" s="8">
        <v>0</v>
      </c>
      <c r="R76" s="8">
        <v>0</v>
      </c>
      <c r="S76" s="8">
        <v>0</v>
      </c>
      <c r="T76" s="8">
        <v>0</v>
      </c>
      <c r="U76" s="8">
        <v>-1</v>
      </c>
      <c r="V76" s="54">
        <f t="shared" si="11"/>
        <v>97</v>
      </c>
      <c r="W76" s="54">
        <f t="shared" si="9"/>
        <v>0</v>
      </c>
      <c r="X76" s="55">
        <f t="shared" si="10"/>
        <v>0</v>
      </c>
    </row>
    <row r="77" spans="1:24" ht="15.6">
      <c r="A77" s="52" t="s">
        <v>277</v>
      </c>
      <c r="B77" s="8" t="s">
        <v>110</v>
      </c>
      <c r="C77" s="8" t="s">
        <v>186</v>
      </c>
      <c r="D77" s="69">
        <v>-1089.0999999999999</v>
      </c>
      <c r="E77" s="69">
        <v>-1292.0999999999999</v>
      </c>
      <c r="F77" s="69">
        <v>-33.5</v>
      </c>
      <c r="G77" s="9">
        <f t="shared" si="8"/>
        <v>0.68120805369127513</v>
      </c>
      <c r="H77" s="8">
        <v>0</v>
      </c>
      <c r="I77" s="8">
        <v>1</v>
      </c>
      <c r="J77" s="8">
        <v>4</v>
      </c>
      <c r="K77" s="8">
        <v>0</v>
      </c>
      <c r="L77" s="8">
        <v>1</v>
      </c>
      <c r="M77" s="8">
        <v>0</v>
      </c>
      <c r="N77" s="8">
        <v>0</v>
      </c>
      <c r="O77" s="8">
        <v>0</v>
      </c>
      <c r="P77" s="8">
        <v>0</v>
      </c>
      <c r="Q77" s="8">
        <v>0</v>
      </c>
      <c r="R77" s="8">
        <v>0</v>
      </c>
      <c r="S77" s="8">
        <v>0</v>
      </c>
      <c r="T77" s="8">
        <v>0</v>
      </c>
      <c r="U77" s="8">
        <v>-2</v>
      </c>
      <c r="V77" s="54">
        <f t="shared" si="11"/>
        <v>96</v>
      </c>
      <c r="W77" s="54">
        <f t="shared" si="9"/>
        <v>0</v>
      </c>
      <c r="X77" s="55">
        <f t="shared" si="10"/>
        <v>0</v>
      </c>
    </row>
    <row r="78" spans="1:24" ht="15.6">
      <c r="A78" s="52" t="s">
        <v>109</v>
      </c>
      <c r="B78" s="8" t="s">
        <v>282</v>
      </c>
      <c r="C78" s="8" t="s">
        <v>282</v>
      </c>
      <c r="D78" s="69">
        <v>-1018.8</v>
      </c>
      <c r="E78" s="69">
        <v>-1277.4000000000001</v>
      </c>
      <c r="F78" s="69">
        <v>-222</v>
      </c>
      <c r="G78" s="9">
        <f t="shared" si="8"/>
        <v>0.86778523489932935</v>
      </c>
      <c r="H78" s="8">
        <v>0</v>
      </c>
      <c r="I78" s="8">
        <v>0</v>
      </c>
      <c r="J78" s="8">
        <v>4</v>
      </c>
      <c r="K78" s="8">
        <v>0</v>
      </c>
      <c r="L78" s="8">
        <v>1</v>
      </c>
      <c r="M78" s="8">
        <v>0</v>
      </c>
      <c r="N78" s="8">
        <v>0</v>
      </c>
      <c r="O78" s="8">
        <v>0</v>
      </c>
      <c r="P78" s="8">
        <v>0</v>
      </c>
      <c r="Q78" s="8">
        <v>0</v>
      </c>
      <c r="R78" s="8">
        <v>0</v>
      </c>
      <c r="S78" s="8">
        <v>0</v>
      </c>
      <c r="T78" s="8">
        <v>0</v>
      </c>
      <c r="U78" s="8">
        <v>-3</v>
      </c>
      <c r="V78" s="54">
        <f t="shared" si="11"/>
        <v>95</v>
      </c>
      <c r="W78" s="54">
        <f t="shared" si="9"/>
        <v>0</v>
      </c>
      <c r="X78" s="55">
        <f t="shared" si="10"/>
        <v>0</v>
      </c>
    </row>
    <row r="79" spans="1:24">
      <c r="A79" s="52" t="s">
        <v>196</v>
      </c>
      <c r="B79" s="8" t="s">
        <v>193</v>
      </c>
      <c r="C79" s="8" t="s">
        <v>193</v>
      </c>
      <c r="D79" s="8">
        <v>0</v>
      </c>
      <c r="E79" s="9" t="s">
        <v>189</v>
      </c>
      <c r="F79" s="9" t="s">
        <v>189</v>
      </c>
      <c r="G79" s="9" t="e">
        <f t="shared" si="8"/>
        <v>#VALUE!</v>
      </c>
      <c r="H79" s="8">
        <v>0</v>
      </c>
      <c r="I79" s="8">
        <v>0</v>
      </c>
      <c r="J79" s="8">
        <v>0</v>
      </c>
      <c r="K79" s="8">
        <v>0</v>
      </c>
      <c r="L79" s="8">
        <v>0</v>
      </c>
      <c r="M79" s="8">
        <v>0</v>
      </c>
      <c r="N79" s="8">
        <v>0</v>
      </c>
      <c r="O79" s="8">
        <v>0</v>
      </c>
      <c r="P79" s="8">
        <v>0</v>
      </c>
      <c r="Q79" s="8">
        <v>0</v>
      </c>
      <c r="R79" s="8">
        <v>0</v>
      </c>
      <c r="S79" s="8">
        <v>0</v>
      </c>
      <c r="T79" s="8">
        <v>0</v>
      </c>
      <c r="U79" s="8">
        <v>1</v>
      </c>
      <c r="V79" s="54">
        <f t="shared" si="11"/>
        <v>0</v>
      </c>
      <c r="W79" s="54">
        <f t="shared" si="9"/>
        <v>-1</v>
      </c>
      <c r="X79" s="55">
        <f t="shared" si="10"/>
        <v>-1</v>
      </c>
    </row>
    <row r="80" spans="1:24" ht="15.6">
      <c r="A80" s="52" t="s">
        <v>76</v>
      </c>
      <c r="B80" s="8" t="s">
        <v>253</v>
      </c>
      <c r="C80" s="8" t="s">
        <v>178</v>
      </c>
      <c r="D80" s="117">
        <v>-131.4</v>
      </c>
      <c r="E80" s="9" t="s">
        <v>189</v>
      </c>
      <c r="F80" s="9" t="s">
        <v>189</v>
      </c>
      <c r="G80" s="9" t="e">
        <f t="shared" si="8"/>
        <v>#VALUE!</v>
      </c>
      <c r="H80" s="8">
        <v>3</v>
      </c>
      <c r="I80" s="8">
        <v>5</v>
      </c>
      <c r="J80" s="8">
        <v>1</v>
      </c>
      <c r="K80" s="8">
        <v>0</v>
      </c>
      <c r="L80" s="8">
        <v>0</v>
      </c>
      <c r="M80" s="8">
        <v>0</v>
      </c>
      <c r="N80" s="8">
        <v>0</v>
      </c>
      <c r="O80" s="8">
        <v>0</v>
      </c>
      <c r="P80" s="8">
        <v>0</v>
      </c>
      <c r="Q80" s="8">
        <v>0</v>
      </c>
      <c r="R80" s="8">
        <v>0</v>
      </c>
      <c r="S80" s="8">
        <v>1</v>
      </c>
      <c r="T80" s="8">
        <v>0</v>
      </c>
      <c r="U80" s="8">
        <v>0</v>
      </c>
      <c r="V80" s="54">
        <f t="shared" si="11"/>
        <v>57</v>
      </c>
      <c r="W80" s="54">
        <f t="shared" si="9"/>
        <v>15</v>
      </c>
      <c r="X80" s="55">
        <f t="shared" si="10"/>
        <v>5</v>
      </c>
    </row>
    <row r="81" spans="1:24" ht="15.6">
      <c r="A81" s="52" t="s">
        <v>41</v>
      </c>
      <c r="B81" s="8" t="s">
        <v>42</v>
      </c>
      <c r="C81" s="12" t="s">
        <v>159</v>
      </c>
      <c r="D81" s="61">
        <v>-361.08</v>
      </c>
      <c r="E81" s="9" t="s">
        <v>189</v>
      </c>
      <c r="F81" s="9" t="s">
        <v>189</v>
      </c>
      <c r="G81" s="9" t="e">
        <f t="shared" si="8"/>
        <v>#VALUE!</v>
      </c>
      <c r="H81" s="8">
        <v>3</v>
      </c>
      <c r="I81" s="8">
        <v>5</v>
      </c>
      <c r="J81" s="8">
        <v>2</v>
      </c>
      <c r="K81" s="8">
        <v>0</v>
      </c>
      <c r="L81" s="8">
        <v>0</v>
      </c>
      <c r="M81" s="8">
        <v>0</v>
      </c>
      <c r="N81" s="8">
        <v>0</v>
      </c>
      <c r="O81" s="8">
        <v>0</v>
      </c>
      <c r="P81" s="8">
        <v>0</v>
      </c>
      <c r="Q81" s="8">
        <v>0</v>
      </c>
      <c r="R81" s="8">
        <v>0</v>
      </c>
      <c r="S81" s="8">
        <v>0</v>
      </c>
      <c r="T81" s="8">
        <v>0</v>
      </c>
      <c r="U81" s="8">
        <v>-1</v>
      </c>
      <c r="V81" s="54">
        <f t="shared" si="11"/>
        <v>73</v>
      </c>
      <c r="W81" s="54">
        <f t="shared" si="9"/>
        <v>14</v>
      </c>
      <c r="X81" s="62">
        <f t="shared" si="10"/>
        <v>4.666666666666667</v>
      </c>
    </row>
    <row r="82" spans="1:24" ht="15.6">
      <c r="A82" s="52" t="s">
        <v>39</v>
      </c>
      <c r="B82" s="8" t="s">
        <v>40</v>
      </c>
      <c r="C82" s="12" t="s">
        <v>158</v>
      </c>
      <c r="D82" s="65">
        <v>-389</v>
      </c>
      <c r="E82" s="9" t="s">
        <v>189</v>
      </c>
      <c r="F82" s="9" t="s">
        <v>189</v>
      </c>
      <c r="G82" s="9" t="e">
        <f t="shared" si="8"/>
        <v>#VALUE!</v>
      </c>
      <c r="H82" s="8">
        <v>3</v>
      </c>
      <c r="I82" s="8">
        <v>6</v>
      </c>
      <c r="J82" s="8">
        <v>2</v>
      </c>
      <c r="K82" s="8">
        <v>0</v>
      </c>
      <c r="L82" s="8">
        <v>0</v>
      </c>
      <c r="M82" s="8">
        <v>0</v>
      </c>
      <c r="N82" s="8">
        <v>0</v>
      </c>
      <c r="O82" s="8">
        <v>0</v>
      </c>
      <c r="P82" s="8">
        <v>0</v>
      </c>
      <c r="Q82" s="8">
        <v>0</v>
      </c>
      <c r="R82" s="8">
        <v>0</v>
      </c>
      <c r="S82" s="8">
        <v>0</v>
      </c>
      <c r="T82" s="8">
        <v>0</v>
      </c>
      <c r="U82" s="8">
        <v>0</v>
      </c>
      <c r="V82" s="54">
        <f t="shared" si="11"/>
        <v>74</v>
      </c>
      <c r="W82" s="54">
        <f t="shared" si="9"/>
        <v>14</v>
      </c>
      <c r="X82" s="62">
        <f t="shared" si="10"/>
        <v>4.666666666666667</v>
      </c>
    </row>
    <row r="83" spans="1:24" ht="15.6">
      <c r="A83" s="52" t="s">
        <v>122</v>
      </c>
      <c r="B83" s="8" t="s">
        <v>123</v>
      </c>
      <c r="C83" s="8" t="s">
        <v>124</v>
      </c>
      <c r="D83" s="64">
        <v>0</v>
      </c>
      <c r="E83" s="9">
        <v>0</v>
      </c>
      <c r="F83" s="9">
        <v>0</v>
      </c>
      <c r="G83" s="9">
        <f t="shared" si="8"/>
        <v>0</v>
      </c>
      <c r="H83" s="8">
        <v>0</v>
      </c>
      <c r="I83" s="8">
        <v>1</v>
      </c>
      <c r="J83" s="8">
        <v>0</v>
      </c>
      <c r="K83" s="8">
        <v>0</v>
      </c>
      <c r="L83" s="8">
        <v>0</v>
      </c>
      <c r="M83" s="8">
        <v>0</v>
      </c>
      <c r="N83" s="8">
        <v>0</v>
      </c>
      <c r="O83" s="8">
        <v>0</v>
      </c>
      <c r="P83" s="8">
        <v>0</v>
      </c>
      <c r="Q83" s="8">
        <v>0</v>
      </c>
      <c r="R83" s="8">
        <v>0</v>
      </c>
      <c r="S83" s="8">
        <v>0</v>
      </c>
      <c r="T83" s="8">
        <v>0</v>
      </c>
      <c r="U83" s="8">
        <v>1</v>
      </c>
      <c r="V83" s="54">
        <f t="shared" si="11"/>
        <v>1</v>
      </c>
      <c r="W83" s="54">
        <f t="shared" si="9"/>
        <v>0</v>
      </c>
      <c r="X83" s="55">
        <f t="shared" si="10"/>
        <v>0</v>
      </c>
    </row>
    <row r="84" spans="1:24" ht="15.6">
      <c r="A84" s="52" t="s">
        <v>111</v>
      </c>
      <c r="B84" s="8" t="s">
        <v>263</v>
      </c>
      <c r="C84" s="8" t="s">
        <v>248</v>
      </c>
      <c r="D84" s="61">
        <v>-1921.4880468473118</v>
      </c>
      <c r="E84" s="9" t="s">
        <v>189</v>
      </c>
      <c r="F84" s="9" t="s">
        <v>189</v>
      </c>
      <c r="G84" s="9" t="e">
        <f t="shared" si="8"/>
        <v>#VALUE!</v>
      </c>
      <c r="H84" s="8">
        <v>0</v>
      </c>
      <c r="I84" s="8">
        <v>0</v>
      </c>
      <c r="J84" s="8">
        <v>7</v>
      </c>
      <c r="K84" s="8">
        <v>0</v>
      </c>
      <c r="L84" s="8">
        <v>2</v>
      </c>
      <c r="M84" s="8">
        <v>0</v>
      </c>
      <c r="N84" s="8">
        <v>0</v>
      </c>
      <c r="O84" s="8">
        <v>0</v>
      </c>
      <c r="P84" s="8">
        <v>0</v>
      </c>
      <c r="Q84" s="8">
        <v>0</v>
      </c>
      <c r="R84" s="8">
        <v>0</v>
      </c>
      <c r="S84" s="8">
        <v>0</v>
      </c>
      <c r="T84" s="8">
        <v>0</v>
      </c>
      <c r="U84" s="8">
        <v>-4</v>
      </c>
      <c r="V84" s="54">
        <f t="shared" si="11"/>
        <v>174</v>
      </c>
      <c r="W84" s="54">
        <f t="shared" si="9"/>
        <v>0</v>
      </c>
      <c r="X84" s="55">
        <f t="shared" si="10"/>
        <v>0</v>
      </c>
    </row>
    <row r="85" spans="1:24" ht="15.6">
      <c r="A85" s="52" t="s">
        <v>47</v>
      </c>
      <c r="B85" s="52" t="s">
        <v>48</v>
      </c>
      <c r="C85" s="8" t="s">
        <v>162</v>
      </c>
      <c r="D85" s="61">
        <v>-474.63</v>
      </c>
      <c r="E85" s="9">
        <v>-596</v>
      </c>
      <c r="F85" s="9" t="s">
        <v>189</v>
      </c>
      <c r="G85" s="9">
        <f t="shared" si="8"/>
        <v>0.40728187919463088</v>
      </c>
      <c r="H85" s="8">
        <v>3</v>
      </c>
      <c r="I85" s="8">
        <v>3</v>
      </c>
      <c r="J85" s="8">
        <v>3</v>
      </c>
      <c r="K85" s="8">
        <v>0</v>
      </c>
      <c r="L85" s="8">
        <v>0</v>
      </c>
      <c r="M85" s="8">
        <v>0</v>
      </c>
      <c r="N85" s="8">
        <v>0</v>
      </c>
      <c r="O85" s="8">
        <v>0</v>
      </c>
      <c r="P85" s="8">
        <v>0</v>
      </c>
      <c r="Q85" s="8">
        <v>0</v>
      </c>
      <c r="R85" s="8">
        <v>0</v>
      </c>
      <c r="S85" s="8">
        <v>0</v>
      </c>
      <c r="T85" s="8">
        <v>0</v>
      </c>
      <c r="U85" s="8">
        <v>-1</v>
      </c>
      <c r="V85" s="54">
        <f t="shared" si="11"/>
        <v>87</v>
      </c>
      <c r="W85" s="54">
        <f t="shared" si="9"/>
        <v>10</v>
      </c>
      <c r="X85" s="62">
        <f t="shared" si="10"/>
        <v>3.3333333333333335</v>
      </c>
    </row>
    <row r="86" spans="1:24">
      <c r="A86" s="52" t="s">
        <v>195</v>
      </c>
      <c r="B86" s="8" t="s">
        <v>192</v>
      </c>
      <c r="C86" s="8" t="s">
        <v>192</v>
      </c>
      <c r="D86" s="8">
        <v>0</v>
      </c>
      <c r="E86" s="9" t="s">
        <v>189</v>
      </c>
      <c r="F86" s="9" t="s">
        <v>189</v>
      </c>
      <c r="G86" s="9" t="e">
        <f t="shared" si="8"/>
        <v>#VALUE!</v>
      </c>
      <c r="H86" s="8">
        <v>0</v>
      </c>
      <c r="I86" s="8">
        <v>0</v>
      </c>
      <c r="J86" s="8">
        <v>0</v>
      </c>
      <c r="K86" s="8">
        <v>0</v>
      </c>
      <c r="L86" s="8">
        <v>0</v>
      </c>
      <c r="M86" s="8">
        <v>0</v>
      </c>
      <c r="N86" s="8">
        <v>0</v>
      </c>
      <c r="O86" s="8">
        <v>0</v>
      </c>
      <c r="P86" s="8">
        <v>0</v>
      </c>
      <c r="Q86" s="8">
        <v>0</v>
      </c>
      <c r="R86" s="8">
        <v>0</v>
      </c>
      <c r="S86" s="8">
        <v>0</v>
      </c>
      <c r="T86" s="8">
        <v>0</v>
      </c>
      <c r="U86" s="8">
        <v>1</v>
      </c>
      <c r="V86" s="54">
        <f t="shared" si="11"/>
        <v>0</v>
      </c>
      <c r="W86" s="54">
        <f t="shared" si="9"/>
        <v>-1</v>
      </c>
      <c r="X86" s="55">
        <f t="shared" si="10"/>
        <v>-1</v>
      </c>
    </row>
    <row r="87" spans="1:24" ht="15.6">
      <c r="A87" s="52" t="s">
        <v>26</v>
      </c>
      <c r="B87" s="8" t="s">
        <v>27</v>
      </c>
      <c r="C87" s="8" t="s">
        <v>151</v>
      </c>
      <c r="D87" s="118">
        <v>-690.91</v>
      </c>
      <c r="E87" s="59">
        <v>-909.29</v>
      </c>
      <c r="F87" s="59" t="s">
        <v>189</v>
      </c>
      <c r="G87" s="9">
        <f t="shared" si="8"/>
        <v>0.73281879194630872</v>
      </c>
      <c r="H87" s="8">
        <v>4</v>
      </c>
      <c r="I87" s="8">
        <v>4</v>
      </c>
      <c r="J87" s="8">
        <v>4</v>
      </c>
      <c r="K87" s="8">
        <v>0</v>
      </c>
      <c r="L87" s="8">
        <v>0</v>
      </c>
      <c r="M87" s="8">
        <v>0</v>
      </c>
      <c r="N87" s="8">
        <v>0</v>
      </c>
      <c r="O87" s="8">
        <v>0</v>
      </c>
      <c r="P87" s="8">
        <v>0</v>
      </c>
      <c r="Q87" s="8">
        <v>0</v>
      </c>
      <c r="R87" s="8">
        <v>0</v>
      </c>
      <c r="S87" s="8">
        <v>0</v>
      </c>
      <c r="T87" s="8">
        <v>0</v>
      </c>
      <c r="U87" s="8">
        <v>-2</v>
      </c>
      <c r="V87" s="54">
        <f t="shared" si="11"/>
        <v>116</v>
      </c>
      <c r="W87" s="54">
        <f t="shared" si="9"/>
        <v>14</v>
      </c>
      <c r="X87" s="55">
        <f t="shared" si="10"/>
        <v>3.5</v>
      </c>
    </row>
    <row r="88" spans="1:24" ht="15.6">
      <c r="A88" s="52" t="s">
        <v>24</v>
      </c>
      <c r="B88" s="52" t="s">
        <v>25</v>
      </c>
      <c r="C88" s="52" t="s">
        <v>150</v>
      </c>
      <c r="D88" s="66">
        <v>-746.38</v>
      </c>
      <c r="E88" s="9" t="s">
        <v>189</v>
      </c>
      <c r="F88" s="59" t="s">
        <v>189</v>
      </c>
      <c r="G88" s="9" t="e">
        <f t="shared" si="8"/>
        <v>#VALUE!</v>
      </c>
      <c r="H88" s="8">
        <v>4</v>
      </c>
      <c r="I88" s="8">
        <v>6</v>
      </c>
      <c r="J88" s="8">
        <v>4</v>
      </c>
      <c r="K88" s="8">
        <v>0</v>
      </c>
      <c r="L88" s="8">
        <v>0</v>
      </c>
      <c r="M88" s="8">
        <v>0</v>
      </c>
      <c r="N88" s="8">
        <v>0</v>
      </c>
      <c r="O88" s="8">
        <v>0</v>
      </c>
      <c r="P88" s="8">
        <v>0</v>
      </c>
      <c r="Q88" s="8">
        <v>0</v>
      </c>
      <c r="R88" s="8">
        <v>0</v>
      </c>
      <c r="S88" s="8">
        <v>0</v>
      </c>
      <c r="T88" s="8">
        <v>0</v>
      </c>
      <c r="U88" s="8">
        <v>0</v>
      </c>
      <c r="V88" s="54">
        <f t="shared" si="11"/>
        <v>118</v>
      </c>
      <c r="W88" s="54">
        <f t="shared" si="9"/>
        <v>14</v>
      </c>
      <c r="X88" s="55">
        <f t="shared" si="10"/>
        <v>3.5</v>
      </c>
    </row>
    <row r="89" spans="1:24" ht="15.6">
      <c r="A89" s="52" t="s">
        <v>73</v>
      </c>
      <c r="B89" s="52" t="s">
        <v>74</v>
      </c>
      <c r="C89" s="52" t="s">
        <v>177</v>
      </c>
      <c r="D89" s="117">
        <v>-458.6</v>
      </c>
      <c r="E89" s="9" t="s">
        <v>189</v>
      </c>
      <c r="F89" s="9" t="s">
        <v>189</v>
      </c>
      <c r="G89" s="9" t="e">
        <f t="shared" si="8"/>
        <v>#VALUE!</v>
      </c>
      <c r="H89" s="8">
        <v>4</v>
      </c>
      <c r="I89" s="8">
        <v>5</v>
      </c>
      <c r="J89" s="8">
        <v>3</v>
      </c>
      <c r="K89" s="8">
        <v>0</v>
      </c>
      <c r="L89" s="8">
        <v>0</v>
      </c>
      <c r="M89" s="8">
        <v>0</v>
      </c>
      <c r="N89" s="8">
        <v>0</v>
      </c>
      <c r="O89" s="8">
        <v>0</v>
      </c>
      <c r="P89" s="8">
        <v>0</v>
      </c>
      <c r="Q89" s="8">
        <v>0</v>
      </c>
      <c r="R89" s="8">
        <v>0</v>
      </c>
      <c r="S89" s="8">
        <v>1</v>
      </c>
      <c r="T89" s="8">
        <v>0</v>
      </c>
      <c r="U89" s="8">
        <v>0</v>
      </c>
      <c r="V89" s="54">
        <f t="shared" si="11"/>
        <v>101</v>
      </c>
      <c r="W89" s="54">
        <f t="shared" si="9"/>
        <v>15</v>
      </c>
      <c r="X89" s="55">
        <f t="shared" si="10"/>
        <v>3.75</v>
      </c>
    </row>
    <row r="90" spans="1:24" ht="15.6">
      <c r="A90" s="52" t="s">
        <v>15</v>
      </c>
      <c r="B90" s="8" t="s">
        <v>16</v>
      </c>
      <c r="C90" s="8" t="s">
        <v>144</v>
      </c>
      <c r="D90" s="8">
        <v>-1008.78</v>
      </c>
      <c r="E90" s="9" t="s">
        <v>189</v>
      </c>
      <c r="F90" s="9" t="s">
        <v>189</v>
      </c>
      <c r="G90" s="9" t="e">
        <f t="shared" si="8"/>
        <v>#VALUE!</v>
      </c>
      <c r="H90" s="8">
        <v>12</v>
      </c>
      <c r="I90" s="8">
        <v>22</v>
      </c>
      <c r="J90" s="8">
        <v>11</v>
      </c>
      <c r="K90" s="8">
        <v>0</v>
      </c>
      <c r="L90" s="8">
        <v>0</v>
      </c>
      <c r="M90" s="8">
        <v>0</v>
      </c>
      <c r="N90" s="8">
        <v>0</v>
      </c>
      <c r="O90" s="8">
        <v>0</v>
      </c>
      <c r="P90" s="8">
        <v>0</v>
      </c>
      <c r="Q90" s="8">
        <v>0</v>
      </c>
      <c r="R90" s="8">
        <v>0</v>
      </c>
      <c r="S90" s="8">
        <v>0</v>
      </c>
      <c r="T90" s="8">
        <v>0</v>
      </c>
      <c r="U90" s="8">
        <v>0</v>
      </c>
      <c r="V90" s="54">
        <f t="shared" si="11"/>
        <v>342</v>
      </c>
      <c r="W90" s="54">
        <f t="shared" si="9"/>
        <v>48</v>
      </c>
      <c r="X90" s="55">
        <f t="shared" si="10"/>
        <v>4</v>
      </c>
    </row>
    <row r="91" spans="1:24" ht="15.6">
      <c r="A91" s="113" t="s">
        <v>292</v>
      </c>
      <c r="B91" s="13" t="s">
        <v>299</v>
      </c>
      <c r="C91" s="13" t="s">
        <v>299</v>
      </c>
      <c r="D91" s="69">
        <v>85.8</v>
      </c>
      <c r="E91" s="69">
        <v>33.1</v>
      </c>
      <c r="F91" s="69">
        <v>-14.6</v>
      </c>
      <c r="G91" s="9">
        <f t="shared" si="8"/>
        <v>0.1768456375838926</v>
      </c>
      <c r="H91" s="8">
        <v>0</v>
      </c>
      <c r="I91" s="8">
        <v>0</v>
      </c>
      <c r="J91" s="8">
        <v>0</v>
      </c>
      <c r="K91" s="8">
        <v>0</v>
      </c>
      <c r="L91" s="8">
        <v>0</v>
      </c>
      <c r="M91" s="8">
        <v>1</v>
      </c>
      <c r="N91" s="8">
        <v>0</v>
      </c>
      <c r="O91" s="8">
        <v>0</v>
      </c>
      <c r="P91" s="8">
        <v>0</v>
      </c>
      <c r="Q91" s="8">
        <v>0</v>
      </c>
      <c r="R91" s="8">
        <v>0</v>
      </c>
      <c r="S91" s="8">
        <v>0</v>
      </c>
      <c r="T91" s="8">
        <v>0</v>
      </c>
      <c r="U91" s="8">
        <v>-2</v>
      </c>
      <c r="V91" s="54">
        <f t="shared" si="11"/>
        <v>32</v>
      </c>
      <c r="W91" s="54">
        <f t="shared" si="9"/>
        <v>8</v>
      </c>
      <c r="X91" s="55">
        <f t="shared" si="10"/>
        <v>8</v>
      </c>
    </row>
    <row r="92" spans="1:24" ht="15.6">
      <c r="A92" s="113" t="s">
        <v>296</v>
      </c>
      <c r="B92" s="13" t="s">
        <v>297</v>
      </c>
      <c r="C92" s="13" t="s">
        <v>297</v>
      </c>
      <c r="D92" s="69">
        <v>12.1</v>
      </c>
      <c r="E92" s="69">
        <v>-17.600000000000001</v>
      </c>
      <c r="F92" s="69">
        <v>62.8</v>
      </c>
      <c r="G92" s="9">
        <f t="shared" si="8"/>
        <v>9.9664429530201354E-2</v>
      </c>
      <c r="H92" s="8">
        <v>0</v>
      </c>
      <c r="I92" s="8">
        <v>1</v>
      </c>
      <c r="J92" s="8">
        <v>0</v>
      </c>
      <c r="K92" s="8">
        <v>0</v>
      </c>
      <c r="L92" s="8">
        <v>0</v>
      </c>
      <c r="M92" s="8">
        <v>1</v>
      </c>
      <c r="N92" s="8">
        <v>0</v>
      </c>
      <c r="O92" s="8">
        <v>0</v>
      </c>
      <c r="P92" s="8">
        <v>0</v>
      </c>
      <c r="Q92" s="8">
        <v>0</v>
      </c>
      <c r="R92" s="8">
        <v>0</v>
      </c>
      <c r="S92" s="8">
        <v>0</v>
      </c>
      <c r="T92" s="8">
        <v>0</v>
      </c>
      <c r="U92" s="8">
        <v>-1</v>
      </c>
      <c r="V92" s="54">
        <f t="shared" si="11"/>
        <v>33</v>
      </c>
      <c r="W92" s="54">
        <f t="shared" si="9"/>
        <v>8</v>
      </c>
      <c r="X92" s="55">
        <f t="shared" si="10"/>
        <v>8</v>
      </c>
    </row>
    <row r="93" spans="1:24" ht="15.6">
      <c r="A93" s="113" t="s">
        <v>294</v>
      </c>
      <c r="B93" s="13" t="s">
        <v>293</v>
      </c>
      <c r="C93" s="13" t="s">
        <v>293</v>
      </c>
      <c r="D93" s="69">
        <v>-27.9</v>
      </c>
      <c r="E93" s="69">
        <v>-39.700000000000003</v>
      </c>
      <c r="F93" s="69">
        <v>121</v>
      </c>
      <c r="G93" s="9">
        <f t="shared" si="8"/>
        <v>3.9597315436241627E-2</v>
      </c>
      <c r="H93" s="8">
        <v>0</v>
      </c>
      <c r="I93" s="8">
        <v>2</v>
      </c>
      <c r="J93" s="8">
        <v>0</v>
      </c>
      <c r="K93" s="8">
        <v>0</v>
      </c>
      <c r="L93" s="8">
        <v>0</v>
      </c>
      <c r="M93" s="8">
        <v>1</v>
      </c>
      <c r="N93" s="8">
        <v>0</v>
      </c>
      <c r="O93" s="8">
        <v>0</v>
      </c>
      <c r="P93" s="8">
        <v>0</v>
      </c>
      <c r="Q93" s="8">
        <v>0</v>
      </c>
      <c r="R93" s="8">
        <v>0</v>
      </c>
      <c r="S93" s="8">
        <v>0</v>
      </c>
      <c r="T93" s="8">
        <v>0</v>
      </c>
      <c r="U93" s="8">
        <v>0</v>
      </c>
      <c r="V93" s="54">
        <f t="shared" si="11"/>
        <v>34</v>
      </c>
      <c r="W93" s="54">
        <f t="shared" si="9"/>
        <v>8</v>
      </c>
      <c r="X93" s="55">
        <f t="shared" si="10"/>
        <v>8</v>
      </c>
    </row>
    <row r="94" spans="1:24" ht="15.6">
      <c r="A94" s="113" t="s">
        <v>295</v>
      </c>
      <c r="B94" s="13" t="s">
        <v>298</v>
      </c>
      <c r="C94" s="13" t="s">
        <v>293</v>
      </c>
      <c r="D94" s="69">
        <v>-33.6</v>
      </c>
      <c r="E94" s="69">
        <v>-20.6</v>
      </c>
      <c r="F94" s="69">
        <v>205.8</v>
      </c>
      <c r="G94" s="9">
        <f t="shared" si="8"/>
        <v>-4.3624161073825503E-2</v>
      </c>
      <c r="H94" s="8">
        <v>0</v>
      </c>
      <c r="I94" s="8">
        <v>2</v>
      </c>
      <c r="J94" s="8">
        <v>0</v>
      </c>
      <c r="K94" s="8">
        <v>0</v>
      </c>
      <c r="L94" s="8">
        <v>0</v>
      </c>
      <c r="M94" s="8">
        <v>1</v>
      </c>
      <c r="N94" s="8">
        <v>0</v>
      </c>
      <c r="O94" s="8">
        <v>0</v>
      </c>
      <c r="P94" s="8">
        <v>0</v>
      </c>
      <c r="Q94" s="8">
        <v>0</v>
      </c>
      <c r="R94" s="8">
        <v>0</v>
      </c>
      <c r="S94" s="8">
        <v>0</v>
      </c>
      <c r="T94" s="8">
        <v>0</v>
      </c>
      <c r="U94" s="8">
        <v>0</v>
      </c>
      <c r="V94" s="54">
        <f t="shared" si="11"/>
        <v>34</v>
      </c>
      <c r="W94" s="54">
        <f t="shared" si="9"/>
        <v>8</v>
      </c>
      <c r="X94" s="55">
        <f t="shared" si="10"/>
        <v>8</v>
      </c>
    </row>
    <row r="95" spans="1:24" ht="15.6">
      <c r="A95" s="113" t="s">
        <v>325</v>
      </c>
      <c r="B95" s="8" t="s">
        <v>326</v>
      </c>
      <c r="C95" s="8" t="s">
        <v>326</v>
      </c>
      <c r="D95" s="13">
        <v>-744.6</v>
      </c>
      <c r="E95" s="13">
        <v>-909.6</v>
      </c>
      <c r="F95" s="13">
        <v>20.100000000000001</v>
      </c>
      <c r="G95" s="9">
        <f t="shared" si="8"/>
        <v>0.55369127516778527</v>
      </c>
      <c r="H95" s="8">
        <v>0</v>
      </c>
      <c r="I95" s="8">
        <v>0</v>
      </c>
      <c r="J95" s="8">
        <v>4</v>
      </c>
      <c r="K95" s="8">
        <v>0</v>
      </c>
      <c r="L95" s="8">
        <v>0</v>
      </c>
      <c r="M95" s="8">
        <v>1</v>
      </c>
      <c r="N95" s="8">
        <v>0</v>
      </c>
      <c r="O95" s="8">
        <v>0</v>
      </c>
      <c r="P95" s="8">
        <v>0</v>
      </c>
      <c r="Q95" s="8">
        <v>0</v>
      </c>
      <c r="R95" s="8">
        <v>0</v>
      </c>
      <c r="S95" s="8">
        <v>0</v>
      </c>
      <c r="T95" s="8">
        <v>0</v>
      </c>
      <c r="U95" s="8">
        <v>-2</v>
      </c>
      <c r="V95" s="54">
        <f t="shared" si="11"/>
        <v>96</v>
      </c>
      <c r="W95" s="54">
        <f t="shared" si="9"/>
        <v>0</v>
      </c>
      <c r="X95" s="55">
        <f t="shared" si="10"/>
        <v>0</v>
      </c>
    </row>
    <row r="96" spans="1:24" ht="15.6">
      <c r="A96" s="113" t="s">
        <v>570</v>
      </c>
      <c r="B96" s="8" t="s">
        <v>571</v>
      </c>
      <c r="C96" s="8" t="s">
        <v>571</v>
      </c>
      <c r="D96" s="13">
        <v>-755.9</v>
      </c>
      <c r="E96" s="13">
        <v>-887.3</v>
      </c>
      <c r="F96" s="13">
        <v>131.80000000000001</v>
      </c>
      <c r="G96" s="9">
        <f t="shared" si="8"/>
        <v>0.44093959731543614</v>
      </c>
      <c r="H96" s="8">
        <v>0</v>
      </c>
      <c r="I96" s="8">
        <v>1</v>
      </c>
      <c r="J96" s="8">
        <v>4</v>
      </c>
      <c r="K96" s="8">
        <v>0</v>
      </c>
      <c r="L96" s="8">
        <v>0</v>
      </c>
      <c r="M96" s="8">
        <v>1</v>
      </c>
      <c r="N96" s="8">
        <v>0</v>
      </c>
      <c r="O96" s="8">
        <v>0</v>
      </c>
      <c r="P96" s="8">
        <v>0</v>
      </c>
      <c r="Q96" s="8">
        <v>0</v>
      </c>
      <c r="R96" s="8">
        <v>0</v>
      </c>
      <c r="S96" s="8">
        <v>0</v>
      </c>
      <c r="T96" s="8">
        <v>0</v>
      </c>
      <c r="U96" s="8">
        <v>-1</v>
      </c>
      <c r="V96" s="54">
        <f>SUMPRODUCT(H96:U96,$H$112:$U$112)</f>
        <v>97</v>
      </c>
      <c r="W96" s="54">
        <f t="shared" si="9"/>
        <v>0</v>
      </c>
      <c r="X96" s="55">
        <f t="shared" si="10"/>
        <v>0</v>
      </c>
    </row>
    <row r="97" spans="1:24" ht="15.6">
      <c r="A97" s="113" t="s">
        <v>572</v>
      </c>
      <c r="B97" s="8" t="s">
        <v>573</v>
      </c>
      <c r="C97" s="8" t="s">
        <v>573</v>
      </c>
      <c r="D97" s="8">
        <v>-690</v>
      </c>
      <c r="E97" s="13">
        <v>-814</v>
      </c>
      <c r="F97" s="13">
        <v>156</v>
      </c>
      <c r="G97" s="9">
        <f t="shared" si="8"/>
        <v>0.41610738255033558</v>
      </c>
      <c r="H97" s="8">
        <v>0</v>
      </c>
      <c r="I97" s="8">
        <v>2</v>
      </c>
      <c r="J97" s="8">
        <v>4</v>
      </c>
      <c r="K97" s="8">
        <v>0</v>
      </c>
      <c r="L97" s="8">
        <v>0</v>
      </c>
      <c r="M97" s="8">
        <v>1</v>
      </c>
      <c r="N97" s="8">
        <v>0</v>
      </c>
      <c r="O97" s="8">
        <v>0</v>
      </c>
      <c r="P97" s="8">
        <v>0</v>
      </c>
      <c r="Q97" s="8">
        <v>0</v>
      </c>
      <c r="R97" s="8">
        <v>0</v>
      </c>
      <c r="S97" s="8">
        <v>0</v>
      </c>
      <c r="T97" s="8">
        <v>0</v>
      </c>
      <c r="U97" s="8">
        <v>0</v>
      </c>
      <c r="V97" s="54">
        <f>SUMPRODUCT(H97:U97,$H$112:$U$112)</f>
        <v>98</v>
      </c>
      <c r="W97" s="54">
        <f t="shared" si="9"/>
        <v>0</v>
      </c>
      <c r="X97" s="55">
        <f t="shared" si="10"/>
        <v>0</v>
      </c>
    </row>
    <row r="98" spans="1:24">
      <c r="A98" s="131" t="s">
        <v>301</v>
      </c>
      <c r="B98" s="132" t="s">
        <v>302</v>
      </c>
      <c r="C98" s="132" t="s">
        <v>302</v>
      </c>
      <c r="D98" s="133">
        <f>-131.2</f>
        <v>-131.19999999999999</v>
      </c>
      <c r="E98" s="132">
        <v>-166.7</v>
      </c>
      <c r="F98" s="132">
        <v>55.1</v>
      </c>
      <c r="G98" s="9">
        <f t="shared" si="8"/>
        <v>0.11912751677852348</v>
      </c>
      <c r="H98" s="132">
        <v>0</v>
      </c>
      <c r="I98" s="132">
        <v>1</v>
      </c>
      <c r="J98" s="132">
        <v>0</v>
      </c>
      <c r="K98" s="132">
        <v>0</v>
      </c>
      <c r="L98" s="132">
        <v>0</v>
      </c>
      <c r="M98" s="132">
        <v>0</v>
      </c>
      <c r="N98" s="132">
        <v>1</v>
      </c>
      <c r="O98" s="132">
        <v>0</v>
      </c>
      <c r="P98" s="132">
        <v>0</v>
      </c>
      <c r="Q98" s="132">
        <v>0</v>
      </c>
      <c r="R98" s="132">
        <v>0</v>
      </c>
      <c r="S98" s="132">
        <v>0</v>
      </c>
      <c r="T98" s="132">
        <v>0</v>
      </c>
      <c r="U98" s="132">
        <v>0</v>
      </c>
      <c r="V98" s="54">
        <f t="shared" si="11"/>
        <v>36.5</v>
      </c>
      <c r="W98" s="54">
        <f t="shared" si="9"/>
        <v>0</v>
      </c>
      <c r="X98" s="55">
        <f t="shared" si="10"/>
        <v>0</v>
      </c>
    </row>
    <row r="99" spans="1:24" ht="15.6">
      <c r="A99" s="131" t="s">
        <v>303</v>
      </c>
      <c r="B99" s="132" t="s">
        <v>304</v>
      </c>
      <c r="C99" s="132" t="s">
        <v>305</v>
      </c>
      <c r="D99" s="133">
        <f>-131.2</f>
        <v>-131.19999999999999</v>
      </c>
      <c r="E99" s="132">
        <v>-167.1</v>
      </c>
      <c r="F99" s="132">
        <v>56.7</v>
      </c>
      <c r="G99" s="9">
        <f t="shared" ref="G99:G111" si="12">+(D99-E99)/298</f>
        <v>0.12046979865771815</v>
      </c>
      <c r="H99" s="132">
        <v>0</v>
      </c>
      <c r="I99" s="132">
        <v>0</v>
      </c>
      <c r="J99" s="132">
        <v>0</v>
      </c>
      <c r="K99" s="132">
        <v>0</v>
      </c>
      <c r="L99" s="132">
        <v>0</v>
      </c>
      <c r="M99" s="132">
        <v>0</v>
      </c>
      <c r="N99" s="132">
        <v>1</v>
      </c>
      <c r="O99" s="132">
        <v>0</v>
      </c>
      <c r="P99" s="132">
        <v>0</v>
      </c>
      <c r="Q99" s="132">
        <v>0</v>
      </c>
      <c r="R99" s="132">
        <v>0</v>
      </c>
      <c r="S99" s="132">
        <v>0</v>
      </c>
      <c r="T99" s="132">
        <v>0</v>
      </c>
      <c r="U99" s="132">
        <v>-1</v>
      </c>
      <c r="V99" s="54">
        <f t="shared" si="11"/>
        <v>35.5</v>
      </c>
      <c r="W99" s="54">
        <f t="shared" ref="W99:W112" si="13">SUMPRODUCT($H99:$U99,$H$113:$U$113)</f>
        <v>0</v>
      </c>
      <c r="X99" s="55">
        <f t="shared" ref="X99:X112" si="14">(IF(H99&lt;&gt;0,SUMPRODUCT($H99:$U99,$H$113:$U$113)/$H99,SUMPRODUCT($H99:$U99,$H$113:$U$113)))</f>
        <v>0</v>
      </c>
    </row>
    <row r="100" spans="1:24" ht="15.6">
      <c r="A100" s="131" t="s">
        <v>315</v>
      </c>
      <c r="B100" s="132" t="s">
        <v>316</v>
      </c>
      <c r="C100" s="132" t="s">
        <v>317</v>
      </c>
      <c r="D100" s="133">
        <v>-36.799999999999997</v>
      </c>
      <c r="E100" s="136">
        <v>-167.2</v>
      </c>
      <c r="F100" s="136">
        <v>56.5</v>
      </c>
      <c r="G100" s="9">
        <f t="shared" si="12"/>
        <v>0.43758389261744957</v>
      </c>
      <c r="H100" s="132">
        <v>0</v>
      </c>
      <c r="I100" s="132">
        <v>0</v>
      </c>
      <c r="J100" s="132">
        <v>1</v>
      </c>
      <c r="K100" s="132">
        <v>0</v>
      </c>
      <c r="L100" s="132">
        <v>0</v>
      </c>
      <c r="M100" s="132">
        <v>0</v>
      </c>
      <c r="N100" s="132">
        <v>1</v>
      </c>
      <c r="O100" s="132">
        <v>0</v>
      </c>
      <c r="P100" s="132">
        <v>0</v>
      </c>
      <c r="Q100" s="132">
        <v>0</v>
      </c>
      <c r="R100" s="132">
        <v>0</v>
      </c>
      <c r="S100" s="132">
        <v>0</v>
      </c>
      <c r="T100" s="132">
        <v>0</v>
      </c>
      <c r="U100" s="132">
        <v>-1</v>
      </c>
      <c r="V100" s="54">
        <f t="shared" si="11"/>
        <v>51.5</v>
      </c>
      <c r="W100" s="54">
        <f t="shared" si="13"/>
        <v>-2</v>
      </c>
      <c r="X100" s="55">
        <f t="shared" si="14"/>
        <v>-2</v>
      </c>
    </row>
    <row r="101" spans="1:24" ht="15.6">
      <c r="A101" s="131" t="s">
        <v>306</v>
      </c>
      <c r="B101" s="132" t="s">
        <v>307</v>
      </c>
      <c r="C101" s="132" t="s">
        <v>308</v>
      </c>
      <c r="D101" s="134">
        <v>17.2</v>
      </c>
      <c r="E101" s="136">
        <v>-66.5</v>
      </c>
      <c r="F101" s="136">
        <v>101.3</v>
      </c>
      <c r="G101" s="9">
        <f t="shared" si="12"/>
        <v>0.28087248322147651</v>
      </c>
      <c r="H101" s="132">
        <v>0</v>
      </c>
      <c r="I101" s="132">
        <v>0</v>
      </c>
      <c r="J101" s="132">
        <v>2</v>
      </c>
      <c r="K101" s="132">
        <v>0</v>
      </c>
      <c r="L101" s="132">
        <v>0</v>
      </c>
      <c r="M101" s="132">
        <v>0</v>
      </c>
      <c r="N101" s="132">
        <v>1</v>
      </c>
      <c r="O101" s="132">
        <v>0</v>
      </c>
      <c r="P101" s="132">
        <v>0</v>
      </c>
      <c r="Q101" s="132">
        <v>0</v>
      </c>
      <c r="R101" s="132">
        <v>0</v>
      </c>
      <c r="S101" s="132">
        <v>0</v>
      </c>
      <c r="T101" s="132">
        <v>0</v>
      </c>
      <c r="U101" s="132">
        <v>-1</v>
      </c>
      <c r="V101" s="54">
        <f t="shared" si="11"/>
        <v>67.5</v>
      </c>
      <c r="W101" s="54">
        <f t="shared" si="13"/>
        <v>-4</v>
      </c>
      <c r="X101" s="55">
        <f t="shared" si="14"/>
        <v>-4</v>
      </c>
    </row>
    <row r="102" spans="1:24" ht="15.6">
      <c r="A102" s="131" t="s">
        <v>309</v>
      </c>
      <c r="B102" s="132" t="s">
        <v>310</v>
      </c>
      <c r="C102" s="132" t="s">
        <v>311</v>
      </c>
      <c r="D102" s="134">
        <v>3.35</v>
      </c>
      <c r="E102" s="136">
        <v>-104</v>
      </c>
      <c r="F102" s="136">
        <v>162.30000000000001</v>
      </c>
      <c r="G102" s="9">
        <f t="shared" si="12"/>
        <v>0.36023489932885905</v>
      </c>
      <c r="H102" s="132">
        <v>0</v>
      </c>
      <c r="I102" s="132">
        <v>0</v>
      </c>
      <c r="J102" s="132">
        <v>3</v>
      </c>
      <c r="K102" s="132">
        <v>0</v>
      </c>
      <c r="L102" s="132">
        <v>0</v>
      </c>
      <c r="M102" s="132">
        <v>0</v>
      </c>
      <c r="N102" s="132">
        <v>1</v>
      </c>
      <c r="O102" s="132">
        <v>0</v>
      </c>
      <c r="P102" s="132">
        <v>0</v>
      </c>
      <c r="Q102" s="132">
        <v>0</v>
      </c>
      <c r="R102" s="132">
        <v>0</v>
      </c>
      <c r="S102" s="132">
        <v>0</v>
      </c>
      <c r="T102" s="132">
        <v>0</v>
      </c>
      <c r="U102" s="132">
        <v>-1</v>
      </c>
      <c r="V102" s="54">
        <f t="shared" si="11"/>
        <v>83.5</v>
      </c>
      <c r="W102" s="54">
        <f t="shared" si="13"/>
        <v>-6</v>
      </c>
      <c r="X102" s="55">
        <f t="shared" si="14"/>
        <v>-6</v>
      </c>
    </row>
    <row r="103" spans="1:24" ht="15.6">
      <c r="A103" s="131" t="s">
        <v>312</v>
      </c>
      <c r="B103" s="132" t="s">
        <v>313</v>
      </c>
      <c r="C103" s="132" t="s">
        <v>314</v>
      </c>
      <c r="D103" s="136">
        <v>-8.5</v>
      </c>
      <c r="E103" s="136">
        <v>-129.30000000000001</v>
      </c>
      <c r="F103" s="136" t="s">
        <v>189</v>
      </c>
      <c r="G103" s="9">
        <f t="shared" si="12"/>
        <v>0.40536912751677856</v>
      </c>
      <c r="H103" s="132">
        <v>0</v>
      </c>
      <c r="I103" s="132">
        <v>0</v>
      </c>
      <c r="J103" s="132">
        <v>4</v>
      </c>
      <c r="K103" s="132">
        <v>0</v>
      </c>
      <c r="L103" s="132">
        <v>0</v>
      </c>
      <c r="M103" s="132">
        <v>0</v>
      </c>
      <c r="N103" s="132">
        <v>1</v>
      </c>
      <c r="O103" s="132">
        <v>0</v>
      </c>
      <c r="P103" s="132">
        <v>0</v>
      </c>
      <c r="Q103" s="132">
        <v>0</v>
      </c>
      <c r="R103" s="132">
        <v>0</v>
      </c>
      <c r="S103" s="132">
        <v>0</v>
      </c>
      <c r="T103" s="132">
        <v>0</v>
      </c>
      <c r="U103" s="132">
        <v>-1</v>
      </c>
      <c r="V103" s="54">
        <f t="shared" ref="V103:V112" si="15">SUMPRODUCT(H103:U103,$H$112:$U$112)</f>
        <v>99.5</v>
      </c>
      <c r="W103" s="54">
        <f t="shared" si="13"/>
        <v>-8</v>
      </c>
      <c r="X103" s="55">
        <f t="shared" si="14"/>
        <v>-8</v>
      </c>
    </row>
    <row r="104" spans="1:24">
      <c r="A104" s="52" t="s">
        <v>220</v>
      </c>
      <c r="B104" s="8" t="s">
        <v>222</v>
      </c>
      <c r="C104" s="8" t="s">
        <v>222</v>
      </c>
      <c r="D104" s="68">
        <v>0</v>
      </c>
      <c r="E104" s="8" t="s">
        <v>189</v>
      </c>
      <c r="F104" s="8" t="s">
        <v>189</v>
      </c>
      <c r="G104" s="9" t="e">
        <f t="shared" si="12"/>
        <v>#VALUE!</v>
      </c>
      <c r="H104" s="8">
        <v>0</v>
      </c>
      <c r="I104" s="8">
        <v>0</v>
      </c>
      <c r="J104" s="8">
        <v>0</v>
      </c>
      <c r="K104" s="8">
        <v>0</v>
      </c>
      <c r="L104" s="8">
        <v>0</v>
      </c>
      <c r="M104" s="8">
        <v>0</v>
      </c>
      <c r="N104" s="8">
        <v>0</v>
      </c>
      <c r="O104" s="8">
        <v>0</v>
      </c>
      <c r="P104" s="8">
        <v>0</v>
      </c>
      <c r="Q104" s="8">
        <v>1</v>
      </c>
      <c r="R104" s="8">
        <v>0</v>
      </c>
      <c r="S104" s="8">
        <v>0</v>
      </c>
      <c r="T104" s="8">
        <v>0</v>
      </c>
      <c r="U104" s="8">
        <v>0</v>
      </c>
      <c r="V104" s="54">
        <f t="shared" si="15"/>
        <v>0</v>
      </c>
      <c r="W104" s="54">
        <f t="shared" si="13"/>
        <v>0</v>
      </c>
      <c r="X104" s="55">
        <f t="shared" si="14"/>
        <v>0</v>
      </c>
    </row>
    <row r="105" spans="1:24">
      <c r="A105" s="52" t="s">
        <v>221</v>
      </c>
      <c r="B105" s="8" t="s">
        <v>223</v>
      </c>
      <c r="C105" s="8" t="s">
        <v>223</v>
      </c>
      <c r="D105" s="68">
        <v>-60.57048495627221</v>
      </c>
      <c r="E105" s="8" t="s">
        <v>189</v>
      </c>
      <c r="F105" s="8" t="s">
        <v>189</v>
      </c>
      <c r="G105" s="9" t="e">
        <f t="shared" si="12"/>
        <v>#VALUE!</v>
      </c>
      <c r="H105" s="8">
        <v>0</v>
      </c>
      <c r="I105" s="8">
        <v>2</v>
      </c>
      <c r="J105" s="8">
        <v>0</v>
      </c>
      <c r="K105" s="8">
        <v>0</v>
      </c>
      <c r="L105" s="8">
        <v>0</v>
      </c>
      <c r="M105" s="8">
        <v>0</v>
      </c>
      <c r="N105" s="8">
        <v>0</v>
      </c>
      <c r="O105" s="8">
        <v>0</v>
      </c>
      <c r="P105" s="8">
        <v>0</v>
      </c>
      <c r="Q105" s="8">
        <v>1</v>
      </c>
      <c r="R105" s="8">
        <v>0</v>
      </c>
      <c r="S105" s="8">
        <v>0</v>
      </c>
      <c r="T105" s="8">
        <v>0</v>
      </c>
      <c r="U105" s="8">
        <v>0</v>
      </c>
      <c r="V105" s="54">
        <f t="shared" si="15"/>
        <v>2</v>
      </c>
      <c r="W105" s="54">
        <f t="shared" si="13"/>
        <v>2</v>
      </c>
      <c r="X105" s="55">
        <f t="shared" si="14"/>
        <v>2</v>
      </c>
    </row>
    <row r="106" spans="1:24">
      <c r="A106" s="52" t="s">
        <v>399</v>
      </c>
      <c r="B106" s="8" t="s">
        <v>400</v>
      </c>
      <c r="C106" s="8" t="s">
        <v>400</v>
      </c>
      <c r="D106" s="67">
        <v>0</v>
      </c>
      <c r="E106" s="13">
        <v>0</v>
      </c>
      <c r="F106" s="8" t="s">
        <v>189</v>
      </c>
      <c r="G106" s="9">
        <f t="shared" si="12"/>
        <v>0</v>
      </c>
      <c r="H106" s="8">
        <v>0</v>
      </c>
      <c r="I106" s="8">
        <v>0</v>
      </c>
      <c r="J106" s="8">
        <v>0</v>
      </c>
      <c r="K106" s="8">
        <v>0</v>
      </c>
      <c r="L106" s="8">
        <v>0</v>
      </c>
      <c r="M106" s="8">
        <v>0</v>
      </c>
      <c r="N106" s="8">
        <v>0</v>
      </c>
      <c r="O106" s="8">
        <v>1</v>
      </c>
      <c r="P106" s="8">
        <v>0</v>
      </c>
      <c r="Q106" s="8">
        <v>0</v>
      </c>
      <c r="R106" s="8">
        <v>0</v>
      </c>
      <c r="S106" s="8">
        <v>0</v>
      </c>
      <c r="T106" s="8">
        <v>0</v>
      </c>
      <c r="U106" s="8">
        <v>0</v>
      </c>
      <c r="V106" s="54">
        <f t="shared" si="15"/>
        <v>56</v>
      </c>
      <c r="W106" s="54">
        <f t="shared" si="13"/>
        <v>3</v>
      </c>
      <c r="X106" s="55">
        <f t="shared" si="14"/>
        <v>3</v>
      </c>
    </row>
    <row r="107" spans="1:24">
      <c r="A107" s="52" t="s">
        <v>327</v>
      </c>
      <c r="B107" s="8" t="s">
        <v>329</v>
      </c>
      <c r="C107" s="8" t="s">
        <v>329</v>
      </c>
      <c r="D107" s="8">
        <v>-78.900000000000006</v>
      </c>
      <c r="E107" s="8">
        <v>-89.1</v>
      </c>
      <c r="F107" s="8" t="s">
        <v>189</v>
      </c>
      <c r="G107" s="9">
        <f t="shared" si="12"/>
        <v>3.4228187919463048E-2</v>
      </c>
      <c r="H107" s="8">
        <v>0</v>
      </c>
      <c r="I107" s="8">
        <v>0</v>
      </c>
      <c r="J107" s="8">
        <v>0</v>
      </c>
      <c r="K107" s="8">
        <v>0</v>
      </c>
      <c r="L107" s="8">
        <v>0</v>
      </c>
      <c r="M107" s="8">
        <v>0</v>
      </c>
      <c r="N107" s="8">
        <v>0</v>
      </c>
      <c r="O107" s="8">
        <v>1</v>
      </c>
      <c r="P107" s="8">
        <v>0</v>
      </c>
      <c r="Q107" s="8">
        <v>0</v>
      </c>
      <c r="R107" s="8">
        <v>0</v>
      </c>
      <c r="S107" s="8">
        <v>0</v>
      </c>
      <c r="T107" s="8">
        <v>0</v>
      </c>
      <c r="U107" s="8">
        <v>2</v>
      </c>
      <c r="V107" s="54">
        <f t="shared" si="15"/>
        <v>56</v>
      </c>
      <c r="W107" s="54">
        <f t="shared" si="13"/>
        <v>1</v>
      </c>
      <c r="X107" s="55">
        <f t="shared" si="14"/>
        <v>1</v>
      </c>
    </row>
    <row r="108" spans="1:24">
      <c r="A108" s="52" t="s">
        <v>328</v>
      </c>
      <c r="B108" s="8" t="s">
        <v>330</v>
      </c>
      <c r="C108" s="8" t="s">
        <v>330</v>
      </c>
      <c r="D108" s="8">
        <v>-4.5999999999999996</v>
      </c>
      <c r="E108" s="8">
        <v>-48.5</v>
      </c>
      <c r="F108" s="8" t="s">
        <v>189</v>
      </c>
      <c r="G108" s="9">
        <f t="shared" si="12"/>
        <v>0.14731543624161073</v>
      </c>
      <c r="H108" s="8">
        <v>0</v>
      </c>
      <c r="I108" s="8">
        <v>0</v>
      </c>
      <c r="J108" s="8">
        <v>0</v>
      </c>
      <c r="K108" s="8">
        <v>0</v>
      </c>
      <c r="L108" s="8">
        <v>0</v>
      </c>
      <c r="M108" s="8">
        <v>0</v>
      </c>
      <c r="N108" s="8">
        <v>0</v>
      </c>
      <c r="O108" s="8">
        <v>1</v>
      </c>
      <c r="P108" s="8">
        <v>0</v>
      </c>
      <c r="Q108" s="8">
        <v>0</v>
      </c>
      <c r="R108" s="8">
        <v>0</v>
      </c>
      <c r="S108" s="8">
        <v>0</v>
      </c>
      <c r="T108" s="8">
        <v>0</v>
      </c>
      <c r="U108" s="8">
        <v>3</v>
      </c>
      <c r="V108" s="54">
        <f t="shared" si="15"/>
        <v>56</v>
      </c>
      <c r="W108" s="54">
        <f t="shared" si="13"/>
        <v>0</v>
      </c>
      <c r="X108" s="55">
        <f t="shared" si="14"/>
        <v>0</v>
      </c>
    </row>
    <row r="109" spans="1:24" ht="15.6">
      <c r="A109" s="52" t="s">
        <v>772</v>
      </c>
      <c r="B109" s="8" t="s">
        <v>771</v>
      </c>
      <c r="C109" s="8" t="s">
        <v>771</v>
      </c>
      <c r="D109" s="8">
        <v>-696.6</v>
      </c>
      <c r="E109" s="8">
        <v>-823</v>
      </c>
      <c r="F109" s="8">
        <v>106.7</v>
      </c>
      <c r="G109" s="9">
        <f t="shared" si="12"/>
        <v>0.42416107382550328</v>
      </c>
      <c r="H109" s="8">
        <v>0</v>
      </c>
      <c r="I109" s="8">
        <v>1</v>
      </c>
      <c r="J109" s="8">
        <v>2</v>
      </c>
      <c r="K109" s="8">
        <v>0</v>
      </c>
      <c r="L109" s="8">
        <v>0</v>
      </c>
      <c r="M109" s="8">
        <v>0</v>
      </c>
      <c r="N109" s="8">
        <v>0</v>
      </c>
      <c r="O109" s="8">
        <v>1</v>
      </c>
      <c r="P109" s="8">
        <v>0</v>
      </c>
      <c r="Q109" s="8">
        <v>0</v>
      </c>
      <c r="R109" s="8">
        <v>0</v>
      </c>
      <c r="S109" s="8">
        <v>0</v>
      </c>
      <c r="T109" s="8">
        <v>0</v>
      </c>
      <c r="U109" s="8">
        <v>0</v>
      </c>
      <c r="V109" s="54">
        <f t="shared" si="15"/>
        <v>89</v>
      </c>
      <c r="W109" s="54">
        <f t="shared" si="13"/>
        <v>0</v>
      </c>
      <c r="X109" s="55">
        <f t="shared" si="14"/>
        <v>0</v>
      </c>
    </row>
    <row r="110" spans="1:24">
      <c r="A110" s="52" t="s">
        <v>773</v>
      </c>
      <c r="B110" s="8" t="s">
        <v>774</v>
      </c>
      <c r="C110" s="8" t="s">
        <v>774</v>
      </c>
      <c r="D110" s="8">
        <v>-100.4</v>
      </c>
      <c r="E110" s="8">
        <v>-100</v>
      </c>
      <c r="F110" s="8">
        <v>60.3</v>
      </c>
      <c r="G110" s="9">
        <f t="shared" si="12"/>
        <v>-1.3422818791946499E-3</v>
      </c>
      <c r="H110" s="8">
        <v>0</v>
      </c>
      <c r="I110" s="8">
        <v>0</v>
      </c>
      <c r="J110" s="8">
        <v>0</v>
      </c>
      <c r="K110" s="8">
        <v>0</v>
      </c>
      <c r="L110" s="8">
        <v>0</v>
      </c>
      <c r="M110" s="8">
        <v>1</v>
      </c>
      <c r="N110" s="8">
        <v>0</v>
      </c>
      <c r="O110" s="8">
        <v>1</v>
      </c>
      <c r="P110" s="8">
        <v>0</v>
      </c>
      <c r="Q110" s="8">
        <v>0</v>
      </c>
      <c r="R110" s="8">
        <v>0</v>
      </c>
      <c r="S110" s="8">
        <v>0</v>
      </c>
      <c r="T110" s="8">
        <v>0</v>
      </c>
      <c r="U110" s="8">
        <v>0</v>
      </c>
      <c r="V110" s="54">
        <f t="shared" si="15"/>
        <v>88</v>
      </c>
      <c r="W110" s="54">
        <f t="shared" si="13"/>
        <v>9</v>
      </c>
      <c r="X110" s="55">
        <f t="shared" si="14"/>
        <v>9</v>
      </c>
    </row>
    <row r="111" spans="1:24" ht="16.2" thickBot="1">
      <c r="A111" s="70" t="s">
        <v>118</v>
      </c>
      <c r="B111" s="10" t="s">
        <v>119</v>
      </c>
      <c r="C111" s="10" t="s">
        <v>187</v>
      </c>
      <c r="D111" s="135">
        <v>-237.18</v>
      </c>
      <c r="E111" s="135">
        <v>-285.8</v>
      </c>
      <c r="F111" s="69">
        <v>69.900000000000006</v>
      </c>
      <c r="G111" s="9">
        <f t="shared" si="12"/>
        <v>0.1631543624161074</v>
      </c>
      <c r="H111" s="10">
        <v>0</v>
      </c>
      <c r="I111" s="10">
        <v>2</v>
      </c>
      <c r="J111" s="10">
        <v>1</v>
      </c>
      <c r="K111" s="10">
        <v>0</v>
      </c>
      <c r="L111" s="10">
        <v>0</v>
      </c>
      <c r="M111" s="10">
        <v>0</v>
      </c>
      <c r="N111" s="10">
        <v>0</v>
      </c>
      <c r="O111" s="10">
        <v>0</v>
      </c>
      <c r="P111" s="10">
        <v>0</v>
      </c>
      <c r="Q111" s="10">
        <v>0</v>
      </c>
      <c r="R111" s="10">
        <v>0</v>
      </c>
      <c r="S111" s="10">
        <v>0</v>
      </c>
      <c r="T111" s="10">
        <v>0</v>
      </c>
      <c r="U111" s="10">
        <v>0</v>
      </c>
      <c r="V111" s="71">
        <f t="shared" si="15"/>
        <v>18</v>
      </c>
      <c r="W111" s="71">
        <f t="shared" si="13"/>
        <v>0</v>
      </c>
      <c r="X111" s="72">
        <f t="shared" si="14"/>
        <v>0</v>
      </c>
    </row>
    <row r="112" spans="1:24" ht="13.8" thickTop="1">
      <c r="C112" s="40"/>
      <c r="F112" s="30" t="s">
        <v>191</v>
      </c>
      <c r="H112" s="31">
        <v>12</v>
      </c>
      <c r="I112" s="32">
        <v>1</v>
      </c>
      <c r="J112" s="32">
        <v>16</v>
      </c>
      <c r="K112" s="32">
        <v>14</v>
      </c>
      <c r="L112" s="33">
        <v>31</v>
      </c>
      <c r="M112" s="33">
        <v>32</v>
      </c>
      <c r="N112" s="33">
        <v>35.5</v>
      </c>
      <c r="O112" s="33">
        <v>56</v>
      </c>
      <c r="P112" s="33">
        <v>0</v>
      </c>
      <c r="Q112" s="33">
        <v>0</v>
      </c>
      <c r="R112" s="33">
        <v>0</v>
      </c>
      <c r="S112" s="33">
        <v>0</v>
      </c>
      <c r="T112" s="33">
        <v>0</v>
      </c>
      <c r="U112" s="34">
        <v>0</v>
      </c>
      <c r="V112" s="15">
        <f t="shared" si="15"/>
        <v>6978.25</v>
      </c>
      <c r="W112" s="15">
        <f t="shared" si="13"/>
        <v>454.5</v>
      </c>
      <c r="X112" s="73">
        <f t="shared" si="14"/>
        <v>37.875</v>
      </c>
    </row>
    <row r="113" spans="1:24" ht="13.8" thickBot="1">
      <c r="C113" s="40"/>
      <c r="F113" s="35" t="s">
        <v>128</v>
      </c>
      <c r="H113" s="36">
        <v>4</v>
      </c>
      <c r="I113" s="37">
        <v>1</v>
      </c>
      <c r="J113" s="37">
        <v>-2</v>
      </c>
      <c r="K113" s="37">
        <v>-3</v>
      </c>
      <c r="L113" s="38">
        <v>5</v>
      </c>
      <c r="M113" s="38">
        <v>6</v>
      </c>
      <c r="N113" s="38">
        <v>-1</v>
      </c>
      <c r="O113" s="38">
        <v>3</v>
      </c>
      <c r="P113" s="38">
        <v>0</v>
      </c>
      <c r="Q113" s="38">
        <v>0</v>
      </c>
      <c r="R113" s="38">
        <v>-2</v>
      </c>
      <c r="S113" s="38">
        <v>0</v>
      </c>
      <c r="T113" s="38">
        <v>0</v>
      </c>
      <c r="U113" s="39">
        <v>-1</v>
      </c>
    </row>
    <row r="114" spans="1:24" ht="13.8" thickTop="1">
      <c r="C114" s="40"/>
      <c r="F114" s="74"/>
      <c r="H114" s="75"/>
      <c r="I114" s="75"/>
      <c r="J114" s="75"/>
      <c r="K114" s="75"/>
      <c r="L114" s="28"/>
      <c r="M114" s="28"/>
      <c r="N114" s="28"/>
      <c r="O114" s="28"/>
      <c r="P114" s="28"/>
      <c r="Q114" s="28"/>
      <c r="R114" s="28"/>
      <c r="S114" s="28"/>
      <c r="T114" s="28"/>
      <c r="U114" s="75"/>
    </row>
    <row r="115" spans="1:24">
      <c r="E115" s="76"/>
      <c r="G115" s="76"/>
      <c r="W115" s="73"/>
      <c r="X115" s="14"/>
    </row>
    <row r="116" spans="1:24">
      <c r="A116" s="77" t="s">
        <v>129</v>
      </c>
      <c r="B116" s="3">
        <v>-123.45</v>
      </c>
      <c r="E116" s="76"/>
      <c r="G116" s="76"/>
      <c r="W116" s="73"/>
      <c r="X116" s="14"/>
    </row>
    <row r="117" spans="1:24">
      <c r="A117" s="77" t="s">
        <v>130</v>
      </c>
      <c r="B117" s="78">
        <v>-123.45</v>
      </c>
      <c r="E117" s="40"/>
      <c r="G117" s="40"/>
      <c r="W117" s="73"/>
      <c r="X117" s="14"/>
    </row>
    <row r="118" spans="1:24">
      <c r="A118" s="77" t="s">
        <v>132</v>
      </c>
      <c r="B118" s="79">
        <v>-123.45</v>
      </c>
      <c r="E118" s="40"/>
      <c r="G118" s="40"/>
      <c r="W118" s="73"/>
      <c r="X118" s="14"/>
    </row>
    <row r="119" spans="1:24">
      <c r="A119" s="77" t="s">
        <v>134</v>
      </c>
      <c r="B119" s="80">
        <v>-123.45</v>
      </c>
      <c r="E119" s="40"/>
      <c r="G119" s="40"/>
      <c r="W119" s="73"/>
      <c r="X119" s="14"/>
    </row>
    <row r="120" spans="1:24">
      <c r="A120" s="77" t="s">
        <v>136</v>
      </c>
      <c r="B120" s="81">
        <v>-123.45</v>
      </c>
      <c r="E120" s="40"/>
      <c r="G120" s="40"/>
      <c r="W120" s="73"/>
      <c r="X120" s="14"/>
    </row>
    <row r="121" spans="1:24">
      <c r="A121" s="77" t="s">
        <v>138</v>
      </c>
      <c r="B121" s="82">
        <v>-123.45</v>
      </c>
      <c r="E121" s="40"/>
      <c r="G121" s="40"/>
      <c r="W121" s="73"/>
      <c r="X121" s="14"/>
    </row>
    <row r="122" spans="1:24">
      <c r="A122" s="129" t="s">
        <v>273</v>
      </c>
      <c r="B122" s="130">
        <v>-123.45</v>
      </c>
      <c r="E122" s="40"/>
      <c r="G122" s="40"/>
      <c r="W122" s="73"/>
      <c r="X122" s="14"/>
    </row>
    <row r="123" spans="1:24">
      <c r="A123" s="83"/>
      <c r="E123" s="40"/>
      <c r="G123" s="40"/>
      <c r="W123" s="73"/>
      <c r="X123" s="14"/>
    </row>
    <row r="124" spans="1:24">
      <c r="E124" s="40"/>
      <c r="G124" s="40"/>
      <c r="W124" s="73"/>
      <c r="X124" s="14"/>
    </row>
    <row r="125" spans="1:24">
      <c r="E125" s="40"/>
      <c r="G125" s="40"/>
      <c r="W125" s="73"/>
      <c r="X125" s="14"/>
    </row>
    <row r="126" spans="1:24">
      <c r="E126" s="84"/>
      <c r="G126" s="84"/>
      <c r="W126" s="73"/>
      <c r="X126" s="14"/>
    </row>
  </sheetData>
  <phoneticPr fontId="3" type="noConversion"/>
  <pageMargins left="0.75" right="0.75" top="1" bottom="1" header="0" footer="0"/>
  <pageSetup paperSize="9"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8"/>
  </sheetPr>
  <dimension ref="A1:F35"/>
  <sheetViews>
    <sheetView workbookViewId="0">
      <selection activeCell="C6" sqref="C6"/>
    </sheetView>
  </sheetViews>
  <sheetFormatPr defaultColWidth="11.44140625" defaultRowHeight="13.2"/>
  <cols>
    <col min="1" max="4" width="11.44140625" customWidth="1"/>
    <col min="5" max="5" width="10.44140625" customWidth="1"/>
  </cols>
  <sheetData>
    <row r="1" spans="1:6">
      <c r="B1" s="186" t="s">
        <v>206</v>
      </c>
      <c r="C1" s="186" t="s">
        <v>589</v>
      </c>
      <c r="D1" s="186" t="s">
        <v>590</v>
      </c>
      <c r="E1" s="186"/>
      <c r="F1" s="186" t="s">
        <v>588</v>
      </c>
    </row>
    <row r="2" spans="1:6">
      <c r="A2" s="197" t="s">
        <v>574</v>
      </c>
      <c r="B2" s="198">
        <v>25</v>
      </c>
      <c r="C2" s="275">
        <v>6.6999999999999996E-10</v>
      </c>
      <c r="D2" s="267">
        <f t="shared" ref="D2:D35" si="0">+$C2*3600</f>
        <v>2.4119999999999999E-6</v>
      </c>
      <c r="E2" s="267"/>
      <c r="F2" s="187">
        <v>0.15</v>
      </c>
    </row>
    <row r="3" spans="1:6">
      <c r="A3" s="197" t="s">
        <v>574</v>
      </c>
      <c r="B3" s="187">
        <f>+B2-10</f>
        <v>15</v>
      </c>
      <c r="C3" s="187">
        <f>+C2*(1-$F$2)</f>
        <v>5.6949999999999995E-10</v>
      </c>
      <c r="D3" s="267">
        <f t="shared" si="0"/>
        <v>2.0501999999999999E-6</v>
      </c>
      <c r="E3" s="267"/>
      <c r="F3" s="187"/>
    </row>
    <row r="4" spans="1:6">
      <c r="A4" s="197" t="s">
        <v>575</v>
      </c>
      <c r="B4" s="198">
        <v>25</v>
      </c>
      <c r="C4" s="275">
        <v>1.0890000000000001E-9</v>
      </c>
      <c r="D4" s="267">
        <f t="shared" si="0"/>
        <v>3.9204000000000006E-6</v>
      </c>
      <c r="E4" s="267"/>
      <c r="F4" s="187"/>
    </row>
    <row r="5" spans="1:6">
      <c r="A5" s="197" t="s">
        <v>575</v>
      </c>
      <c r="B5" s="187">
        <f>+B4-10</f>
        <v>15</v>
      </c>
      <c r="C5" s="187">
        <f>+C4*(1-$F$2)</f>
        <v>9.2565E-10</v>
      </c>
      <c r="D5" s="267">
        <f t="shared" si="0"/>
        <v>3.3323400000000001E-6</v>
      </c>
      <c r="E5" s="267"/>
      <c r="F5" s="187"/>
    </row>
    <row r="6" spans="1:6">
      <c r="A6" s="186" t="s">
        <v>576</v>
      </c>
      <c r="B6" s="198">
        <v>25</v>
      </c>
      <c r="C6" s="275">
        <v>1.49E-9</v>
      </c>
      <c r="D6" s="267">
        <f t="shared" si="0"/>
        <v>5.3639999999999998E-6</v>
      </c>
      <c r="E6" s="267"/>
      <c r="F6" s="187"/>
    </row>
    <row r="7" spans="1:6">
      <c r="A7" s="186" t="s">
        <v>576</v>
      </c>
      <c r="B7" s="198">
        <v>10</v>
      </c>
      <c r="C7" s="275">
        <v>1.14E-9</v>
      </c>
      <c r="D7" s="267">
        <f t="shared" si="0"/>
        <v>4.104E-6</v>
      </c>
      <c r="E7" s="267"/>
      <c r="F7" s="187"/>
    </row>
    <row r="8" spans="1:6">
      <c r="A8" s="186" t="s">
        <v>577</v>
      </c>
      <c r="B8" s="198">
        <v>25</v>
      </c>
      <c r="C8" s="275">
        <v>1.1849999999999999E-9</v>
      </c>
      <c r="D8" s="267">
        <f t="shared" si="0"/>
        <v>4.2659999999999995E-6</v>
      </c>
      <c r="E8" s="267"/>
      <c r="F8" s="187"/>
    </row>
    <row r="9" spans="1:6">
      <c r="A9" s="186" t="s">
        <v>577</v>
      </c>
      <c r="B9" s="187">
        <f>+B8-10</f>
        <v>15</v>
      </c>
      <c r="C9" s="187">
        <f>+C8*(1-$F$2)</f>
        <v>1.00725E-9</v>
      </c>
      <c r="D9" s="267">
        <f t="shared" si="0"/>
        <v>3.6260999999999999E-6</v>
      </c>
      <c r="E9" s="267"/>
      <c r="F9" s="187"/>
    </row>
    <row r="10" spans="1:6">
      <c r="A10" s="186" t="s">
        <v>578</v>
      </c>
      <c r="B10" s="198">
        <v>20</v>
      </c>
      <c r="C10" s="275">
        <v>4.5800000000000003E-9</v>
      </c>
      <c r="D10" s="267">
        <f t="shared" si="0"/>
        <v>1.6488000000000002E-5</v>
      </c>
      <c r="E10" s="267"/>
      <c r="F10" s="187"/>
    </row>
    <row r="11" spans="1:6">
      <c r="A11" s="186" t="s">
        <v>578</v>
      </c>
      <c r="B11" s="198">
        <v>10</v>
      </c>
      <c r="C11" s="275">
        <v>3.6199999999999999E-9</v>
      </c>
      <c r="D11" s="267">
        <f t="shared" si="0"/>
        <v>1.3032E-5</v>
      </c>
      <c r="E11" s="267"/>
      <c r="F11" s="187"/>
    </row>
    <row r="12" spans="1:6">
      <c r="A12" s="186" t="s">
        <v>745</v>
      </c>
      <c r="B12" s="198">
        <v>25</v>
      </c>
      <c r="C12" s="275">
        <v>1.9570000000000002E-9</v>
      </c>
      <c r="D12" s="267">
        <f t="shared" si="0"/>
        <v>7.0452000000000007E-6</v>
      </c>
      <c r="E12" s="267"/>
      <c r="F12" s="187"/>
    </row>
    <row r="13" spans="1:6">
      <c r="A13" s="186" t="s">
        <v>745</v>
      </c>
      <c r="B13" s="187">
        <f>+B12-10</f>
        <v>15</v>
      </c>
      <c r="C13" s="187">
        <f>+C12*(1-$F$2)</f>
        <v>1.6634500000000001E-9</v>
      </c>
      <c r="D13" s="267">
        <f t="shared" si="0"/>
        <v>5.9884200000000007E-6</v>
      </c>
      <c r="E13" s="267"/>
      <c r="F13" s="187"/>
    </row>
    <row r="14" spans="1:6">
      <c r="A14" s="186" t="s">
        <v>579</v>
      </c>
      <c r="B14" s="198">
        <v>25</v>
      </c>
      <c r="C14" s="275">
        <v>1.912E-9</v>
      </c>
      <c r="D14" s="267">
        <f t="shared" si="0"/>
        <v>6.8832000000000004E-6</v>
      </c>
      <c r="E14" s="267"/>
      <c r="F14" s="187"/>
    </row>
    <row r="15" spans="1:6">
      <c r="A15" s="186" t="s">
        <v>579</v>
      </c>
      <c r="B15" s="187">
        <f>+B14-10</f>
        <v>15</v>
      </c>
      <c r="C15" s="187">
        <f>+C14*(1-$F$2)</f>
        <v>1.6251999999999999E-9</v>
      </c>
      <c r="D15" s="267">
        <f t="shared" si="0"/>
        <v>5.8507199999999994E-6</v>
      </c>
      <c r="E15" s="267"/>
      <c r="F15" s="187"/>
    </row>
    <row r="16" spans="1:6">
      <c r="A16" s="186" t="s">
        <v>580</v>
      </c>
      <c r="B16" s="198">
        <v>25</v>
      </c>
      <c r="C16" s="275">
        <v>1.9019999999999998E-9</v>
      </c>
      <c r="D16" s="267">
        <f t="shared" si="0"/>
        <v>6.8471999999999994E-6</v>
      </c>
      <c r="E16" s="267"/>
      <c r="F16" s="187"/>
    </row>
    <row r="17" spans="1:6">
      <c r="A17" s="186" t="s">
        <v>580</v>
      </c>
      <c r="B17" s="187">
        <f>+B16-10</f>
        <v>15</v>
      </c>
      <c r="C17" s="187">
        <f>+C16*(1-$F$2)</f>
        <v>1.6166999999999998E-9</v>
      </c>
      <c r="D17" s="267">
        <f t="shared" si="0"/>
        <v>5.8201199999999993E-6</v>
      </c>
      <c r="E17" s="267"/>
      <c r="F17" s="187"/>
    </row>
    <row r="18" spans="1:6">
      <c r="A18" s="186" t="s">
        <v>581</v>
      </c>
      <c r="B18" s="198">
        <v>25</v>
      </c>
      <c r="C18" s="275">
        <v>2.0000000000000001E-9</v>
      </c>
      <c r="D18" s="267">
        <f t="shared" si="0"/>
        <v>7.2000000000000005E-6</v>
      </c>
      <c r="E18" s="267"/>
      <c r="F18" s="187"/>
    </row>
    <row r="19" spans="1:6">
      <c r="A19" s="186" t="s">
        <v>581</v>
      </c>
      <c r="B19" s="187">
        <f>+B18-10</f>
        <v>15</v>
      </c>
      <c r="C19" s="187">
        <f>+C18*(1-$F$2)</f>
        <v>1.7000000000000001E-9</v>
      </c>
      <c r="D19" s="267">
        <f t="shared" si="0"/>
        <v>6.1200000000000007E-6</v>
      </c>
      <c r="E19" s="267"/>
      <c r="F19" s="187"/>
    </row>
    <row r="20" spans="1:6">
      <c r="A20" s="186" t="s">
        <v>746</v>
      </c>
      <c r="B20" s="198">
        <v>25</v>
      </c>
      <c r="C20" s="275">
        <f>+AVERAGE(1.36,1.731)*0.000000001</f>
        <v>1.5455000000000001E-9</v>
      </c>
      <c r="D20" s="267">
        <f t="shared" si="0"/>
        <v>5.5638E-6</v>
      </c>
      <c r="E20" s="267"/>
      <c r="F20" s="187"/>
    </row>
    <row r="21" spans="1:6">
      <c r="A21" s="186" t="s">
        <v>746</v>
      </c>
      <c r="B21" s="187">
        <f>+B20-10</f>
        <v>15</v>
      </c>
      <c r="C21" s="187">
        <f>+C20*(1-$F$2)</f>
        <v>1.313675E-9</v>
      </c>
      <c r="D21" s="267">
        <f t="shared" si="0"/>
        <v>4.72923E-6</v>
      </c>
      <c r="E21" s="267"/>
      <c r="F21" s="187"/>
    </row>
    <row r="22" spans="1:6">
      <c r="A22" s="186" t="s">
        <v>582</v>
      </c>
      <c r="B22" s="198">
        <v>25</v>
      </c>
      <c r="C22" s="275">
        <v>1.0649999999999999E-9</v>
      </c>
      <c r="D22" s="267">
        <f t="shared" si="0"/>
        <v>3.8340000000000001E-6</v>
      </c>
      <c r="E22" s="267"/>
      <c r="F22" s="187"/>
    </row>
    <row r="23" spans="1:6">
      <c r="A23" s="186" t="s">
        <v>582</v>
      </c>
      <c r="B23" s="187">
        <f>+B22-10</f>
        <v>15</v>
      </c>
      <c r="C23" s="187">
        <f>+C22*(1-$F$2)</f>
        <v>9.0524999999999995E-10</v>
      </c>
      <c r="D23" s="267">
        <f t="shared" si="0"/>
        <v>3.2588999999999998E-6</v>
      </c>
      <c r="E23" s="267"/>
      <c r="F23" s="187"/>
    </row>
    <row r="24" spans="1:6">
      <c r="A24" s="186" t="s">
        <v>583</v>
      </c>
      <c r="B24" s="198">
        <v>25</v>
      </c>
      <c r="C24" s="275">
        <v>7.19E-10</v>
      </c>
      <c r="D24" s="267">
        <f t="shared" si="0"/>
        <v>2.5884000000000001E-6</v>
      </c>
      <c r="E24" s="267"/>
      <c r="F24" s="187"/>
    </row>
    <row r="25" spans="1:6">
      <c r="A25" s="186" t="s">
        <v>583</v>
      </c>
      <c r="B25" s="187">
        <f>+B24-10</f>
        <v>15</v>
      </c>
      <c r="C25" s="187">
        <f>+C24*(1-$F$2)</f>
        <v>6.1115E-10</v>
      </c>
      <c r="D25" s="267">
        <f t="shared" si="0"/>
        <v>2.2001400000000002E-6</v>
      </c>
      <c r="E25" s="267"/>
      <c r="F25" s="187"/>
    </row>
    <row r="26" spans="1:6">
      <c r="A26" s="186" t="s">
        <v>584</v>
      </c>
      <c r="B26" s="198">
        <v>25</v>
      </c>
      <c r="C26" s="275">
        <v>6.0399999999999998E-10</v>
      </c>
      <c r="D26" s="267">
        <f t="shared" si="0"/>
        <v>2.1743999999999999E-6</v>
      </c>
      <c r="E26" s="267"/>
      <c r="F26" s="187"/>
    </row>
    <row r="27" spans="1:6">
      <c r="A27" s="186" t="s">
        <v>584</v>
      </c>
      <c r="B27" s="187">
        <f>+B26-10</f>
        <v>15</v>
      </c>
      <c r="C27" s="187">
        <f>+C26*(1-$F$2)</f>
        <v>5.1340000000000001E-10</v>
      </c>
      <c r="D27" s="267">
        <f t="shared" si="0"/>
        <v>1.84824E-6</v>
      </c>
      <c r="E27" s="267"/>
      <c r="F27" s="187"/>
    </row>
    <row r="28" spans="1:6">
      <c r="A28" s="186" t="s">
        <v>585</v>
      </c>
      <c r="B28" s="198">
        <v>20</v>
      </c>
      <c r="C28" s="275">
        <v>2.0099999999999999E-9</v>
      </c>
      <c r="D28" s="267">
        <f t="shared" si="0"/>
        <v>7.2359999999999998E-6</v>
      </c>
      <c r="E28" s="267"/>
      <c r="F28" s="187"/>
    </row>
    <row r="29" spans="1:6">
      <c r="A29" s="186" t="s">
        <v>585</v>
      </c>
      <c r="B29" s="198">
        <v>15</v>
      </c>
      <c r="C29" s="275">
        <v>1.67E-9</v>
      </c>
      <c r="D29" s="267">
        <f t="shared" si="0"/>
        <v>6.0120000000000002E-6</v>
      </c>
      <c r="E29" s="267"/>
      <c r="F29" s="187"/>
    </row>
    <row r="30" spans="1:6">
      <c r="A30" s="186" t="s">
        <v>586</v>
      </c>
      <c r="B30" s="198">
        <v>25</v>
      </c>
      <c r="C30" s="275">
        <v>1.3339999999999999E-9</v>
      </c>
      <c r="D30" s="267">
        <f t="shared" si="0"/>
        <v>4.8024E-6</v>
      </c>
      <c r="E30" s="267"/>
      <c r="F30" s="187"/>
    </row>
    <row r="31" spans="1:6">
      <c r="A31" s="186" t="s">
        <v>586</v>
      </c>
      <c r="B31" s="187">
        <f>+B30-10</f>
        <v>15</v>
      </c>
      <c r="C31" s="187">
        <f>+C30*(1-$F$2)</f>
        <v>1.1339E-9</v>
      </c>
      <c r="D31" s="267">
        <f t="shared" si="0"/>
        <v>4.0820400000000003E-6</v>
      </c>
      <c r="E31" s="267"/>
      <c r="F31" s="187"/>
    </row>
    <row r="32" spans="1:6">
      <c r="A32" s="186" t="s">
        <v>587</v>
      </c>
      <c r="B32" s="198">
        <v>25</v>
      </c>
      <c r="C32" s="275">
        <v>2.032E-9</v>
      </c>
      <c r="D32" s="267">
        <f t="shared" si="0"/>
        <v>7.3151999999999999E-6</v>
      </c>
      <c r="E32" s="267"/>
      <c r="F32" s="187"/>
    </row>
    <row r="33" spans="1:6">
      <c r="A33" s="186" t="s">
        <v>587</v>
      </c>
      <c r="B33" s="187">
        <f>+B32-10</f>
        <v>15</v>
      </c>
      <c r="C33" s="187">
        <f>+C32*(1-$F$2)</f>
        <v>1.7272E-9</v>
      </c>
      <c r="D33" s="267">
        <f t="shared" si="0"/>
        <v>6.2179199999999999E-6</v>
      </c>
      <c r="E33" s="267"/>
      <c r="F33" s="187"/>
    </row>
    <row r="34" spans="1:6">
      <c r="A34" s="186" t="s">
        <v>561</v>
      </c>
      <c r="B34" s="198">
        <v>25</v>
      </c>
      <c r="C34" s="276">
        <f>1.3806504E-23*($B34+273)/(6*PI()*0.001*KinetParam!$B$129/2)</f>
        <v>4.3654484053904783E-13</v>
      </c>
      <c r="D34" s="267">
        <f t="shared" si="0"/>
        <v>1.5715614259405721E-9</v>
      </c>
      <c r="E34" s="267"/>
    </row>
    <row r="35" spans="1:6">
      <c r="A35" s="186" t="s">
        <v>561</v>
      </c>
      <c r="B35" s="198">
        <v>0</v>
      </c>
      <c r="C35" s="276">
        <f>1.3806504E-23*($B35+273)/(6*PI()*0.001*KinetParam!$B$129/2)</f>
        <v>3.9992195123208067E-13</v>
      </c>
      <c r="D35" s="267">
        <f t="shared" si="0"/>
        <v>1.4397190244354904E-9</v>
      </c>
      <c r="E35" s="267"/>
    </row>
  </sheetData>
  <phoneticPr fontId="61" type="noConversion"/>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Z48"/>
  <sheetViews>
    <sheetView workbookViewId="0">
      <selection activeCell="B50" sqref="B50"/>
    </sheetView>
  </sheetViews>
  <sheetFormatPr defaultColWidth="11.44140625" defaultRowHeight="13.2"/>
  <cols>
    <col min="1" max="1" width="7.44140625" style="188" bestFit="1" customWidth="1"/>
    <col min="2" max="2" width="12.44140625" style="194" bestFit="1" customWidth="1"/>
    <col min="3" max="3" width="7.33203125" style="190" customWidth="1"/>
    <col min="4" max="23" width="7.33203125" style="187" customWidth="1"/>
    <col min="24" max="24" width="7.88671875" style="187" bestFit="1" customWidth="1"/>
    <col min="25" max="25" width="2.33203125" style="187" bestFit="1" customWidth="1"/>
    <col min="26" max="26" width="2" style="187" bestFit="1" customWidth="1"/>
    <col min="27" max="16384" width="11.44140625" style="187"/>
  </cols>
  <sheetData>
    <row r="1" spans="1:26" ht="12.75" customHeight="1">
      <c r="A1" s="204" t="s">
        <v>372</v>
      </c>
      <c r="B1" s="370">
        <v>1E-14</v>
      </c>
      <c r="C1" s="213">
        <f t="shared" ref="C1:R1" si="0">+$B1</f>
        <v>1E-14</v>
      </c>
      <c r="D1" s="213">
        <f t="shared" si="0"/>
        <v>1E-14</v>
      </c>
      <c r="E1" s="213">
        <f t="shared" si="0"/>
        <v>1E-14</v>
      </c>
      <c r="F1" s="213">
        <f t="shared" si="0"/>
        <v>1E-14</v>
      </c>
      <c r="G1" s="213">
        <f t="shared" si="0"/>
        <v>1E-14</v>
      </c>
      <c r="H1" s="213">
        <f t="shared" si="0"/>
        <v>1E-14</v>
      </c>
      <c r="I1" s="213">
        <f t="shared" si="0"/>
        <v>1E-14</v>
      </c>
      <c r="J1" s="213">
        <f t="shared" si="0"/>
        <v>1E-14</v>
      </c>
      <c r="K1" s="213">
        <f t="shared" si="0"/>
        <v>1E-14</v>
      </c>
      <c r="L1" s="213">
        <f t="shared" si="0"/>
        <v>1E-14</v>
      </c>
      <c r="M1" s="213">
        <f t="shared" si="0"/>
        <v>1E-14</v>
      </c>
      <c r="N1" s="213">
        <f t="shared" si="0"/>
        <v>1E-14</v>
      </c>
      <c r="O1" s="213">
        <f t="shared" si="0"/>
        <v>1E-14</v>
      </c>
      <c r="P1" s="213">
        <f t="shared" si="0"/>
        <v>1E-14</v>
      </c>
      <c r="Q1" s="213">
        <f t="shared" si="0"/>
        <v>1E-14</v>
      </c>
      <c r="R1" s="213">
        <f t="shared" si="0"/>
        <v>1E-14</v>
      </c>
      <c r="S1" s="213">
        <f>+$B1</f>
        <v>1E-14</v>
      </c>
      <c r="T1" s="213">
        <f>+$B1</f>
        <v>1E-14</v>
      </c>
      <c r="U1" s="213">
        <f>+$B1</f>
        <v>1E-14</v>
      </c>
      <c r="V1" s="213">
        <f>+$B1</f>
        <v>1E-14</v>
      </c>
      <c r="W1" s="213">
        <f>+$B1</f>
        <v>1E-14</v>
      </c>
      <c r="X1" s="206" t="s">
        <v>345</v>
      </c>
      <c r="Y1" s="207" t="s">
        <v>346</v>
      </c>
      <c r="Z1" s="426" t="s">
        <v>821</v>
      </c>
    </row>
    <row r="2" spans="1:26" ht="12.75" customHeight="1">
      <c r="A2" s="204" t="s">
        <v>347</v>
      </c>
      <c r="B2" s="370">
        <v>1E-14</v>
      </c>
      <c r="C2" s="213">
        <f t="shared" ref="C2:W14" si="1">+$B2</f>
        <v>1E-14</v>
      </c>
      <c r="D2" s="213">
        <f t="shared" si="1"/>
        <v>1E-14</v>
      </c>
      <c r="E2" s="213">
        <f t="shared" si="1"/>
        <v>1E-14</v>
      </c>
      <c r="F2" s="213">
        <f t="shared" si="1"/>
        <v>1E-14</v>
      </c>
      <c r="G2" s="213">
        <f t="shared" si="1"/>
        <v>1E-14</v>
      </c>
      <c r="H2" s="213">
        <f t="shared" si="1"/>
        <v>1E-14</v>
      </c>
      <c r="I2" s="213">
        <f t="shared" si="1"/>
        <v>1E-14</v>
      </c>
      <c r="J2" s="213">
        <f t="shared" si="1"/>
        <v>1E-14</v>
      </c>
      <c r="K2" s="213">
        <f t="shared" si="1"/>
        <v>1E-14</v>
      </c>
      <c r="L2" s="213">
        <f t="shared" si="1"/>
        <v>1E-14</v>
      </c>
      <c r="M2" s="213">
        <f t="shared" si="1"/>
        <v>1E-14</v>
      </c>
      <c r="N2" s="213">
        <f t="shared" si="1"/>
        <v>1E-14</v>
      </c>
      <c r="O2" s="213">
        <f t="shared" si="1"/>
        <v>1E-14</v>
      </c>
      <c r="P2" s="213">
        <f t="shared" si="1"/>
        <v>1E-14</v>
      </c>
      <c r="Q2" s="213">
        <f t="shared" si="1"/>
        <v>1E-14</v>
      </c>
      <c r="R2" s="213">
        <f t="shared" si="1"/>
        <v>1E-14</v>
      </c>
      <c r="S2" s="213">
        <f t="shared" si="1"/>
        <v>1E-14</v>
      </c>
      <c r="T2" s="213">
        <f t="shared" si="1"/>
        <v>1E-14</v>
      </c>
      <c r="U2" s="213">
        <f t="shared" si="1"/>
        <v>1E-14</v>
      </c>
      <c r="V2" s="213">
        <f t="shared" si="1"/>
        <v>1E-14</v>
      </c>
      <c r="W2" s="213">
        <f t="shared" si="1"/>
        <v>1E-14</v>
      </c>
      <c r="X2" s="206" t="s">
        <v>345</v>
      </c>
      <c r="Y2" s="207" t="s">
        <v>346</v>
      </c>
      <c r="Z2" s="426" t="s">
        <v>821</v>
      </c>
    </row>
    <row r="3" spans="1:26" ht="12.75" customHeight="1">
      <c r="A3" s="204" t="s">
        <v>349</v>
      </c>
      <c r="B3" s="213">
        <f>OperatParam!$B$4*KinetParam!$B$119</f>
        <v>2.2590253788669879E-9</v>
      </c>
      <c r="C3" s="213">
        <f t="shared" si="1"/>
        <v>2.2590253788669879E-9</v>
      </c>
      <c r="D3" s="213">
        <f t="shared" si="1"/>
        <v>2.2590253788669879E-9</v>
      </c>
      <c r="E3" s="213">
        <f t="shared" si="1"/>
        <v>2.2590253788669879E-9</v>
      </c>
      <c r="F3" s="213">
        <f t="shared" si="1"/>
        <v>2.2590253788669879E-9</v>
      </c>
      <c r="G3" s="213">
        <f t="shared" si="1"/>
        <v>2.2590253788669879E-9</v>
      </c>
      <c r="H3" s="213">
        <f t="shared" si="1"/>
        <v>2.2590253788669879E-9</v>
      </c>
      <c r="I3" s="213">
        <f t="shared" si="1"/>
        <v>2.2590253788669879E-9</v>
      </c>
      <c r="J3" s="213">
        <f t="shared" si="1"/>
        <v>2.2590253788669879E-9</v>
      </c>
      <c r="K3" s="213">
        <f t="shared" si="1"/>
        <v>2.2590253788669879E-9</v>
      </c>
      <c r="L3" s="213">
        <f t="shared" si="1"/>
        <v>2.2590253788669879E-9</v>
      </c>
      <c r="M3" s="213">
        <f t="shared" si="1"/>
        <v>2.2590253788669879E-9</v>
      </c>
      <c r="N3" s="213">
        <f t="shared" si="1"/>
        <v>2.2590253788669879E-9</v>
      </c>
      <c r="O3" s="213">
        <f t="shared" si="1"/>
        <v>2.2590253788669879E-9</v>
      </c>
      <c r="P3" s="213">
        <f t="shared" si="1"/>
        <v>2.2590253788669879E-9</v>
      </c>
      <c r="Q3" s="213">
        <f t="shared" si="1"/>
        <v>2.2590253788669879E-9</v>
      </c>
      <c r="R3" s="213">
        <f t="shared" si="1"/>
        <v>2.2590253788669879E-9</v>
      </c>
      <c r="S3" s="213">
        <f t="shared" si="1"/>
        <v>2.2590253788669879E-9</v>
      </c>
      <c r="T3" s="213">
        <f t="shared" si="1"/>
        <v>2.2590253788669879E-9</v>
      </c>
      <c r="U3" s="213">
        <f t="shared" si="1"/>
        <v>2.2590253788669879E-9</v>
      </c>
      <c r="V3" s="213">
        <f t="shared" si="1"/>
        <v>2.2590253788669879E-9</v>
      </c>
      <c r="W3" s="213">
        <f t="shared" si="1"/>
        <v>2.2590253788669879E-9</v>
      </c>
      <c r="X3" s="206" t="s">
        <v>345</v>
      </c>
      <c r="Y3" s="207" t="s">
        <v>346</v>
      </c>
      <c r="Z3" s="426" t="s">
        <v>821</v>
      </c>
    </row>
    <row r="4" spans="1:26" ht="12.75" customHeight="1">
      <c r="A4" s="204" t="s">
        <v>351</v>
      </c>
      <c r="B4" s="205">
        <v>4.5799999999999997E-4</v>
      </c>
      <c r="C4" s="213">
        <f t="shared" si="1"/>
        <v>4.5799999999999997E-4</v>
      </c>
      <c r="D4" s="213">
        <f t="shared" si="1"/>
        <v>4.5799999999999997E-4</v>
      </c>
      <c r="E4" s="213">
        <f t="shared" si="1"/>
        <v>4.5799999999999997E-4</v>
      </c>
      <c r="F4" s="213">
        <f t="shared" si="1"/>
        <v>4.5799999999999997E-4</v>
      </c>
      <c r="G4" s="213">
        <f t="shared" si="1"/>
        <v>4.5799999999999997E-4</v>
      </c>
      <c r="H4" s="213">
        <f t="shared" si="1"/>
        <v>4.5799999999999997E-4</v>
      </c>
      <c r="I4" s="213">
        <f t="shared" si="1"/>
        <v>4.5799999999999997E-4</v>
      </c>
      <c r="J4" s="213">
        <f t="shared" si="1"/>
        <v>4.5799999999999997E-4</v>
      </c>
      <c r="K4" s="213">
        <f t="shared" si="1"/>
        <v>4.5799999999999997E-4</v>
      </c>
      <c r="L4" s="213">
        <f t="shared" si="1"/>
        <v>4.5799999999999997E-4</v>
      </c>
      <c r="M4" s="213">
        <f t="shared" si="1"/>
        <v>4.5799999999999997E-4</v>
      </c>
      <c r="N4" s="213">
        <f t="shared" si="1"/>
        <v>4.5799999999999997E-4</v>
      </c>
      <c r="O4" s="213">
        <f t="shared" si="1"/>
        <v>4.5799999999999997E-4</v>
      </c>
      <c r="P4" s="213">
        <f t="shared" si="1"/>
        <v>4.5799999999999997E-4</v>
      </c>
      <c r="Q4" s="213">
        <f t="shared" si="1"/>
        <v>4.5799999999999997E-4</v>
      </c>
      <c r="R4" s="213">
        <f t="shared" si="1"/>
        <v>4.5799999999999997E-4</v>
      </c>
      <c r="S4" s="213">
        <f t="shared" si="1"/>
        <v>4.5799999999999997E-4</v>
      </c>
      <c r="T4" s="213">
        <f t="shared" si="1"/>
        <v>4.5799999999999997E-4</v>
      </c>
      <c r="U4" s="213">
        <f t="shared" si="1"/>
        <v>4.5799999999999997E-4</v>
      </c>
      <c r="V4" s="213">
        <f t="shared" si="1"/>
        <v>4.5799999999999997E-4</v>
      </c>
      <c r="W4" s="213">
        <f t="shared" si="1"/>
        <v>4.5799999999999997E-4</v>
      </c>
      <c r="X4" s="206" t="s">
        <v>345</v>
      </c>
      <c r="Y4" s="207" t="s">
        <v>346</v>
      </c>
      <c r="Z4" s="426" t="s">
        <v>821</v>
      </c>
    </row>
    <row r="5" spans="1:26" ht="12.75" customHeight="1">
      <c r="A5" s="204" t="s">
        <v>348</v>
      </c>
      <c r="B5" s="213">
        <f>OperatParam!$B$6*KinetParam!$B$121</f>
        <v>3.9933717454552352E-10</v>
      </c>
      <c r="C5" s="213">
        <f t="shared" si="1"/>
        <v>3.9933717454552352E-10</v>
      </c>
      <c r="D5" s="213">
        <f t="shared" si="1"/>
        <v>3.9933717454552352E-10</v>
      </c>
      <c r="E5" s="213">
        <f t="shared" si="1"/>
        <v>3.9933717454552352E-10</v>
      </c>
      <c r="F5" s="213">
        <f t="shared" si="1"/>
        <v>3.9933717454552352E-10</v>
      </c>
      <c r="G5" s="213">
        <f t="shared" si="1"/>
        <v>3.9933717454552352E-10</v>
      </c>
      <c r="H5" s="213">
        <f t="shared" si="1"/>
        <v>3.9933717454552352E-10</v>
      </c>
      <c r="I5" s="213">
        <f t="shared" si="1"/>
        <v>3.9933717454552352E-10</v>
      </c>
      <c r="J5" s="213">
        <f t="shared" si="1"/>
        <v>3.9933717454552352E-10</v>
      </c>
      <c r="K5" s="213">
        <f t="shared" si="1"/>
        <v>3.9933717454552352E-10</v>
      </c>
      <c r="L5" s="213">
        <f t="shared" si="1"/>
        <v>3.9933717454552352E-10</v>
      </c>
      <c r="M5" s="213">
        <f t="shared" si="1"/>
        <v>3.9933717454552352E-10</v>
      </c>
      <c r="N5" s="213">
        <f t="shared" si="1"/>
        <v>3.9933717454552352E-10</v>
      </c>
      <c r="O5" s="213">
        <f t="shared" si="1"/>
        <v>3.9933717454552352E-10</v>
      </c>
      <c r="P5" s="213">
        <f t="shared" si="1"/>
        <v>3.9933717454552352E-10</v>
      </c>
      <c r="Q5" s="213">
        <f t="shared" si="1"/>
        <v>3.9933717454552352E-10</v>
      </c>
      <c r="R5" s="213">
        <f t="shared" si="1"/>
        <v>3.9933717454552352E-10</v>
      </c>
      <c r="S5" s="213">
        <f t="shared" si="1"/>
        <v>3.9933717454552352E-10</v>
      </c>
      <c r="T5" s="213">
        <f t="shared" si="1"/>
        <v>3.9933717454552352E-10</v>
      </c>
      <c r="U5" s="213">
        <f t="shared" si="1"/>
        <v>3.9933717454552352E-10</v>
      </c>
      <c r="V5" s="213">
        <f t="shared" si="1"/>
        <v>3.9933717454552352E-10</v>
      </c>
      <c r="W5" s="213">
        <f t="shared" si="1"/>
        <v>3.9933717454552352E-10</v>
      </c>
      <c r="X5" s="206" t="s">
        <v>345</v>
      </c>
      <c r="Y5" s="207" t="s">
        <v>346</v>
      </c>
      <c r="Z5" s="426" t="s">
        <v>821</v>
      </c>
    </row>
    <row r="6" spans="1:26" ht="12.75" customHeight="1">
      <c r="A6" s="204" t="s">
        <v>740</v>
      </c>
      <c r="B6" s="205">
        <v>1E-3</v>
      </c>
      <c r="C6" s="213">
        <f t="shared" si="1"/>
        <v>1E-3</v>
      </c>
      <c r="D6" s="213">
        <f t="shared" si="1"/>
        <v>1E-3</v>
      </c>
      <c r="E6" s="213">
        <f t="shared" si="1"/>
        <v>1E-3</v>
      </c>
      <c r="F6" s="213">
        <f t="shared" si="1"/>
        <v>1E-3</v>
      </c>
      <c r="G6" s="213">
        <f t="shared" si="1"/>
        <v>1E-3</v>
      </c>
      <c r="H6" s="213">
        <f t="shared" si="1"/>
        <v>1E-3</v>
      </c>
      <c r="I6" s="213">
        <f t="shared" si="1"/>
        <v>1E-3</v>
      </c>
      <c r="J6" s="213">
        <f t="shared" si="1"/>
        <v>1E-3</v>
      </c>
      <c r="K6" s="213">
        <f t="shared" si="1"/>
        <v>1E-3</v>
      </c>
      <c r="L6" s="213">
        <f t="shared" si="1"/>
        <v>1E-3</v>
      </c>
      <c r="M6" s="213">
        <f t="shared" si="1"/>
        <v>1E-3</v>
      </c>
      <c r="N6" s="213">
        <f t="shared" si="1"/>
        <v>1E-3</v>
      </c>
      <c r="O6" s="213">
        <f t="shared" si="1"/>
        <v>1E-3</v>
      </c>
      <c r="P6" s="213">
        <f t="shared" si="1"/>
        <v>1E-3</v>
      </c>
      <c r="Q6" s="213">
        <f t="shared" si="1"/>
        <v>1E-3</v>
      </c>
      <c r="R6" s="213">
        <f t="shared" si="1"/>
        <v>1E-3</v>
      </c>
      <c r="S6" s="213">
        <f t="shared" si="1"/>
        <v>1E-3</v>
      </c>
      <c r="T6" s="213">
        <f t="shared" si="1"/>
        <v>1E-3</v>
      </c>
      <c r="U6" s="213">
        <f t="shared" si="1"/>
        <v>1E-3</v>
      </c>
      <c r="V6" s="213">
        <f t="shared" si="1"/>
        <v>1E-3</v>
      </c>
      <c r="W6" s="213">
        <f t="shared" si="1"/>
        <v>1E-3</v>
      </c>
      <c r="X6" s="206" t="s">
        <v>345</v>
      </c>
      <c r="Y6" s="207" t="s">
        <v>346</v>
      </c>
      <c r="Z6" s="426" t="s">
        <v>821</v>
      </c>
    </row>
    <row r="7" spans="1:26" ht="12.75" customHeight="1">
      <c r="A7" s="204" t="s">
        <v>373</v>
      </c>
      <c r="B7" s="370">
        <v>1E-14</v>
      </c>
      <c r="C7" s="213">
        <f t="shared" si="1"/>
        <v>1E-14</v>
      </c>
      <c r="D7" s="213">
        <f t="shared" si="1"/>
        <v>1E-14</v>
      </c>
      <c r="E7" s="213">
        <f t="shared" si="1"/>
        <v>1E-14</v>
      </c>
      <c r="F7" s="213">
        <f t="shared" si="1"/>
        <v>1E-14</v>
      </c>
      <c r="G7" s="213">
        <f t="shared" si="1"/>
        <v>1E-14</v>
      </c>
      <c r="H7" s="213">
        <f t="shared" si="1"/>
        <v>1E-14</v>
      </c>
      <c r="I7" s="213">
        <f t="shared" si="1"/>
        <v>1E-14</v>
      </c>
      <c r="J7" s="213">
        <f t="shared" si="1"/>
        <v>1E-14</v>
      </c>
      <c r="K7" s="213">
        <f t="shared" si="1"/>
        <v>1E-14</v>
      </c>
      <c r="L7" s="213">
        <f t="shared" si="1"/>
        <v>1E-14</v>
      </c>
      <c r="M7" s="213">
        <f t="shared" si="1"/>
        <v>1E-14</v>
      </c>
      <c r="N7" s="213">
        <f t="shared" si="1"/>
        <v>1E-14</v>
      </c>
      <c r="O7" s="213">
        <f t="shared" si="1"/>
        <v>1E-14</v>
      </c>
      <c r="P7" s="213">
        <f t="shared" si="1"/>
        <v>1E-14</v>
      </c>
      <c r="Q7" s="213">
        <f t="shared" si="1"/>
        <v>1E-14</v>
      </c>
      <c r="R7" s="213">
        <f t="shared" si="1"/>
        <v>1E-14</v>
      </c>
      <c r="S7" s="213">
        <f t="shared" si="1"/>
        <v>1E-14</v>
      </c>
      <c r="T7" s="213">
        <f t="shared" si="1"/>
        <v>1E-14</v>
      </c>
      <c r="U7" s="213">
        <f t="shared" si="1"/>
        <v>1E-14</v>
      </c>
      <c r="V7" s="213">
        <f t="shared" si="1"/>
        <v>1E-14</v>
      </c>
      <c r="W7" s="213">
        <f t="shared" si="1"/>
        <v>1E-14</v>
      </c>
      <c r="X7" s="206" t="s">
        <v>345</v>
      </c>
      <c r="Y7" s="207" t="s">
        <v>346</v>
      </c>
      <c r="Z7" s="426" t="s">
        <v>821</v>
      </c>
    </row>
    <row r="8" spans="1:26" ht="12.75" customHeight="1">
      <c r="A8" s="204" t="s">
        <v>374</v>
      </c>
      <c r="B8" s="370">
        <v>1E-14</v>
      </c>
      <c r="C8" s="213">
        <f t="shared" si="1"/>
        <v>1E-14</v>
      </c>
      <c r="D8" s="213">
        <f t="shared" si="1"/>
        <v>1E-14</v>
      </c>
      <c r="E8" s="213">
        <f t="shared" si="1"/>
        <v>1E-14</v>
      </c>
      <c r="F8" s="213">
        <f t="shared" si="1"/>
        <v>1E-14</v>
      </c>
      <c r="G8" s="213">
        <f t="shared" si="1"/>
        <v>1E-14</v>
      </c>
      <c r="H8" s="213">
        <f t="shared" si="1"/>
        <v>1E-14</v>
      </c>
      <c r="I8" s="213">
        <f t="shared" si="1"/>
        <v>1E-14</v>
      </c>
      <c r="J8" s="213">
        <f t="shared" si="1"/>
        <v>1E-14</v>
      </c>
      <c r="K8" s="213">
        <f t="shared" si="1"/>
        <v>1E-14</v>
      </c>
      <c r="L8" s="213">
        <f t="shared" si="1"/>
        <v>1E-14</v>
      </c>
      <c r="M8" s="213">
        <f t="shared" si="1"/>
        <v>1E-14</v>
      </c>
      <c r="N8" s="213">
        <f t="shared" si="1"/>
        <v>1E-14</v>
      </c>
      <c r="O8" s="213">
        <f t="shared" si="1"/>
        <v>1E-14</v>
      </c>
      <c r="P8" s="213">
        <f t="shared" si="1"/>
        <v>1E-14</v>
      </c>
      <c r="Q8" s="213">
        <f t="shared" si="1"/>
        <v>1E-14</v>
      </c>
      <c r="R8" s="213">
        <f t="shared" si="1"/>
        <v>1E-14</v>
      </c>
      <c r="S8" s="213">
        <f t="shared" si="1"/>
        <v>1E-14</v>
      </c>
      <c r="T8" s="213">
        <f t="shared" si="1"/>
        <v>1E-14</v>
      </c>
      <c r="U8" s="213">
        <f t="shared" si="1"/>
        <v>1E-14</v>
      </c>
      <c r="V8" s="213">
        <f t="shared" si="1"/>
        <v>1E-14</v>
      </c>
      <c r="W8" s="213">
        <f t="shared" si="1"/>
        <v>1E-14</v>
      </c>
      <c r="X8" s="206" t="s">
        <v>345</v>
      </c>
      <c r="Y8" s="207" t="s">
        <v>346</v>
      </c>
      <c r="Z8" s="426" t="s">
        <v>821</v>
      </c>
    </row>
    <row r="9" spans="1:26" ht="12.75" customHeight="1">
      <c r="A9" s="204" t="s">
        <v>402</v>
      </c>
      <c r="B9" s="213">
        <f>OperatParam!$B$7*KinetParam!$B$122</f>
        <v>5.7346607142857141E-4</v>
      </c>
      <c r="C9" s="213">
        <f t="shared" si="1"/>
        <v>5.7346607142857141E-4</v>
      </c>
      <c r="D9" s="213">
        <f t="shared" si="1"/>
        <v>5.7346607142857141E-4</v>
      </c>
      <c r="E9" s="213">
        <f t="shared" si="1"/>
        <v>5.7346607142857141E-4</v>
      </c>
      <c r="F9" s="213">
        <f t="shared" si="1"/>
        <v>5.7346607142857141E-4</v>
      </c>
      <c r="G9" s="213">
        <f t="shared" si="1"/>
        <v>5.7346607142857141E-4</v>
      </c>
      <c r="H9" s="213">
        <f t="shared" si="1"/>
        <v>5.7346607142857141E-4</v>
      </c>
      <c r="I9" s="213">
        <f t="shared" si="1"/>
        <v>5.7346607142857141E-4</v>
      </c>
      <c r="J9" s="213">
        <f t="shared" si="1"/>
        <v>5.7346607142857141E-4</v>
      </c>
      <c r="K9" s="213">
        <f t="shared" si="1"/>
        <v>5.7346607142857141E-4</v>
      </c>
      <c r="L9" s="213">
        <f t="shared" si="1"/>
        <v>5.7346607142857141E-4</v>
      </c>
      <c r="M9" s="213">
        <f t="shared" si="1"/>
        <v>5.7346607142857141E-4</v>
      </c>
      <c r="N9" s="213">
        <f t="shared" si="1"/>
        <v>5.7346607142857141E-4</v>
      </c>
      <c r="O9" s="213">
        <f t="shared" si="1"/>
        <v>5.7346607142857141E-4</v>
      </c>
      <c r="P9" s="213">
        <f t="shared" si="1"/>
        <v>5.7346607142857141E-4</v>
      </c>
      <c r="Q9" s="213">
        <f t="shared" si="1"/>
        <v>5.7346607142857141E-4</v>
      </c>
      <c r="R9" s="213">
        <f t="shared" si="1"/>
        <v>5.7346607142857141E-4</v>
      </c>
      <c r="S9" s="213">
        <f t="shared" si="1"/>
        <v>5.7346607142857141E-4</v>
      </c>
      <c r="T9" s="213">
        <f t="shared" si="1"/>
        <v>5.7346607142857141E-4</v>
      </c>
      <c r="U9" s="213">
        <f t="shared" si="1"/>
        <v>5.7346607142857141E-4</v>
      </c>
      <c r="V9" s="213">
        <f t="shared" si="1"/>
        <v>5.7346607142857141E-4</v>
      </c>
      <c r="W9" s="213">
        <f t="shared" si="1"/>
        <v>5.7346607142857141E-4</v>
      </c>
      <c r="X9" s="206" t="s">
        <v>345</v>
      </c>
      <c r="Y9" s="207" t="s">
        <v>346</v>
      </c>
      <c r="Z9" s="426" t="s">
        <v>821</v>
      </c>
    </row>
    <row r="10" spans="1:26" ht="12.75" customHeight="1">
      <c r="A10" s="204" t="s">
        <v>709</v>
      </c>
      <c r="B10" s="370">
        <v>1E-14</v>
      </c>
      <c r="C10" s="213">
        <f t="shared" si="1"/>
        <v>1E-14</v>
      </c>
      <c r="D10" s="213">
        <f t="shared" si="1"/>
        <v>1E-14</v>
      </c>
      <c r="E10" s="213">
        <f t="shared" si="1"/>
        <v>1E-14</v>
      </c>
      <c r="F10" s="213">
        <f t="shared" si="1"/>
        <v>1E-14</v>
      </c>
      <c r="G10" s="213">
        <f t="shared" si="1"/>
        <v>1E-14</v>
      </c>
      <c r="H10" s="213">
        <f t="shared" si="1"/>
        <v>1E-14</v>
      </c>
      <c r="I10" s="213">
        <f t="shared" si="1"/>
        <v>1E-14</v>
      </c>
      <c r="J10" s="213">
        <f t="shared" si="1"/>
        <v>1E-14</v>
      </c>
      <c r="K10" s="213">
        <f t="shared" si="1"/>
        <v>1E-14</v>
      </c>
      <c r="L10" s="213">
        <f t="shared" si="1"/>
        <v>1E-14</v>
      </c>
      <c r="M10" s="213">
        <f t="shared" si="1"/>
        <v>1E-14</v>
      </c>
      <c r="N10" s="213">
        <f t="shared" si="1"/>
        <v>1E-14</v>
      </c>
      <c r="O10" s="213">
        <f t="shared" si="1"/>
        <v>1E-14</v>
      </c>
      <c r="P10" s="213">
        <f t="shared" si="1"/>
        <v>1E-14</v>
      </c>
      <c r="Q10" s="213">
        <f t="shared" si="1"/>
        <v>1E-14</v>
      </c>
      <c r="R10" s="213">
        <f t="shared" si="1"/>
        <v>1E-14</v>
      </c>
      <c r="S10" s="213">
        <f t="shared" si="1"/>
        <v>1E-14</v>
      </c>
      <c r="T10" s="213">
        <f t="shared" si="1"/>
        <v>1E-14</v>
      </c>
      <c r="U10" s="213">
        <f t="shared" si="1"/>
        <v>1E-14</v>
      </c>
      <c r="V10" s="213">
        <f t="shared" si="1"/>
        <v>1E-14</v>
      </c>
      <c r="W10" s="213">
        <f t="shared" si="1"/>
        <v>1E-14</v>
      </c>
      <c r="X10" s="206" t="s">
        <v>345</v>
      </c>
      <c r="Y10" s="207" t="s">
        <v>346</v>
      </c>
      <c r="Z10" s="426" t="s">
        <v>821</v>
      </c>
    </row>
    <row r="11" spans="1:26" ht="12.75" customHeight="1">
      <c r="A11" s="204" t="s">
        <v>375</v>
      </c>
      <c r="B11" s="370">
        <v>1E-14</v>
      </c>
      <c r="C11" s="213">
        <f t="shared" si="1"/>
        <v>1E-14</v>
      </c>
      <c r="D11" s="213">
        <f t="shared" si="1"/>
        <v>1E-14</v>
      </c>
      <c r="E11" s="213">
        <f t="shared" si="1"/>
        <v>1E-14</v>
      </c>
      <c r="F11" s="213">
        <f t="shared" si="1"/>
        <v>1E-14</v>
      </c>
      <c r="G11" s="213">
        <f t="shared" si="1"/>
        <v>1E-14</v>
      </c>
      <c r="H11" s="213">
        <f t="shared" si="1"/>
        <v>1E-14</v>
      </c>
      <c r="I11" s="213">
        <f t="shared" si="1"/>
        <v>1E-14</v>
      </c>
      <c r="J11" s="213">
        <f t="shared" si="1"/>
        <v>1E-14</v>
      </c>
      <c r="K11" s="213">
        <f t="shared" si="1"/>
        <v>1E-14</v>
      </c>
      <c r="L11" s="213">
        <f t="shared" si="1"/>
        <v>1E-14</v>
      </c>
      <c r="M11" s="213">
        <f t="shared" si="1"/>
        <v>1E-14</v>
      </c>
      <c r="N11" s="213">
        <f t="shared" si="1"/>
        <v>1E-14</v>
      </c>
      <c r="O11" s="213">
        <f t="shared" si="1"/>
        <v>1E-14</v>
      </c>
      <c r="P11" s="213">
        <f t="shared" si="1"/>
        <v>1E-14</v>
      </c>
      <c r="Q11" s="213">
        <f t="shared" si="1"/>
        <v>1E-14</v>
      </c>
      <c r="R11" s="213">
        <f t="shared" si="1"/>
        <v>1E-14</v>
      </c>
      <c r="S11" s="213">
        <f t="shared" si="1"/>
        <v>1E-14</v>
      </c>
      <c r="T11" s="213">
        <f t="shared" si="1"/>
        <v>1E-14</v>
      </c>
      <c r="U11" s="213">
        <f t="shared" si="1"/>
        <v>1E-14</v>
      </c>
      <c r="V11" s="213">
        <f t="shared" si="1"/>
        <v>1E-14</v>
      </c>
      <c r="W11" s="213">
        <f t="shared" si="1"/>
        <v>1E-14</v>
      </c>
      <c r="X11" s="206" t="s">
        <v>345</v>
      </c>
      <c r="Y11" s="207" t="s">
        <v>346</v>
      </c>
      <c r="Z11" s="426" t="s">
        <v>821</v>
      </c>
    </row>
    <row r="12" spans="1:26" ht="12.75" customHeight="1">
      <c r="A12" s="204" t="s">
        <v>376</v>
      </c>
      <c r="B12" s="370">
        <v>1E-14</v>
      </c>
      <c r="C12" s="213">
        <f t="shared" si="1"/>
        <v>1E-14</v>
      </c>
      <c r="D12" s="213">
        <f t="shared" si="1"/>
        <v>1E-14</v>
      </c>
      <c r="E12" s="213">
        <f t="shared" si="1"/>
        <v>1E-14</v>
      </c>
      <c r="F12" s="213">
        <f t="shared" si="1"/>
        <v>1E-14</v>
      </c>
      <c r="G12" s="213">
        <f t="shared" si="1"/>
        <v>1E-14</v>
      </c>
      <c r="H12" s="213">
        <f t="shared" si="1"/>
        <v>1E-14</v>
      </c>
      <c r="I12" s="213">
        <f t="shared" si="1"/>
        <v>1E-14</v>
      </c>
      <c r="J12" s="213">
        <f t="shared" si="1"/>
        <v>1E-14</v>
      </c>
      <c r="K12" s="213">
        <f t="shared" si="1"/>
        <v>1E-14</v>
      </c>
      <c r="L12" s="213">
        <f t="shared" si="1"/>
        <v>1E-14</v>
      </c>
      <c r="M12" s="213">
        <f t="shared" si="1"/>
        <v>1E-14</v>
      </c>
      <c r="N12" s="213">
        <f t="shared" si="1"/>
        <v>1E-14</v>
      </c>
      <c r="O12" s="213">
        <f t="shared" si="1"/>
        <v>1E-14</v>
      </c>
      <c r="P12" s="213">
        <f t="shared" si="1"/>
        <v>1E-14</v>
      </c>
      <c r="Q12" s="213">
        <f t="shared" si="1"/>
        <v>1E-14</v>
      </c>
      <c r="R12" s="213">
        <f t="shared" si="1"/>
        <v>1E-14</v>
      </c>
      <c r="S12" s="213">
        <f t="shared" si="1"/>
        <v>1E-14</v>
      </c>
      <c r="T12" s="213">
        <f t="shared" si="1"/>
        <v>1E-14</v>
      </c>
      <c r="U12" s="213">
        <f t="shared" si="1"/>
        <v>1E-14</v>
      </c>
      <c r="V12" s="213">
        <f t="shared" si="1"/>
        <v>1E-14</v>
      </c>
      <c r="W12" s="213">
        <f t="shared" si="1"/>
        <v>1E-14</v>
      </c>
      <c r="X12" s="206" t="s">
        <v>345</v>
      </c>
      <c r="Y12" s="207" t="s">
        <v>346</v>
      </c>
      <c r="Z12" s="426" t="s">
        <v>821</v>
      </c>
    </row>
    <row r="13" spans="1:26" ht="12.75" customHeight="1">
      <c r="A13" s="204" t="s">
        <v>761</v>
      </c>
      <c r="B13" s="370">
        <v>1E-14</v>
      </c>
      <c r="C13" s="213">
        <f t="shared" si="1"/>
        <v>1E-14</v>
      </c>
      <c r="D13" s="213">
        <f t="shared" si="1"/>
        <v>1E-14</v>
      </c>
      <c r="E13" s="213">
        <f t="shared" si="1"/>
        <v>1E-14</v>
      </c>
      <c r="F13" s="213">
        <f t="shared" si="1"/>
        <v>1E-14</v>
      </c>
      <c r="G13" s="213">
        <f t="shared" si="1"/>
        <v>1E-14</v>
      </c>
      <c r="H13" s="213">
        <f t="shared" si="1"/>
        <v>1E-14</v>
      </c>
      <c r="I13" s="213">
        <f t="shared" si="1"/>
        <v>1E-14</v>
      </c>
      <c r="J13" s="213">
        <f t="shared" si="1"/>
        <v>1E-14</v>
      </c>
      <c r="K13" s="213">
        <f t="shared" si="1"/>
        <v>1E-14</v>
      </c>
      <c r="L13" s="213">
        <f t="shared" si="1"/>
        <v>1E-14</v>
      </c>
      <c r="M13" s="213">
        <f t="shared" si="1"/>
        <v>1E-14</v>
      </c>
      <c r="N13" s="213">
        <f t="shared" si="1"/>
        <v>1E-14</v>
      </c>
      <c r="O13" s="213">
        <f t="shared" si="1"/>
        <v>1E-14</v>
      </c>
      <c r="P13" s="213">
        <f t="shared" si="1"/>
        <v>1E-14</v>
      </c>
      <c r="Q13" s="213">
        <f t="shared" si="1"/>
        <v>1E-14</v>
      </c>
      <c r="R13" s="213">
        <f t="shared" si="1"/>
        <v>1E-14</v>
      </c>
      <c r="S13" s="213">
        <f t="shared" si="1"/>
        <v>1E-14</v>
      </c>
      <c r="T13" s="213">
        <f t="shared" si="1"/>
        <v>1E-14</v>
      </c>
      <c r="U13" s="213">
        <f t="shared" si="1"/>
        <v>1E-14</v>
      </c>
      <c r="V13" s="213">
        <f t="shared" si="1"/>
        <v>1E-14</v>
      </c>
      <c r="W13" s="213">
        <f t="shared" si="1"/>
        <v>1E-14</v>
      </c>
      <c r="X13" s="206" t="s">
        <v>345</v>
      </c>
      <c r="Y13" s="207" t="s">
        <v>346</v>
      </c>
      <c r="Z13" s="426" t="s">
        <v>821</v>
      </c>
    </row>
    <row r="14" spans="1:26" ht="12.75" customHeight="1">
      <c r="A14" s="204" t="s">
        <v>377</v>
      </c>
      <c r="B14" s="372">
        <v>1E-14</v>
      </c>
      <c r="C14" s="213">
        <f t="shared" si="1"/>
        <v>1E-14</v>
      </c>
      <c r="D14" s="213">
        <f t="shared" si="1"/>
        <v>1E-14</v>
      </c>
      <c r="E14" s="213">
        <f t="shared" si="1"/>
        <v>1E-14</v>
      </c>
      <c r="F14" s="213">
        <f t="shared" ref="F14:W14" si="2">+$B14</f>
        <v>1E-14</v>
      </c>
      <c r="G14" s="213">
        <f t="shared" si="2"/>
        <v>1E-14</v>
      </c>
      <c r="H14" s="213">
        <f t="shared" si="2"/>
        <v>1E-14</v>
      </c>
      <c r="I14" s="213">
        <f t="shared" si="2"/>
        <v>1E-14</v>
      </c>
      <c r="J14" s="213">
        <f t="shared" si="2"/>
        <v>1E-14</v>
      </c>
      <c r="K14" s="213">
        <f t="shared" si="2"/>
        <v>1E-14</v>
      </c>
      <c r="L14" s="213">
        <f t="shared" si="2"/>
        <v>1E-14</v>
      </c>
      <c r="M14" s="213">
        <f t="shared" si="2"/>
        <v>1E-14</v>
      </c>
      <c r="N14" s="213">
        <f t="shared" si="2"/>
        <v>1E-14</v>
      </c>
      <c r="O14" s="213">
        <f t="shared" si="2"/>
        <v>1E-14</v>
      </c>
      <c r="P14" s="213">
        <f t="shared" si="2"/>
        <v>1E-14</v>
      </c>
      <c r="Q14" s="213">
        <f t="shared" si="2"/>
        <v>1E-14</v>
      </c>
      <c r="R14" s="213">
        <f t="shared" si="2"/>
        <v>1E-14</v>
      </c>
      <c r="S14" s="213">
        <f t="shared" si="2"/>
        <v>1E-14</v>
      </c>
      <c r="T14" s="213">
        <f t="shared" si="2"/>
        <v>1E-14</v>
      </c>
      <c r="U14" s="213">
        <f t="shared" si="2"/>
        <v>1E-14</v>
      </c>
      <c r="V14" s="213">
        <f t="shared" si="2"/>
        <v>1E-14</v>
      </c>
      <c r="W14" s="213">
        <f t="shared" si="2"/>
        <v>1E-14</v>
      </c>
      <c r="X14" s="206" t="s">
        <v>345</v>
      </c>
      <c r="Y14" s="207" t="s">
        <v>346</v>
      </c>
      <c r="Z14" s="426" t="s">
        <v>821</v>
      </c>
    </row>
    <row r="15" spans="1:26" ht="12.75" customHeight="1">
      <c r="A15" s="204" t="s">
        <v>546</v>
      </c>
      <c r="B15" s="373">
        <f>+B4+B8+B2</f>
        <v>4.5800000001999992E-4</v>
      </c>
      <c r="C15" s="213">
        <f t="shared" ref="C15:W27" si="3">+$B15</f>
        <v>4.5800000001999992E-4</v>
      </c>
      <c r="D15" s="213">
        <f t="shared" si="3"/>
        <v>4.5800000001999992E-4</v>
      </c>
      <c r="E15" s="213">
        <f t="shared" si="3"/>
        <v>4.5800000001999992E-4</v>
      </c>
      <c r="F15" s="213">
        <f t="shared" si="3"/>
        <v>4.5800000001999992E-4</v>
      </c>
      <c r="G15" s="213">
        <f t="shared" si="3"/>
        <v>4.5800000001999992E-4</v>
      </c>
      <c r="H15" s="213">
        <f t="shared" si="3"/>
        <v>4.5800000001999992E-4</v>
      </c>
      <c r="I15" s="213">
        <f t="shared" si="3"/>
        <v>4.5800000001999992E-4</v>
      </c>
      <c r="J15" s="213">
        <f t="shared" si="3"/>
        <v>4.5800000001999992E-4</v>
      </c>
      <c r="K15" s="213">
        <f t="shared" si="3"/>
        <v>4.5800000001999992E-4</v>
      </c>
      <c r="L15" s="213">
        <f t="shared" si="3"/>
        <v>4.5800000001999992E-4</v>
      </c>
      <c r="M15" s="213">
        <f t="shared" si="3"/>
        <v>4.5800000001999992E-4</v>
      </c>
      <c r="N15" s="213">
        <f t="shared" si="3"/>
        <v>4.5800000001999992E-4</v>
      </c>
      <c r="O15" s="213">
        <f t="shared" si="3"/>
        <v>4.5800000001999992E-4</v>
      </c>
      <c r="P15" s="213">
        <f t="shared" si="3"/>
        <v>4.5800000001999992E-4</v>
      </c>
      <c r="Q15" s="213">
        <f t="shared" si="3"/>
        <v>4.5800000001999992E-4</v>
      </c>
      <c r="R15" s="213">
        <f t="shared" si="3"/>
        <v>4.5800000001999992E-4</v>
      </c>
      <c r="S15" s="213">
        <f t="shared" si="3"/>
        <v>4.5800000001999992E-4</v>
      </c>
      <c r="T15" s="213">
        <f t="shared" si="3"/>
        <v>4.5800000001999992E-4</v>
      </c>
      <c r="U15" s="213">
        <f t="shared" si="3"/>
        <v>4.5800000001999992E-4</v>
      </c>
      <c r="V15" s="213">
        <f t="shared" si="3"/>
        <v>4.5800000001999992E-4</v>
      </c>
      <c r="W15" s="213">
        <f t="shared" si="3"/>
        <v>4.5800000001999992E-4</v>
      </c>
      <c r="X15" s="206" t="s">
        <v>345</v>
      </c>
      <c r="Y15" s="207" t="s">
        <v>346</v>
      </c>
      <c r="Z15" s="426" t="s">
        <v>821</v>
      </c>
    </row>
    <row r="16" spans="1:26" ht="12.75" customHeight="1" thickBot="1">
      <c r="A16" s="259" t="s">
        <v>547</v>
      </c>
      <c r="B16" s="262">
        <f>+B6+3*B13</f>
        <v>1.0000000000300001E-3</v>
      </c>
      <c r="C16" s="262">
        <f t="shared" si="3"/>
        <v>1.0000000000300001E-3</v>
      </c>
      <c r="D16" s="262">
        <f t="shared" si="3"/>
        <v>1.0000000000300001E-3</v>
      </c>
      <c r="E16" s="262">
        <f t="shared" si="3"/>
        <v>1.0000000000300001E-3</v>
      </c>
      <c r="F16" s="262">
        <f t="shared" si="3"/>
        <v>1.0000000000300001E-3</v>
      </c>
      <c r="G16" s="262">
        <f t="shared" si="3"/>
        <v>1.0000000000300001E-3</v>
      </c>
      <c r="H16" s="262">
        <f t="shared" si="3"/>
        <v>1.0000000000300001E-3</v>
      </c>
      <c r="I16" s="262">
        <f t="shared" si="3"/>
        <v>1.0000000000300001E-3</v>
      </c>
      <c r="J16" s="262">
        <f t="shared" si="3"/>
        <v>1.0000000000300001E-3</v>
      </c>
      <c r="K16" s="262">
        <f t="shared" si="3"/>
        <v>1.0000000000300001E-3</v>
      </c>
      <c r="L16" s="262">
        <f t="shared" si="3"/>
        <v>1.0000000000300001E-3</v>
      </c>
      <c r="M16" s="262">
        <f t="shared" si="3"/>
        <v>1.0000000000300001E-3</v>
      </c>
      <c r="N16" s="262">
        <f t="shared" si="3"/>
        <v>1.0000000000300001E-3</v>
      </c>
      <c r="O16" s="262">
        <f t="shared" si="3"/>
        <v>1.0000000000300001E-3</v>
      </c>
      <c r="P16" s="262">
        <f t="shared" si="3"/>
        <v>1.0000000000300001E-3</v>
      </c>
      <c r="Q16" s="262">
        <f t="shared" si="3"/>
        <v>1.0000000000300001E-3</v>
      </c>
      <c r="R16" s="262">
        <f t="shared" si="3"/>
        <v>1.0000000000300001E-3</v>
      </c>
      <c r="S16" s="262">
        <f t="shared" si="3"/>
        <v>1.0000000000300001E-3</v>
      </c>
      <c r="T16" s="262">
        <f t="shared" si="3"/>
        <v>1.0000000000300001E-3</v>
      </c>
      <c r="U16" s="262">
        <f t="shared" si="3"/>
        <v>1.0000000000300001E-3</v>
      </c>
      <c r="V16" s="262">
        <f t="shared" si="3"/>
        <v>1.0000000000300001E-3</v>
      </c>
      <c r="W16" s="262">
        <f t="shared" si="3"/>
        <v>1.0000000000300001E-3</v>
      </c>
      <c r="X16" s="261" t="s">
        <v>345</v>
      </c>
      <c r="Y16" s="261" t="s">
        <v>346</v>
      </c>
      <c r="Z16" s="426" t="s">
        <v>821</v>
      </c>
    </row>
    <row r="17" spans="1:26" ht="12.75" customHeight="1">
      <c r="A17" s="204" t="s">
        <v>371</v>
      </c>
      <c r="B17" s="205">
        <v>0.01</v>
      </c>
      <c r="C17" s="213">
        <f t="shared" si="3"/>
        <v>0.01</v>
      </c>
      <c r="D17" s="213">
        <f t="shared" si="3"/>
        <v>0.01</v>
      </c>
      <c r="E17" s="213">
        <f t="shared" si="3"/>
        <v>0.01</v>
      </c>
      <c r="F17" s="213">
        <f t="shared" si="3"/>
        <v>0.01</v>
      </c>
      <c r="G17" s="213">
        <f t="shared" si="3"/>
        <v>0.01</v>
      </c>
      <c r="H17" s="213">
        <f t="shared" si="3"/>
        <v>0.01</v>
      </c>
      <c r="I17" s="213">
        <f t="shared" si="3"/>
        <v>0.01</v>
      </c>
      <c r="J17" s="213">
        <f t="shared" si="3"/>
        <v>0.01</v>
      </c>
      <c r="K17" s="213">
        <f t="shared" si="3"/>
        <v>0.01</v>
      </c>
      <c r="L17" s="213">
        <f t="shared" si="3"/>
        <v>0.01</v>
      </c>
      <c r="M17" s="213">
        <f t="shared" si="3"/>
        <v>0.01</v>
      </c>
      <c r="N17" s="213">
        <f t="shared" si="3"/>
        <v>0.01</v>
      </c>
      <c r="O17" s="213">
        <f t="shared" si="3"/>
        <v>0.01</v>
      </c>
      <c r="P17" s="213">
        <f t="shared" si="3"/>
        <v>0.01</v>
      </c>
      <c r="Q17" s="213">
        <f t="shared" si="3"/>
        <v>0.01</v>
      </c>
      <c r="R17" s="213">
        <f t="shared" si="3"/>
        <v>0.01</v>
      </c>
      <c r="S17" s="213">
        <f t="shared" si="3"/>
        <v>0.01</v>
      </c>
      <c r="T17" s="213">
        <f t="shared" si="3"/>
        <v>0.01</v>
      </c>
      <c r="U17" s="213">
        <f t="shared" si="3"/>
        <v>0.01</v>
      </c>
      <c r="V17" s="213">
        <f t="shared" si="3"/>
        <v>0.01</v>
      </c>
      <c r="W17" s="213">
        <f t="shared" si="3"/>
        <v>0.01</v>
      </c>
      <c r="X17" s="208" t="s">
        <v>817</v>
      </c>
      <c r="Y17" s="207" t="s">
        <v>404</v>
      </c>
      <c r="Z17" s="426" t="s">
        <v>821</v>
      </c>
    </row>
    <row r="18" spans="1:26" ht="12.75" customHeight="1">
      <c r="A18" s="204" t="s">
        <v>350</v>
      </c>
      <c r="B18" s="205">
        <v>0.01</v>
      </c>
      <c r="C18" s="213">
        <f t="shared" si="3"/>
        <v>0.01</v>
      </c>
      <c r="D18" s="213">
        <f t="shared" si="3"/>
        <v>0.01</v>
      </c>
      <c r="E18" s="213">
        <f t="shared" si="3"/>
        <v>0.01</v>
      </c>
      <c r="F18" s="213">
        <f t="shared" si="3"/>
        <v>0.01</v>
      </c>
      <c r="G18" s="213">
        <f t="shared" si="3"/>
        <v>0.01</v>
      </c>
      <c r="H18" s="213">
        <f t="shared" si="3"/>
        <v>0.01</v>
      </c>
      <c r="I18" s="213">
        <f t="shared" si="3"/>
        <v>0.01</v>
      </c>
      <c r="J18" s="213">
        <f t="shared" si="3"/>
        <v>0.01</v>
      </c>
      <c r="K18" s="213">
        <f t="shared" si="3"/>
        <v>0.01</v>
      </c>
      <c r="L18" s="213">
        <f t="shared" si="3"/>
        <v>0.01</v>
      </c>
      <c r="M18" s="213">
        <f t="shared" si="3"/>
        <v>0.01</v>
      </c>
      <c r="N18" s="213">
        <f t="shared" si="3"/>
        <v>0.01</v>
      </c>
      <c r="O18" s="213">
        <f t="shared" si="3"/>
        <v>0.01</v>
      </c>
      <c r="P18" s="213">
        <f t="shared" si="3"/>
        <v>0.01</v>
      </c>
      <c r="Q18" s="213">
        <f t="shared" si="3"/>
        <v>0.01</v>
      </c>
      <c r="R18" s="213">
        <f t="shared" si="3"/>
        <v>0.01</v>
      </c>
      <c r="S18" s="213">
        <f t="shared" si="3"/>
        <v>0.01</v>
      </c>
      <c r="T18" s="213">
        <f t="shared" si="3"/>
        <v>0.01</v>
      </c>
      <c r="U18" s="213">
        <f t="shared" si="3"/>
        <v>0.01</v>
      </c>
      <c r="V18" s="213">
        <f t="shared" si="3"/>
        <v>0.01</v>
      </c>
      <c r="W18" s="213">
        <f t="shared" si="3"/>
        <v>0.01</v>
      </c>
      <c r="X18" s="208" t="s">
        <v>817</v>
      </c>
      <c r="Y18" s="207" t="s">
        <v>404</v>
      </c>
      <c r="Z18" s="426" t="s">
        <v>821</v>
      </c>
    </row>
    <row r="19" spans="1:26" ht="12.75" customHeight="1">
      <c r="A19" s="204" t="s">
        <v>787</v>
      </c>
      <c r="B19" s="205">
        <v>0.01</v>
      </c>
      <c r="C19" s="213">
        <f t="shared" si="3"/>
        <v>0.01</v>
      </c>
      <c r="D19" s="213">
        <f t="shared" si="3"/>
        <v>0.01</v>
      </c>
      <c r="E19" s="213">
        <f t="shared" si="3"/>
        <v>0.01</v>
      </c>
      <c r="F19" s="213">
        <f t="shared" si="3"/>
        <v>0.01</v>
      </c>
      <c r="G19" s="213">
        <f t="shared" si="3"/>
        <v>0.01</v>
      </c>
      <c r="H19" s="213">
        <f t="shared" si="3"/>
        <v>0.01</v>
      </c>
      <c r="I19" s="213">
        <f t="shared" si="3"/>
        <v>0.01</v>
      </c>
      <c r="J19" s="213">
        <f t="shared" si="3"/>
        <v>0.01</v>
      </c>
      <c r="K19" s="213">
        <f t="shared" si="3"/>
        <v>0.01</v>
      </c>
      <c r="L19" s="213">
        <f t="shared" si="3"/>
        <v>0.01</v>
      </c>
      <c r="M19" s="213">
        <f t="shared" si="3"/>
        <v>0.01</v>
      </c>
      <c r="N19" s="213">
        <f t="shared" si="3"/>
        <v>0.01</v>
      </c>
      <c r="O19" s="213">
        <f t="shared" si="3"/>
        <v>0.01</v>
      </c>
      <c r="P19" s="213">
        <f t="shared" si="3"/>
        <v>0.01</v>
      </c>
      <c r="Q19" s="213">
        <f t="shared" si="3"/>
        <v>0.01</v>
      </c>
      <c r="R19" s="213">
        <f t="shared" si="3"/>
        <v>0.01</v>
      </c>
      <c r="S19" s="213">
        <f t="shared" si="3"/>
        <v>0.01</v>
      </c>
      <c r="T19" s="213">
        <f t="shared" si="3"/>
        <v>0.01</v>
      </c>
      <c r="U19" s="213">
        <f t="shared" si="3"/>
        <v>0.01</v>
      </c>
      <c r="V19" s="213">
        <f t="shared" si="3"/>
        <v>0.01</v>
      </c>
      <c r="W19" s="213">
        <f t="shared" si="3"/>
        <v>0.01</v>
      </c>
      <c r="X19" s="208" t="s">
        <v>817</v>
      </c>
      <c r="Y19" s="207" t="s">
        <v>404</v>
      </c>
      <c r="Z19" s="426" t="s">
        <v>821</v>
      </c>
    </row>
    <row r="20" spans="1:26" ht="12.75" customHeight="1">
      <c r="A20" s="204" t="s">
        <v>378</v>
      </c>
      <c r="B20" s="205">
        <v>0.01</v>
      </c>
      <c r="C20" s="213">
        <f t="shared" si="3"/>
        <v>0.01</v>
      </c>
      <c r="D20" s="213">
        <f t="shared" si="3"/>
        <v>0.01</v>
      </c>
      <c r="E20" s="213">
        <f t="shared" si="3"/>
        <v>0.01</v>
      </c>
      <c r="F20" s="213">
        <f t="shared" si="3"/>
        <v>0.01</v>
      </c>
      <c r="G20" s="213">
        <f t="shared" si="3"/>
        <v>0.01</v>
      </c>
      <c r="H20" s="213">
        <f t="shared" si="3"/>
        <v>0.01</v>
      </c>
      <c r="I20" s="213">
        <f t="shared" si="3"/>
        <v>0.01</v>
      </c>
      <c r="J20" s="213">
        <f t="shared" si="3"/>
        <v>0.01</v>
      </c>
      <c r="K20" s="213">
        <f t="shared" si="3"/>
        <v>0.01</v>
      </c>
      <c r="L20" s="213">
        <f t="shared" si="3"/>
        <v>0.01</v>
      </c>
      <c r="M20" s="213">
        <f t="shared" si="3"/>
        <v>0.01</v>
      </c>
      <c r="N20" s="213">
        <f t="shared" si="3"/>
        <v>0.01</v>
      </c>
      <c r="O20" s="213">
        <f t="shared" si="3"/>
        <v>0.01</v>
      </c>
      <c r="P20" s="213">
        <f t="shared" si="3"/>
        <v>0.01</v>
      </c>
      <c r="Q20" s="213">
        <f t="shared" si="3"/>
        <v>0.01</v>
      </c>
      <c r="R20" s="213">
        <f t="shared" si="3"/>
        <v>0.01</v>
      </c>
      <c r="S20" s="213">
        <f t="shared" si="3"/>
        <v>0.01</v>
      </c>
      <c r="T20" s="213">
        <f t="shared" si="3"/>
        <v>0.01</v>
      </c>
      <c r="U20" s="213">
        <f t="shared" si="3"/>
        <v>0.01</v>
      </c>
      <c r="V20" s="213">
        <f t="shared" si="3"/>
        <v>0.01</v>
      </c>
      <c r="W20" s="213">
        <f t="shared" si="3"/>
        <v>0.01</v>
      </c>
      <c r="X20" s="208" t="s">
        <v>817</v>
      </c>
      <c r="Y20" s="207" t="s">
        <v>404</v>
      </c>
      <c r="Z20" s="426" t="s">
        <v>821</v>
      </c>
    </row>
    <row r="21" spans="1:26" ht="12.75" customHeight="1">
      <c r="A21" s="204" t="s">
        <v>379</v>
      </c>
      <c r="B21" s="205">
        <v>0.01</v>
      </c>
      <c r="C21" s="213">
        <f t="shared" si="3"/>
        <v>0.01</v>
      </c>
      <c r="D21" s="213">
        <f t="shared" si="3"/>
        <v>0.01</v>
      </c>
      <c r="E21" s="213">
        <f t="shared" si="3"/>
        <v>0.01</v>
      </c>
      <c r="F21" s="213">
        <f t="shared" si="3"/>
        <v>0.01</v>
      </c>
      <c r="G21" s="213">
        <f t="shared" si="3"/>
        <v>0.01</v>
      </c>
      <c r="H21" s="213">
        <f t="shared" si="3"/>
        <v>0.01</v>
      </c>
      <c r="I21" s="213">
        <f t="shared" si="3"/>
        <v>0.01</v>
      </c>
      <c r="J21" s="213">
        <f t="shared" si="3"/>
        <v>0.01</v>
      </c>
      <c r="K21" s="213">
        <f t="shared" si="3"/>
        <v>0.01</v>
      </c>
      <c r="L21" s="213">
        <f t="shared" si="3"/>
        <v>0.01</v>
      </c>
      <c r="M21" s="213">
        <f t="shared" si="3"/>
        <v>0.01</v>
      </c>
      <c r="N21" s="213">
        <f t="shared" si="3"/>
        <v>0.01</v>
      </c>
      <c r="O21" s="213">
        <f t="shared" si="3"/>
        <v>0.01</v>
      </c>
      <c r="P21" s="213">
        <f t="shared" si="3"/>
        <v>0.01</v>
      </c>
      <c r="Q21" s="213">
        <f t="shared" si="3"/>
        <v>0.01</v>
      </c>
      <c r="R21" s="213">
        <f t="shared" si="3"/>
        <v>0.01</v>
      </c>
      <c r="S21" s="213">
        <f t="shared" si="3"/>
        <v>0.01</v>
      </c>
      <c r="T21" s="213">
        <f t="shared" si="3"/>
        <v>0.01</v>
      </c>
      <c r="U21" s="213">
        <f t="shared" si="3"/>
        <v>0.01</v>
      </c>
      <c r="V21" s="213">
        <f t="shared" si="3"/>
        <v>0.01</v>
      </c>
      <c r="W21" s="213">
        <f t="shared" si="3"/>
        <v>0.01</v>
      </c>
      <c r="X21" s="208" t="s">
        <v>817</v>
      </c>
      <c r="Y21" s="207" t="s">
        <v>404</v>
      </c>
      <c r="Z21" s="426" t="s">
        <v>821</v>
      </c>
    </row>
    <row r="22" spans="1:26" ht="12.75" customHeight="1">
      <c r="A22" s="204" t="s">
        <v>785</v>
      </c>
      <c r="B22" s="205">
        <v>0.01</v>
      </c>
      <c r="C22" s="213">
        <f t="shared" si="3"/>
        <v>0.01</v>
      </c>
      <c r="D22" s="213">
        <f t="shared" si="3"/>
        <v>0.01</v>
      </c>
      <c r="E22" s="213">
        <f t="shared" si="3"/>
        <v>0.01</v>
      </c>
      <c r="F22" s="213">
        <f t="shared" si="3"/>
        <v>0.01</v>
      </c>
      <c r="G22" s="213">
        <f t="shared" si="3"/>
        <v>0.01</v>
      </c>
      <c r="H22" s="213">
        <f t="shared" si="3"/>
        <v>0.01</v>
      </c>
      <c r="I22" s="213">
        <f t="shared" si="3"/>
        <v>0.01</v>
      </c>
      <c r="J22" s="213">
        <f t="shared" si="3"/>
        <v>0.01</v>
      </c>
      <c r="K22" s="213">
        <f t="shared" si="3"/>
        <v>0.01</v>
      </c>
      <c r="L22" s="213">
        <f t="shared" si="3"/>
        <v>0.01</v>
      </c>
      <c r="M22" s="213">
        <f t="shared" si="3"/>
        <v>0.01</v>
      </c>
      <c r="N22" s="213">
        <f t="shared" si="3"/>
        <v>0.01</v>
      </c>
      <c r="O22" s="213">
        <f t="shared" si="3"/>
        <v>0.01</v>
      </c>
      <c r="P22" s="213">
        <f t="shared" si="3"/>
        <v>0.01</v>
      </c>
      <c r="Q22" s="213">
        <f t="shared" si="3"/>
        <v>0.01</v>
      </c>
      <c r="R22" s="213">
        <f t="shared" si="3"/>
        <v>0.01</v>
      </c>
      <c r="S22" s="213">
        <f t="shared" si="3"/>
        <v>0.01</v>
      </c>
      <c r="T22" s="213">
        <f t="shared" si="3"/>
        <v>0.01</v>
      </c>
      <c r="U22" s="213">
        <f t="shared" si="3"/>
        <v>0.01</v>
      </c>
      <c r="V22" s="213">
        <f t="shared" si="3"/>
        <v>0.01</v>
      </c>
      <c r="W22" s="213">
        <f t="shared" si="3"/>
        <v>0.01</v>
      </c>
      <c r="X22" s="208" t="s">
        <v>817</v>
      </c>
      <c r="Y22" s="207" t="s">
        <v>404</v>
      </c>
      <c r="Z22" s="426" t="s">
        <v>821</v>
      </c>
    </row>
    <row r="23" spans="1:26" ht="12.75" customHeight="1">
      <c r="A23" s="204" t="s">
        <v>381</v>
      </c>
      <c r="B23" s="205">
        <v>0.01</v>
      </c>
      <c r="C23" s="213">
        <f t="shared" si="3"/>
        <v>0.01</v>
      </c>
      <c r="D23" s="213">
        <f t="shared" si="3"/>
        <v>0.01</v>
      </c>
      <c r="E23" s="213">
        <f t="shared" si="3"/>
        <v>0.01</v>
      </c>
      <c r="F23" s="213">
        <f t="shared" si="3"/>
        <v>0.01</v>
      </c>
      <c r="G23" s="213">
        <f t="shared" si="3"/>
        <v>0.01</v>
      </c>
      <c r="H23" s="213">
        <f t="shared" si="3"/>
        <v>0.01</v>
      </c>
      <c r="I23" s="213">
        <f t="shared" si="3"/>
        <v>0.01</v>
      </c>
      <c r="J23" s="213">
        <f t="shared" si="3"/>
        <v>0.01</v>
      </c>
      <c r="K23" s="213">
        <f t="shared" si="3"/>
        <v>0.01</v>
      </c>
      <c r="L23" s="213">
        <f t="shared" si="3"/>
        <v>0.01</v>
      </c>
      <c r="M23" s="213">
        <f t="shared" si="3"/>
        <v>0.01</v>
      </c>
      <c r="N23" s="213">
        <f t="shared" si="3"/>
        <v>0.01</v>
      </c>
      <c r="O23" s="213">
        <f t="shared" si="3"/>
        <v>0.01</v>
      </c>
      <c r="P23" s="213">
        <f t="shared" si="3"/>
        <v>0.01</v>
      </c>
      <c r="Q23" s="213">
        <f t="shared" si="3"/>
        <v>0.01</v>
      </c>
      <c r="R23" s="213">
        <f t="shared" si="3"/>
        <v>0.01</v>
      </c>
      <c r="S23" s="213">
        <f t="shared" si="3"/>
        <v>0.01</v>
      </c>
      <c r="T23" s="213">
        <f t="shared" si="3"/>
        <v>0.01</v>
      </c>
      <c r="U23" s="213">
        <f t="shared" si="3"/>
        <v>0.01</v>
      </c>
      <c r="V23" s="213">
        <f t="shared" si="3"/>
        <v>0.01</v>
      </c>
      <c r="W23" s="213">
        <f t="shared" si="3"/>
        <v>0.01</v>
      </c>
      <c r="X23" s="208" t="s">
        <v>817</v>
      </c>
      <c r="Y23" s="207" t="s">
        <v>404</v>
      </c>
      <c r="Z23" s="426" t="s">
        <v>821</v>
      </c>
    </row>
    <row r="24" spans="1:26" ht="12.75" customHeight="1">
      <c r="A24" s="204" t="s">
        <v>380</v>
      </c>
      <c r="B24" s="205">
        <v>0.01</v>
      </c>
      <c r="C24" s="213">
        <f t="shared" si="3"/>
        <v>0.01</v>
      </c>
      <c r="D24" s="213">
        <f t="shared" si="3"/>
        <v>0.01</v>
      </c>
      <c r="E24" s="213">
        <f t="shared" si="3"/>
        <v>0.01</v>
      </c>
      <c r="F24" s="213">
        <f t="shared" si="3"/>
        <v>0.01</v>
      </c>
      <c r="G24" s="213">
        <f t="shared" si="3"/>
        <v>0.01</v>
      </c>
      <c r="H24" s="213">
        <f t="shared" si="3"/>
        <v>0.01</v>
      </c>
      <c r="I24" s="213">
        <f t="shared" si="3"/>
        <v>0.01</v>
      </c>
      <c r="J24" s="213">
        <f t="shared" si="3"/>
        <v>0.01</v>
      </c>
      <c r="K24" s="213">
        <f t="shared" si="3"/>
        <v>0.01</v>
      </c>
      <c r="L24" s="213">
        <f t="shared" si="3"/>
        <v>0.01</v>
      </c>
      <c r="M24" s="213">
        <f t="shared" si="3"/>
        <v>0.01</v>
      </c>
      <c r="N24" s="213">
        <f t="shared" si="3"/>
        <v>0.01</v>
      </c>
      <c r="O24" s="213">
        <f t="shared" si="3"/>
        <v>0.01</v>
      </c>
      <c r="P24" s="213">
        <f t="shared" si="3"/>
        <v>0.01</v>
      </c>
      <c r="Q24" s="213">
        <f t="shared" si="3"/>
        <v>0.01</v>
      </c>
      <c r="R24" s="213">
        <f t="shared" si="3"/>
        <v>0.01</v>
      </c>
      <c r="S24" s="213">
        <f t="shared" si="3"/>
        <v>0.01</v>
      </c>
      <c r="T24" s="213">
        <f t="shared" si="3"/>
        <v>0.01</v>
      </c>
      <c r="U24" s="213">
        <f t="shared" si="3"/>
        <v>0.01</v>
      </c>
      <c r="V24" s="213">
        <f t="shared" si="3"/>
        <v>0.01</v>
      </c>
      <c r="W24" s="213">
        <f t="shared" si="3"/>
        <v>0.01</v>
      </c>
      <c r="X24" s="208" t="s">
        <v>817</v>
      </c>
      <c r="Y24" s="209" t="s">
        <v>404</v>
      </c>
      <c r="Z24" s="426" t="s">
        <v>821</v>
      </c>
    </row>
    <row r="25" spans="1:26" ht="12.75" customHeight="1">
      <c r="A25" s="204" t="s">
        <v>405</v>
      </c>
      <c r="B25" s="205">
        <v>0.01</v>
      </c>
      <c r="C25" s="213">
        <f t="shared" si="3"/>
        <v>0.01</v>
      </c>
      <c r="D25" s="213">
        <f t="shared" si="3"/>
        <v>0.01</v>
      </c>
      <c r="E25" s="213">
        <f t="shared" si="3"/>
        <v>0.01</v>
      </c>
      <c r="F25" s="213">
        <f t="shared" si="3"/>
        <v>0.01</v>
      </c>
      <c r="G25" s="213">
        <f t="shared" si="3"/>
        <v>0.01</v>
      </c>
      <c r="H25" s="213">
        <f t="shared" si="3"/>
        <v>0.01</v>
      </c>
      <c r="I25" s="213">
        <f t="shared" si="3"/>
        <v>0.01</v>
      </c>
      <c r="J25" s="213">
        <f t="shared" si="3"/>
        <v>0.01</v>
      </c>
      <c r="K25" s="213">
        <f t="shared" si="3"/>
        <v>0.01</v>
      </c>
      <c r="L25" s="213">
        <f t="shared" si="3"/>
        <v>0.01</v>
      </c>
      <c r="M25" s="213">
        <f t="shared" si="3"/>
        <v>0.01</v>
      </c>
      <c r="N25" s="213">
        <f t="shared" si="3"/>
        <v>0.01</v>
      </c>
      <c r="O25" s="213">
        <f t="shared" si="3"/>
        <v>0.01</v>
      </c>
      <c r="P25" s="213">
        <f t="shared" si="3"/>
        <v>0.01</v>
      </c>
      <c r="Q25" s="213">
        <f t="shared" si="3"/>
        <v>0.01</v>
      </c>
      <c r="R25" s="213">
        <f t="shared" si="3"/>
        <v>0.01</v>
      </c>
      <c r="S25" s="213">
        <f t="shared" si="3"/>
        <v>0.01</v>
      </c>
      <c r="T25" s="213">
        <f t="shared" si="3"/>
        <v>0.01</v>
      </c>
      <c r="U25" s="213">
        <f t="shared" si="3"/>
        <v>0.01</v>
      </c>
      <c r="V25" s="213">
        <f t="shared" si="3"/>
        <v>0.01</v>
      </c>
      <c r="W25" s="213">
        <f t="shared" si="3"/>
        <v>0.01</v>
      </c>
      <c r="X25" s="208" t="s">
        <v>817</v>
      </c>
      <c r="Y25" s="209" t="s">
        <v>404</v>
      </c>
      <c r="Z25" s="426" t="s">
        <v>821</v>
      </c>
    </row>
    <row r="26" spans="1:26" ht="12.75" customHeight="1">
      <c r="A26" s="210" t="s">
        <v>406</v>
      </c>
      <c r="B26" s="205">
        <v>0.01</v>
      </c>
      <c r="C26" s="213">
        <f t="shared" si="3"/>
        <v>0.01</v>
      </c>
      <c r="D26" s="213">
        <f t="shared" si="3"/>
        <v>0.01</v>
      </c>
      <c r="E26" s="213">
        <f t="shared" si="3"/>
        <v>0.01</v>
      </c>
      <c r="F26" s="213">
        <f t="shared" si="3"/>
        <v>0.01</v>
      </c>
      <c r="G26" s="213">
        <f t="shared" si="3"/>
        <v>0.01</v>
      </c>
      <c r="H26" s="213">
        <f t="shared" si="3"/>
        <v>0.01</v>
      </c>
      <c r="I26" s="213">
        <f t="shared" si="3"/>
        <v>0.01</v>
      </c>
      <c r="J26" s="213">
        <f t="shared" si="3"/>
        <v>0.01</v>
      </c>
      <c r="K26" s="213">
        <f t="shared" si="3"/>
        <v>0.01</v>
      </c>
      <c r="L26" s="213">
        <f t="shared" si="3"/>
        <v>0.01</v>
      </c>
      <c r="M26" s="213">
        <f t="shared" si="3"/>
        <v>0.01</v>
      </c>
      <c r="N26" s="213">
        <f t="shared" si="3"/>
        <v>0.01</v>
      </c>
      <c r="O26" s="213">
        <f t="shared" si="3"/>
        <v>0.01</v>
      </c>
      <c r="P26" s="213">
        <f t="shared" si="3"/>
        <v>0.01</v>
      </c>
      <c r="Q26" s="213">
        <f t="shared" si="3"/>
        <v>0.01</v>
      </c>
      <c r="R26" s="213">
        <f t="shared" si="3"/>
        <v>0.01</v>
      </c>
      <c r="S26" s="213">
        <f t="shared" si="3"/>
        <v>0.01</v>
      </c>
      <c r="T26" s="213">
        <f t="shared" si="3"/>
        <v>0.01</v>
      </c>
      <c r="U26" s="213">
        <f t="shared" si="3"/>
        <v>0.01</v>
      </c>
      <c r="V26" s="213">
        <f t="shared" si="3"/>
        <v>0.01</v>
      </c>
      <c r="W26" s="213">
        <f t="shared" si="3"/>
        <v>0.01</v>
      </c>
      <c r="X26" s="208" t="s">
        <v>817</v>
      </c>
      <c r="Y26" s="211" t="s">
        <v>404</v>
      </c>
      <c r="Z26" s="426" t="s">
        <v>821</v>
      </c>
    </row>
    <row r="27" spans="1:26" ht="12.75" customHeight="1">
      <c r="A27" s="210" t="s">
        <v>407</v>
      </c>
      <c r="B27" s="205">
        <v>0.01</v>
      </c>
      <c r="C27" s="213">
        <f t="shared" si="3"/>
        <v>0.01</v>
      </c>
      <c r="D27" s="213">
        <f t="shared" si="3"/>
        <v>0.01</v>
      </c>
      <c r="E27" s="213">
        <f t="shared" si="3"/>
        <v>0.01</v>
      </c>
      <c r="F27" s="213">
        <f t="shared" ref="F27:W27" si="4">+$B27</f>
        <v>0.01</v>
      </c>
      <c r="G27" s="213">
        <f t="shared" si="4"/>
        <v>0.01</v>
      </c>
      <c r="H27" s="213">
        <f t="shared" si="4"/>
        <v>0.01</v>
      </c>
      <c r="I27" s="213">
        <f t="shared" si="4"/>
        <v>0.01</v>
      </c>
      <c r="J27" s="213">
        <f t="shared" si="4"/>
        <v>0.01</v>
      </c>
      <c r="K27" s="213">
        <f t="shared" si="4"/>
        <v>0.01</v>
      </c>
      <c r="L27" s="213">
        <f t="shared" si="4"/>
        <v>0.01</v>
      </c>
      <c r="M27" s="213">
        <f t="shared" si="4"/>
        <v>0.01</v>
      </c>
      <c r="N27" s="213">
        <f t="shared" si="4"/>
        <v>0.01</v>
      </c>
      <c r="O27" s="213">
        <f t="shared" si="4"/>
        <v>0.01</v>
      </c>
      <c r="P27" s="213">
        <f t="shared" si="4"/>
        <v>0.01</v>
      </c>
      <c r="Q27" s="213">
        <f t="shared" si="4"/>
        <v>0.01</v>
      </c>
      <c r="R27" s="213">
        <f t="shared" si="4"/>
        <v>0.01</v>
      </c>
      <c r="S27" s="213">
        <f t="shared" si="4"/>
        <v>0.01</v>
      </c>
      <c r="T27" s="213">
        <f t="shared" si="4"/>
        <v>0.01</v>
      </c>
      <c r="U27" s="213">
        <f t="shared" si="4"/>
        <v>0.01</v>
      </c>
      <c r="V27" s="213">
        <f t="shared" si="4"/>
        <v>0.01</v>
      </c>
      <c r="W27" s="213">
        <f t="shared" si="4"/>
        <v>0.01</v>
      </c>
      <c r="X27" s="208" t="s">
        <v>817</v>
      </c>
      <c r="Y27" s="211" t="s">
        <v>404</v>
      </c>
      <c r="Z27" s="426" t="s">
        <v>821</v>
      </c>
    </row>
    <row r="28" spans="1:26" ht="12.75" customHeight="1">
      <c r="A28" s="210" t="s">
        <v>408</v>
      </c>
      <c r="B28" s="205">
        <v>0.01</v>
      </c>
      <c r="C28" s="213">
        <f t="shared" ref="C28:W40" si="5">+$B28</f>
        <v>0.01</v>
      </c>
      <c r="D28" s="213">
        <f t="shared" si="5"/>
        <v>0.01</v>
      </c>
      <c r="E28" s="213">
        <f t="shared" si="5"/>
        <v>0.01</v>
      </c>
      <c r="F28" s="213">
        <f t="shared" si="5"/>
        <v>0.01</v>
      </c>
      <c r="G28" s="213">
        <f t="shared" si="5"/>
        <v>0.01</v>
      </c>
      <c r="H28" s="213">
        <f t="shared" si="5"/>
        <v>0.01</v>
      </c>
      <c r="I28" s="213">
        <f t="shared" si="5"/>
        <v>0.01</v>
      </c>
      <c r="J28" s="213">
        <f t="shared" si="5"/>
        <v>0.01</v>
      </c>
      <c r="K28" s="213">
        <f t="shared" si="5"/>
        <v>0.01</v>
      </c>
      <c r="L28" s="213">
        <f t="shared" si="5"/>
        <v>0.01</v>
      </c>
      <c r="M28" s="213">
        <f t="shared" si="5"/>
        <v>0.01</v>
      </c>
      <c r="N28" s="213">
        <f t="shared" si="5"/>
        <v>0.01</v>
      </c>
      <c r="O28" s="213">
        <f t="shared" si="5"/>
        <v>0.01</v>
      </c>
      <c r="P28" s="213">
        <f t="shared" si="5"/>
        <v>0.01</v>
      </c>
      <c r="Q28" s="213">
        <f t="shared" si="5"/>
        <v>0.01</v>
      </c>
      <c r="R28" s="213">
        <f t="shared" si="5"/>
        <v>0.01</v>
      </c>
      <c r="S28" s="213">
        <f t="shared" si="5"/>
        <v>0.01</v>
      </c>
      <c r="T28" s="213">
        <f t="shared" si="5"/>
        <v>0.01</v>
      </c>
      <c r="U28" s="213">
        <f t="shared" si="5"/>
        <v>0.01</v>
      </c>
      <c r="V28" s="213">
        <f t="shared" si="5"/>
        <v>0.01</v>
      </c>
      <c r="W28" s="213">
        <f t="shared" si="5"/>
        <v>0.01</v>
      </c>
      <c r="X28" s="208" t="s">
        <v>817</v>
      </c>
      <c r="Y28" s="211" t="s">
        <v>404</v>
      </c>
      <c r="Z28" s="426" t="s">
        <v>821</v>
      </c>
    </row>
    <row r="29" spans="1:26" ht="12.75" customHeight="1">
      <c r="A29" s="210" t="s">
        <v>382</v>
      </c>
      <c r="B29" s="205">
        <v>0.01</v>
      </c>
      <c r="C29" s="213">
        <f t="shared" si="5"/>
        <v>0.01</v>
      </c>
      <c r="D29" s="213">
        <f t="shared" si="5"/>
        <v>0.01</v>
      </c>
      <c r="E29" s="213">
        <f t="shared" si="5"/>
        <v>0.01</v>
      </c>
      <c r="F29" s="213">
        <f t="shared" si="5"/>
        <v>0.01</v>
      </c>
      <c r="G29" s="213">
        <f t="shared" si="5"/>
        <v>0.01</v>
      </c>
      <c r="H29" s="213">
        <f t="shared" si="5"/>
        <v>0.01</v>
      </c>
      <c r="I29" s="213">
        <f t="shared" si="5"/>
        <v>0.01</v>
      </c>
      <c r="J29" s="213">
        <f t="shared" si="5"/>
        <v>0.01</v>
      </c>
      <c r="K29" s="213">
        <f t="shared" si="5"/>
        <v>0.01</v>
      </c>
      <c r="L29" s="213">
        <f t="shared" si="5"/>
        <v>0.01</v>
      </c>
      <c r="M29" s="213">
        <f t="shared" si="5"/>
        <v>0.01</v>
      </c>
      <c r="N29" s="213">
        <f t="shared" si="5"/>
        <v>0.01</v>
      </c>
      <c r="O29" s="213">
        <f t="shared" si="5"/>
        <v>0.01</v>
      </c>
      <c r="P29" s="213">
        <f t="shared" si="5"/>
        <v>0.01</v>
      </c>
      <c r="Q29" s="213">
        <f t="shared" si="5"/>
        <v>0.01</v>
      </c>
      <c r="R29" s="213">
        <f t="shared" si="5"/>
        <v>0.01</v>
      </c>
      <c r="S29" s="213">
        <f t="shared" si="5"/>
        <v>0.01</v>
      </c>
      <c r="T29" s="213">
        <f t="shared" si="5"/>
        <v>0.01</v>
      </c>
      <c r="U29" s="213">
        <f t="shared" si="5"/>
        <v>0.01</v>
      </c>
      <c r="V29" s="213">
        <f t="shared" si="5"/>
        <v>0.01</v>
      </c>
      <c r="W29" s="213">
        <f t="shared" si="5"/>
        <v>0.01</v>
      </c>
      <c r="X29" s="208" t="s">
        <v>817</v>
      </c>
      <c r="Y29" s="212" t="s">
        <v>404</v>
      </c>
      <c r="Z29" s="426" t="s">
        <v>821</v>
      </c>
    </row>
    <row r="30" spans="1:26" ht="12.75" customHeight="1">
      <c r="A30" s="204" t="s">
        <v>383</v>
      </c>
      <c r="B30" s="205">
        <v>0.01</v>
      </c>
      <c r="C30" s="213">
        <f t="shared" si="5"/>
        <v>0.01</v>
      </c>
      <c r="D30" s="213">
        <f t="shared" si="5"/>
        <v>0.01</v>
      </c>
      <c r="E30" s="213">
        <f t="shared" si="5"/>
        <v>0.01</v>
      </c>
      <c r="F30" s="213">
        <f t="shared" si="5"/>
        <v>0.01</v>
      </c>
      <c r="G30" s="213">
        <f t="shared" si="5"/>
        <v>0.01</v>
      </c>
      <c r="H30" s="213">
        <f t="shared" si="5"/>
        <v>0.01</v>
      </c>
      <c r="I30" s="213">
        <f t="shared" si="5"/>
        <v>0.01</v>
      </c>
      <c r="J30" s="213">
        <f t="shared" si="5"/>
        <v>0.01</v>
      </c>
      <c r="K30" s="213">
        <f t="shared" si="5"/>
        <v>0.01</v>
      </c>
      <c r="L30" s="213">
        <f t="shared" si="5"/>
        <v>0.01</v>
      </c>
      <c r="M30" s="213">
        <f t="shared" si="5"/>
        <v>0.01</v>
      </c>
      <c r="N30" s="213">
        <f t="shared" si="5"/>
        <v>0.01</v>
      </c>
      <c r="O30" s="213">
        <f t="shared" si="5"/>
        <v>0.01</v>
      </c>
      <c r="P30" s="213">
        <f t="shared" si="5"/>
        <v>0.01</v>
      </c>
      <c r="Q30" s="213">
        <f t="shared" si="5"/>
        <v>0.01</v>
      </c>
      <c r="R30" s="213">
        <f t="shared" si="5"/>
        <v>0.01</v>
      </c>
      <c r="S30" s="213">
        <f t="shared" si="5"/>
        <v>0.01</v>
      </c>
      <c r="T30" s="213">
        <f t="shared" si="5"/>
        <v>0.01</v>
      </c>
      <c r="U30" s="213">
        <f t="shared" si="5"/>
        <v>0.01</v>
      </c>
      <c r="V30" s="213">
        <f t="shared" si="5"/>
        <v>0.01</v>
      </c>
      <c r="W30" s="213">
        <f t="shared" si="5"/>
        <v>0.01</v>
      </c>
      <c r="X30" s="206" t="s">
        <v>817</v>
      </c>
      <c r="Y30" s="207" t="s">
        <v>404</v>
      </c>
      <c r="Z30" s="426" t="s">
        <v>821</v>
      </c>
    </row>
    <row r="31" spans="1:26" ht="12.75" customHeight="1">
      <c r="A31" s="204" t="s">
        <v>409</v>
      </c>
      <c r="B31" s="205">
        <v>0.01</v>
      </c>
      <c r="C31" s="213">
        <f t="shared" si="5"/>
        <v>0.01</v>
      </c>
      <c r="D31" s="213">
        <f t="shared" si="5"/>
        <v>0.01</v>
      </c>
      <c r="E31" s="213">
        <f t="shared" si="5"/>
        <v>0.01</v>
      </c>
      <c r="F31" s="213">
        <f t="shared" si="5"/>
        <v>0.01</v>
      </c>
      <c r="G31" s="213">
        <f t="shared" si="5"/>
        <v>0.01</v>
      </c>
      <c r="H31" s="213">
        <f t="shared" si="5"/>
        <v>0.01</v>
      </c>
      <c r="I31" s="213">
        <f t="shared" si="5"/>
        <v>0.01</v>
      </c>
      <c r="J31" s="213">
        <f t="shared" si="5"/>
        <v>0.01</v>
      </c>
      <c r="K31" s="213">
        <f t="shared" si="5"/>
        <v>0.01</v>
      </c>
      <c r="L31" s="213">
        <f t="shared" si="5"/>
        <v>0.01</v>
      </c>
      <c r="M31" s="213">
        <f t="shared" si="5"/>
        <v>0.01</v>
      </c>
      <c r="N31" s="213">
        <f t="shared" si="5"/>
        <v>0.01</v>
      </c>
      <c r="O31" s="213">
        <f t="shared" si="5"/>
        <v>0.01</v>
      </c>
      <c r="P31" s="213">
        <f t="shared" si="5"/>
        <v>0.01</v>
      </c>
      <c r="Q31" s="213">
        <f t="shared" si="5"/>
        <v>0.01</v>
      </c>
      <c r="R31" s="213">
        <f t="shared" si="5"/>
        <v>0.01</v>
      </c>
      <c r="S31" s="213">
        <f t="shared" si="5"/>
        <v>0.01</v>
      </c>
      <c r="T31" s="213">
        <f t="shared" si="5"/>
        <v>0.01</v>
      </c>
      <c r="U31" s="213">
        <f t="shared" si="5"/>
        <v>0.01</v>
      </c>
      <c r="V31" s="213">
        <f t="shared" si="5"/>
        <v>0.01</v>
      </c>
      <c r="W31" s="213">
        <f t="shared" si="5"/>
        <v>0.01</v>
      </c>
      <c r="X31" s="206" t="s">
        <v>817</v>
      </c>
      <c r="Y31" s="209" t="s">
        <v>404</v>
      </c>
      <c r="Z31" s="426" t="s">
        <v>821</v>
      </c>
    </row>
    <row r="32" spans="1:26" ht="12.75" customHeight="1">
      <c r="A32" s="263" t="s">
        <v>410</v>
      </c>
      <c r="B32" s="264">
        <v>0.01</v>
      </c>
      <c r="C32" s="266">
        <f t="shared" si="5"/>
        <v>0.01</v>
      </c>
      <c r="D32" s="266">
        <f t="shared" si="5"/>
        <v>0.01</v>
      </c>
      <c r="E32" s="266">
        <f t="shared" si="5"/>
        <v>0.01</v>
      </c>
      <c r="F32" s="266">
        <f t="shared" si="5"/>
        <v>0.01</v>
      </c>
      <c r="G32" s="266">
        <f t="shared" si="5"/>
        <v>0.01</v>
      </c>
      <c r="H32" s="266">
        <f t="shared" si="5"/>
        <v>0.01</v>
      </c>
      <c r="I32" s="266">
        <f t="shared" si="5"/>
        <v>0.01</v>
      </c>
      <c r="J32" s="266">
        <f t="shared" si="5"/>
        <v>0.01</v>
      </c>
      <c r="K32" s="266">
        <f t="shared" si="5"/>
        <v>0.01</v>
      </c>
      <c r="L32" s="266">
        <f t="shared" si="5"/>
        <v>0.01</v>
      </c>
      <c r="M32" s="266">
        <f t="shared" si="5"/>
        <v>0.01</v>
      </c>
      <c r="N32" s="266">
        <f t="shared" si="5"/>
        <v>0.01</v>
      </c>
      <c r="O32" s="266">
        <f t="shared" si="5"/>
        <v>0.01</v>
      </c>
      <c r="P32" s="266">
        <f t="shared" si="5"/>
        <v>0.01</v>
      </c>
      <c r="Q32" s="266">
        <f t="shared" si="5"/>
        <v>0.01</v>
      </c>
      <c r="R32" s="266">
        <f t="shared" si="5"/>
        <v>0.01</v>
      </c>
      <c r="S32" s="266">
        <f t="shared" si="5"/>
        <v>0.01</v>
      </c>
      <c r="T32" s="266">
        <f t="shared" si="5"/>
        <v>0.01</v>
      </c>
      <c r="U32" s="266">
        <f t="shared" si="5"/>
        <v>0.01</v>
      </c>
      <c r="V32" s="266">
        <f t="shared" si="5"/>
        <v>0.01</v>
      </c>
      <c r="W32" s="266">
        <f t="shared" si="5"/>
        <v>0.01</v>
      </c>
      <c r="X32" s="265" t="s">
        <v>817</v>
      </c>
      <c r="Y32" s="266" t="s">
        <v>404</v>
      </c>
      <c r="Z32" s="426" t="s">
        <v>821</v>
      </c>
    </row>
    <row r="33" spans="1:26" ht="12.75" customHeight="1">
      <c r="A33" s="204" t="s">
        <v>411</v>
      </c>
      <c r="B33" s="205">
        <v>9.9999999999999995E-7</v>
      </c>
      <c r="C33" s="213">
        <f t="shared" si="5"/>
        <v>9.9999999999999995E-7</v>
      </c>
      <c r="D33" s="213">
        <f t="shared" si="5"/>
        <v>9.9999999999999995E-7</v>
      </c>
      <c r="E33" s="213">
        <f t="shared" si="5"/>
        <v>9.9999999999999995E-7</v>
      </c>
      <c r="F33" s="213">
        <f t="shared" si="5"/>
        <v>9.9999999999999995E-7</v>
      </c>
      <c r="G33" s="213">
        <f t="shared" si="5"/>
        <v>9.9999999999999995E-7</v>
      </c>
      <c r="H33" s="213">
        <f t="shared" si="5"/>
        <v>9.9999999999999995E-7</v>
      </c>
      <c r="I33" s="213">
        <f t="shared" si="5"/>
        <v>9.9999999999999995E-7</v>
      </c>
      <c r="J33" s="213">
        <f t="shared" si="5"/>
        <v>9.9999999999999995E-7</v>
      </c>
      <c r="K33" s="213">
        <f t="shared" si="5"/>
        <v>9.9999999999999995E-7</v>
      </c>
      <c r="L33" s="213">
        <f t="shared" si="5"/>
        <v>9.9999999999999995E-7</v>
      </c>
      <c r="M33" s="213">
        <f t="shared" si="5"/>
        <v>9.9999999999999995E-7</v>
      </c>
      <c r="N33" s="213">
        <f t="shared" si="5"/>
        <v>9.9999999999999995E-7</v>
      </c>
      <c r="O33" s="213">
        <f t="shared" si="5"/>
        <v>9.9999999999999995E-7</v>
      </c>
      <c r="P33" s="213">
        <f t="shared" si="5"/>
        <v>9.9999999999999995E-7</v>
      </c>
      <c r="Q33" s="213">
        <f t="shared" si="5"/>
        <v>9.9999999999999995E-7</v>
      </c>
      <c r="R33" s="213">
        <f t="shared" si="5"/>
        <v>9.9999999999999995E-7</v>
      </c>
      <c r="S33" s="213">
        <f t="shared" si="5"/>
        <v>9.9999999999999995E-7</v>
      </c>
      <c r="T33" s="213">
        <f t="shared" si="5"/>
        <v>9.9999999999999995E-7</v>
      </c>
      <c r="U33" s="213">
        <f t="shared" si="5"/>
        <v>9.9999999999999995E-7</v>
      </c>
      <c r="V33" s="213">
        <f t="shared" si="5"/>
        <v>9.9999999999999995E-7</v>
      </c>
      <c r="W33" s="213">
        <f t="shared" si="5"/>
        <v>9.9999999999999995E-7</v>
      </c>
      <c r="X33" s="206" t="s">
        <v>817</v>
      </c>
      <c r="Y33" s="213" t="s">
        <v>291</v>
      </c>
      <c r="Z33" s="426" t="s">
        <v>821</v>
      </c>
    </row>
    <row r="34" spans="1:26" ht="12.75" customHeight="1">
      <c r="A34" s="204" t="s">
        <v>762</v>
      </c>
      <c r="B34" s="370">
        <v>1E-14</v>
      </c>
      <c r="C34" s="213">
        <f t="shared" si="5"/>
        <v>1E-14</v>
      </c>
      <c r="D34" s="213">
        <f t="shared" si="5"/>
        <v>1E-14</v>
      </c>
      <c r="E34" s="213">
        <f t="shared" si="5"/>
        <v>1E-14</v>
      </c>
      <c r="F34" s="213">
        <f t="shared" si="5"/>
        <v>1E-14</v>
      </c>
      <c r="G34" s="213">
        <f t="shared" si="5"/>
        <v>1E-14</v>
      </c>
      <c r="H34" s="213">
        <f t="shared" si="5"/>
        <v>1E-14</v>
      </c>
      <c r="I34" s="213">
        <f t="shared" si="5"/>
        <v>1E-14</v>
      </c>
      <c r="J34" s="213">
        <f t="shared" si="5"/>
        <v>1E-14</v>
      </c>
      <c r="K34" s="213">
        <f t="shared" si="5"/>
        <v>1E-14</v>
      </c>
      <c r="L34" s="213">
        <f t="shared" si="5"/>
        <v>1E-14</v>
      </c>
      <c r="M34" s="213">
        <f t="shared" si="5"/>
        <v>1E-14</v>
      </c>
      <c r="N34" s="213">
        <f t="shared" si="5"/>
        <v>1E-14</v>
      </c>
      <c r="O34" s="213">
        <f t="shared" si="5"/>
        <v>1E-14</v>
      </c>
      <c r="P34" s="213">
        <f t="shared" si="5"/>
        <v>1E-14</v>
      </c>
      <c r="Q34" s="213">
        <f t="shared" si="5"/>
        <v>1E-14</v>
      </c>
      <c r="R34" s="213">
        <f t="shared" si="5"/>
        <v>1E-14</v>
      </c>
      <c r="S34" s="213">
        <f t="shared" si="5"/>
        <v>1E-14</v>
      </c>
      <c r="T34" s="213">
        <f t="shared" si="5"/>
        <v>1E-14</v>
      </c>
      <c r="U34" s="213">
        <f t="shared" si="5"/>
        <v>1E-14</v>
      </c>
      <c r="V34" s="213">
        <f t="shared" si="5"/>
        <v>1E-14</v>
      </c>
      <c r="W34" s="213">
        <f t="shared" si="5"/>
        <v>1E-14</v>
      </c>
      <c r="X34" s="206" t="s">
        <v>345</v>
      </c>
      <c r="Y34" s="207" t="s">
        <v>291</v>
      </c>
      <c r="Z34" s="426" t="s">
        <v>821</v>
      </c>
    </row>
    <row r="35" spans="1:26" ht="12.75" customHeight="1" thickBot="1">
      <c r="A35" s="259" t="s">
        <v>445</v>
      </c>
      <c r="B35" s="260">
        <v>9.9999999999999995E-7</v>
      </c>
      <c r="C35" s="262">
        <f t="shared" si="5"/>
        <v>9.9999999999999995E-7</v>
      </c>
      <c r="D35" s="262">
        <f t="shared" si="5"/>
        <v>9.9999999999999995E-7</v>
      </c>
      <c r="E35" s="262">
        <f t="shared" si="5"/>
        <v>9.9999999999999995E-7</v>
      </c>
      <c r="F35" s="262">
        <f t="shared" si="5"/>
        <v>9.9999999999999995E-7</v>
      </c>
      <c r="G35" s="262">
        <f t="shared" si="5"/>
        <v>9.9999999999999995E-7</v>
      </c>
      <c r="H35" s="262">
        <f t="shared" si="5"/>
        <v>9.9999999999999995E-7</v>
      </c>
      <c r="I35" s="262">
        <f t="shared" si="5"/>
        <v>9.9999999999999995E-7</v>
      </c>
      <c r="J35" s="262">
        <f t="shared" si="5"/>
        <v>9.9999999999999995E-7</v>
      </c>
      <c r="K35" s="262">
        <f t="shared" si="5"/>
        <v>9.9999999999999995E-7</v>
      </c>
      <c r="L35" s="262">
        <f t="shared" si="5"/>
        <v>9.9999999999999995E-7</v>
      </c>
      <c r="M35" s="262">
        <f t="shared" si="5"/>
        <v>9.9999999999999995E-7</v>
      </c>
      <c r="N35" s="262">
        <f t="shared" si="5"/>
        <v>9.9999999999999995E-7</v>
      </c>
      <c r="O35" s="262">
        <f t="shared" si="5"/>
        <v>9.9999999999999995E-7</v>
      </c>
      <c r="P35" s="262">
        <f t="shared" si="5"/>
        <v>9.9999999999999995E-7</v>
      </c>
      <c r="Q35" s="262">
        <f t="shared" si="5"/>
        <v>9.9999999999999995E-7</v>
      </c>
      <c r="R35" s="262">
        <f t="shared" si="5"/>
        <v>9.9999999999999995E-7</v>
      </c>
      <c r="S35" s="262">
        <f t="shared" si="5"/>
        <v>9.9999999999999995E-7</v>
      </c>
      <c r="T35" s="262">
        <f t="shared" si="5"/>
        <v>9.9999999999999995E-7</v>
      </c>
      <c r="U35" s="262">
        <f t="shared" si="5"/>
        <v>9.9999999999999995E-7</v>
      </c>
      <c r="V35" s="262">
        <f t="shared" si="5"/>
        <v>9.9999999999999995E-7</v>
      </c>
      <c r="W35" s="262">
        <f t="shared" si="5"/>
        <v>9.9999999999999995E-7</v>
      </c>
      <c r="X35" s="261" t="s">
        <v>817</v>
      </c>
      <c r="Y35" s="262" t="s">
        <v>291</v>
      </c>
      <c r="Z35" s="426" t="s">
        <v>821</v>
      </c>
    </row>
    <row r="36" spans="1:26" ht="12.75" customHeight="1">
      <c r="A36" s="288" t="s">
        <v>532</v>
      </c>
      <c r="B36" s="325">
        <f>+(OperatParam!$B4/OperatParam!$B$3)*PhysParam!B$6/(OperatParam!$B$2*PhysParam!B$5)</f>
        <v>8.1141766669622238E-8</v>
      </c>
      <c r="C36" s="325">
        <f t="shared" si="5"/>
        <v>8.1141766669622238E-8</v>
      </c>
      <c r="D36" s="325">
        <f t="shared" si="5"/>
        <v>8.1141766669622238E-8</v>
      </c>
      <c r="E36" s="325">
        <f t="shared" si="5"/>
        <v>8.1141766669622238E-8</v>
      </c>
      <c r="F36" s="325">
        <f t="shared" si="5"/>
        <v>8.1141766669622238E-8</v>
      </c>
      <c r="G36" s="325">
        <f t="shared" si="5"/>
        <v>8.1141766669622238E-8</v>
      </c>
      <c r="H36" s="325">
        <f t="shared" si="5"/>
        <v>8.1141766669622238E-8</v>
      </c>
      <c r="I36" s="325">
        <f t="shared" si="5"/>
        <v>8.1141766669622238E-8</v>
      </c>
      <c r="J36" s="325">
        <f t="shared" si="5"/>
        <v>8.1141766669622238E-8</v>
      </c>
      <c r="K36" s="325">
        <f t="shared" si="5"/>
        <v>8.1141766669622238E-8</v>
      </c>
      <c r="L36" s="325">
        <f t="shared" si="5"/>
        <v>8.1141766669622238E-8</v>
      </c>
      <c r="M36" s="325">
        <f t="shared" si="5"/>
        <v>8.1141766669622238E-8</v>
      </c>
      <c r="N36" s="325">
        <f t="shared" si="5"/>
        <v>8.1141766669622238E-8</v>
      </c>
      <c r="O36" s="325">
        <f t="shared" si="5"/>
        <v>8.1141766669622238E-8</v>
      </c>
      <c r="P36" s="325">
        <f t="shared" si="5"/>
        <v>8.1141766669622238E-8</v>
      </c>
      <c r="Q36" s="325">
        <f t="shared" si="5"/>
        <v>8.1141766669622238E-8</v>
      </c>
      <c r="R36" s="325">
        <f t="shared" si="5"/>
        <v>8.1141766669622238E-8</v>
      </c>
      <c r="S36" s="325">
        <f t="shared" si="5"/>
        <v>8.1141766669622238E-8</v>
      </c>
      <c r="T36" s="325">
        <f t="shared" si="5"/>
        <v>8.1141766669622238E-8</v>
      </c>
      <c r="U36" s="325">
        <f t="shared" si="5"/>
        <v>8.1141766669622238E-8</v>
      </c>
      <c r="V36" s="325">
        <f t="shared" si="5"/>
        <v>8.1141766669622238E-8</v>
      </c>
      <c r="W36" s="325">
        <f t="shared" si="5"/>
        <v>8.1141766669622238E-8</v>
      </c>
      <c r="X36" s="289" t="s">
        <v>720</v>
      </c>
      <c r="Y36" s="267" t="s">
        <v>715</v>
      </c>
      <c r="Z36" s="426" t="s">
        <v>821</v>
      </c>
    </row>
    <row r="37" spans="1:26" ht="12.75" customHeight="1">
      <c r="A37" s="204" t="s">
        <v>714</v>
      </c>
      <c r="B37" s="191">
        <f>+(OperatParam!$B5/OperatParam!$B$3)*PhysParam!B$6/(OperatParam!$B$2*PhysParam!B$5)</f>
        <v>1.6025498917250392E-5</v>
      </c>
      <c r="C37" s="191">
        <f t="shared" si="5"/>
        <v>1.6025498917250392E-5</v>
      </c>
      <c r="D37" s="191">
        <f t="shared" si="5"/>
        <v>1.6025498917250392E-5</v>
      </c>
      <c r="E37" s="191">
        <f t="shared" si="5"/>
        <v>1.6025498917250392E-5</v>
      </c>
      <c r="F37" s="191">
        <f t="shared" si="5"/>
        <v>1.6025498917250392E-5</v>
      </c>
      <c r="G37" s="191">
        <f t="shared" si="5"/>
        <v>1.6025498917250392E-5</v>
      </c>
      <c r="H37" s="191">
        <f t="shared" si="5"/>
        <v>1.6025498917250392E-5</v>
      </c>
      <c r="I37" s="191">
        <f t="shared" si="5"/>
        <v>1.6025498917250392E-5</v>
      </c>
      <c r="J37" s="191">
        <f t="shared" si="5"/>
        <v>1.6025498917250392E-5</v>
      </c>
      <c r="K37" s="191">
        <f t="shared" si="5"/>
        <v>1.6025498917250392E-5</v>
      </c>
      <c r="L37" s="191">
        <f t="shared" si="5"/>
        <v>1.6025498917250392E-5</v>
      </c>
      <c r="M37" s="191">
        <f t="shared" si="5"/>
        <v>1.6025498917250392E-5</v>
      </c>
      <c r="N37" s="191">
        <f t="shared" si="5"/>
        <v>1.6025498917250392E-5</v>
      </c>
      <c r="O37" s="191">
        <f t="shared" si="5"/>
        <v>1.6025498917250392E-5</v>
      </c>
      <c r="P37" s="191">
        <f t="shared" si="5"/>
        <v>1.6025498917250392E-5</v>
      </c>
      <c r="Q37" s="191">
        <f t="shared" si="5"/>
        <v>1.6025498917250392E-5</v>
      </c>
      <c r="R37" s="191">
        <f t="shared" si="5"/>
        <v>1.6025498917250392E-5</v>
      </c>
      <c r="S37" s="191">
        <f t="shared" si="5"/>
        <v>1.6025498917250392E-5</v>
      </c>
      <c r="T37" s="191">
        <f t="shared" si="5"/>
        <v>1.6025498917250392E-5</v>
      </c>
      <c r="U37" s="191">
        <f t="shared" si="5"/>
        <v>1.6025498917250392E-5</v>
      </c>
      <c r="V37" s="191">
        <f t="shared" si="5"/>
        <v>1.6025498917250392E-5</v>
      </c>
      <c r="W37" s="191">
        <f t="shared" si="5"/>
        <v>1.6025498917250392E-5</v>
      </c>
      <c r="X37" s="190" t="s">
        <v>720</v>
      </c>
      <c r="Y37" s="187" t="s">
        <v>715</v>
      </c>
      <c r="Z37" s="426" t="s">
        <v>821</v>
      </c>
    </row>
    <row r="38" spans="1:26" ht="12.75" customHeight="1">
      <c r="A38" s="204" t="s">
        <v>533</v>
      </c>
      <c r="B38" s="191">
        <f>+(OperatParam!$B6/OperatParam!$B$3)*PhysParam!B$6/(OperatParam!$B$2*PhysParam!B$5)</f>
        <v>2.028544166740556E-8</v>
      </c>
      <c r="C38" s="191">
        <f t="shared" si="5"/>
        <v>2.028544166740556E-8</v>
      </c>
      <c r="D38" s="191">
        <f t="shared" si="5"/>
        <v>2.028544166740556E-8</v>
      </c>
      <c r="E38" s="191">
        <f t="shared" si="5"/>
        <v>2.028544166740556E-8</v>
      </c>
      <c r="F38" s="191">
        <f t="shared" si="5"/>
        <v>2.028544166740556E-8</v>
      </c>
      <c r="G38" s="191">
        <f t="shared" si="5"/>
        <v>2.028544166740556E-8</v>
      </c>
      <c r="H38" s="191">
        <f t="shared" si="5"/>
        <v>2.028544166740556E-8</v>
      </c>
      <c r="I38" s="191">
        <f t="shared" si="5"/>
        <v>2.028544166740556E-8</v>
      </c>
      <c r="J38" s="191">
        <f t="shared" si="5"/>
        <v>2.028544166740556E-8</v>
      </c>
      <c r="K38" s="191">
        <f t="shared" si="5"/>
        <v>2.028544166740556E-8</v>
      </c>
      <c r="L38" s="191">
        <f t="shared" si="5"/>
        <v>2.028544166740556E-8</v>
      </c>
      <c r="M38" s="191">
        <f t="shared" si="5"/>
        <v>2.028544166740556E-8</v>
      </c>
      <c r="N38" s="191">
        <f t="shared" si="5"/>
        <v>2.028544166740556E-8</v>
      </c>
      <c r="O38" s="191">
        <f t="shared" si="5"/>
        <v>2.028544166740556E-8</v>
      </c>
      <c r="P38" s="191">
        <f t="shared" si="5"/>
        <v>2.028544166740556E-8</v>
      </c>
      <c r="Q38" s="191">
        <f t="shared" si="5"/>
        <v>2.028544166740556E-8</v>
      </c>
      <c r="R38" s="191">
        <f t="shared" si="5"/>
        <v>2.028544166740556E-8</v>
      </c>
      <c r="S38" s="191">
        <f t="shared" si="5"/>
        <v>2.028544166740556E-8</v>
      </c>
      <c r="T38" s="191">
        <f t="shared" si="5"/>
        <v>2.028544166740556E-8</v>
      </c>
      <c r="U38" s="191">
        <f t="shared" si="5"/>
        <v>2.028544166740556E-8</v>
      </c>
      <c r="V38" s="191">
        <f t="shared" si="5"/>
        <v>2.028544166740556E-8</v>
      </c>
      <c r="W38" s="191">
        <f t="shared" si="5"/>
        <v>2.028544166740556E-8</v>
      </c>
      <c r="X38" s="190" t="s">
        <v>720</v>
      </c>
      <c r="Y38" s="187" t="s">
        <v>715</v>
      </c>
      <c r="Z38" s="426" t="s">
        <v>821</v>
      </c>
    </row>
    <row r="39" spans="1:26" ht="12.75" customHeight="1">
      <c r="A39" s="204" t="s">
        <v>534</v>
      </c>
      <c r="B39" s="191">
        <f>+(OperatParam!$B7/OperatParam!$B$3)*PhysParam!B$6/(OperatParam!$B$2*PhysParam!B$5)</f>
        <v>3.2572435112561443E-2</v>
      </c>
      <c r="C39" s="191">
        <f t="shared" si="5"/>
        <v>3.2572435112561443E-2</v>
      </c>
      <c r="D39" s="191">
        <f t="shared" si="5"/>
        <v>3.2572435112561443E-2</v>
      </c>
      <c r="E39" s="191">
        <f t="shared" si="5"/>
        <v>3.2572435112561443E-2</v>
      </c>
      <c r="F39" s="191">
        <f t="shared" si="5"/>
        <v>3.2572435112561443E-2</v>
      </c>
      <c r="G39" s="191">
        <f t="shared" si="5"/>
        <v>3.2572435112561443E-2</v>
      </c>
      <c r="H39" s="191">
        <f t="shared" si="5"/>
        <v>3.2572435112561443E-2</v>
      </c>
      <c r="I39" s="191">
        <f t="shared" si="5"/>
        <v>3.2572435112561443E-2</v>
      </c>
      <c r="J39" s="191">
        <f t="shared" si="5"/>
        <v>3.2572435112561443E-2</v>
      </c>
      <c r="K39" s="191">
        <f t="shared" si="5"/>
        <v>3.2572435112561443E-2</v>
      </c>
      <c r="L39" s="191">
        <f t="shared" si="5"/>
        <v>3.2572435112561443E-2</v>
      </c>
      <c r="M39" s="191">
        <f t="shared" si="5"/>
        <v>3.2572435112561443E-2</v>
      </c>
      <c r="N39" s="191">
        <f t="shared" si="5"/>
        <v>3.2572435112561443E-2</v>
      </c>
      <c r="O39" s="191">
        <f t="shared" si="5"/>
        <v>3.2572435112561443E-2</v>
      </c>
      <c r="P39" s="191">
        <f t="shared" si="5"/>
        <v>3.2572435112561443E-2</v>
      </c>
      <c r="Q39" s="191">
        <f t="shared" si="5"/>
        <v>3.2572435112561443E-2</v>
      </c>
      <c r="R39" s="191">
        <f t="shared" si="5"/>
        <v>3.2572435112561443E-2</v>
      </c>
      <c r="S39" s="191">
        <f t="shared" si="5"/>
        <v>3.2572435112561443E-2</v>
      </c>
      <c r="T39" s="191">
        <f t="shared" si="5"/>
        <v>3.2572435112561443E-2</v>
      </c>
      <c r="U39" s="191">
        <f t="shared" si="5"/>
        <v>3.2572435112561443E-2</v>
      </c>
      <c r="V39" s="191">
        <f t="shared" si="5"/>
        <v>3.2572435112561443E-2</v>
      </c>
      <c r="W39" s="191">
        <f t="shared" si="5"/>
        <v>3.2572435112561443E-2</v>
      </c>
      <c r="X39" s="190" t="s">
        <v>720</v>
      </c>
      <c r="Y39" s="187" t="s">
        <v>715</v>
      </c>
      <c r="Z39" s="426" t="s">
        <v>821</v>
      </c>
    </row>
    <row r="40" spans="1:26" ht="12.75" customHeight="1">
      <c r="A40" s="204" t="s">
        <v>535</v>
      </c>
      <c r="B40" s="191">
        <f>+(OperatParam!$B8/OperatParam!$B$3)*PhysParam!B$6/(OperatParam!$B$2*PhysParam!B$5)</f>
        <v>0</v>
      </c>
      <c r="C40" s="191">
        <f t="shared" si="5"/>
        <v>0</v>
      </c>
      <c r="D40" s="191">
        <f t="shared" si="5"/>
        <v>0</v>
      </c>
      <c r="E40" s="191">
        <f t="shared" si="5"/>
        <v>0</v>
      </c>
      <c r="F40" s="191">
        <f t="shared" ref="F40:W40" si="6">+$B40</f>
        <v>0</v>
      </c>
      <c r="G40" s="191">
        <f t="shared" si="6"/>
        <v>0</v>
      </c>
      <c r="H40" s="191">
        <f t="shared" si="6"/>
        <v>0</v>
      </c>
      <c r="I40" s="191">
        <f t="shared" si="6"/>
        <v>0</v>
      </c>
      <c r="J40" s="191">
        <f t="shared" si="6"/>
        <v>0</v>
      </c>
      <c r="K40" s="191">
        <f t="shared" si="6"/>
        <v>0</v>
      </c>
      <c r="L40" s="191">
        <f t="shared" si="6"/>
        <v>0</v>
      </c>
      <c r="M40" s="191">
        <f t="shared" si="6"/>
        <v>0</v>
      </c>
      <c r="N40" s="191">
        <f t="shared" si="6"/>
        <v>0</v>
      </c>
      <c r="O40" s="191">
        <f t="shared" si="6"/>
        <v>0</v>
      </c>
      <c r="P40" s="191">
        <f t="shared" si="6"/>
        <v>0</v>
      </c>
      <c r="Q40" s="191">
        <f t="shared" si="6"/>
        <v>0</v>
      </c>
      <c r="R40" s="191">
        <f t="shared" si="6"/>
        <v>0</v>
      </c>
      <c r="S40" s="191">
        <f t="shared" si="6"/>
        <v>0</v>
      </c>
      <c r="T40" s="191">
        <f t="shared" si="6"/>
        <v>0</v>
      </c>
      <c r="U40" s="191">
        <f t="shared" si="6"/>
        <v>0</v>
      </c>
      <c r="V40" s="191">
        <f t="shared" si="6"/>
        <v>0</v>
      </c>
      <c r="W40" s="191">
        <f t="shared" si="6"/>
        <v>0</v>
      </c>
      <c r="X40" s="190" t="s">
        <v>720</v>
      </c>
      <c r="Y40" s="187" t="s">
        <v>715</v>
      </c>
      <c r="Z40" s="426" t="s">
        <v>821</v>
      </c>
    </row>
    <row r="41" spans="1:26" ht="12.75" customHeight="1" thickBot="1">
      <c r="A41" s="259" t="s">
        <v>536</v>
      </c>
      <c r="B41" s="326">
        <f>+(OperatParam!$B9/OperatParam!$B$3)*PhysParam!B$6/(OperatParam!$B$2*PhysParam!B$5)</f>
        <v>8.5198855003103362E-3</v>
      </c>
      <c r="C41" s="326">
        <f>+$B$41*PhysParam!C7</f>
        <v>3.134290716698841E-3</v>
      </c>
      <c r="D41" s="326">
        <f>+$B$41*PhysParam!D7</f>
        <v>1.1530411173280091E-3</v>
      </c>
      <c r="E41" s="326">
        <f>+$B$41*PhysParam!E7</f>
        <v>4.2418012189032343E-4</v>
      </c>
      <c r="F41" s="326">
        <f>+$B$41*PhysParam!F7</f>
        <v>1.5604714619704644E-4</v>
      </c>
      <c r="G41" s="326">
        <f>+$B$41*PhysParam!G7</f>
        <v>5.7406536939367811E-5</v>
      </c>
      <c r="H41" s="326">
        <f>+$B$41*PhysParam!H7</f>
        <v>2.1118684728842392E-5</v>
      </c>
      <c r="I41" s="326">
        <f>+$B$41*PhysParam!I7</f>
        <v>7.769129936322413E-6</v>
      </c>
      <c r="J41" s="326">
        <f>+$B$41*PhysParam!J7</f>
        <v>2.8581031793626123E-6</v>
      </c>
      <c r="K41" s="326">
        <f>+$B$41*PhysParam!K7</f>
        <v>1.0514374004342405E-6</v>
      </c>
      <c r="L41" s="326">
        <f>+$B$41*PhysParam!L7</f>
        <v>3.868022032985024E-7</v>
      </c>
      <c r="M41" s="326">
        <f>+$B$41*PhysParam!M7</f>
        <v>1.4229657839333568E-7</v>
      </c>
      <c r="N41" s="326">
        <f>+$B$41*PhysParam!N7</f>
        <v>5.2347985739948665E-8</v>
      </c>
      <c r="O41" s="326">
        <f>+$B$41*PhysParam!O7</f>
        <v>1.9257747740462946E-8</v>
      </c>
      <c r="P41" s="326">
        <f>+$B$41*PhysParam!P7</f>
        <v>7.0845294769821146E-9</v>
      </c>
      <c r="Q41" s="326">
        <f>+$B$41*PhysParam!Q7</f>
        <v>2.6062527449547908E-9</v>
      </c>
      <c r="R41" s="326">
        <f>+$B$41*PhysParam!R7</f>
        <v>9.5878680336550609E-10</v>
      </c>
      <c r="S41" s="326">
        <f>+$B$41*PhysParam!S7</f>
        <v>3.5271795342465591E-10</v>
      </c>
      <c r="T41" s="326">
        <f>+$B$41*PhysParam!T7</f>
        <v>1.2975768359699725E-10</v>
      </c>
      <c r="U41" s="326">
        <f>+$B$41*PhysParam!U7</f>
        <v>4.7735184129364172E-11</v>
      </c>
      <c r="V41" s="326">
        <f>+$B$41*PhysParam!V7</f>
        <v>1.7560792861726396E-11</v>
      </c>
      <c r="W41" s="326">
        <f>+$B$41*PhysParam!W7</f>
        <v>6.4602546644993593E-12</v>
      </c>
      <c r="X41" s="290" t="s">
        <v>720</v>
      </c>
      <c r="Y41" s="290" t="s">
        <v>715</v>
      </c>
      <c r="Z41" s="426" t="s">
        <v>821</v>
      </c>
    </row>
    <row r="42" spans="1:26" ht="12.75" customHeight="1">
      <c r="B42" s="189"/>
    </row>
    <row r="43" spans="1:26" ht="12.75" customHeight="1">
      <c r="B43" s="189"/>
      <c r="C43" s="189"/>
      <c r="D43" s="189"/>
      <c r="E43" s="189"/>
      <c r="F43" s="189"/>
      <c r="G43" s="189"/>
      <c r="H43" s="189"/>
      <c r="I43" s="189"/>
      <c r="J43" s="189"/>
      <c r="K43" s="189"/>
      <c r="L43" s="189"/>
      <c r="M43" s="189"/>
      <c r="N43" s="189"/>
      <c r="O43" s="189"/>
      <c r="P43" s="189"/>
      <c r="Q43" s="189"/>
      <c r="R43" s="189"/>
      <c r="S43" s="189"/>
      <c r="T43" s="189"/>
      <c r="U43" s="189"/>
      <c r="V43" s="189"/>
      <c r="W43" s="189"/>
    </row>
    <row r="44" spans="1:26" ht="12.75" customHeight="1">
      <c r="B44" s="189"/>
      <c r="C44" s="189"/>
      <c r="D44" s="189"/>
      <c r="E44" s="189"/>
      <c r="F44" s="189"/>
      <c r="G44" s="189"/>
      <c r="H44" s="189"/>
      <c r="I44" s="189"/>
      <c r="J44" s="189"/>
      <c r="K44" s="189"/>
      <c r="L44" s="189"/>
      <c r="M44" s="189"/>
      <c r="N44" s="189"/>
      <c r="O44" s="189"/>
      <c r="P44" s="189"/>
      <c r="Q44" s="189"/>
      <c r="R44" s="189"/>
      <c r="S44" s="189"/>
      <c r="T44" s="189"/>
      <c r="U44" s="189"/>
      <c r="V44" s="189"/>
      <c r="W44" s="189"/>
      <c r="X44" s="189"/>
    </row>
    <row r="45" spans="1:26" ht="12.75" customHeight="1">
      <c r="B45" s="189"/>
    </row>
    <row r="46" spans="1:26">
      <c r="B46" s="189"/>
    </row>
    <row r="47" spans="1:26">
      <c r="A47" s="191"/>
      <c r="B47" s="189"/>
    </row>
    <row r="48" spans="1:26">
      <c r="B48" s="189"/>
    </row>
  </sheetData>
  <phoneticPr fontId="3" type="noConversion"/>
  <conditionalFormatting sqref="B46:B65536">
    <cfRule type="cellIs" dxfId="59" priority="1" stopIfTrue="1" operator="between">
      <formula>-0.000001</formula>
      <formula>0.000001</formula>
    </cfRule>
  </conditionalFormatting>
  <conditionalFormatting sqref="C14:Y14 C1:W13 C15:W41 B1:B41">
    <cfRule type="cellIs" dxfId="58" priority="3" stopIfTrue="1" operator="lessThanOrEqual">
      <formula>0.000000000001</formula>
    </cfRule>
  </conditionalFormatting>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59"/>
  <sheetViews>
    <sheetView workbookViewId="0">
      <selection activeCell="P39" sqref="P39"/>
    </sheetView>
  </sheetViews>
  <sheetFormatPr defaultColWidth="11.44140625" defaultRowHeight="13.2"/>
  <cols>
    <col min="1" max="1" width="11.44140625" style="270" bestFit="1" customWidth="1"/>
    <col min="2" max="23" width="7.109375" style="271" customWidth="1"/>
    <col min="24" max="24" width="11.109375" style="271" bestFit="1" customWidth="1"/>
    <col min="25" max="16384" width="11.44140625" style="271"/>
  </cols>
  <sheetData>
    <row r="1" spans="1:42" ht="15.6">
      <c r="A1" s="270" t="s">
        <v>736</v>
      </c>
      <c r="B1" s="271">
        <v>0</v>
      </c>
      <c r="C1" s="271">
        <v>0</v>
      </c>
      <c r="D1" s="271">
        <v>0</v>
      </c>
      <c r="E1" s="271">
        <v>0</v>
      </c>
      <c r="F1" s="271">
        <v>0</v>
      </c>
      <c r="G1" s="271">
        <v>0</v>
      </c>
      <c r="H1" s="271">
        <v>0</v>
      </c>
      <c r="I1" s="271">
        <v>0</v>
      </c>
      <c r="J1" s="271">
        <v>0</v>
      </c>
      <c r="K1" s="271">
        <v>0</v>
      </c>
      <c r="L1" s="271">
        <v>0</v>
      </c>
      <c r="M1" s="271">
        <v>0</v>
      </c>
      <c r="N1" s="271">
        <v>0</v>
      </c>
      <c r="O1" s="271">
        <v>0</v>
      </c>
      <c r="P1" s="271">
        <v>0</v>
      </c>
      <c r="Q1" s="271">
        <v>0</v>
      </c>
      <c r="R1" s="271">
        <v>0</v>
      </c>
      <c r="S1" s="271">
        <v>0</v>
      </c>
      <c r="T1" s="271">
        <v>0</v>
      </c>
      <c r="U1" s="271">
        <v>0</v>
      </c>
      <c r="V1" s="271">
        <v>0</v>
      </c>
      <c r="W1" s="271">
        <v>0</v>
      </c>
      <c r="X1" s="271" t="s">
        <v>737</v>
      </c>
    </row>
    <row r="2" spans="1:42">
      <c r="A2" s="270" t="s">
        <v>823</v>
      </c>
      <c r="B2" s="271">
        <v>0</v>
      </c>
      <c r="C2" s="271">
        <v>0</v>
      </c>
      <c r="D2" s="271">
        <v>0</v>
      </c>
      <c r="E2" s="271">
        <v>0</v>
      </c>
      <c r="F2" s="271">
        <v>0</v>
      </c>
      <c r="G2" s="271">
        <v>0</v>
      </c>
      <c r="H2" s="271">
        <v>0</v>
      </c>
      <c r="I2" s="271">
        <v>0</v>
      </c>
      <c r="J2" s="271">
        <v>0</v>
      </c>
      <c r="K2" s="271">
        <v>0</v>
      </c>
      <c r="L2" s="271">
        <v>0</v>
      </c>
      <c r="M2" s="271">
        <v>0</v>
      </c>
      <c r="N2" s="271">
        <v>0</v>
      </c>
      <c r="O2" s="271">
        <v>0</v>
      </c>
      <c r="P2" s="271">
        <v>0</v>
      </c>
      <c r="Q2" s="271">
        <v>0</v>
      </c>
      <c r="R2" s="271">
        <v>0</v>
      </c>
      <c r="S2" s="271">
        <v>0</v>
      </c>
      <c r="T2" s="271">
        <v>0</v>
      </c>
      <c r="U2" s="271">
        <v>0</v>
      </c>
      <c r="V2" s="271">
        <v>0</v>
      </c>
      <c r="W2" s="271">
        <v>0</v>
      </c>
      <c r="X2" s="403" t="s">
        <v>824</v>
      </c>
    </row>
    <row r="3" spans="1:42">
      <c r="A3" s="270" t="s">
        <v>566</v>
      </c>
      <c r="B3" s="271">
        <v>7</v>
      </c>
      <c r="C3" s="271">
        <v>7</v>
      </c>
      <c r="D3" s="271">
        <v>7</v>
      </c>
      <c r="E3" s="271">
        <v>7</v>
      </c>
      <c r="F3" s="271">
        <v>7</v>
      </c>
      <c r="G3" s="271">
        <v>7</v>
      </c>
      <c r="H3" s="271">
        <v>7</v>
      </c>
      <c r="I3" s="271">
        <v>7</v>
      </c>
      <c r="J3" s="271">
        <v>7</v>
      </c>
      <c r="K3" s="271">
        <v>7</v>
      </c>
      <c r="L3" s="271">
        <v>7</v>
      </c>
      <c r="M3" s="271">
        <v>7</v>
      </c>
      <c r="N3" s="271">
        <v>7</v>
      </c>
      <c r="O3" s="271">
        <v>7</v>
      </c>
      <c r="P3" s="271">
        <v>7</v>
      </c>
      <c r="Q3" s="271">
        <v>7</v>
      </c>
      <c r="R3" s="271">
        <v>7</v>
      </c>
      <c r="S3" s="271">
        <v>7</v>
      </c>
      <c r="T3" s="271">
        <v>7</v>
      </c>
      <c r="U3" s="271">
        <v>7</v>
      </c>
      <c r="V3" s="271">
        <v>7</v>
      </c>
      <c r="W3" s="271">
        <v>7</v>
      </c>
      <c r="X3" s="271" t="s">
        <v>353</v>
      </c>
    </row>
    <row r="4" spans="1:42" s="272" customFormat="1" ht="12" customHeight="1">
      <c r="A4" s="270" t="s">
        <v>567</v>
      </c>
      <c r="B4" s="404">
        <f>10^-B3</f>
        <v>9.9999999999999995E-8</v>
      </c>
      <c r="C4" s="404">
        <f t="shared" ref="C4:W4" si="0">10^-C3</f>
        <v>9.9999999999999995E-8</v>
      </c>
      <c r="D4" s="404">
        <f t="shared" si="0"/>
        <v>9.9999999999999995E-8</v>
      </c>
      <c r="E4" s="404">
        <f t="shared" si="0"/>
        <v>9.9999999999999995E-8</v>
      </c>
      <c r="F4" s="404">
        <f t="shared" si="0"/>
        <v>9.9999999999999995E-8</v>
      </c>
      <c r="G4" s="404">
        <f t="shared" si="0"/>
        <v>9.9999999999999995E-8</v>
      </c>
      <c r="H4" s="404">
        <f t="shared" si="0"/>
        <v>9.9999999999999995E-8</v>
      </c>
      <c r="I4" s="404">
        <f t="shared" si="0"/>
        <v>9.9999999999999995E-8</v>
      </c>
      <c r="J4" s="404">
        <f t="shared" si="0"/>
        <v>9.9999999999999995E-8</v>
      </c>
      <c r="K4" s="404">
        <f t="shared" si="0"/>
        <v>9.9999999999999995E-8</v>
      </c>
      <c r="L4" s="404">
        <f t="shared" si="0"/>
        <v>9.9999999999999995E-8</v>
      </c>
      <c r="M4" s="404">
        <f t="shared" si="0"/>
        <v>9.9999999999999995E-8</v>
      </c>
      <c r="N4" s="404">
        <f t="shared" si="0"/>
        <v>9.9999999999999995E-8</v>
      </c>
      <c r="O4" s="404">
        <f t="shared" si="0"/>
        <v>9.9999999999999995E-8</v>
      </c>
      <c r="P4" s="404">
        <f t="shared" si="0"/>
        <v>9.9999999999999995E-8</v>
      </c>
      <c r="Q4" s="404">
        <f t="shared" si="0"/>
        <v>9.9999999999999995E-8</v>
      </c>
      <c r="R4" s="404">
        <f t="shared" si="0"/>
        <v>9.9999999999999995E-8</v>
      </c>
      <c r="S4" s="404">
        <f t="shared" si="0"/>
        <v>9.9999999999999995E-8</v>
      </c>
      <c r="T4" s="404">
        <f t="shared" si="0"/>
        <v>9.9999999999999995E-8</v>
      </c>
      <c r="U4" s="404">
        <f t="shared" si="0"/>
        <v>9.9999999999999995E-8</v>
      </c>
      <c r="V4" s="404">
        <f t="shared" si="0"/>
        <v>9.9999999999999995E-8</v>
      </c>
      <c r="W4" s="404">
        <f t="shared" si="0"/>
        <v>9.9999999999999995E-8</v>
      </c>
      <c r="X4" s="271" t="s">
        <v>565</v>
      </c>
    </row>
    <row r="5" spans="1:42" s="272" customFormat="1" ht="12" customHeight="1">
      <c r="A5" s="270" t="s">
        <v>509</v>
      </c>
      <c r="B5" s="271">
        <v>0</v>
      </c>
      <c r="C5" s="271">
        <v>0</v>
      </c>
      <c r="D5" s="271">
        <v>0</v>
      </c>
      <c r="E5" s="271">
        <v>0</v>
      </c>
      <c r="F5" s="271">
        <v>0</v>
      </c>
      <c r="G5" s="271">
        <v>0</v>
      </c>
      <c r="H5" s="271">
        <v>0</v>
      </c>
      <c r="I5" s="271">
        <v>0</v>
      </c>
      <c r="J5" s="271">
        <v>0</v>
      </c>
      <c r="K5" s="271">
        <v>0</v>
      </c>
      <c r="L5" s="271">
        <v>0</v>
      </c>
      <c r="M5" s="271">
        <v>0</v>
      </c>
      <c r="N5" s="271">
        <v>0</v>
      </c>
      <c r="O5" s="271">
        <v>0</v>
      </c>
      <c r="P5" s="271">
        <v>0</v>
      </c>
      <c r="Q5" s="271">
        <v>0</v>
      </c>
      <c r="R5" s="271">
        <v>0</v>
      </c>
      <c r="S5" s="271">
        <v>0</v>
      </c>
      <c r="T5" s="271">
        <v>0</v>
      </c>
      <c r="U5" s="271">
        <v>0</v>
      </c>
      <c r="V5" s="271">
        <v>0</v>
      </c>
      <c r="W5" s="271">
        <v>0</v>
      </c>
      <c r="X5" s="271" t="s">
        <v>565</v>
      </c>
    </row>
    <row r="6" spans="1:42" s="272" customFormat="1" ht="12" customHeight="1">
      <c r="A6" s="270" t="s">
        <v>542</v>
      </c>
      <c r="B6" s="271">
        <v>0</v>
      </c>
      <c r="C6" s="271">
        <v>0</v>
      </c>
      <c r="D6" s="271">
        <v>0</v>
      </c>
      <c r="E6" s="271">
        <v>0</v>
      </c>
      <c r="F6" s="271">
        <v>0</v>
      </c>
      <c r="G6" s="271">
        <v>0</v>
      </c>
      <c r="H6" s="271">
        <v>0</v>
      </c>
      <c r="I6" s="271">
        <v>0</v>
      </c>
      <c r="J6" s="271">
        <v>0</v>
      </c>
      <c r="K6" s="271">
        <v>0</v>
      </c>
      <c r="L6" s="271">
        <v>0</v>
      </c>
      <c r="M6" s="271">
        <v>0</v>
      </c>
      <c r="N6" s="271">
        <v>0</v>
      </c>
      <c r="O6" s="271">
        <v>0</v>
      </c>
      <c r="P6" s="271">
        <v>0</v>
      </c>
      <c r="Q6" s="271">
        <v>0</v>
      </c>
      <c r="R6" s="271">
        <v>0</v>
      </c>
      <c r="S6" s="271">
        <v>0</v>
      </c>
      <c r="T6" s="271">
        <v>0</v>
      </c>
      <c r="U6" s="271">
        <v>0</v>
      </c>
      <c r="V6" s="271">
        <v>0</v>
      </c>
      <c r="W6" s="271">
        <v>0</v>
      </c>
      <c r="X6" s="271" t="s">
        <v>565</v>
      </c>
    </row>
    <row r="7" spans="1:42" s="272" customFormat="1" ht="12" customHeight="1">
      <c r="A7" s="270" t="s">
        <v>543</v>
      </c>
      <c r="B7" s="271">
        <v>0</v>
      </c>
      <c r="C7" s="271">
        <v>0</v>
      </c>
      <c r="D7" s="271">
        <v>0</v>
      </c>
      <c r="E7" s="271">
        <v>0</v>
      </c>
      <c r="F7" s="271">
        <v>0</v>
      </c>
      <c r="G7" s="271">
        <v>0</v>
      </c>
      <c r="H7" s="271">
        <v>0</v>
      </c>
      <c r="I7" s="271">
        <v>0</v>
      </c>
      <c r="J7" s="271">
        <v>0</v>
      </c>
      <c r="K7" s="271">
        <v>0</v>
      </c>
      <c r="L7" s="271">
        <v>0</v>
      </c>
      <c r="M7" s="271">
        <v>0</v>
      </c>
      <c r="N7" s="271">
        <v>0</v>
      </c>
      <c r="O7" s="271">
        <v>0</v>
      </c>
      <c r="P7" s="271">
        <v>0</v>
      </c>
      <c r="Q7" s="271">
        <v>0</v>
      </c>
      <c r="R7" s="271">
        <v>0</v>
      </c>
      <c r="S7" s="271">
        <v>0</v>
      </c>
      <c r="T7" s="271">
        <v>0</v>
      </c>
      <c r="U7" s="271">
        <v>0</v>
      </c>
      <c r="V7" s="271">
        <v>0</v>
      </c>
      <c r="W7" s="271">
        <v>0</v>
      </c>
      <c r="X7" s="271" t="s">
        <v>565</v>
      </c>
      <c r="Y7" s="271"/>
      <c r="AA7" s="271"/>
      <c r="AB7" s="271"/>
      <c r="AC7" s="271"/>
      <c r="AD7" s="271"/>
      <c r="AE7" s="271"/>
      <c r="AF7" s="271"/>
      <c r="AG7" s="271"/>
      <c r="AH7" s="271"/>
      <c r="AI7" s="271"/>
      <c r="AJ7" s="271"/>
      <c r="AK7" s="271"/>
      <c r="AL7" s="271"/>
      <c r="AM7" s="271"/>
      <c r="AN7" s="271"/>
      <c r="AO7" s="271"/>
      <c r="AP7" s="271"/>
    </row>
    <row r="8" spans="1:42" ht="15.6">
      <c r="A8" s="270" t="s">
        <v>537</v>
      </c>
      <c r="B8" s="271">
        <v>0</v>
      </c>
      <c r="C8" s="271">
        <v>0</v>
      </c>
      <c r="D8" s="271">
        <v>0</v>
      </c>
      <c r="E8" s="271">
        <v>0</v>
      </c>
      <c r="F8" s="271">
        <v>0</v>
      </c>
      <c r="G8" s="271">
        <v>0</v>
      </c>
      <c r="H8" s="271">
        <v>0</v>
      </c>
      <c r="I8" s="271">
        <v>0</v>
      </c>
      <c r="J8" s="271">
        <v>0</v>
      </c>
      <c r="K8" s="271">
        <v>0</v>
      </c>
      <c r="L8" s="271">
        <v>0</v>
      </c>
      <c r="M8" s="271">
        <v>0</v>
      </c>
      <c r="N8" s="271">
        <v>0</v>
      </c>
      <c r="O8" s="271">
        <v>0</v>
      </c>
      <c r="P8" s="271">
        <v>0</v>
      </c>
      <c r="Q8" s="271">
        <v>0</v>
      </c>
      <c r="R8" s="271">
        <v>0</v>
      </c>
      <c r="S8" s="271">
        <v>0</v>
      </c>
      <c r="T8" s="271">
        <v>0</v>
      </c>
      <c r="U8" s="271">
        <v>0</v>
      </c>
      <c r="V8" s="271">
        <v>0</v>
      </c>
      <c r="W8" s="271">
        <v>0</v>
      </c>
      <c r="X8" s="271" t="s">
        <v>565</v>
      </c>
      <c r="Z8" s="272"/>
    </row>
    <row r="9" spans="1:42" ht="15.6">
      <c r="A9" s="270" t="s">
        <v>538</v>
      </c>
      <c r="B9" s="271">
        <v>0</v>
      </c>
      <c r="C9" s="271">
        <v>0</v>
      </c>
      <c r="D9" s="271">
        <v>0</v>
      </c>
      <c r="E9" s="271">
        <v>0</v>
      </c>
      <c r="F9" s="271">
        <v>0</v>
      </c>
      <c r="G9" s="271">
        <v>0</v>
      </c>
      <c r="H9" s="271">
        <v>0</v>
      </c>
      <c r="I9" s="271">
        <v>0</v>
      </c>
      <c r="J9" s="271">
        <v>0</v>
      </c>
      <c r="K9" s="271">
        <v>0</v>
      </c>
      <c r="L9" s="271">
        <v>0</v>
      </c>
      <c r="M9" s="271">
        <v>0</v>
      </c>
      <c r="N9" s="271">
        <v>0</v>
      </c>
      <c r="O9" s="271">
        <v>0</v>
      </c>
      <c r="P9" s="271">
        <v>0</v>
      </c>
      <c r="Q9" s="271">
        <v>0</v>
      </c>
      <c r="R9" s="271">
        <v>0</v>
      </c>
      <c r="S9" s="271">
        <v>0</v>
      </c>
      <c r="T9" s="271">
        <v>0</v>
      </c>
      <c r="U9" s="271">
        <v>0</v>
      </c>
      <c r="V9" s="271">
        <v>0</v>
      </c>
      <c r="W9" s="271">
        <v>0</v>
      </c>
      <c r="X9" s="271" t="s">
        <v>565</v>
      </c>
      <c r="Z9" s="272"/>
    </row>
    <row r="10" spans="1:42" ht="15.6">
      <c r="A10" s="270" t="s">
        <v>539</v>
      </c>
      <c r="B10" s="271">
        <v>0</v>
      </c>
      <c r="C10" s="271">
        <v>0</v>
      </c>
      <c r="D10" s="271">
        <v>0</v>
      </c>
      <c r="E10" s="271">
        <v>0</v>
      </c>
      <c r="F10" s="271">
        <v>0</v>
      </c>
      <c r="G10" s="271">
        <v>0</v>
      </c>
      <c r="H10" s="271">
        <v>0</v>
      </c>
      <c r="I10" s="271">
        <v>0</v>
      </c>
      <c r="J10" s="271">
        <v>0</v>
      </c>
      <c r="K10" s="271">
        <v>0</v>
      </c>
      <c r="L10" s="271">
        <v>0</v>
      </c>
      <c r="M10" s="271">
        <v>0</v>
      </c>
      <c r="N10" s="271">
        <v>0</v>
      </c>
      <c r="O10" s="271">
        <v>0</v>
      </c>
      <c r="P10" s="271">
        <v>0</v>
      </c>
      <c r="Q10" s="271">
        <v>0</v>
      </c>
      <c r="R10" s="271">
        <v>0</v>
      </c>
      <c r="S10" s="271">
        <v>0</v>
      </c>
      <c r="T10" s="271">
        <v>0</v>
      </c>
      <c r="U10" s="271">
        <v>0</v>
      </c>
      <c r="V10" s="271">
        <v>0</v>
      </c>
      <c r="W10" s="271">
        <v>0</v>
      </c>
      <c r="X10" s="271" t="s">
        <v>565</v>
      </c>
      <c r="Z10" s="272"/>
    </row>
    <row r="11" spans="1:42" ht="15.6">
      <c r="A11" s="243" t="s">
        <v>540</v>
      </c>
      <c r="B11" s="272">
        <v>0</v>
      </c>
      <c r="C11" s="271">
        <v>0</v>
      </c>
      <c r="D11" s="271">
        <v>0</v>
      </c>
      <c r="E11" s="271">
        <v>0</v>
      </c>
      <c r="F11" s="271">
        <v>0</v>
      </c>
      <c r="G11" s="271">
        <v>0</v>
      </c>
      <c r="H11" s="271">
        <v>0</v>
      </c>
      <c r="I11" s="271">
        <v>0</v>
      </c>
      <c r="J11" s="271">
        <v>0</v>
      </c>
      <c r="K11" s="271">
        <v>0</v>
      </c>
      <c r="L11" s="271">
        <v>0</v>
      </c>
      <c r="M11" s="271">
        <v>0</v>
      </c>
      <c r="N11" s="271">
        <v>0</v>
      </c>
      <c r="O11" s="271">
        <v>0</v>
      </c>
      <c r="P11" s="271">
        <v>0</v>
      </c>
      <c r="Q11" s="271">
        <v>0</v>
      </c>
      <c r="R11" s="271">
        <v>0</v>
      </c>
      <c r="S11" s="271">
        <v>0</v>
      </c>
      <c r="T11" s="271">
        <v>0</v>
      </c>
      <c r="U11" s="271">
        <v>0</v>
      </c>
      <c r="V11" s="271">
        <v>0</v>
      </c>
      <c r="W11" s="271">
        <v>0</v>
      </c>
      <c r="X11" s="272" t="s">
        <v>565</v>
      </c>
    </row>
    <row r="12" spans="1:42" ht="15.6">
      <c r="A12" s="270" t="s">
        <v>544</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t="s">
        <v>565</v>
      </c>
      <c r="Z12" s="272"/>
    </row>
    <row r="13" spans="1:42" ht="15.6">
      <c r="A13" s="270" t="s">
        <v>545</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t="s">
        <v>565</v>
      </c>
      <c r="Z13" s="272"/>
    </row>
    <row r="14" spans="1:42" ht="15.6">
      <c r="A14" s="270" t="s">
        <v>541</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t="s">
        <v>565</v>
      </c>
      <c r="Z14" s="272"/>
    </row>
    <row r="15" spans="1:42" ht="15.6">
      <c r="A15" s="270" t="s">
        <v>548</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t="s">
        <v>565</v>
      </c>
      <c r="Z15" s="272"/>
    </row>
    <row r="16" spans="1:42" ht="15.6">
      <c r="A16" s="270" t="s">
        <v>403</v>
      </c>
      <c r="B16" s="271">
        <v>0</v>
      </c>
      <c r="C16" s="271">
        <v>0</v>
      </c>
      <c r="D16" s="271">
        <v>0</v>
      </c>
      <c r="E16" s="271">
        <v>0</v>
      </c>
      <c r="F16" s="271">
        <v>0</v>
      </c>
      <c r="G16" s="271">
        <v>0</v>
      </c>
      <c r="H16" s="271">
        <v>0</v>
      </c>
      <c r="I16" s="271">
        <v>0</v>
      </c>
      <c r="J16" s="271">
        <v>0</v>
      </c>
      <c r="K16" s="271">
        <v>0</v>
      </c>
      <c r="L16" s="271">
        <v>0</v>
      </c>
      <c r="M16" s="271">
        <v>0</v>
      </c>
      <c r="N16" s="271">
        <v>0</v>
      </c>
      <c r="O16" s="271">
        <v>0</v>
      </c>
      <c r="P16" s="271">
        <v>0</v>
      </c>
      <c r="Q16" s="271">
        <v>0</v>
      </c>
      <c r="R16" s="271">
        <v>0</v>
      </c>
      <c r="S16" s="271">
        <v>0</v>
      </c>
      <c r="T16" s="271">
        <v>0</v>
      </c>
      <c r="U16" s="271">
        <v>0</v>
      </c>
      <c r="V16" s="271">
        <v>0</v>
      </c>
      <c r="W16" s="271">
        <v>0</v>
      </c>
      <c r="X16" s="271" t="s">
        <v>565</v>
      </c>
      <c r="Z16" s="272"/>
    </row>
    <row r="17" spans="1:26" ht="15.6">
      <c r="A17" s="270" t="s">
        <v>550</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t="s">
        <v>565</v>
      </c>
      <c r="Z17" s="272"/>
    </row>
    <row r="18" spans="1:26">
      <c r="A18" s="418" t="str">
        <f ca="1">CONCATENATE("DGV_",OFFSET(ReactMatrix!$B$1,COLUMN(A18)-COLUMN($A$18),ROW(C20)-ROW($C$20)))</f>
        <v>DGV_rMcyb</v>
      </c>
      <c r="B18" s="419">
        <v>0</v>
      </c>
      <c r="C18" s="419">
        <v>0</v>
      </c>
      <c r="D18" s="419">
        <v>0</v>
      </c>
      <c r="E18" s="419">
        <v>0</v>
      </c>
      <c r="F18" s="419">
        <v>0</v>
      </c>
      <c r="G18" s="419">
        <v>0</v>
      </c>
      <c r="H18" s="419">
        <v>0</v>
      </c>
      <c r="I18" s="419">
        <v>0</v>
      </c>
      <c r="J18" s="419">
        <v>0</v>
      </c>
      <c r="K18" s="419">
        <v>0</v>
      </c>
      <c r="L18" s="419">
        <v>0</v>
      </c>
      <c r="M18" s="419">
        <v>0</v>
      </c>
      <c r="N18" s="419">
        <v>0</v>
      </c>
      <c r="O18" s="419">
        <v>0</v>
      </c>
      <c r="P18" s="419">
        <v>0</v>
      </c>
      <c r="Q18" s="419">
        <v>0</v>
      </c>
      <c r="R18" s="419">
        <v>0</v>
      </c>
      <c r="S18" s="419">
        <v>0</v>
      </c>
      <c r="T18" s="419">
        <v>0</v>
      </c>
      <c r="U18" s="419">
        <v>0</v>
      </c>
      <c r="V18" s="419">
        <v>0</v>
      </c>
      <c r="W18" s="419">
        <v>0</v>
      </c>
      <c r="X18" s="420" t="s">
        <v>205</v>
      </c>
      <c r="Z18" s="272"/>
    </row>
    <row r="19" spans="1:26">
      <c r="A19" s="417" t="str">
        <f ca="1">CONCATENATE("DGV_",OFFSET(ReactMatrix!$B$1,COLUMN(A19)-COLUMN($A$18),ROW(C21)-ROW($C$20)))</f>
        <v>DGV_rMfer</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403" t="s">
        <v>205</v>
      </c>
      <c r="Z19" s="272"/>
    </row>
    <row r="20" spans="1:26">
      <c r="A20" s="417" t="str">
        <f ca="1">CONCATENATE("DGV_",OFFSET(ReactMatrix!$B$1,COLUMN(A20)-COLUMN($A$18),ROW(C22)-ROW($C$20)))</f>
        <v>DGV_rMhglu</v>
      </c>
      <c r="B20" s="271">
        <v>0</v>
      </c>
      <c r="C20" s="271">
        <v>0</v>
      </c>
      <c r="D20" s="271">
        <v>0</v>
      </c>
      <c r="E20" s="271">
        <v>0</v>
      </c>
      <c r="F20" s="271">
        <v>0</v>
      </c>
      <c r="G20" s="271">
        <v>0</v>
      </c>
      <c r="H20" s="271">
        <v>0</v>
      </c>
      <c r="I20" s="271">
        <v>0</v>
      </c>
      <c r="J20" s="271">
        <v>0</v>
      </c>
      <c r="K20" s="271">
        <v>0</v>
      </c>
      <c r="L20" s="271">
        <v>0</v>
      </c>
      <c r="M20" s="271">
        <v>0</v>
      </c>
      <c r="N20" s="271">
        <v>0</v>
      </c>
      <c r="O20" s="271">
        <v>0</v>
      </c>
      <c r="P20" s="271">
        <v>0</v>
      </c>
      <c r="Q20" s="271">
        <v>0</v>
      </c>
      <c r="R20" s="271">
        <v>0</v>
      </c>
      <c r="S20" s="271">
        <v>0</v>
      </c>
      <c r="T20" s="271">
        <v>0</v>
      </c>
      <c r="U20" s="271">
        <v>0</v>
      </c>
      <c r="V20" s="271">
        <v>0</v>
      </c>
      <c r="W20" s="271">
        <v>0</v>
      </c>
      <c r="X20" s="403" t="s">
        <v>205</v>
      </c>
      <c r="Z20" s="272"/>
    </row>
    <row r="21" spans="1:26">
      <c r="A21" s="417" t="str">
        <f ca="1">CONCATENATE("DGV_",OFFSET(ReactMatrix!$B$1,COLUMN(A21)-COLUMN($A$18),ROW(C23)-ROW($C$20)))</f>
        <v>DGV_rMhac</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403" t="s">
        <v>205</v>
      </c>
      <c r="Z21" s="272"/>
    </row>
    <row r="22" spans="1:26">
      <c r="A22" s="417" t="str">
        <f ca="1">CONCATENATE("DGV_",OFFSET(ReactMatrix!$B$1,COLUMN(A22)-COLUMN($A$18),ROW(C24)-ROW($C$20)))</f>
        <v>DGV_rMaob</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403" t="s">
        <v>205</v>
      </c>
      <c r="Z22" s="272"/>
    </row>
    <row r="23" spans="1:26">
      <c r="A23" s="417" t="str">
        <f ca="1">CONCATENATE("DGV_",OFFSET(ReactMatrix!$B$1,COLUMN(A23)-COLUMN($A$18),ROW(C25)-ROW($C$20)))</f>
        <v>DGV_rMnob</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403" t="s">
        <v>205</v>
      </c>
      <c r="Z23" s="272"/>
    </row>
    <row r="24" spans="1:26">
      <c r="A24" s="417" t="str">
        <f ca="1">CONCATENATE("DGV_",OFFSET(ReactMatrix!$B$1,COLUMN(A24)-COLUMN($A$18),ROW(C26)-ROW($C$20)))</f>
        <v>DGV_rMdnglu</v>
      </c>
      <c r="B24" s="271">
        <v>0</v>
      </c>
      <c r="C24" s="271">
        <v>0</v>
      </c>
      <c r="D24" s="271">
        <v>0</v>
      </c>
      <c r="E24" s="271">
        <v>0</v>
      </c>
      <c r="F24" s="271">
        <v>0</v>
      </c>
      <c r="G24" s="271">
        <v>0</v>
      </c>
      <c r="H24" s="271">
        <v>0</v>
      </c>
      <c r="I24" s="271">
        <v>0</v>
      </c>
      <c r="J24" s="271">
        <v>0</v>
      </c>
      <c r="K24" s="271">
        <v>0</v>
      </c>
      <c r="L24" s="271">
        <v>0</v>
      </c>
      <c r="M24" s="271">
        <v>0</v>
      </c>
      <c r="N24" s="271">
        <v>0</v>
      </c>
      <c r="O24" s="271">
        <v>0</v>
      </c>
      <c r="P24" s="271">
        <v>0</v>
      </c>
      <c r="Q24" s="271">
        <v>0</v>
      </c>
      <c r="R24" s="271">
        <v>0</v>
      </c>
      <c r="S24" s="271">
        <v>0</v>
      </c>
      <c r="T24" s="271">
        <v>0</v>
      </c>
      <c r="U24" s="271">
        <v>0</v>
      </c>
      <c r="V24" s="271">
        <v>0</v>
      </c>
      <c r="W24" s="271">
        <v>0</v>
      </c>
      <c r="X24" s="403" t="s">
        <v>205</v>
      </c>
    </row>
    <row r="25" spans="1:26">
      <c r="A25" s="417" t="str">
        <f ca="1">CONCATENATE("DGV_",OFFSET(ReactMatrix!$B$1,COLUMN(A25)-COLUMN($A$18),ROW(C27)-ROW($C$20)))</f>
        <v>DGV_rMdnac</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403" t="s">
        <v>205</v>
      </c>
    </row>
    <row r="26" spans="1:26">
      <c r="A26" s="417" t="str">
        <f ca="1">CONCATENATE("DGV_",OFFSET(ReactMatrix!$B$1,COLUMN(A26)-COLUMN($A$18),ROW(C28)-ROW($C$20)))</f>
        <v>DGV_rMdnh2</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403" t="s">
        <v>205</v>
      </c>
    </row>
    <row r="27" spans="1:26">
      <c r="A27" s="417" t="str">
        <f ca="1">CONCATENATE("DGV_",OFFSET(ReactMatrix!$B$1,COLUMN(A27)-COLUMN($A$18),ROW(C29)-ROW($C$20)))</f>
        <v>DGV_rMsrd</v>
      </c>
      <c r="B27" s="271">
        <v>0</v>
      </c>
      <c r="C27" s="271">
        <v>0</v>
      </c>
      <c r="D27" s="271">
        <v>0</v>
      </c>
      <c r="E27" s="271">
        <v>0</v>
      </c>
      <c r="F27" s="271">
        <v>0</v>
      </c>
      <c r="G27" s="271">
        <v>0</v>
      </c>
      <c r="H27" s="271">
        <v>0</v>
      </c>
      <c r="I27" s="271">
        <v>0</v>
      </c>
      <c r="J27" s="271">
        <v>0</v>
      </c>
      <c r="K27" s="271">
        <v>0</v>
      </c>
      <c r="L27" s="271">
        <v>0</v>
      </c>
      <c r="M27" s="271">
        <v>0</v>
      </c>
      <c r="N27" s="271">
        <v>0</v>
      </c>
      <c r="O27" s="271">
        <v>0</v>
      </c>
      <c r="P27" s="271">
        <v>0</v>
      </c>
      <c r="Q27" s="271">
        <v>0</v>
      </c>
      <c r="R27" s="271">
        <v>0</v>
      </c>
      <c r="S27" s="271">
        <v>0</v>
      </c>
      <c r="T27" s="271">
        <v>0</v>
      </c>
      <c r="U27" s="271">
        <v>0</v>
      </c>
      <c r="V27" s="271">
        <v>0</v>
      </c>
      <c r="W27" s="271">
        <v>0</v>
      </c>
      <c r="X27" s="403" t="s">
        <v>205</v>
      </c>
    </row>
    <row r="28" spans="1:26">
      <c r="A28" s="417" t="str">
        <f ca="1">CONCATENATE("DGV_",OFFSET(ReactMatrix!$B$1,COLUMN(A28)-COLUMN($A$18),ROW(C30)-ROW($C$20)))</f>
        <v>DGV_rMsrdh2</v>
      </c>
      <c r="B28" s="271">
        <v>0</v>
      </c>
      <c r="C28" s="271">
        <v>0</v>
      </c>
      <c r="D28" s="271">
        <v>0</v>
      </c>
      <c r="E28" s="271">
        <v>0</v>
      </c>
      <c r="F28" s="271">
        <v>0</v>
      </c>
      <c r="G28" s="271">
        <v>0</v>
      </c>
      <c r="H28" s="271">
        <v>0</v>
      </c>
      <c r="I28" s="271">
        <v>0</v>
      </c>
      <c r="J28" s="271">
        <v>0</v>
      </c>
      <c r="K28" s="271">
        <v>0</v>
      </c>
      <c r="L28" s="271">
        <v>0</v>
      </c>
      <c r="M28" s="271">
        <v>0</v>
      </c>
      <c r="N28" s="271">
        <v>0</v>
      </c>
      <c r="O28" s="271">
        <v>0</v>
      </c>
      <c r="P28" s="271">
        <v>0</v>
      </c>
      <c r="Q28" s="271">
        <v>0</v>
      </c>
      <c r="R28" s="271">
        <v>0</v>
      </c>
      <c r="S28" s="271">
        <v>0</v>
      </c>
      <c r="T28" s="271">
        <v>0</v>
      </c>
      <c r="U28" s="271">
        <v>0</v>
      </c>
      <c r="V28" s="271">
        <v>0</v>
      </c>
      <c r="W28" s="271">
        <v>0</v>
      </c>
      <c r="X28" s="403" t="s">
        <v>205</v>
      </c>
    </row>
    <row r="29" spans="1:26">
      <c r="A29" s="417" t="str">
        <f ca="1">CONCATENATE("DGV_",OFFSET(ReactMatrix!$B$1,COLUMN(A29)-COLUMN($A$18),ROW(C31)-ROW($C$20)))</f>
        <v>DGV_rMsox</v>
      </c>
      <c r="B29" s="271">
        <v>0</v>
      </c>
      <c r="C29" s="271">
        <v>0</v>
      </c>
      <c r="D29" s="271">
        <v>0</v>
      </c>
      <c r="E29" s="271">
        <v>0</v>
      </c>
      <c r="F29" s="271">
        <v>0</v>
      </c>
      <c r="G29" s="271">
        <v>0</v>
      </c>
      <c r="H29" s="271">
        <v>0</v>
      </c>
      <c r="I29" s="271">
        <v>0</v>
      </c>
      <c r="J29" s="271">
        <v>0</v>
      </c>
      <c r="K29" s="271">
        <v>0</v>
      </c>
      <c r="L29" s="271">
        <v>0</v>
      </c>
      <c r="M29" s="271">
        <v>0</v>
      </c>
      <c r="N29" s="271">
        <v>0</v>
      </c>
      <c r="O29" s="271">
        <v>0</v>
      </c>
      <c r="P29" s="271">
        <v>0</v>
      </c>
      <c r="Q29" s="271">
        <v>0</v>
      </c>
      <c r="R29" s="271">
        <v>0</v>
      </c>
      <c r="S29" s="271">
        <v>0</v>
      </c>
      <c r="T29" s="271">
        <v>0</v>
      </c>
      <c r="U29" s="271">
        <v>0</v>
      </c>
      <c r="V29" s="271">
        <v>0</v>
      </c>
      <c r="W29" s="271">
        <v>0</v>
      </c>
      <c r="X29" s="403" t="s">
        <v>205</v>
      </c>
    </row>
    <row r="30" spans="1:26">
      <c r="A30" s="417" t="str">
        <f ca="1">CONCATENATE("DGV_",OFFSET(ReactMatrix!$B$1,COLUMN(A30)-COLUMN($A$18),ROW(C32)-ROW($C$20)))</f>
        <v>DGV_rMson</v>
      </c>
      <c r="B30" s="271">
        <v>0</v>
      </c>
      <c r="C30" s="271">
        <v>0</v>
      </c>
      <c r="D30" s="271">
        <v>0</v>
      </c>
      <c r="E30" s="271">
        <v>0</v>
      </c>
      <c r="F30" s="271">
        <v>0</v>
      </c>
      <c r="G30" s="271">
        <v>0</v>
      </c>
      <c r="H30" s="271">
        <v>0</v>
      </c>
      <c r="I30" s="271">
        <v>0</v>
      </c>
      <c r="J30" s="271">
        <v>0</v>
      </c>
      <c r="K30" s="271">
        <v>0</v>
      </c>
      <c r="L30" s="271">
        <v>0</v>
      </c>
      <c r="M30" s="271">
        <v>0</v>
      </c>
      <c r="N30" s="271">
        <v>0</v>
      </c>
      <c r="O30" s="271">
        <v>0</v>
      </c>
      <c r="P30" s="271">
        <v>0</v>
      </c>
      <c r="Q30" s="271">
        <v>0</v>
      </c>
      <c r="R30" s="271">
        <v>0</v>
      </c>
      <c r="S30" s="271">
        <v>0</v>
      </c>
      <c r="T30" s="271">
        <v>0</v>
      </c>
      <c r="U30" s="271">
        <v>0</v>
      </c>
      <c r="V30" s="271">
        <v>0</v>
      </c>
      <c r="W30" s="271">
        <v>0</v>
      </c>
      <c r="X30" s="403" t="s">
        <v>205</v>
      </c>
    </row>
    <row r="31" spans="1:26">
      <c r="A31" s="417" t="str">
        <f ca="1">CONCATENATE("DGV_",OFFSET(ReactMatrix!$B$1,COLUMN(A31)-COLUMN($A$18),ROW(C33)-ROW($C$20)))</f>
        <v>DGV_rMfeox</v>
      </c>
      <c r="B31" s="271">
        <v>0</v>
      </c>
      <c r="C31" s="271">
        <v>0</v>
      </c>
      <c r="D31" s="271">
        <v>0</v>
      </c>
      <c r="E31" s="271">
        <v>0</v>
      </c>
      <c r="F31" s="271">
        <v>0</v>
      </c>
      <c r="G31" s="271">
        <v>0</v>
      </c>
      <c r="H31" s="271">
        <v>0</v>
      </c>
      <c r="I31" s="271">
        <v>0</v>
      </c>
      <c r="J31" s="271">
        <v>0</v>
      </c>
      <c r="K31" s="271">
        <v>0</v>
      </c>
      <c r="L31" s="271">
        <v>0</v>
      </c>
      <c r="M31" s="271">
        <v>0</v>
      </c>
      <c r="N31" s="271">
        <v>0</v>
      </c>
      <c r="O31" s="271">
        <v>0</v>
      </c>
      <c r="P31" s="271">
        <v>0</v>
      </c>
      <c r="Q31" s="271">
        <v>0</v>
      </c>
      <c r="R31" s="271">
        <v>0</v>
      </c>
      <c r="S31" s="271">
        <v>0</v>
      </c>
      <c r="T31" s="271">
        <v>0</v>
      </c>
      <c r="U31" s="271">
        <v>0</v>
      </c>
      <c r="V31" s="271">
        <v>0</v>
      </c>
      <c r="W31" s="271">
        <v>0</v>
      </c>
      <c r="X31" s="403" t="s">
        <v>205</v>
      </c>
    </row>
    <row r="32" spans="1:26">
      <c r="A32" s="417" t="str">
        <f ca="1">CONCATENATE("DGV_",OFFSET(ReactMatrix!$B$1,COLUMN(A32)-COLUMN($A$18),ROW(C34)-ROW($C$20)))</f>
        <v>DGV_rMfeon</v>
      </c>
      <c r="B32" s="271">
        <v>0</v>
      </c>
      <c r="C32" s="271">
        <v>0</v>
      </c>
      <c r="D32" s="271">
        <v>0</v>
      </c>
      <c r="E32" s="271">
        <v>0</v>
      </c>
      <c r="F32" s="271">
        <v>0</v>
      </c>
      <c r="G32" s="271">
        <v>0</v>
      </c>
      <c r="H32" s="271">
        <v>0</v>
      </c>
      <c r="I32" s="271">
        <v>0</v>
      </c>
      <c r="J32" s="271">
        <v>0</v>
      </c>
      <c r="K32" s="271">
        <v>0</v>
      </c>
      <c r="L32" s="271">
        <v>0</v>
      </c>
      <c r="M32" s="271">
        <v>0</v>
      </c>
      <c r="N32" s="271">
        <v>0</v>
      </c>
      <c r="O32" s="271">
        <v>0</v>
      </c>
      <c r="P32" s="271">
        <v>0</v>
      </c>
      <c r="Q32" s="271">
        <v>0</v>
      </c>
      <c r="R32" s="271">
        <v>0</v>
      </c>
      <c r="S32" s="271">
        <v>0</v>
      </c>
      <c r="T32" s="271">
        <v>0</v>
      </c>
      <c r="U32" s="271">
        <v>0</v>
      </c>
      <c r="V32" s="271">
        <v>0</v>
      </c>
      <c r="W32" s="271">
        <v>0</v>
      </c>
      <c r="X32" s="403" t="s">
        <v>205</v>
      </c>
    </row>
    <row r="33" spans="1:24">
      <c r="A33" s="417" t="str">
        <f ca="1">CONCATENATE("DGV_",OFFSET(ReactMatrix!$B$1,COLUMN(A33)-COLUMN($A$18),ROW(C35)-ROW($C$20)))</f>
        <v>DGV_rMferd</v>
      </c>
      <c r="B33" s="271">
        <v>0</v>
      </c>
      <c r="C33" s="271">
        <v>0</v>
      </c>
      <c r="D33" s="271">
        <v>0</v>
      </c>
      <c r="E33" s="271">
        <v>0</v>
      </c>
      <c r="F33" s="271">
        <v>0</v>
      </c>
      <c r="G33" s="271">
        <v>0</v>
      </c>
      <c r="H33" s="271">
        <v>0</v>
      </c>
      <c r="I33" s="271">
        <v>0</v>
      </c>
      <c r="J33" s="271">
        <v>0</v>
      </c>
      <c r="K33" s="271">
        <v>0</v>
      </c>
      <c r="L33" s="271">
        <v>0</v>
      </c>
      <c r="M33" s="271">
        <v>0</v>
      </c>
      <c r="N33" s="271">
        <v>0</v>
      </c>
      <c r="O33" s="271">
        <v>0</v>
      </c>
      <c r="P33" s="271">
        <v>0</v>
      </c>
      <c r="Q33" s="271">
        <v>0</v>
      </c>
      <c r="R33" s="271">
        <v>0</v>
      </c>
      <c r="S33" s="271">
        <v>0</v>
      </c>
      <c r="T33" s="271">
        <v>0</v>
      </c>
      <c r="U33" s="271">
        <v>0</v>
      </c>
      <c r="V33" s="271">
        <v>0</v>
      </c>
      <c r="W33" s="271">
        <v>0</v>
      </c>
      <c r="X33" s="403" t="s">
        <v>205</v>
      </c>
    </row>
    <row r="34" spans="1:24">
      <c r="A34" s="417" t="str">
        <f ca="1">CONCATENATE("DGV_",OFFSET(ReactMatrix!$B$1,COLUMN(A34)-COLUMN($A$18),ROW(C36)-ROW($C$20)))</f>
        <v>DGV_rMferdh2</v>
      </c>
      <c r="B34" s="271">
        <v>0</v>
      </c>
      <c r="C34" s="271">
        <v>0</v>
      </c>
      <c r="D34" s="271">
        <v>0</v>
      </c>
      <c r="E34" s="271">
        <v>0</v>
      </c>
      <c r="F34" s="271">
        <v>0</v>
      </c>
      <c r="G34" s="271">
        <v>0</v>
      </c>
      <c r="H34" s="271">
        <v>0</v>
      </c>
      <c r="I34" s="271">
        <v>0</v>
      </c>
      <c r="J34" s="271">
        <v>0</v>
      </c>
      <c r="K34" s="271">
        <v>0</v>
      </c>
      <c r="L34" s="271">
        <v>0</v>
      </c>
      <c r="M34" s="271">
        <v>0</v>
      </c>
      <c r="N34" s="271">
        <v>0</v>
      </c>
      <c r="O34" s="271">
        <v>0</v>
      </c>
      <c r="P34" s="271">
        <v>0</v>
      </c>
      <c r="Q34" s="271">
        <v>0</v>
      </c>
      <c r="R34" s="271">
        <v>0</v>
      </c>
      <c r="S34" s="271">
        <v>0</v>
      </c>
      <c r="T34" s="271">
        <v>0</v>
      </c>
      <c r="U34" s="271">
        <v>0</v>
      </c>
      <c r="V34" s="271">
        <v>0</v>
      </c>
      <c r="W34" s="271">
        <v>0</v>
      </c>
      <c r="X34" s="403" t="s">
        <v>205</v>
      </c>
    </row>
    <row r="35" spans="1:24">
      <c r="A35" s="417" t="str">
        <f ca="1">CONCATENATE("DGV_",OFFSET(ReactMatrix!$B$1,COLUMN(A35)-COLUMN($A$18),ROW(C37)-ROW($C$20)))</f>
        <v>DGV_rMacm</v>
      </c>
      <c r="B35" s="271">
        <v>0</v>
      </c>
      <c r="C35" s="271">
        <v>0</v>
      </c>
      <c r="D35" s="271">
        <v>0</v>
      </c>
      <c r="E35" s="271">
        <v>0</v>
      </c>
      <c r="F35" s="271">
        <v>0</v>
      </c>
      <c r="G35" s="271">
        <v>0</v>
      </c>
      <c r="H35" s="271">
        <v>0</v>
      </c>
      <c r="I35" s="271">
        <v>0</v>
      </c>
      <c r="J35" s="271">
        <v>0</v>
      </c>
      <c r="K35" s="271">
        <v>0</v>
      </c>
      <c r="L35" s="271">
        <v>0</v>
      </c>
      <c r="M35" s="271">
        <v>0</v>
      </c>
      <c r="N35" s="271">
        <v>0</v>
      </c>
      <c r="O35" s="271">
        <v>0</v>
      </c>
      <c r="P35" s="271">
        <v>0</v>
      </c>
      <c r="Q35" s="271">
        <v>0</v>
      </c>
      <c r="R35" s="271">
        <v>0</v>
      </c>
      <c r="S35" s="271">
        <v>0</v>
      </c>
      <c r="T35" s="271">
        <v>0</v>
      </c>
      <c r="U35" s="271">
        <v>0</v>
      </c>
      <c r="V35" s="271">
        <v>0</v>
      </c>
      <c r="W35" s="271">
        <v>0</v>
      </c>
      <c r="X35" s="403" t="s">
        <v>205</v>
      </c>
    </row>
    <row r="36" spans="1:24">
      <c r="A36" s="417" t="str">
        <f ca="1">CONCATENATE("DGV_",OFFSET(ReactMatrix!$B$1,COLUMN(A36)-COLUMN($A$18),ROW(C38)-ROW($C$20)))</f>
        <v>DGV_rMh2m</v>
      </c>
      <c r="B36" s="271">
        <v>0</v>
      </c>
      <c r="C36" s="271">
        <v>0</v>
      </c>
      <c r="D36" s="271">
        <v>0</v>
      </c>
      <c r="E36" s="271">
        <v>0</v>
      </c>
      <c r="F36" s="271">
        <v>0</v>
      </c>
      <c r="G36" s="271">
        <v>0</v>
      </c>
      <c r="H36" s="271">
        <v>0</v>
      </c>
      <c r="I36" s="271">
        <v>0</v>
      </c>
      <c r="J36" s="271">
        <v>0</v>
      </c>
      <c r="K36" s="271">
        <v>0</v>
      </c>
      <c r="L36" s="271">
        <v>0</v>
      </c>
      <c r="M36" s="271">
        <v>0</v>
      </c>
      <c r="N36" s="271">
        <v>0</v>
      </c>
      <c r="O36" s="271">
        <v>0</v>
      </c>
      <c r="P36" s="271">
        <v>0</v>
      </c>
      <c r="Q36" s="271">
        <v>0</v>
      </c>
      <c r="R36" s="271">
        <v>0</v>
      </c>
      <c r="S36" s="271">
        <v>0</v>
      </c>
      <c r="T36" s="271">
        <v>0</v>
      </c>
      <c r="U36" s="271">
        <v>0</v>
      </c>
      <c r="V36" s="271">
        <v>0</v>
      </c>
      <c r="W36" s="271">
        <v>0</v>
      </c>
      <c r="X36" s="403" t="s">
        <v>205</v>
      </c>
    </row>
    <row r="37" spans="1:24">
      <c r="A37" s="417" t="str">
        <f ca="1">CONCATENATE("DGV_",OFFSET(ReactMatrix!$B$1,COLUMN(A37)-COLUMN($A$18),ROW(C39)-ROW($C$20)))</f>
        <v>DGV_rMmto</v>
      </c>
      <c r="B37" s="271">
        <v>0</v>
      </c>
      <c r="C37" s="271">
        <v>0</v>
      </c>
      <c r="D37" s="271">
        <v>0</v>
      </c>
      <c r="E37" s="271">
        <v>0</v>
      </c>
      <c r="F37" s="271">
        <v>0</v>
      </c>
      <c r="G37" s="271">
        <v>0</v>
      </c>
      <c r="H37" s="271">
        <v>0</v>
      </c>
      <c r="I37" s="271">
        <v>0</v>
      </c>
      <c r="J37" s="271">
        <v>0</v>
      </c>
      <c r="K37" s="271">
        <v>0</v>
      </c>
      <c r="L37" s="271">
        <v>0</v>
      </c>
      <c r="M37" s="271">
        <v>0</v>
      </c>
      <c r="N37" s="271">
        <v>0</v>
      </c>
      <c r="O37" s="271">
        <v>0</v>
      </c>
      <c r="P37" s="271">
        <v>0</v>
      </c>
      <c r="Q37" s="271">
        <v>0</v>
      </c>
      <c r="R37" s="271">
        <v>0</v>
      </c>
      <c r="S37" s="271">
        <v>0</v>
      </c>
      <c r="T37" s="271">
        <v>0</v>
      </c>
      <c r="U37" s="271">
        <v>0</v>
      </c>
      <c r="V37" s="271">
        <v>0</v>
      </c>
      <c r="W37" s="271">
        <v>0</v>
      </c>
      <c r="X37" s="403" t="s">
        <v>205</v>
      </c>
    </row>
    <row r="38" spans="1:24">
      <c r="A38" s="417" t="str">
        <f ca="1">CONCATENATE("DGV_",OFFSET(ReactMatrix!$B$1,COLUMN(A38)-COLUMN($A$18),ROW(C40)-ROW($C$20)))</f>
        <v>DGV_rMmts</v>
      </c>
      <c r="B38" s="271">
        <v>0</v>
      </c>
      <c r="C38" s="271">
        <v>0</v>
      </c>
      <c r="D38" s="271">
        <v>0</v>
      </c>
      <c r="E38" s="271">
        <v>0</v>
      </c>
      <c r="F38" s="271">
        <v>0</v>
      </c>
      <c r="G38" s="271">
        <v>0</v>
      </c>
      <c r="H38" s="271">
        <v>0</v>
      </c>
      <c r="I38" s="271">
        <v>0</v>
      </c>
      <c r="J38" s="271">
        <v>0</v>
      </c>
      <c r="K38" s="271">
        <v>0</v>
      </c>
      <c r="L38" s="271">
        <v>0</v>
      </c>
      <c r="M38" s="271">
        <v>0</v>
      </c>
      <c r="N38" s="271">
        <v>0</v>
      </c>
      <c r="O38" s="271">
        <v>0</v>
      </c>
      <c r="P38" s="271">
        <v>0</v>
      </c>
      <c r="Q38" s="271">
        <v>0</v>
      </c>
      <c r="R38" s="271">
        <v>0</v>
      </c>
      <c r="S38" s="271">
        <v>0</v>
      </c>
      <c r="T38" s="271">
        <v>0</v>
      </c>
      <c r="U38" s="271">
        <v>0</v>
      </c>
      <c r="V38" s="271">
        <v>0</v>
      </c>
      <c r="W38" s="271">
        <v>0</v>
      </c>
      <c r="X38" s="403" t="s">
        <v>205</v>
      </c>
    </row>
    <row r="39" spans="1:24">
      <c r="A39" s="417" t="str">
        <f ca="1">CONCATENATE("DGV_",OFFSET(ReactMatrix!$B$1,COLUMN(A39)-COLUMN($A$18),ROW(C41)-ROW($C$20)))</f>
        <v>DGV_rPrFe3</v>
      </c>
      <c r="B39" s="271">
        <v>0</v>
      </c>
      <c r="C39" s="271">
        <v>0</v>
      </c>
      <c r="D39" s="271">
        <v>0</v>
      </c>
      <c r="E39" s="271">
        <v>0</v>
      </c>
      <c r="F39" s="271">
        <v>0</v>
      </c>
      <c r="G39" s="271">
        <v>0</v>
      </c>
      <c r="H39" s="271">
        <v>0</v>
      </c>
      <c r="I39" s="271">
        <v>0</v>
      </c>
      <c r="J39" s="271">
        <v>0</v>
      </c>
      <c r="K39" s="271">
        <v>0</v>
      </c>
      <c r="L39" s="271">
        <v>0</v>
      </c>
      <c r="M39" s="271">
        <v>0</v>
      </c>
      <c r="N39" s="271">
        <v>0</v>
      </c>
      <c r="O39" s="271">
        <v>0</v>
      </c>
      <c r="P39" s="271">
        <v>0</v>
      </c>
      <c r="Q39" s="271">
        <v>0</v>
      </c>
      <c r="R39" s="271">
        <v>0</v>
      </c>
      <c r="S39" s="271">
        <v>0</v>
      </c>
      <c r="T39" s="271">
        <v>0</v>
      </c>
      <c r="U39" s="271">
        <v>0</v>
      </c>
      <c r="V39" s="271">
        <v>0</v>
      </c>
      <c r="W39" s="271">
        <v>0</v>
      </c>
      <c r="X39" s="403" t="s">
        <v>205</v>
      </c>
    </row>
    <row r="40" spans="1:24">
      <c r="A40" s="417" t="str">
        <f ca="1">CONCATENATE("DGV_",OFFSET(ReactMatrix!$B$1,COLUMN(A40)-COLUMN($A$18),ROW(C42)-ROW($C$20)))</f>
        <v>DGV_rXcyb</v>
      </c>
      <c r="B40" s="271">
        <v>0</v>
      </c>
      <c r="C40" s="271">
        <v>0</v>
      </c>
      <c r="D40" s="271">
        <v>0</v>
      </c>
      <c r="E40" s="271">
        <v>0</v>
      </c>
      <c r="F40" s="271">
        <v>0</v>
      </c>
      <c r="G40" s="271">
        <v>0</v>
      </c>
      <c r="H40" s="271">
        <v>0</v>
      </c>
      <c r="I40" s="271">
        <v>0</v>
      </c>
      <c r="J40" s="271">
        <v>0</v>
      </c>
      <c r="K40" s="271">
        <v>0</v>
      </c>
      <c r="L40" s="271">
        <v>0</v>
      </c>
      <c r="M40" s="271">
        <v>0</v>
      </c>
      <c r="N40" s="271">
        <v>0</v>
      </c>
      <c r="O40" s="271">
        <v>0</v>
      </c>
      <c r="P40" s="271">
        <v>0</v>
      </c>
      <c r="Q40" s="271">
        <v>0</v>
      </c>
      <c r="R40" s="271">
        <v>0</v>
      </c>
      <c r="S40" s="271">
        <v>0</v>
      </c>
      <c r="T40" s="271">
        <v>0</v>
      </c>
      <c r="U40" s="271">
        <v>0</v>
      </c>
      <c r="V40" s="271">
        <v>0</v>
      </c>
      <c r="W40" s="271">
        <v>0</v>
      </c>
      <c r="X40" s="403" t="s">
        <v>205</v>
      </c>
    </row>
    <row r="41" spans="1:24">
      <c r="A41" s="417" t="str">
        <f ca="1">CONCATENATE("DGV_",OFFSET(ReactMatrix!$B$1,COLUMN(A41)-COLUMN($A$18),ROW(C43)-ROW($C$20)))</f>
        <v>DGV_rXfer</v>
      </c>
      <c r="B41" s="271">
        <v>0</v>
      </c>
      <c r="C41" s="271">
        <v>0</v>
      </c>
      <c r="D41" s="271">
        <v>0</v>
      </c>
      <c r="E41" s="271">
        <v>0</v>
      </c>
      <c r="F41" s="271">
        <v>0</v>
      </c>
      <c r="G41" s="271">
        <v>0</v>
      </c>
      <c r="H41" s="271">
        <v>0</v>
      </c>
      <c r="I41" s="271">
        <v>0</v>
      </c>
      <c r="J41" s="271">
        <v>0</v>
      </c>
      <c r="K41" s="271">
        <v>0</v>
      </c>
      <c r="L41" s="271">
        <v>0</v>
      </c>
      <c r="M41" s="271">
        <v>0</v>
      </c>
      <c r="N41" s="271">
        <v>0</v>
      </c>
      <c r="O41" s="271">
        <v>0</v>
      </c>
      <c r="P41" s="271">
        <v>0</v>
      </c>
      <c r="Q41" s="271">
        <v>0</v>
      </c>
      <c r="R41" s="271">
        <v>0</v>
      </c>
      <c r="S41" s="271">
        <v>0</v>
      </c>
      <c r="T41" s="271">
        <v>0</v>
      </c>
      <c r="U41" s="271">
        <v>0</v>
      </c>
      <c r="V41" s="271">
        <v>0</v>
      </c>
      <c r="W41" s="271">
        <v>0</v>
      </c>
      <c r="X41" s="403" t="s">
        <v>205</v>
      </c>
    </row>
    <row r="42" spans="1:24">
      <c r="A42" s="417" t="str">
        <f ca="1">CONCATENATE("DGV_",OFFSET(ReactMatrix!$B$1,COLUMN(A42)-COLUMN($A$18),ROW(C44)-ROW($C$20)))</f>
        <v>DGV_rXhet</v>
      </c>
      <c r="B42" s="271">
        <v>0</v>
      </c>
      <c r="C42" s="271">
        <v>0</v>
      </c>
      <c r="D42" s="271">
        <v>0</v>
      </c>
      <c r="E42" s="271">
        <v>0</v>
      </c>
      <c r="F42" s="271">
        <v>0</v>
      </c>
      <c r="G42" s="271">
        <v>0</v>
      </c>
      <c r="H42" s="271">
        <v>0</v>
      </c>
      <c r="I42" s="271">
        <v>0</v>
      </c>
      <c r="J42" s="271">
        <v>0</v>
      </c>
      <c r="K42" s="271">
        <v>0</v>
      </c>
      <c r="L42" s="271">
        <v>0</v>
      </c>
      <c r="M42" s="271">
        <v>0</v>
      </c>
      <c r="N42" s="271">
        <v>0</v>
      </c>
      <c r="O42" s="271">
        <v>0</v>
      </c>
      <c r="P42" s="271">
        <v>0</v>
      </c>
      <c r="Q42" s="271">
        <v>0</v>
      </c>
      <c r="R42" s="271">
        <v>0</v>
      </c>
      <c r="S42" s="271">
        <v>0</v>
      </c>
      <c r="T42" s="271">
        <v>0</v>
      </c>
      <c r="U42" s="271">
        <v>0</v>
      </c>
      <c r="V42" s="271">
        <v>0</v>
      </c>
      <c r="W42" s="271">
        <v>0</v>
      </c>
      <c r="X42" s="403" t="s">
        <v>205</v>
      </c>
    </row>
    <row r="43" spans="1:24">
      <c r="A43" s="417" t="str">
        <f ca="1">CONCATENATE("DGV_",OFFSET(ReactMatrix!$B$1,COLUMN(A43)-COLUMN($A$18),ROW(C45)-ROW($C$20)))</f>
        <v>DGV_rXaob</v>
      </c>
      <c r="B43" s="271">
        <v>0</v>
      </c>
      <c r="C43" s="271">
        <v>0</v>
      </c>
      <c r="D43" s="271">
        <v>0</v>
      </c>
      <c r="E43" s="271">
        <v>0</v>
      </c>
      <c r="F43" s="271">
        <v>0</v>
      </c>
      <c r="G43" s="271">
        <v>0</v>
      </c>
      <c r="H43" s="271">
        <v>0</v>
      </c>
      <c r="I43" s="271">
        <v>0</v>
      </c>
      <c r="J43" s="271">
        <v>0</v>
      </c>
      <c r="K43" s="271">
        <v>0</v>
      </c>
      <c r="L43" s="271">
        <v>0</v>
      </c>
      <c r="M43" s="271">
        <v>0</v>
      </c>
      <c r="N43" s="271">
        <v>0</v>
      </c>
      <c r="O43" s="271">
        <v>0</v>
      </c>
      <c r="P43" s="271">
        <v>0</v>
      </c>
      <c r="Q43" s="271">
        <v>0</v>
      </c>
      <c r="R43" s="271">
        <v>0</v>
      </c>
      <c r="S43" s="271">
        <v>0</v>
      </c>
      <c r="T43" s="271">
        <v>0</v>
      </c>
      <c r="U43" s="271">
        <v>0</v>
      </c>
      <c r="V43" s="271">
        <v>0</v>
      </c>
      <c r="W43" s="271">
        <v>0</v>
      </c>
      <c r="X43" s="403" t="s">
        <v>205</v>
      </c>
    </row>
    <row r="44" spans="1:24">
      <c r="A44" s="417" t="str">
        <f ca="1">CONCATENATE("DGV_",OFFSET(ReactMatrix!$B$1,COLUMN(A44)-COLUMN($A$18),ROW(C46)-ROW($C$20)))</f>
        <v>DGV_rXnob</v>
      </c>
      <c r="B44" s="271">
        <v>0</v>
      </c>
      <c r="C44" s="271">
        <v>0</v>
      </c>
      <c r="D44" s="271">
        <v>0</v>
      </c>
      <c r="E44" s="271">
        <v>0</v>
      </c>
      <c r="F44" s="271">
        <v>0</v>
      </c>
      <c r="G44" s="271">
        <v>0</v>
      </c>
      <c r="H44" s="271">
        <v>0</v>
      </c>
      <c r="I44" s="271">
        <v>0</v>
      </c>
      <c r="J44" s="271">
        <v>0</v>
      </c>
      <c r="K44" s="271">
        <v>0</v>
      </c>
      <c r="L44" s="271">
        <v>0</v>
      </c>
      <c r="M44" s="271">
        <v>0</v>
      </c>
      <c r="N44" s="271">
        <v>0</v>
      </c>
      <c r="O44" s="271">
        <v>0</v>
      </c>
      <c r="P44" s="271">
        <v>0</v>
      </c>
      <c r="Q44" s="271">
        <v>0</v>
      </c>
      <c r="R44" s="271">
        <v>0</v>
      </c>
      <c r="S44" s="271">
        <v>0</v>
      </c>
      <c r="T44" s="271">
        <v>0</v>
      </c>
      <c r="U44" s="271">
        <v>0</v>
      </c>
      <c r="V44" s="271">
        <v>0</v>
      </c>
      <c r="W44" s="271">
        <v>0</v>
      </c>
      <c r="X44" s="403" t="s">
        <v>205</v>
      </c>
    </row>
    <row r="45" spans="1:24">
      <c r="A45" s="417" t="str">
        <f ca="1">CONCATENATE("DGV_",OFFSET(ReactMatrix!$B$1,COLUMN(A45)-COLUMN($A$18),ROW(C47)-ROW($C$20)))</f>
        <v>DGV_rXdn</v>
      </c>
      <c r="B45" s="271">
        <v>0</v>
      </c>
      <c r="C45" s="271">
        <v>0</v>
      </c>
      <c r="D45" s="271">
        <v>0</v>
      </c>
      <c r="E45" s="271">
        <v>0</v>
      </c>
      <c r="F45" s="271">
        <v>0</v>
      </c>
      <c r="G45" s="271">
        <v>0</v>
      </c>
      <c r="H45" s="271">
        <v>0</v>
      </c>
      <c r="I45" s="271">
        <v>0</v>
      </c>
      <c r="J45" s="271">
        <v>0</v>
      </c>
      <c r="K45" s="271">
        <v>0</v>
      </c>
      <c r="L45" s="271">
        <v>0</v>
      </c>
      <c r="M45" s="271">
        <v>0</v>
      </c>
      <c r="N45" s="271">
        <v>0</v>
      </c>
      <c r="O45" s="271">
        <v>0</v>
      </c>
      <c r="P45" s="271">
        <v>0</v>
      </c>
      <c r="Q45" s="271">
        <v>0</v>
      </c>
      <c r="R45" s="271">
        <v>0</v>
      </c>
      <c r="S45" s="271">
        <v>0</v>
      </c>
      <c r="T45" s="271">
        <v>0</v>
      </c>
      <c r="U45" s="271">
        <v>0</v>
      </c>
      <c r="V45" s="271">
        <v>0</v>
      </c>
      <c r="W45" s="271">
        <v>0</v>
      </c>
      <c r="X45" s="403" t="s">
        <v>205</v>
      </c>
    </row>
    <row r="46" spans="1:24">
      <c r="A46" s="417" t="str">
        <f ca="1">CONCATENATE("DGV_",OFFSET(ReactMatrix!$B$1,COLUMN(A46)-COLUMN($A$18),ROW(C48)-ROW($C$20)))</f>
        <v>DGV_rXsrd</v>
      </c>
      <c r="B46" s="271">
        <v>0</v>
      </c>
      <c r="C46" s="271">
        <v>0</v>
      </c>
      <c r="D46" s="271">
        <v>0</v>
      </c>
      <c r="E46" s="271">
        <v>0</v>
      </c>
      <c r="F46" s="271">
        <v>0</v>
      </c>
      <c r="G46" s="271">
        <v>0</v>
      </c>
      <c r="H46" s="271">
        <v>0</v>
      </c>
      <c r="I46" s="271">
        <v>0</v>
      </c>
      <c r="J46" s="271">
        <v>0</v>
      </c>
      <c r="K46" s="271">
        <v>0</v>
      </c>
      <c r="L46" s="271">
        <v>0</v>
      </c>
      <c r="M46" s="271">
        <v>0</v>
      </c>
      <c r="N46" s="271">
        <v>0</v>
      </c>
      <c r="O46" s="271">
        <v>0</v>
      </c>
      <c r="P46" s="271">
        <v>0</v>
      </c>
      <c r="Q46" s="271">
        <v>0</v>
      </c>
      <c r="R46" s="271">
        <v>0</v>
      </c>
      <c r="S46" s="271">
        <v>0</v>
      </c>
      <c r="T46" s="271">
        <v>0</v>
      </c>
      <c r="U46" s="271">
        <v>0</v>
      </c>
      <c r="V46" s="271">
        <v>0</v>
      </c>
      <c r="W46" s="271">
        <v>0</v>
      </c>
      <c r="X46" s="403" t="s">
        <v>205</v>
      </c>
    </row>
    <row r="47" spans="1:24">
      <c r="A47" s="417" t="str">
        <f ca="1">CONCATENATE("DGV_",OFFSET(ReactMatrix!$B$1,COLUMN(A47)-COLUMN($A$18),ROW(C49)-ROW($C$20)))</f>
        <v>DGV_rXsox</v>
      </c>
      <c r="B47" s="271">
        <v>0</v>
      </c>
      <c r="C47" s="271">
        <v>0</v>
      </c>
      <c r="D47" s="271">
        <v>0</v>
      </c>
      <c r="E47" s="271">
        <v>0</v>
      </c>
      <c r="F47" s="271">
        <v>0</v>
      </c>
      <c r="G47" s="271">
        <v>0</v>
      </c>
      <c r="H47" s="271">
        <v>0</v>
      </c>
      <c r="I47" s="271">
        <v>0</v>
      </c>
      <c r="J47" s="271">
        <v>0</v>
      </c>
      <c r="K47" s="271">
        <v>0</v>
      </c>
      <c r="L47" s="271">
        <v>0</v>
      </c>
      <c r="M47" s="271">
        <v>0</v>
      </c>
      <c r="N47" s="271">
        <v>0</v>
      </c>
      <c r="O47" s="271">
        <v>0</v>
      </c>
      <c r="P47" s="271">
        <v>0</v>
      </c>
      <c r="Q47" s="271">
        <v>0</v>
      </c>
      <c r="R47" s="271">
        <v>0</v>
      </c>
      <c r="S47" s="271">
        <v>0</v>
      </c>
      <c r="T47" s="271">
        <v>0</v>
      </c>
      <c r="U47" s="271">
        <v>0</v>
      </c>
      <c r="V47" s="271">
        <v>0</v>
      </c>
      <c r="W47" s="271">
        <v>0</v>
      </c>
      <c r="X47" s="403" t="s">
        <v>205</v>
      </c>
    </row>
    <row r="48" spans="1:24">
      <c r="A48" s="417" t="str">
        <f ca="1">CONCATENATE("DGV_",OFFSET(ReactMatrix!$B$1,COLUMN(A48)-COLUMN($A$18),ROW(C50)-ROW($C$20)))</f>
        <v>DGV_rXson</v>
      </c>
      <c r="B48" s="271">
        <v>0</v>
      </c>
      <c r="C48" s="271">
        <v>0</v>
      </c>
      <c r="D48" s="271">
        <v>0</v>
      </c>
      <c r="E48" s="271">
        <v>0</v>
      </c>
      <c r="F48" s="271">
        <v>0</v>
      </c>
      <c r="G48" s="271">
        <v>0</v>
      </c>
      <c r="H48" s="271">
        <v>0</v>
      </c>
      <c r="I48" s="271">
        <v>0</v>
      </c>
      <c r="J48" s="271">
        <v>0</v>
      </c>
      <c r="K48" s="271">
        <v>0</v>
      </c>
      <c r="L48" s="271">
        <v>0</v>
      </c>
      <c r="M48" s="271">
        <v>0</v>
      </c>
      <c r="N48" s="271">
        <v>0</v>
      </c>
      <c r="O48" s="271">
        <v>0</v>
      </c>
      <c r="P48" s="271">
        <v>0</v>
      </c>
      <c r="Q48" s="271">
        <v>0</v>
      </c>
      <c r="R48" s="271">
        <v>0</v>
      </c>
      <c r="S48" s="271">
        <v>0</v>
      </c>
      <c r="T48" s="271">
        <v>0</v>
      </c>
      <c r="U48" s="271">
        <v>0</v>
      </c>
      <c r="V48" s="271">
        <v>0</v>
      </c>
      <c r="W48" s="271">
        <v>0</v>
      </c>
      <c r="X48" s="403" t="s">
        <v>205</v>
      </c>
    </row>
    <row r="49" spans="1:24">
      <c r="A49" s="417" t="str">
        <f ca="1">CONCATENATE("DGV_",OFFSET(ReactMatrix!$B$1,COLUMN(A49)-COLUMN($A$18),ROW(C51)-ROW($C$20)))</f>
        <v>DGV_rXfeox</v>
      </c>
      <c r="B49" s="271">
        <v>0</v>
      </c>
      <c r="C49" s="271">
        <v>0</v>
      </c>
      <c r="D49" s="271">
        <v>0</v>
      </c>
      <c r="E49" s="271">
        <v>0</v>
      </c>
      <c r="F49" s="271">
        <v>0</v>
      </c>
      <c r="G49" s="271">
        <v>0</v>
      </c>
      <c r="H49" s="271">
        <v>0</v>
      </c>
      <c r="I49" s="271">
        <v>0</v>
      </c>
      <c r="J49" s="271">
        <v>0</v>
      </c>
      <c r="K49" s="271">
        <v>0</v>
      </c>
      <c r="L49" s="271">
        <v>0</v>
      </c>
      <c r="M49" s="271">
        <v>0</v>
      </c>
      <c r="N49" s="271">
        <v>0</v>
      </c>
      <c r="O49" s="271">
        <v>0</v>
      </c>
      <c r="P49" s="271">
        <v>0</v>
      </c>
      <c r="Q49" s="271">
        <v>0</v>
      </c>
      <c r="R49" s="271">
        <v>0</v>
      </c>
      <c r="S49" s="271">
        <v>0</v>
      </c>
      <c r="T49" s="271">
        <v>0</v>
      </c>
      <c r="U49" s="271">
        <v>0</v>
      </c>
      <c r="V49" s="271">
        <v>0</v>
      </c>
      <c r="W49" s="271">
        <v>0</v>
      </c>
      <c r="X49" s="403" t="s">
        <v>205</v>
      </c>
    </row>
    <row r="50" spans="1:24">
      <c r="A50" s="417" t="str">
        <f ca="1">CONCATENATE("DGV_",OFFSET(ReactMatrix!$B$1,COLUMN(A50)-COLUMN($A$18),ROW(C52)-ROW($C$20)))</f>
        <v>DGV_rXfeon</v>
      </c>
      <c r="B50" s="271">
        <v>0</v>
      </c>
      <c r="C50" s="271">
        <v>0</v>
      </c>
      <c r="D50" s="271">
        <v>0</v>
      </c>
      <c r="E50" s="271">
        <v>0</v>
      </c>
      <c r="F50" s="271">
        <v>0</v>
      </c>
      <c r="G50" s="271">
        <v>0</v>
      </c>
      <c r="H50" s="271">
        <v>0</v>
      </c>
      <c r="I50" s="271">
        <v>0</v>
      </c>
      <c r="J50" s="271">
        <v>0</v>
      </c>
      <c r="K50" s="271">
        <v>0</v>
      </c>
      <c r="L50" s="271">
        <v>0</v>
      </c>
      <c r="M50" s="271">
        <v>0</v>
      </c>
      <c r="N50" s="271">
        <v>0</v>
      </c>
      <c r="O50" s="271">
        <v>0</v>
      </c>
      <c r="P50" s="271">
        <v>0</v>
      </c>
      <c r="Q50" s="271">
        <v>0</v>
      </c>
      <c r="R50" s="271">
        <v>0</v>
      </c>
      <c r="S50" s="271">
        <v>0</v>
      </c>
      <c r="T50" s="271">
        <v>0</v>
      </c>
      <c r="U50" s="271">
        <v>0</v>
      </c>
      <c r="V50" s="271">
        <v>0</v>
      </c>
      <c r="W50" s="271">
        <v>0</v>
      </c>
      <c r="X50" s="403" t="s">
        <v>205</v>
      </c>
    </row>
    <row r="51" spans="1:24">
      <c r="A51" s="417" t="str">
        <f ca="1">CONCATENATE("DGV_",OFFSET(ReactMatrix!$B$1,COLUMN(A51)-COLUMN($A$18),ROW(C53)-ROW($C$20)))</f>
        <v>DGV_rXferd</v>
      </c>
      <c r="B51" s="271">
        <v>0</v>
      </c>
      <c r="C51" s="271">
        <v>0</v>
      </c>
      <c r="D51" s="271">
        <v>0</v>
      </c>
      <c r="E51" s="271">
        <v>0</v>
      </c>
      <c r="F51" s="271">
        <v>0</v>
      </c>
      <c r="G51" s="271">
        <v>0</v>
      </c>
      <c r="H51" s="271">
        <v>0</v>
      </c>
      <c r="I51" s="271">
        <v>0</v>
      </c>
      <c r="J51" s="271">
        <v>0</v>
      </c>
      <c r="K51" s="271">
        <v>0</v>
      </c>
      <c r="L51" s="271">
        <v>0</v>
      </c>
      <c r="M51" s="271">
        <v>0</v>
      </c>
      <c r="N51" s="271">
        <v>0</v>
      </c>
      <c r="O51" s="271">
        <v>0</v>
      </c>
      <c r="P51" s="271">
        <v>0</v>
      </c>
      <c r="Q51" s="271">
        <v>0</v>
      </c>
      <c r="R51" s="271">
        <v>0</v>
      </c>
      <c r="S51" s="271">
        <v>0</v>
      </c>
      <c r="T51" s="271">
        <v>0</v>
      </c>
      <c r="U51" s="271">
        <v>0</v>
      </c>
      <c r="V51" s="271">
        <v>0</v>
      </c>
      <c r="W51" s="271">
        <v>0</v>
      </c>
      <c r="X51" s="403" t="s">
        <v>205</v>
      </c>
    </row>
    <row r="52" spans="1:24">
      <c r="A52" s="417" t="str">
        <f ca="1">CONCATENATE("DGV_",OFFSET(ReactMatrix!$B$1,COLUMN(A52)-COLUMN($A$18),ROW(C54)-ROW($C$20)))</f>
        <v>DGV_rXacm</v>
      </c>
      <c r="B52" s="271">
        <v>0</v>
      </c>
      <c r="C52" s="271">
        <v>0</v>
      </c>
      <c r="D52" s="271">
        <v>0</v>
      </c>
      <c r="E52" s="271">
        <v>0</v>
      </c>
      <c r="F52" s="271">
        <v>0</v>
      </c>
      <c r="G52" s="271">
        <v>0</v>
      </c>
      <c r="H52" s="271">
        <v>0</v>
      </c>
      <c r="I52" s="271">
        <v>0</v>
      </c>
      <c r="J52" s="271">
        <v>0</v>
      </c>
      <c r="K52" s="271">
        <v>0</v>
      </c>
      <c r="L52" s="271">
        <v>0</v>
      </c>
      <c r="M52" s="271">
        <v>0</v>
      </c>
      <c r="N52" s="271">
        <v>0</v>
      </c>
      <c r="O52" s="271">
        <v>0</v>
      </c>
      <c r="P52" s="271">
        <v>0</v>
      </c>
      <c r="Q52" s="271">
        <v>0</v>
      </c>
      <c r="R52" s="271">
        <v>0</v>
      </c>
      <c r="S52" s="271">
        <v>0</v>
      </c>
      <c r="T52" s="271">
        <v>0</v>
      </c>
      <c r="U52" s="271">
        <v>0</v>
      </c>
      <c r="V52" s="271">
        <v>0</v>
      </c>
      <c r="W52" s="271">
        <v>0</v>
      </c>
      <c r="X52" s="403" t="s">
        <v>205</v>
      </c>
    </row>
    <row r="53" spans="1:24">
      <c r="A53" s="417" t="str">
        <f ca="1">CONCATENATE("DGV_",OFFSET(ReactMatrix!$B$1,COLUMN(A53)-COLUMN($A$18),ROW(C55)-ROW($C$20)))</f>
        <v>DGV_rXh2m</v>
      </c>
      <c r="B53" s="271">
        <v>0</v>
      </c>
      <c r="C53" s="271">
        <v>0</v>
      </c>
      <c r="D53" s="271">
        <v>0</v>
      </c>
      <c r="E53" s="271">
        <v>0</v>
      </c>
      <c r="F53" s="271">
        <v>0</v>
      </c>
      <c r="G53" s="271">
        <v>0</v>
      </c>
      <c r="H53" s="271">
        <v>0</v>
      </c>
      <c r="I53" s="271">
        <v>0</v>
      </c>
      <c r="J53" s="271">
        <v>0</v>
      </c>
      <c r="K53" s="271">
        <v>0</v>
      </c>
      <c r="L53" s="271">
        <v>0</v>
      </c>
      <c r="M53" s="271">
        <v>0</v>
      </c>
      <c r="N53" s="271">
        <v>0</v>
      </c>
      <c r="O53" s="271">
        <v>0</v>
      </c>
      <c r="P53" s="271">
        <v>0</v>
      </c>
      <c r="Q53" s="271">
        <v>0</v>
      </c>
      <c r="R53" s="271">
        <v>0</v>
      </c>
      <c r="S53" s="271">
        <v>0</v>
      </c>
      <c r="T53" s="271">
        <v>0</v>
      </c>
      <c r="U53" s="271">
        <v>0</v>
      </c>
      <c r="V53" s="271">
        <v>0</v>
      </c>
      <c r="W53" s="271">
        <v>0</v>
      </c>
      <c r="X53" s="403" t="s">
        <v>205</v>
      </c>
    </row>
    <row r="54" spans="1:24">
      <c r="A54" s="417" t="str">
        <f ca="1">CONCATENATE("DGV_",OFFSET(ReactMatrix!$B$1,COLUMN(A54)-COLUMN($A$18),ROW(C56)-ROW($C$20)))</f>
        <v>DGV_rXmto</v>
      </c>
      <c r="B54" s="271">
        <v>0</v>
      </c>
      <c r="C54" s="271">
        <v>0</v>
      </c>
      <c r="D54" s="271">
        <v>0</v>
      </c>
      <c r="E54" s="271">
        <v>0</v>
      </c>
      <c r="F54" s="271">
        <v>0</v>
      </c>
      <c r="G54" s="271">
        <v>0</v>
      </c>
      <c r="H54" s="271">
        <v>0</v>
      </c>
      <c r="I54" s="271">
        <v>0</v>
      </c>
      <c r="J54" s="271">
        <v>0</v>
      </c>
      <c r="K54" s="271">
        <v>0</v>
      </c>
      <c r="L54" s="271">
        <v>0</v>
      </c>
      <c r="M54" s="271">
        <v>0</v>
      </c>
      <c r="N54" s="271">
        <v>0</v>
      </c>
      <c r="O54" s="271">
        <v>0</v>
      </c>
      <c r="P54" s="271">
        <v>0</v>
      </c>
      <c r="Q54" s="271">
        <v>0</v>
      </c>
      <c r="R54" s="271">
        <v>0</v>
      </c>
      <c r="S54" s="271">
        <v>0</v>
      </c>
      <c r="T54" s="271">
        <v>0</v>
      </c>
      <c r="U54" s="271">
        <v>0</v>
      </c>
      <c r="V54" s="271">
        <v>0</v>
      </c>
      <c r="W54" s="271">
        <v>0</v>
      </c>
      <c r="X54" s="403" t="s">
        <v>205</v>
      </c>
    </row>
    <row r="55" spans="1:24">
      <c r="A55" s="417" t="str">
        <f ca="1">CONCATENATE("DGV_",OFFSET(ReactMatrix!$B$1,COLUMN(A55)-COLUMN($A$18),ROW(C57)-ROW($C$20)))</f>
        <v>DGV_rXmts</v>
      </c>
      <c r="B55" s="271">
        <v>0</v>
      </c>
      <c r="C55" s="271">
        <v>0</v>
      </c>
      <c r="D55" s="271">
        <v>0</v>
      </c>
      <c r="E55" s="271">
        <v>0</v>
      </c>
      <c r="F55" s="271">
        <v>0</v>
      </c>
      <c r="G55" s="271">
        <v>0</v>
      </c>
      <c r="H55" s="271">
        <v>0</v>
      </c>
      <c r="I55" s="271">
        <v>0</v>
      </c>
      <c r="J55" s="271">
        <v>0</v>
      </c>
      <c r="K55" s="271">
        <v>0</v>
      </c>
      <c r="L55" s="271">
        <v>0</v>
      </c>
      <c r="M55" s="271">
        <v>0</v>
      </c>
      <c r="N55" s="271">
        <v>0</v>
      </c>
      <c r="O55" s="271">
        <v>0</v>
      </c>
      <c r="P55" s="271">
        <v>0</v>
      </c>
      <c r="Q55" s="271">
        <v>0</v>
      </c>
      <c r="R55" s="271">
        <v>0</v>
      </c>
      <c r="S55" s="271">
        <v>0</v>
      </c>
      <c r="T55" s="271">
        <v>0</v>
      </c>
      <c r="U55" s="271">
        <v>0</v>
      </c>
      <c r="V55" s="271">
        <v>0</v>
      </c>
      <c r="W55" s="271">
        <v>0</v>
      </c>
      <c r="X55" s="403" t="s">
        <v>205</v>
      </c>
    </row>
    <row r="56" spans="1:24">
      <c r="A56" s="417" t="str">
        <f ca="1">CONCATENATE("DGV_",OFFSET(ReactMatrix!$B$1,COLUMN(A56)-COLUMN($A$18),ROW(C58)-ROW($C$20)))</f>
        <v>DGV_rXd</v>
      </c>
      <c r="B56" s="271">
        <v>0</v>
      </c>
      <c r="C56" s="271">
        <v>0</v>
      </c>
      <c r="D56" s="271">
        <v>0</v>
      </c>
      <c r="E56" s="271">
        <v>0</v>
      </c>
      <c r="F56" s="271">
        <v>0</v>
      </c>
      <c r="G56" s="271">
        <v>0</v>
      </c>
      <c r="H56" s="271">
        <v>0</v>
      </c>
      <c r="I56" s="271">
        <v>0</v>
      </c>
      <c r="J56" s="271">
        <v>0</v>
      </c>
      <c r="K56" s="271">
        <v>0</v>
      </c>
      <c r="L56" s="271">
        <v>0</v>
      </c>
      <c r="M56" s="271">
        <v>0</v>
      </c>
      <c r="N56" s="271">
        <v>0</v>
      </c>
      <c r="O56" s="271">
        <v>0</v>
      </c>
      <c r="P56" s="271">
        <v>0</v>
      </c>
      <c r="Q56" s="271">
        <v>0</v>
      </c>
      <c r="R56" s="271">
        <v>0</v>
      </c>
      <c r="S56" s="271">
        <v>0</v>
      </c>
      <c r="T56" s="271">
        <v>0</v>
      </c>
      <c r="U56" s="271">
        <v>0</v>
      </c>
      <c r="V56" s="271">
        <v>0</v>
      </c>
      <c r="W56" s="271">
        <v>0</v>
      </c>
      <c r="X56" s="403" t="s">
        <v>205</v>
      </c>
    </row>
    <row r="57" spans="1:24">
      <c r="A57"/>
    </row>
    <row r="58" spans="1:24">
      <c r="A58"/>
    </row>
    <row r="59" spans="1:24">
      <c r="A59"/>
    </row>
  </sheetData>
  <phoneticPr fontId="3" type="noConversion"/>
  <pageMargins left="0.75" right="0.7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0"/>
  <dimension ref="A1:CL44"/>
  <sheetViews>
    <sheetView topLeftCell="BU1" workbookViewId="0">
      <selection activeCell="CC27" sqref="CC27"/>
    </sheetView>
  </sheetViews>
  <sheetFormatPr defaultColWidth="11.44140625" defaultRowHeight="13.2"/>
  <cols>
    <col min="1" max="1" width="9.5546875" style="186" bestFit="1" customWidth="1"/>
    <col min="2" max="89" width="8.6640625" style="192" customWidth="1"/>
    <col min="90" max="16384" width="11.44140625" style="192"/>
  </cols>
  <sheetData>
    <row r="1" spans="1:90" s="186" customFormat="1" ht="13.8" thickBot="1">
      <c r="A1" s="185"/>
      <c r="B1" s="186" t="s">
        <v>482</v>
      </c>
      <c r="C1" s="186" t="s">
        <v>483</v>
      </c>
      <c r="D1" s="186" t="s">
        <v>484</v>
      </c>
      <c r="E1" s="186" t="s">
        <v>485</v>
      </c>
      <c r="F1" s="186" t="s">
        <v>486</v>
      </c>
      <c r="G1" s="186" t="s">
        <v>741</v>
      </c>
      <c r="H1" s="186" t="s">
        <v>487</v>
      </c>
      <c r="I1" s="186" t="s">
        <v>488</v>
      </c>
      <c r="J1" s="186" t="s">
        <v>489</v>
      </c>
      <c r="K1" s="186" t="s">
        <v>710</v>
      </c>
      <c r="L1" s="186" t="s">
        <v>490</v>
      </c>
      <c r="M1" s="186" t="s">
        <v>491</v>
      </c>
      <c r="N1" s="186" t="s">
        <v>492</v>
      </c>
      <c r="O1" s="186" t="s">
        <v>493</v>
      </c>
      <c r="P1" s="186" t="s">
        <v>552</v>
      </c>
      <c r="Q1" s="186" t="s">
        <v>554</v>
      </c>
      <c r="R1" s="186" t="s">
        <v>471</v>
      </c>
      <c r="S1" s="186" t="s">
        <v>472</v>
      </c>
      <c r="T1" s="186" t="s">
        <v>473</v>
      </c>
      <c r="U1" s="186" t="s">
        <v>474</v>
      </c>
      <c r="V1" s="186" t="s">
        <v>475</v>
      </c>
      <c r="W1" s="186" t="s">
        <v>742</v>
      </c>
      <c r="X1" s="186" t="s">
        <v>476</v>
      </c>
      <c r="Y1" s="186" t="s">
        <v>477</v>
      </c>
      <c r="Z1" s="186" t="s">
        <v>478</v>
      </c>
      <c r="AA1" s="186" t="s">
        <v>711</v>
      </c>
      <c r="AB1" s="186" t="s">
        <v>479</v>
      </c>
      <c r="AC1" s="186" t="s">
        <v>480</v>
      </c>
      <c r="AD1" s="186" t="s">
        <v>693</v>
      </c>
      <c r="AE1" s="186" t="s">
        <v>481</v>
      </c>
      <c r="AF1" s="186" t="s">
        <v>553</v>
      </c>
      <c r="AG1" s="186" t="s">
        <v>555</v>
      </c>
      <c r="AH1" s="186" t="s">
        <v>494</v>
      </c>
      <c r="AI1" s="186" t="s">
        <v>496</v>
      </c>
      <c r="AJ1" s="186" t="s">
        <v>788</v>
      </c>
      <c r="AK1" s="186" t="s">
        <v>498</v>
      </c>
      <c r="AL1" s="186" t="s">
        <v>500</v>
      </c>
      <c r="AM1" s="186" t="s">
        <v>789</v>
      </c>
      <c r="AN1" s="186" t="s">
        <v>510</v>
      </c>
      <c r="AO1" s="186" t="s">
        <v>512</v>
      </c>
      <c r="AP1" s="186" t="s">
        <v>514</v>
      </c>
      <c r="AQ1" s="186" t="s">
        <v>516</v>
      </c>
      <c r="AR1" s="186" t="s">
        <v>518</v>
      </c>
      <c r="AS1" s="186" t="s">
        <v>520</v>
      </c>
      <c r="AT1" s="186" t="s">
        <v>522</v>
      </c>
      <c r="AU1" s="186" t="s">
        <v>524</v>
      </c>
      <c r="AV1" s="186" t="s">
        <v>526</v>
      </c>
      <c r="AW1" s="186" t="s">
        <v>528</v>
      </c>
      <c r="AX1" s="186" t="s">
        <v>495</v>
      </c>
      <c r="AY1" s="186" t="s">
        <v>497</v>
      </c>
      <c r="AZ1" s="186" t="s">
        <v>790</v>
      </c>
      <c r="BA1" s="186" t="s">
        <v>499</v>
      </c>
      <c r="BB1" s="186" t="s">
        <v>501</v>
      </c>
      <c r="BC1" s="186" t="s">
        <v>791</v>
      </c>
      <c r="BD1" s="186" t="s">
        <v>511</v>
      </c>
      <c r="BE1" s="186" t="s">
        <v>513</v>
      </c>
      <c r="BF1" s="186" t="s">
        <v>515</v>
      </c>
      <c r="BG1" s="186" t="s">
        <v>517</v>
      </c>
      <c r="BH1" s="186" t="s">
        <v>519</v>
      </c>
      <c r="BI1" s="186" t="s">
        <v>521</v>
      </c>
      <c r="BJ1" s="186" t="s">
        <v>523</v>
      </c>
      <c r="BK1" s="186" t="s">
        <v>525</v>
      </c>
      <c r="BL1" s="186" t="s">
        <v>527</v>
      </c>
      <c r="BM1" s="186" t="s">
        <v>529</v>
      </c>
      <c r="BN1" s="186" t="s">
        <v>530</v>
      </c>
      <c r="BO1" s="415" t="s">
        <v>827</v>
      </c>
      <c r="BP1" s="186" t="s">
        <v>531</v>
      </c>
      <c r="BQ1" s="186" t="s">
        <v>694</v>
      </c>
      <c r="BR1" s="415" t="s">
        <v>828</v>
      </c>
      <c r="BS1" s="186" t="s">
        <v>692</v>
      </c>
      <c r="BT1" s="186" t="s">
        <v>724</v>
      </c>
      <c r="BU1" s="186" t="s">
        <v>725</v>
      </c>
      <c r="BV1" s="186" t="s">
        <v>726</v>
      </c>
      <c r="BW1" s="186" t="s">
        <v>727</v>
      </c>
      <c r="BX1" s="186" t="s">
        <v>728</v>
      </c>
      <c r="BY1" s="186" t="s">
        <v>729</v>
      </c>
      <c r="BZ1" s="186" t="s">
        <v>730</v>
      </c>
      <c r="CA1" s="186" t="s">
        <v>731</v>
      </c>
      <c r="CB1" s="186" t="s">
        <v>732</v>
      </c>
      <c r="CC1" s="186" t="s">
        <v>733</v>
      </c>
      <c r="CD1" s="186" t="s">
        <v>734</v>
      </c>
      <c r="CE1" s="186" t="s">
        <v>735</v>
      </c>
      <c r="CF1" s="186" t="s">
        <v>557</v>
      </c>
      <c r="CG1" s="186" t="s">
        <v>556</v>
      </c>
      <c r="CH1" s="186" t="s">
        <v>705</v>
      </c>
      <c r="CI1" s="186" t="s">
        <v>558</v>
      </c>
      <c r="CJ1" s="186" t="s">
        <v>559</v>
      </c>
      <c r="CK1" s="186" t="s">
        <v>560</v>
      </c>
      <c r="CL1" s="327" t="s">
        <v>822</v>
      </c>
    </row>
    <row r="2" spans="1:90">
      <c r="A2" s="327" t="str">
        <f>+ReactMatrix!A2</f>
        <v>Sglu</v>
      </c>
      <c r="B2" s="430">
        <v>1</v>
      </c>
      <c r="C2" s="431">
        <v>0</v>
      </c>
      <c r="D2" s="431">
        <v>0</v>
      </c>
      <c r="E2" s="431">
        <v>0</v>
      </c>
      <c r="F2" s="431">
        <v>0</v>
      </c>
      <c r="G2" s="431">
        <v>0</v>
      </c>
      <c r="H2" s="431">
        <v>0</v>
      </c>
      <c r="I2" s="431">
        <v>0</v>
      </c>
      <c r="J2" s="431">
        <v>0</v>
      </c>
      <c r="K2" s="431">
        <v>0</v>
      </c>
      <c r="L2" s="431">
        <v>0</v>
      </c>
      <c r="M2" s="431">
        <v>0</v>
      </c>
      <c r="N2" s="431">
        <v>0</v>
      </c>
      <c r="O2" s="431">
        <v>0</v>
      </c>
      <c r="P2" s="431">
        <v>0</v>
      </c>
      <c r="Q2" s="432">
        <v>0</v>
      </c>
      <c r="R2" s="431">
        <v>1</v>
      </c>
      <c r="S2" s="431">
        <v>0</v>
      </c>
      <c r="T2" s="431">
        <v>0</v>
      </c>
      <c r="U2" s="431">
        <v>0</v>
      </c>
      <c r="V2" s="431">
        <v>0</v>
      </c>
      <c r="W2" s="431">
        <v>0</v>
      </c>
      <c r="X2" s="431">
        <v>0</v>
      </c>
      <c r="Y2" s="431">
        <v>0</v>
      </c>
      <c r="Z2" s="431">
        <v>0</v>
      </c>
      <c r="AA2" s="431">
        <v>0</v>
      </c>
      <c r="AB2" s="431">
        <v>0</v>
      </c>
      <c r="AC2" s="431">
        <v>0</v>
      </c>
      <c r="AD2" s="431">
        <v>0</v>
      </c>
      <c r="AE2" s="431">
        <v>0</v>
      </c>
      <c r="AF2" s="431">
        <v>0</v>
      </c>
      <c r="AG2" s="432">
        <v>0</v>
      </c>
      <c r="AH2" s="430">
        <v>0</v>
      </c>
      <c r="AI2" s="431">
        <v>0</v>
      </c>
      <c r="AJ2" s="431">
        <v>0</v>
      </c>
      <c r="AK2" s="431">
        <v>0</v>
      </c>
      <c r="AL2" s="431">
        <v>0</v>
      </c>
      <c r="AM2" s="431">
        <v>0</v>
      </c>
      <c r="AN2" s="431">
        <v>0</v>
      </c>
      <c r="AO2" s="431">
        <v>0</v>
      </c>
      <c r="AP2" s="431">
        <v>0</v>
      </c>
      <c r="AQ2" s="431">
        <v>0</v>
      </c>
      <c r="AR2" s="431">
        <v>0</v>
      </c>
      <c r="AS2" s="431">
        <v>0</v>
      </c>
      <c r="AT2" s="431">
        <v>0</v>
      </c>
      <c r="AU2" s="431">
        <v>0</v>
      </c>
      <c r="AV2" s="431">
        <v>0</v>
      </c>
      <c r="AW2" s="432">
        <v>0</v>
      </c>
      <c r="AX2" s="430">
        <v>0</v>
      </c>
      <c r="AY2" s="431">
        <v>0</v>
      </c>
      <c r="AZ2" s="431">
        <v>0</v>
      </c>
      <c r="BA2" s="431">
        <v>0</v>
      </c>
      <c r="BB2" s="431">
        <v>0</v>
      </c>
      <c r="BC2" s="431">
        <v>0</v>
      </c>
      <c r="BD2" s="431">
        <v>0</v>
      </c>
      <c r="BE2" s="431">
        <v>0</v>
      </c>
      <c r="BF2" s="431">
        <v>0</v>
      </c>
      <c r="BG2" s="431">
        <v>0</v>
      </c>
      <c r="BH2" s="431">
        <v>0</v>
      </c>
      <c r="BI2" s="431">
        <v>0</v>
      </c>
      <c r="BJ2" s="431">
        <v>0</v>
      </c>
      <c r="BK2" s="431">
        <v>0</v>
      </c>
      <c r="BL2" s="431">
        <v>0</v>
      </c>
      <c r="BM2" s="432">
        <v>0</v>
      </c>
      <c r="BN2" s="430">
        <v>0</v>
      </c>
      <c r="BO2" s="431">
        <v>0</v>
      </c>
      <c r="BP2" s="432">
        <v>0</v>
      </c>
      <c r="BQ2" s="431">
        <v>0</v>
      </c>
      <c r="BR2" s="431">
        <v>0</v>
      </c>
      <c r="BS2" s="432">
        <v>0</v>
      </c>
      <c r="BT2" s="430">
        <v>0</v>
      </c>
      <c r="BU2" s="431">
        <v>0</v>
      </c>
      <c r="BV2" s="431">
        <v>0</v>
      </c>
      <c r="BW2" s="431">
        <v>0</v>
      </c>
      <c r="BX2" s="431">
        <v>0</v>
      </c>
      <c r="BY2" s="432">
        <v>0</v>
      </c>
      <c r="BZ2" s="430">
        <v>0</v>
      </c>
      <c r="CA2" s="431">
        <v>0</v>
      </c>
      <c r="CB2" s="431">
        <v>0</v>
      </c>
      <c r="CC2" s="431">
        <v>0</v>
      </c>
      <c r="CD2" s="431">
        <v>0</v>
      </c>
      <c r="CE2" s="432">
        <v>0</v>
      </c>
      <c r="CF2" s="430">
        <v>0</v>
      </c>
      <c r="CG2" s="431">
        <v>0</v>
      </c>
      <c r="CH2" s="431">
        <v>0</v>
      </c>
      <c r="CI2" s="431">
        <v>0</v>
      </c>
      <c r="CJ2" s="431">
        <v>0</v>
      </c>
      <c r="CK2" s="432">
        <v>0</v>
      </c>
      <c r="CL2" s="291">
        <f>+ReactMatrix!AO2</f>
        <v>0</v>
      </c>
    </row>
    <row r="3" spans="1:90">
      <c r="A3" s="328" t="str">
        <f>+ReactMatrix!A3</f>
        <v>Sac</v>
      </c>
      <c r="B3" s="433">
        <v>0</v>
      </c>
      <c r="C3" s="434">
        <v>1</v>
      </c>
      <c r="D3" s="434">
        <v>0</v>
      </c>
      <c r="E3" s="434">
        <v>0</v>
      </c>
      <c r="F3" s="434">
        <v>0</v>
      </c>
      <c r="G3" s="434">
        <v>0</v>
      </c>
      <c r="H3" s="434">
        <v>0</v>
      </c>
      <c r="I3" s="434">
        <v>0</v>
      </c>
      <c r="J3" s="434">
        <v>0</v>
      </c>
      <c r="K3" s="434">
        <v>0</v>
      </c>
      <c r="L3" s="434">
        <v>0</v>
      </c>
      <c r="M3" s="434">
        <v>0</v>
      </c>
      <c r="N3" s="434">
        <v>0</v>
      </c>
      <c r="O3" s="434">
        <v>0</v>
      </c>
      <c r="P3" s="434">
        <v>0</v>
      </c>
      <c r="Q3" s="435">
        <v>0</v>
      </c>
      <c r="R3" s="434">
        <v>0</v>
      </c>
      <c r="S3" s="434">
        <v>1</v>
      </c>
      <c r="T3" s="434">
        <v>0</v>
      </c>
      <c r="U3" s="434">
        <v>0</v>
      </c>
      <c r="V3" s="434">
        <v>0</v>
      </c>
      <c r="W3" s="434">
        <v>0</v>
      </c>
      <c r="X3" s="434">
        <v>0</v>
      </c>
      <c r="Y3" s="434">
        <v>0</v>
      </c>
      <c r="Z3" s="434">
        <v>0</v>
      </c>
      <c r="AA3" s="434">
        <v>0</v>
      </c>
      <c r="AB3" s="434">
        <v>0</v>
      </c>
      <c r="AC3" s="434">
        <v>0</v>
      </c>
      <c r="AD3" s="434">
        <v>0</v>
      </c>
      <c r="AE3" s="434">
        <v>0</v>
      </c>
      <c r="AF3" s="434">
        <v>0</v>
      </c>
      <c r="AG3" s="435">
        <v>0</v>
      </c>
      <c r="AH3" s="433">
        <v>0</v>
      </c>
      <c r="AI3" s="434">
        <v>0</v>
      </c>
      <c r="AJ3" s="434">
        <v>0</v>
      </c>
      <c r="AK3" s="434">
        <v>0</v>
      </c>
      <c r="AL3" s="434">
        <v>0</v>
      </c>
      <c r="AM3" s="434">
        <v>0</v>
      </c>
      <c r="AN3" s="434">
        <v>0</v>
      </c>
      <c r="AO3" s="434">
        <v>0</v>
      </c>
      <c r="AP3" s="434">
        <v>0</v>
      </c>
      <c r="AQ3" s="434">
        <v>0</v>
      </c>
      <c r="AR3" s="434">
        <v>0</v>
      </c>
      <c r="AS3" s="434">
        <v>0</v>
      </c>
      <c r="AT3" s="434">
        <v>0</v>
      </c>
      <c r="AU3" s="434">
        <v>0</v>
      </c>
      <c r="AV3" s="434">
        <v>0</v>
      </c>
      <c r="AW3" s="435">
        <v>0</v>
      </c>
      <c r="AX3" s="433">
        <v>0</v>
      </c>
      <c r="AY3" s="434">
        <v>0</v>
      </c>
      <c r="AZ3" s="434">
        <v>0</v>
      </c>
      <c r="BA3" s="434">
        <v>0</v>
      </c>
      <c r="BB3" s="434">
        <v>0</v>
      </c>
      <c r="BC3" s="434">
        <v>0</v>
      </c>
      <c r="BD3" s="434">
        <v>0</v>
      </c>
      <c r="BE3" s="434">
        <v>0</v>
      </c>
      <c r="BF3" s="434">
        <v>0</v>
      </c>
      <c r="BG3" s="434">
        <v>0</v>
      </c>
      <c r="BH3" s="434">
        <v>0</v>
      </c>
      <c r="BI3" s="434">
        <v>0</v>
      </c>
      <c r="BJ3" s="434">
        <v>0</v>
      </c>
      <c r="BK3" s="434">
        <v>0</v>
      </c>
      <c r="BL3" s="434">
        <v>0</v>
      </c>
      <c r="BM3" s="435">
        <v>0</v>
      </c>
      <c r="BN3" s="433">
        <v>0</v>
      </c>
      <c r="BO3" s="434">
        <v>0</v>
      </c>
      <c r="BP3" s="435">
        <v>0</v>
      </c>
      <c r="BQ3" s="434">
        <v>0</v>
      </c>
      <c r="BR3" s="434">
        <v>0</v>
      </c>
      <c r="BS3" s="435">
        <v>0</v>
      </c>
      <c r="BT3" s="433">
        <v>0</v>
      </c>
      <c r="BU3" s="434">
        <v>0</v>
      </c>
      <c r="BV3" s="434">
        <v>0</v>
      </c>
      <c r="BW3" s="434">
        <v>0</v>
      </c>
      <c r="BX3" s="434">
        <v>0</v>
      </c>
      <c r="BY3" s="435">
        <v>0</v>
      </c>
      <c r="BZ3" s="433">
        <v>0</v>
      </c>
      <c r="CA3" s="434">
        <v>0</v>
      </c>
      <c r="CB3" s="434">
        <v>0</v>
      </c>
      <c r="CC3" s="434">
        <v>0</v>
      </c>
      <c r="CD3" s="434">
        <v>0</v>
      </c>
      <c r="CE3" s="435">
        <v>0</v>
      </c>
      <c r="CF3" s="433">
        <v>0</v>
      </c>
      <c r="CG3" s="434">
        <v>0</v>
      </c>
      <c r="CH3" s="434">
        <v>0</v>
      </c>
      <c r="CI3" s="434">
        <v>0</v>
      </c>
      <c r="CJ3" s="434">
        <v>0</v>
      </c>
      <c r="CK3" s="435">
        <v>0</v>
      </c>
      <c r="CL3" s="292">
        <f>+ReactMatrix!AO3</f>
        <v>1</v>
      </c>
    </row>
    <row r="4" spans="1:90">
      <c r="A4" s="328" t="str">
        <f>+ReactMatrix!A4</f>
        <v>Sch4</v>
      </c>
      <c r="B4" s="433">
        <v>0</v>
      </c>
      <c r="C4" s="434">
        <v>0</v>
      </c>
      <c r="D4" s="434">
        <v>1</v>
      </c>
      <c r="E4" s="434">
        <v>0</v>
      </c>
      <c r="F4" s="434">
        <v>0</v>
      </c>
      <c r="G4" s="434">
        <v>0</v>
      </c>
      <c r="H4" s="434">
        <v>0</v>
      </c>
      <c r="I4" s="434">
        <v>0</v>
      </c>
      <c r="J4" s="434">
        <v>0</v>
      </c>
      <c r="K4" s="434">
        <v>0</v>
      </c>
      <c r="L4" s="434">
        <v>0</v>
      </c>
      <c r="M4" s="434">
        <v>0</v>
      </c>
      <c r="N4" s="434">
        <v>0</v>
      </c>
      <c r="O4" s="434">
        <v>0</v>
      </c>
      <c r="P4" s="434">
        <v>0</v>
      </c>
      <c r="Q4" s="435">
        <v>0</v>
      </c>
      <c r="R4" s="434">
        <v>0</v>
      </c>
      <c r="S4" s="434">
        <v>0</v>
      </c>
      <c r="T4" s="434">
        <v>1</v>
      </c>
      <c r="U4" s="434">
        <v>0</v>
      </c>
      <c r="V4" s="434">
        <v>0</v>
      </c>
      <c r="W4" s="434">
        <v>0</v>
      </c>
      <c r="X4" s="434">
        <v>0</v>
      </c>
      <c r="Y4" s="434">
        <v>0</v>
      </c>
      <c r="Z4" s="434">
        <v>0</v>
      </c>
      <c r="AA4" s="434">
        <v>0</v>
      </c>
      <c r="AB4" s="434">
        <v>0</v>
      </c>
      <c r="AC4" s="434">
        <v>0</v>
      </c>
      <c r="AD4" s="434">
        <v>0</v>
      </c>
      <c r="AE4" s="434">
        <v>0</v>
      </c>
      <c r="AF4" s="434">
        <v>0</v>
      </c>
      <c r="AG4" s="435">
        <v>0</v>
      </c>
      <c r="AH4" s="433">
        <v>0</v>
      </c>
      <c r="AI4" s="434">
        <v>0</v>
      </c>
      <c r="AJ4" s="434">
        <v>0</v>
      </c>
      <c r="AK4" s="434">
        <v>0</v>
      </c>
      <c r="AL4" s="434">
        <v>0</v>
      </c>
      <c r="AM4" s="434">
        <v>0</v>
      </c>
      <c r="AN4" s="434">
        <v>0</v>
      </c>
      <c r="AO4" s="434">
        <v>0</v>
      </c>
      <c r="AP4" s="434">
        <v>0</v>
      </c>
      <c r="AQ4" s="434">
        <v>0</v>
      </c>
      <c r="AR4" s="434">
        <v>0</v>
      </c>
      <c r="AS4" s="434">
        <v>0</v>
      </c>
      <c r="AT4" s="434">
        <v>0</v>
      </c>
      <c r="AU4" s="434">
        <v>0</v>
      </c>
      <c r="AV4" s="434">
        <v>0</v>
      </c>
      <c r="AW4" s="435">
        <v>0</v>
      </c>
      <c r="AX4" s="433">
        <v>0</v>
      </c>
      <c r="AY4" s="434">
        <v>0</v>
      </c>
      <c r="AZ4" s="434">
        <v>0</v>
      </c>
      <c r="BA4" s="434">
        <v>0</v>
      </c>
      <c r="BB4" s="434">
        <v>0</v>
      </c>
      <c r="BC4" s="434">
        <v>0</v>
      </c>
      <c r="BD4" s="434">
        <v>0</v>
      </c>
      <c r="BE4" s="434">
        <v>0</v>
      </c>
      <c r="BF4" s="434">
        <v>0</v>
      </c>
      <c r="BG4" s="434">
        <v>0</v>
      </c>
      <c r="BH4" s="434">
        <v>0</v>
      </c>
      <c r="BI4" s="434">
        <v>0</v>
      </c>
      <c r="BJ4" s="434">
        <v>0</v>
      </c>
      <c r="BK4" s="434">
        <v>0</v>
      </c>
      <c r="BL4" s="434">
        <v>0</v>
      </c>
      <c r="BM4" s="435">
        <v>0</v>
      </c>
      <c r="BN4" s="433">
        <v>0</v>
      </c>
      <c r="BO4" s="434">
        <v>0</v>
      </c>
      <c r="BP4" s="435">
        <v>0</v>
      </c>
      <c r="BQ4" s="434">
        <v>0</v>
      </c>
      <c r="BR4" s="434">
        <v>0</v>
      </c>
      <c r="BS4" s="435">
        <v>0</v>
      </c>
      <c r="BT4" s="433">
        <v>0</v>
      </c>
      <c r="BU4" s="434">
        <v>0</v>
      </c>
      <c r="BV4" s="434">
        <v>0</v>
      </c>
      <c r="BW4" s="434">
        <v>0</v>
      </c>
      <c r="BX4" s="434">
        <v>0</v>
      </c>
      <c r="BY4" s="435">
        <v>0</v>
      </c>
      <c r="BZ4" s="433">
        <v>0</v>
      </c>
      <c r="CA4" s="434">
        <v>0</v>
      </c>
      <c r="CB4" s="434">
        <v>0</v>
      </c>
      <c r="CC4" s="434">
        <v>0</v>
      </c>
      <c r="CD4" s="434">
        <v>0</v>
      </c>
      <c r="CE4" s="435">
        <v>0</v>
      </c>
      <c r="CF4" s="433">
        <v>-1</v>
      </c>
      <c r="CG4" s="434">
        <v>0</v>
      </c>
      <c r="CH4" s="434">
        <v>0</v>
      </c>
      <c r="CI4" s="434">
        <v>0</v>
      </c>
      <c r="CJ4" s="434">
        <v>0</v>
      </c>
      <c r="CK4" s="435">
        <v>0</v>
      </c>
      <c r="CL4" s="292">
        <f>+ReactMatrix!AO4</f>
        <v>0</v>
      </c>
    </row>
    <row r="5" spans="1:90">
      <c r="A5" s="328" t="str">
        <f>+ReactMatrix!A5</f>
        <v>Sic</v>
      </c>
      <c r="B5" s="433">
        <v>0</v>
      </c>
      <c r="C5" s="434">
        <v>0</v>
      </c>
      <c r="D5" s="434">
        <v>0</v>
      </c>
      <c r="E5" s="434">
        <v>1</v>
      </c>
      <c r="F5" s="434">
        <v>0</v>
      </c>
      <c r="G5" s="434">
        <v>0</v>
      </c>
      <c r="H5" s="434">
        <v>0</v>
      </c>
      <c r="I5" s="434">
        <v>0</v>
      </c>
      <c r="J5" s="434">
        <v>0</v>
      </c>
      <c r="K5" s="434">
        <v>0</v>
      </c>
      <c r="L5" s="434">
        <v>0</v>
      </c>
      <c r="M5" s="434">
        <v>0</v>
      </c>
      <c r="N5" s="434">
        <v>0</v>
      </c>
      <c r="O5" s="434">
        <v>0</v>
      </c>
      <c r="P5" s="434">
        <v>0</v>
      </c>
      <c r="Q5" s="435">
        <v>0</v>
      </c>
      <c r="R5" s="434">
        <v>0</v>
      </c>
      <c r="S5" s="434">
        <v>0</v>
      </c>
      <c r="T5" s="434">
        <v>0</v>
      </c>
      <c r="U5" s="434">
        <v>1</v>
      </c>
      <c r="V5" s="434">
        <v>0</v>
      </c>
      <c r="W5" s="434">
        <v>0</v>
      </c>
      <c r="X5" s="434">
        <v>0</v>
      </c>
      <c r="Y5" s="434">
        <v>0</v>
      </c>
      <c r="Z5" s="434">
        <v>0</v>
      </c>
      <c r="AA5" s="434">
        <v>0</v>
      </c>
      <c r="AB5" s="434">
        <v>0</v>
      </c>
      <c r="AC5" s="434">
        <v>0</v>
      </c>
      <c r="AD5" s="434">
        <v>0</v>
      </c>
      <c r="AE5" s="434">
        <v>0</v>
      </c>
      <c r="AF5" s="434">
        <v>0</v>
      </c>
      <c r="AG5" s="435">
        <v>0</v>
      </c>
      <c r="AH5" s="433">
        <v>0</v>
      </c>
      <c r="AI5" s="434">
        <v>0</v>
      </c>
      <c r="AJ5" s="434">
        <v>0</v>
      </c>
      <c r="AK5" s="434">
        <v>0</v>
      </c>
      <c r="AL5" s="434">
        <v>0</v>
      </c>
      <c r="AM5" s="434">
        <v>0</v>
      </c>
      <c r="AN5" s="434">
        <v>0</v>
      </c>
      <c r="AO5" s="434">
        <v>0</v>
      </c>
      <c r="AP5" s="434">
        <v>0</v>
      </c>
      <c r="AQ5" s="434">
        <v>0</v>
      </c>
      <c r="AR5" s="434">
        <v>0</v>
      </c>
      <c r="AS5" s="434">
        <v>0</v>
      </c>
      <c r="AT5" s="434">
        <v>0</v>
      </c>
      <c r="AU5" s="434">
        <v>0</v>
      </c>
      <c r="AV5" s="434">
        <v>0</v>
      </c>
      <c r="AW5" s="435">
        <v>0</v>
      </c>
      <c r="AX5" s="433">
        <v>0</v>
      </c>
      <c r="AY5" s="434">
        <v>0</v>
      </c>
      <c r="AZ5" s="434">
        <v>0</v>
      </c>
      <c r="BA5" s="434">
        <v>0</v>
      </c>
      <c r="BB5" s="434">
        <v>0</v>
      </c>
      <c r="BC5" s="434">
        <v>0</v>
      </c>
      <c r="BD5" s="434">
        <v>0</v>
      </c>
      <c r="BE5" s="434">
        <v>0</v>
      </c>
      <c r="BF5" s="434">
        <v>0</v>
      </c>
      <c r="BG5" s="434">
        <v>0</v>
      </c>
      <c r="BH5" s="434">
        <v>0</v>
      </c>
      <c r="BI5" s="434">
        <v>0</v>
      </c>
      <c r="BJ5" s="434">
        <v>0</v>
      </c>
      <c r="BK5" s="434">
        <v>0</v>
      </c>
      <c r="BL5" s="434">
        <v>0</v>
      </c>
      <c r="BM5" s="435">
        <v>0</v>
      </c>
      <c r="BN5" s="433">
        <v>0</v>
      </c>
      <c r="BO5" s="434">
        <v>0</v>
      </c>
      <c r="BP5" s="435">
        <v>0</v>
      </c>
      <c r="BQ5" s="434">
        <v>0</v>
      </c>
      <c r="BR5" s="434">
        <v>0</v>
      </c>
      <c r="BS5" s="435">
        <v>0</v>
      </c>
      <c r="BT5" s="433">
        <v>0</v>
      </c>
      <c r="BU5" s="434">
        <v>0</v>
      </c>
      <c r="BV5" s="434">
        <v>0</v>
      </c>
      <c r="BW5" s="434">
        <v>0</v>
      </c>
      <c r="BX5" s="434">
        <v>0</v>
      </c>
      <c r="BY5" s="435">
        <v>0</v>
      </c>
      <c r="BZ5" s="433">
        <v>0</v>
      </c>
      <c r="CA5" s="434">
        <v>0</v>
      </c>
      <c r="CB5" s="434">
        <v>0</v>
      </c>
      <c r="CC5" s="434">
        <v>0</v>
      </c>
      <c r="CD5" s="434">
        <v>0</v>
      </c>
      <c r="CE5" s="435">
        <v>0</v>
      </c>
      <c r="CF5" s="433">
        <v>0</v>
      </c>
      <c r="CG5" s="434">
        <v>-1</v>
      </c>
      <c r="CH5" s="434">
        <v>0</v>
      </c>
      <c r="CI5" s="434">
        <v>0</v>
      </c>
      <c r="CJ5" s="434">
        <v>0</v>
      </c>
      <c r="CK5" s="435">
        <v>0</v>
      </c>
      <c r="CL5" s="292">
        <f>+ReactMatrix!AO5</f>
        <v>-1</v>
      </c>
    </row>
    <row r="6" spans="1:90">
      <c r="A6" s="328" t="str">
        <f>+ReactMatrix!A6</f>
        <v>Sh2</v>
      </c>
      <c r="B6" s="433">
        <v>0</v>
      </c>
      <c r="C6" s="434">
        <v>0</v>
      </c>
      <c r="D6" s="434">
        <v>0</v>
      </c>
      <c r="E6" s="434">
        <v>0</v>
      </c>
      <c r="F6" s="434">
        <v>1</v>
      </c>
      <c r="G6" s="434">
        <v>0</v>
      </c>
      <c r="H6" s="434">
        <v>0</v>
      </c>
      <c r="I6" s="434">
        <v>0</v>
      </c>
      <c r="J6" s="434">
        <v>0</v>
      </c>
      <c r="K6" s="434">
        <v>0</v>
      </c>
      <c r="L6" s="434">
        <v>0</v>
      </c>
      <c r="M6" s="434">
        <v>0</v>
      </c>
      <c r="N6" s="434">
        <v>0</v>
      </c>
      <c r="O6" s="434">
        <v>0</v>
      </c>
      <c r="P6" s="434">
        <v>0</v>
      </c>
      <c r="Q6" s="435">
        <v>0</v>
      </c>
      <c r="R6" s="434">
        <v>0</v>
      </c>
      <c r="S6" s="434">
        <v>0</v>
      </c>
      <c r="T6" s="434">
        <v>0</v>
      </c>
      <c r="U6" s="434">
        <v>0</v>
      </c>
      <c r="V6" s="434">
        <v>1</v>
      </c>
      <c r="W6" s="434">
        <v>0</v>
      </c>
      <c r="X6" s="434">
        <v>0</v>
      </c>
      <c r="Y6" s="434">
        <v>0</v>
      </c>
      <c r="Z6" s="434">
        <v>0</v>
      </c>
      <c r="AA6" s="434">
        <v>0</v>
      </c>
      <c r="AB6" s="434">
        <v>0</v>
      </c>
      <c r="AC6" s="434">
        <v>0</v>
      </c>
      <c r="AD6" s="434">
        <v>0</v>
      </c>
      <c r="AE6" s="434">
        <v>0</v>
      </c>
      <c r="AF6" s="434">
        <v>0</v>
      </c>
      <c r="AG6" s="435">
        <v>0</v>
      </c>
      <c r="AH6" s="433">
        <v>0</v>
      </c>
      <c r="AI6" s="434">
        <v>0</v>
      </c>
      <c r="AJ6" s="434">
        <v>0</v>
      </c>
      <c r="AK6" s="434">
        <v>0</v>
      </c>
      <c r="AL6" s="434">
        <v>0</v>
      </c>
      <c r="AM6" s="434">
        <v>0</v>
      </c>
      <c r="AN6" s="434">
        <v>0</v>
      </c>
      <c r="AO6" s="434">
        <v>0</v>
      </c>
      <c r="AP6" s="434">
        <v>0</v>
      </c>
      <c r="AQ6" s="434">
        <v>0</v>
      </c>
      <c r="AR6" s="434">
        <v>0</v>
      </c>
      <c r="AS6" s="434">
        <v>0</v>
      </c>
      <c r="AT6" s="434">
        <v>0</v>
      </c>
      <c r="AU6" s="434">
        <v>0</v>
      </c>
      <c r="AV6" s="434">
        <v>0</v>
      </c>
      <c r="AW6" s="435">
        <v>0</v>
      </c>
      <c r="AX6" s="433">
        <v>0</v>
      </c>
      <c r="AY6" s="434">
        <v>0</v>
      </c>
      <c r="AZ6" s="434">
        <v>0</v>
      </c>
      <c r="BA6" s="434">
        <v>0</v>
      </c>
      <c r="BB6" s="434">
        <v>0</v>
      </c>
      <c r="BC6" s="434">
        <v>0</v>
      </c>
      <c r="BD6" s="434">
        <v>0</v>
      </c>
      <c r="BE6" s="434">
        <v>0</v>
      </c>
      <c r="BF6" s="434">
        <v>0</v>
      </c>
      <c r="BG6" s="434">
        <v>0</v>
      </c>
      <c r="BH6" s="434">
        <v>0</v>
      </c>
      <c r="BI6" s="434">
        <v>0</v>
      </c>
      <c r="BJ6" s="434">
        <v>0</v>
      </c>
      <c r="BK6" s="434">
        <v>0</v>
      </c>
      <c r="BL6" s="434">
        <v>0</v>
      </c>
      <c r="BM6" s="435">
        <v>0</v>
      </c>
      <c r="BN6" s="433">
        <v>0</v>
      </c>
      <c r="BO6" s="434">
        <v>0</v>
      </c>
      <c r="BP6" s="435">
        <v>0</v>
      </c>
      <c r="BQ6" s="434">
        <v>0</v>
      </c>
      <c r="BR6" s="434">
        <v>0</v>
      </c>
      <c r="BS6" s="435">
        <v>0</v>
      </c>
      <c r="BT6" s="433">
        <v>0</v>
      </c>
      <c r="BU6" s="434">
        <v>0</v>
      </c>
      <c r="BV6" s="434">
        <v>0</v>
      </c>
      <c r="BW6" s="434">
        <v>0</v>
      </c>
      <c r="BX6" s="434">
        <v>0</v>
      </c>
      <c r="BY6" s="435">
        <v>0</v>
      </c>
      <c r="BZ6" s="433">
        <v>0</v>
      </c>
      <c r="CA6" s="434">
        <v>0</v>
      </c>
      <c r="CB6" s="434">
        <v>0</v>
      </c>
      <c r="CC6" s="434">
        <v>0</v>
      </c>
      <c r="CD6" s="434">
        <v>0</v>
      </c>
      <c r="CE6" s="435">
        <v>0</v>
      </c>
      <c r="CF6" s="433">
        <v>0</v>
      </c>
      <c r="CG6" s="434">
        <v>0</v>
      </c>
      <c r="CH6" s="434">
        <v>-1</v>
      </c>
      <c r="CI6" s="434">
        <v>0</v>
      </c>
      <c r="CJ6" s="434">
        <v>0</v>
      </c>
      <c r="CK6" s="435">
        <v>0</v>
      </c>
      <c r="CL6" s="292">
        <f>+ReactMatrix!AO6</f>
        <v>0</v>
      </c>
    </row>
    <row r="7" spans="1:90">
      <c r="A7" s="328" t="str">
        <f>+ReactMatrix!A7</f>
        <v>Samn</v>
      </c>
      <c r="B7" s="433">
        <v>0</v>
      </c>
      <c r="C7" s="434">
        <v>0</v>
      </c>
      <c r="D7" s="434">
        <v>0</v>
      </c>
      <c r="E7" s="434">
        <v>0</v>
      </c>
      <c r="F7" s="434">
        <v>0</v>
      </c>
      <c r="G7" s="434">
        <v>1</v>
      </c>
      <c r="H7" s="434">
        <v>0</v>
      </c>
      <c r="I7" s="434">
        <v>0</v>
      </c>
      <c r="J7" s="434">
        <v>0</v>
      </c>
      <c r="K7" s="434">
        <v>0</v>
      </c>
      <c r="L7" s="434">
        <v>0</v>
      </c>
      <c r="M7" s="434">
        <v>0</v>
      </c>
      <c r="N7" s="434">
        <v>0</v>
      </c>
      <c r="O7" s="434">
        <v>0</v>
      </c>
      <c r="P7" s="434">
        <v>0</v>
      </c>
      <c r="Q7" s="435">
        <v>0</v>
      </c>
      <c r="R7" s="434">
        <v>0</v>
      </c>
      <c r="S7" s="434">
        <v>0</v>
      </c>
      <c r="T7" s="434">
        <v>0</v>
      </c>
      <c r="U7" s="434">
        <v>0</v>
      </c>
      <c r="V7" s="434">
        <v>0</v>
      </c>
      <c r="W7" s="434">
        <v>1</v>
      </c>
      <c r="X7" s="434">
        <v>0</v>
      </c>
      <c r="Y7" s="434">
        <v>0</v>
      </c>
      <c r="Z7" s="434">
        <v>0</v>
      </c>
      <c r="AA7" s="434">
        <v>0</v>
      </c>
      <c r="AB7" s="434">
        <v>0</v>
      </c>
      <c r="AC7" s="434">
        <v>0</v>
      </c>
      <c r="AD7" s="434">
        <v>0</v>
      </c>
      <c r="AE7" s="434">
        <v>0</v>
      </c>
      <c r="AF7" s="434">
        <v>0</v>
      </c>
      <c r="AG7" s="435">
        <v>0</v>
      </c>
      <c r="AH7" s="433">
        <v>0</v>
      </c>
      <c r="AI7" s="434">
        <v>0</v>
      </c>
      <c r="AJ7" s="434">
        <v>0</v>
      </c>
      <c r="AK7" s="434">
        <v>0</v>
      </c>
      <c r="AL7" s="434">
        <v>0</v>
      </c>
      <c r="AM7" s="434">
        <v>0</v>
      </c>
      <c r="AN7" s="434">
        <v>0</v>
      </c>
      <c r="AO7" s="434">
        <v>0</v>
      </c>
      <c r="AP7" s="434">
        <v>0</v>
      </c>
      <c r="AQ7" s="434">
        <v>0</v>
      </c>
      <c r="AR7" s="434">
        <v>0</v>
      </c>
      <c r="AS7" s="434">
        <v>0</v>
      </c>
      <c r="AT7" s="434">
        <v>0</v>
      </c>
      <c r="AU7" s="434">
        <v>0</v>
      </c>
      <c r="AV7" s="434">
        <v>0</v>
      </c>
      <c r="AW7" s="435">
        <v>0</v>
      </c>
      <c r="AX7" s="433">
        <v>0</v>
      </c>
      <c r="AY7" s="434">
        <v>0</v>
      </c>
      <c r="AZ7" s="434">
        <v>0</v>
      </c>
      <c r="BA7" s="434">
        <v>0</v>
      </c>
      <c r="BB7" s="434">
        <v>0</v>
      </c>
      <c r="BC7" s="434">
        <v>0</v>
      </c>
      <c r="BD7" s="434">
        <v>0</v>
      </c>
      <c r="BE7" s="434">
        <v>0</v>
      </c>
      <c r="BF7" s="434">
        <v>0</v>
      </c>
      <c r="BG7" s="434">
        <v>0</v>
      </c>
      <c r="BH7" s="434">
        <v>0</v>
      </c>
      <c r="BI7" s="434">
        <v>0</v>
      </c>
      <c r="BJ7" s="434">
        <v>0</v>
      </c>
      <c r="BK7" s="434">
        <v>0</v>
      </c>
      <c r="BL7" s="434">
        <v>0</v>
      </c>
      <c r="BM7" s="435">
        <v>0</v>
      </c>
      <c r="BN7" s="433">
        <v>0</v>
      </c>
      <c r="BO7" s="434">
        <v>0</v>
      </c>
      <c r="BP7" s="435">
        <v>0</v>
      </c>
      <c r="BQ7" s="434">
        <v>0</v>
      </c>
      <c r="BR7" s="434">
        <v>0</v>
      </c>
      <c r="BS7" s="435">
        <v>0</v>
      </c>
      <c r="BT7" s="433">
        <v>0</v>
      </c>
      <c r="BU7" s="434">
        <v>0</v>
      </c>
      <c r="BV7" s="434">
        <v>0</v>
      </c>
      <c r="BW7" s="434">
        <v>0</v>
      </c>
      <c r="BX7" s="434">
        <v>0</v>
      </c>
      <c r="BY7" s="435">
        <v>0</v>
      </c>
      <c r="BZ7" s="433">
        <v>0</v>
      </c>
      <c r="CA7" s="434">
        <v>0</v>
      </c>
      <c r="CB7" s="434">
        <v>0</v>
      </c>
      <c r="CC7" s="434">
        <v>0</v>
      </c>
      <c r="CD7" s="434">
        <v>0</v>
      </c>
      <c r="CE7" s="435">
        <v>0</v>
      </c>
      <c r="CF7" s="433">
        <v>0</v>
      </c>
      <c r="CG7" s="434">
        <v>0</v>
      </c>
      <c r="CH7" s="434">
        <v>0</v>
      </c>
      <c r="CI7" s="434">
        <v>0</v>
      </c>
      <c r="CJ7" s="434">
        <v>0</v>
      </c>
      <c r="CK7" s="435">
        <v>0</v>
      </c>
      <c r="CL7" s="292">
        <f>+ReactMatrix!AO7</f>
        <v>0</v>
      </c>
    </row>
    <row r="8" spans="1:90">
      <c r="A8" s="328" t="str">
        <f>+ReactMatrix!A8</f>
        <v>Sno2</v>
      </c>
      <c r="B8" s="433">
        <v>0</v>
      </c>
      <c r="C8" s="434">
        <v>0</v>
      </c>
      <c r="D8" s="434">
        <v>0</v>
      </c>
      <c r="E8" s="434">
        <v>0</v>
      </c>
      <c r="F8" s="434">
        <v>0</v>
      </c>
      <c r="G8" s="434">
        <v>0</v>
      </c>
      <c r="H8" s="434">
        <v>1</v>
      </c>
      <c r="I8" s="434">
        <v>0</v>
      </c>
      <c r="J8" s="434">
        <v>0</v>
      </c>
      <c r="K8" s="434">
        <v>0</v>
      </c>
      <c r="L8" s="434">
        <v>0</v>
      </c>
      <c r="M8" s="434">
        <v>0</v>
      </c>
      <c r="N8" s="434">
        <v>0</v>
      </c>
      <c r="O8" s="434">
        <v>0</v>
      </c>
      <c r="P8" s="434">
        <v>0</v>
      </c>
      <c r="Q8" s="435">
        <v>0</v>
      </c>
      <c r="R8" s="434">
        <v>0</v>
      </c>
      <c r="S8" s="434">
        <v>0</v>
      </c>
      <c r="T8" s="434">
        <v>0</v>
      </c>
      <c r="U8" s="434">
        <v>0</v>
      </c>
      <c r="V8" s="434">
        <v>0</v>
      </c>
      <c r="W8" s="434">
        <v>0</v>
      </c>
      <c r="X8" s="434">
        <v>1</v>
      </c>
      <c r="Y8" s="434">
        <v>0</v>
      </c>
      <c r="Z8" s="434">
        <v>0</v>
      </c>
      <c r="AA8" s="434">
        <v>0</v>
      </c>
      <c r="AB8" s="434">
        <v>0</v>
      </c>
      <c r="AC8" s="434">
        <v>0</v>
      </c>
      <c r="AD8" s="434">
        <v>0</v>
      </c>
      <c r="AE8" s="434">
        <v>0</v>
      </c>
      <c r="AF8" s="434">
        <v>0</v>
      </c>
      <c r="AG8" s="435">
        <v>0</v>
      </c>
      <c r="AH8" s="433">
        <v>0</v>
      </c>
      <c r="AI8" s="434">
        <v>0</v>
      </c>
      <c r="AJ8" s="434">
        <v>0</v>
      </c>
      <c r="AK8" s="434">
        <v>0</v>
      </c>
      <c r="AL8" s="434">
        <v>0</v>
      </c>
      <c r="AM8" s="434">
        <v>0</v>
      </c>
      <c r="AN8" s="434">
        <v>0</v>
      </c>
      <c r="AO8" s="434">
        <v>0</v>
      </c>
      <c r="AP8" s="434">
        <v>0</v>
      </c>
      <c r="AQ8" s="434">
        <v>0</v>
      </c>
      <c r="AR8" s="434">
        <v>0</v>
      </c>
      <c r="AS8" s="434">
        <v>0</v>
      </c>
      <c r="AT8" s="434">
        <v>0</v>
      </c>
      <c r="AU8" s="434">
        <v>0</v>
      </c>
      <c r="AV8" s="434">
        <v>0</v>
      </c>
      <c r="AW8" s="435">
        <v>0</v>
      </c>
      <c r="AX8" s="433">
        <v>0</v>
      </c>
      <c r="AY8" s="434">
        <v>0</v>
      </c>
      <c r="AZ8" s="434">
        <v>0</v>
      </c>
      <c r="BA8" s="434">
        <v>0</v>
      </c>
      <c r="BB8" s="434">
        <v>0</v>
      </c>
      <c r="BC8" s="434">
        <v>0</v>
      </c>
      <c r="BD8" s="434">
        <v>0</v>
      </c>
      <c r="BE8" s="434">
        <v>0</v>
      </c>
      <c r="BF8" s="434">
        <v>0</v>
      </c>
      <c r="BG8" s="434">
        <v>0</v>
      </c>
      <c r="BH8" s="434">
        <v>0</v>
      </c>
      <c r="BI8" s="434">
        <v>0</v>
      </c>
      <c r="BJ8" s="434">
        <v>0</v>
      </c>
      <c r="BK8" s="434">
        <v>0</v>
      </c>
      <c r="BL8" s="434">
        <v>0</v>
      </c>
      <c r="BM8" s="435">
        <v>0</v>
      </c>
      <c r="BN8" s="433">
        <v>0</v>
      </c>
      <c r="BO8" s="434">
        <v>0</v>
      </c>
      <c r="BP8" s="435">
        <v>0</v>
      </c>
      <c r="BQ8" s="434">
        <v>0</v>
      </c>
      <c r="BR8" s="434">
        <v>0</v>
      </c>
      <c r="BS8" s="435">
        <v>0</v>
      </c>
      <c r="BT8" s="433">
        <v>0</v>
      </c>
      <c r="BU8" s="434">
        <v>0</v>
      </c>
      <c r="BV8" s="434">
        <v>0</v>
      </c>
      <c r="BW8" s="434">
        <v>0</v>
      </c>
      <c r="BX8" s="434">
        <v>0</v>
      </c>
      <c r="BY8" s="435">
        <v>0</v>
      </c>
      <c r="BZ8" s="433">
        <v>0</v>
      </c>
      <c r="CA8" s="434">
        <v>0</v>
      </c>
      <c r="CB8" s="434">
        <v>0</v>
      </c>
      <c r="CC8" s="434">
        <v>0</v>
      </c>
      <c r="CD8" s="434">
        <v>0</v>
      </c>
      <c r="CE8" s="435">
        <v>0</v>
      </c>
      <c r="CF8" s="433">
        <v>0</v>
      </c>
      <c r="CG8" s="434">
        <v>0</v>
      </c>
      <c r="CH8" s="434">
        <v>0</v>
      </c>
      <c r="CI8" s="434">
        <v>0</v>
      </c>
      <c r="CJ8" s="434">
        <v>0</v>
      </c>
      <c r="CK8" s="435">
        <v>0</v>
      </c>
      <c r="CL8" s="292">
        <f>+ReactMatrix!AO8</f>
        <v>1</v>
      </c>
    </row>
    <row r="9" spans="1:90">
      <c r="A9" s="328" t="str">
        <f>+ReactMatrix!A9</f>
        <v>Sno3</v>
      </c>
      <c r="B9" s="433">
        <v>0</v>
      </c>
      <c r="C9" s="434">
        <v>0</v>
      </c>
      <c r="D9" s="434">
        <v>0</v>
      </c>
      <c r="E9" s="434">
        <v>0</v>
      </c>
      <c r="F9" s="434">
        <v>0</v>
      </c>
      <c r="G9" s="434">
        <v>0</v>
      </c>
      <c r="H9" s="434">
        <v>0</v>
      </c>
      <c r="I9" s="434">
        <v>1</v>
      </c>
      <c r="J9" s="434">
        <v>0</v>
      </c>
      <c r="K9" s="434">
        <v>0</v>
      </c>
      <c r="L9" s="434">
        <v>0</v>
      </c>
      <c r="M9" s="434">
        <v>0</v>
      </c>
      <c r="N9" s="434">
        <v>0</v>
      </c>
      <c r="O9" s="434">
        <v>0</v>
      </c>
      <c r="P9" s="434">
        <v>0</v>
      </c>
      <c r="Q9" s="435">
        <v>0</v>
      </c>
      <c r="R9" s="434">
        <v>0</v>
      </c>
      <c r="S9" s="434">
        <v>0</v>
      </c>
      <c r="T9" s="434">
        <v>0</v>
      </c>
      <c r="U9" s="434">
        <v>0</v>
      </c>
      <c r="V9" s="434">
        <v>0</v>
      </c>
      <c r="W9" s="434">
        <v>0</v>
      </c>
      <c r="X9" s="434">
        <v>0</v>
      </c>
      <c r="Y9" s="434">
        <v>1</v>
      </c>
      <c r="Z9" s="434">
        <v>0</v>
      </c>
      <c r="AA9" s="434">
        <v>0</v>
      </c>
      <c r="AB9" s="434">
        <v>0</v>
      </c>
      <c r="AC9" s="434">
        <v>0</v>
      </c>
      <c r="AD9" s="434">
        <v>0</v>
      </c>
      <c r="AE9" s="434">
        <v>0</v>
      </c>
      <c r="AF9" s="434">
        <v>0</v>
      </c>
      <c r="AG9" s="435">
        <v>0</v>
      </c>
      <c r="AH9" s="433">
        <v>0</v>
      </c>
      <c r="AI9" s="434">
        <v>0</v>
      </c>
      <c r="AJ9" s="434">
        <v>0</v>
      </c>
      <c r="AK9" s="434">
        <v>0</v>
      </c>
      <c r="AL9" s="434">
        <v>0</v>
      </c>
      <c r="AM9" s="434">
        <v>0</v>
      </c>
      <c r="AN9" s="434">
        <v>0</v>
      </c>
      <c r="AO9" s="434">
        <v>0</v>
      </c>
      <c r="AP9" s="434">
        <v>0</v>
      </c>
      <c r="AQ9" s="434">
        <v>0</v>
      </c>
      <c r="AR9" s="434">
        <v>0</v>
      </c>
      <c r="AS9" s="434">
        <v>0</v>
      </c>
      <c r="AT9" s="434">
        <v>0</v>
      </c>
      <c r="AU9" s="434">
        <v>0</v>
      </c>
      <c r="AV9" s="434">
        <v>0</v>
      </c>
      <c r="AW9" s="435">
        <v>0</v>
      </c>
      <c r="AX9" s="433">
        <v>0</v>
      </c>
      <c r="AY9" s="434">
        <v>0</v>
      </c>
      <c r="AZ9" s="434">
        <v>0</v>
      </c>
      <c r="BA9" s="434">
        <v>0</v>
      </c>
      <c r="BB9" s="434">
        <v>0</v>
      </c>
      <c r="BC9" s="434">
        <v>0</v>
      </c>
      <c r="BD9" s="434">
        <v>0</v>
      </c>
      <c r="BE9" s="434">
        <v>0</v>
      </c>
      <c r="BF9" s="434">
        <v>0</v>
      </c>
      <c r="BG9" s="434">
        <v>0</v>
      </c>
      <c r="BH9" s="434">
        <v>0</v>
      </c>
      <c r="BI9" s="434">
        <v>0</v>
      </c>
      <c r="BJ9" s="434">
        <v>0</v>
      </c>
      <c r="BK9" s="434">
        <v>0</v>
      </c>
      <c r="BL9" s="434">
        <v>0</v>
      </c>
      <c r="BM9" s="435">
        <v>0</v>
      </c>
      <c r="BN9" s="433">
        <v>0</v>
      </c>
      <c r="BO9" s="434">
        <v>0</v>
      </c>
      <c r="BP9" s="435">
        <v>0</v>
      </c>
      <c r="BQ9" s="434">
        <v>0</v>
      </c>
      <c r="BR9" s="434">
        <v>0</v>
      </c>
      <c r="BS9" s="435">
        <v>0</v>
      </c>
      <c r="BT9" s="433">
        <v>0</v>
      </c>
      <c r="BU9" s="434">
        <v>0</v>
      </c>
      <c r="BV9" s="434">
        <v>0</v>
      </c>
      <c r="BW9" s="434">
        <v>0</v>
      </c>
      <c r="BX9" s="434">
        <v>0</v>
      </c>
      <c r="BY9" s="435">
        <v>0</v>
      </c>
      <c r="BZ9" s="433">
        <v>0</v>
      </c>
      <c r="CA9" s="434">
        <v>0</v>
      </c>
      <c r="CB9" s="434">
        <v>0</v>
      </c>
      <c r="CC9" s="434">
        <v>0</v>
      </c>
      <c r="CD9" s="434">
        <v>0</v>
      </c>
      <c r="CE9" s="435">
        <v>0</v>
      </c>
      <c r="CF9" s="433">
        <v>0</v>
      </c>
      <c r="CG9" s="434">
        <v>0</v>
      </c>
      <c r="CH9" s="434">
        <v>0</v>
      </c>
      <c r="CI9" s="434">
        <v>0</v>
      </c>
      <c r="CJ9" s="434">
        <v>0</v>
      </c>
      <c r="CK9" s="435">
        <v>0</v>
      </c>
      <c r="CL9" s="292">
        <f>+ReactMatrix!AO9</f>
        <v>0</v>
      </c>
    </row>
    <row r="10" spans="1:90">
      <c r="A10" s="328" t="str">
        <f>+ReactMatrix!A10</f>
        <v>Sn2</v>
      </c>
      <c r="B10" s="433">
        <v>0</v>
      </c>
      <c r="C10" s="434">
        <v>0</v>
      </c>
      <c r="D10" s="434">
        <v>0</v>
      </c>
      <c r="E10" s="434">
        <v>0</v>
      </c>
      <c r="F10" s="434">
        <v>0</v>
      </c>
      <c r="G10" s="434">
        <v>0</v>
      </c>
      <c r="H10" s="434">
        <v>0</v>
      </c>
      <c r="I10" s="434">
        <v>0</v>
      </c>
      <c r="J10" s="434">
        <v>1</v>
      </c>
      <c r="K10" s="434">
        <v>0</v>
      </c>
      <c r="L10" s="434">
        <v>0</v>
      </c>
      <c r="M10" s="434">
        <v>0</v>
      </c>
      <c r="N10" s="434">
        <v>0</v>
      </c>
      <c r="O10" s="434">
        <v>0</v>
      </c>
      <c r="P10" s="434">
        <v>0</v>
      </c>
      <c r="Q10" s="435">
        <v>0</v>
      </c>
      <c r="R10" s="434">
        <v>0</v>
      </c>
      <c r="S10" s="434">
        <v>0</v>
      </c>
      <c r="T10" s="434">
        <v>0</v>
      </c>
      <c r="U10" s="434">
        <v>0</v>
      </c>
      <c r="V10" s="434">
        <v>0</v>
      </c>
      <c r="W10" s="434">
        <v>0</v>
      </c>
      <c r="X10" s="434">
        <v>0</v>
      </c>
      <c r="Y10" s="434">
        <v>0</v>
      </c>
      <c r="Z10" s="434">
        <v>1</v>
      </c>
      <c r="AA10" s="434">
        <v>0</v>
      </c>
      <c r="AB10" s="434">
        <v>0</v>
      </c>
      <c r="AC10" s="434">
        <v>0</v>
      </c>
      <c r="AD10" s="434">
        <v>0</v>
      </c>
      <c r="AE10" s="434">
        <v>0</v>
      </c>
      <c r="AF10" s="434">
        <v>0</v>
      </c>
      <c r="AG10" s="435">
        <v>0</v>
      </c>
      <c r="AH10" s="433">
        <v>0</v>
      </c>
      <c r="AI10" s="434">
        <v>0</v>
      </c>
      <c r="AJ10" s="434">
        <v>0</v>
      </c>
      <c r="AK10" s="434">
        <v>0</v>
      </c>
      <c r="AL10" s="434">
        <v>0</v>
      </c>
      <c r="AM10" s="434">
        <v>0</v>
      </c>
      <c r="AN10" s="434">
        <v>0</v>
      </c>
      <c r="AO10" s="434">
        <v>0</v>
      </c>
      <c r="AP10" s="434">
        <v>0</v>
      </c>
      <c r="AQ10" s="434">
        <v>0</v>
      </c>
      <c r="AR10" s="434">
        <v>0</v>
      </c>
      <c r="AS10" s="434">
        <v>0</v>
      </c>
      <c r="AT10" s="434">
        <v>0</v>
      </c>
      <c r="AU10" s="434">
        <v>0</v>
      </c>
      <c r="AV10" s="434">
        <v>0</v>
      </c>
      <c r="AW10" s="435">
        <v>0</v>
      </c>
      <c r="AX10" s="433">
        <v>0</v>
      </c>
      <c r="AY10" s="434">
        <v>0</v>
      </c>
      <c r="AZ10" s="434">
        <v>0</v>
      </c>
      <c r="BA10" s="434">
        <v>0</v>
      </c>
      <c r="BB10" s="434">
        <v>0</v>
      </c>
      <c r="BC10" s="434">
        <v>0</v>
      </c>
      <c r="BD10" s="434">
        <v>0</v>
      </c>
      <c r="BE10" s="434">
        <v>0</v>
      </c>
      <c r="BF10" s="434">
        <v>0</v>
      </c>
      <c r="BG10" s="434">
        <v>0</v>
      </c>
      <c r="BH10" s="434">
        <v>0</v>
      </c>
      <c r="BI10" s="434">
        <v>0</v>
      </c>
      <c r="BJ10" s="434">
        <v>0</v>
      </c>
      <c r="BK10" s="434">
        <v>0</v>
      </c>
      <c r="BL10" s="434">
        <v>0</v>
      </c>
      <c r="BM10" s="435">
        <v>0</v>
      </c>
      <c r="BN10" s="433">
        <v>0</v>
      </c>
      <c r="BO10" s="434">
        <v>0</v>
      </c>
      <c r="BP10" s="435">
        <v>0</v>
      </c>
      <c r="BQ10" s="434">
        <v>0</v>
      </c>
      <c r="BR10" s="434">
        <v>0</v>
      </c>
      <c r="BS10" s="435">
        <v>0</v>
      </c>
      <c r="BT10" s="433">
        <v>0</v>
      </c>
      <c r="BU10" s="434">
        <v>0</v>
      </c>
      <c r="BV10" s="434">
        <v>0</v>
      </c>
      <c r="BW10" s="434">
        <v>0</v>
      </c>
      <c r="BX10" s="434">
        <v>0</v>
      </c>
      <c r="BY10" s="435">
        <v>0</v>
      </c>
      <c r="BZ10" s="433">
        <v>0</v>
      </c>
      <c r="CA10" s="434">
        <v>0</v>
      </c>
      <c r="CB10" s="434">
        <v>0</v>
      </c>
      <c r="CC10" s="434">
        <v>0</v>
      </c>
      <c r="CD10" s="434">
        <v>0</v>
      </c>
      <c r="CE10" s="435">
        <v>0</v>
      </c>
      <c r="CF10" s="433">
        <v>0</v>
      </c>
      <c r="CG10" s="434">
        <v>0</v>
      </c>
      <c r="CH10" s="434">
        <v>0</v>
      </c>
      <c r="CI10" s="434">
        <v>-1</v>
      </c>
      <c r="CJ10" s="434">
        <v>0</v>
      </c>
      <c r="CK10" s="435">
        <v>0</v>
      </c>
      <c r="CL10" s="292">
        <f>+ReactMatrix!AO10</f>
        <v>0</v>
      </c>
    </row>
    <row r="11" spans="1:90">
      <c r="A11" s="328" t="str">
        <f>+ReactMatrix!A11</f>
        <v>Sh2s</v>
      </c>
      <c r="B11" s="433">
        <v>0</v>
      </c>
      <c r="C11" s="434">
        <v>0</v>
      </c>
      <c r="D11" s="434">
        <v>0</v>
      </c>
      <c r="E11" s="434">
        <v>0</v>
      </c>
      <c r="F11" s="434">
        <v>0</v>
      </c>
      <c r="G11" s="434">
        <v>0</v>
      </c>
      <c r="H11" s="434">
        <v>0</v>
      </c>
      <c r="I11" s="434">
        <v>0</v>
      </c>
      <c r="J11" s="434">
        <v>0</v>
      </c>
      <c r="K11" s="434">
        <v>1</v>
      </c>
      <c r="L11" s="434">
        <v>0</v>
      </c>
      <c r="M11" s="434">
        <v>0</v>
      </c>
      <c r="N11" s="434">
        <v>0</v>
      </c>
      <c r="O11" s="434">
        <v>0</v>
      </c>
      <c r="P11" s="434">
        <v>0</v>
      </c>
      <c r="Q11" s="435">
        <v>0</v>
      </c>
      <c r="R11" s="434">
        <v>0</v>
      </c>
      <c r="S11" s="434">
        <v>0</v>
      </c>
      <c r="T11" s="434">
        <v>0</v>
      </c>
      <c r="U11" s="434">
        <v>0</v>
      </c>
      <c r="V11" s="434">
        <v>0</v>
      </c>
      <c r="W11" s="434">
        <v>0</v>
      </c>
      <c r="X11" s="434">
        <v>0</v>
      </c>
      <c r="Y11" s="434">
        <v>0</v>
      </c>
      <c r="Z11" s="434">
        <v>0</v>
      </c>
      <c r="AA11" s="434">
        <v>1</v>
      </c>
      <c r="AB11" s="434">
        <v>0</v>
      </c>
      <c r="AC11" s="434">
        <v>0</v>
      </c>
      <c r="AD11" s="434">
        <v>0</v>
      </c>
      <c r="AE11" s="434">
        <v>0</v>
      </c>
      <c r="AF11" s="434">
        <v>0</v>
      </c>
      <c r="AG11" s="435">
        <v>0</v>
      </c>
      <c r="AH11" s="433">
        <v>0</v>
      </c>
      <c r="AI11" s="434">
        <v>0</v>
      </c>
      <c r="AJ11" s="434">
        <v>0</v>
      </c>
      <c r="AK11" s="434">
        <v>0</v>
      </c>
      <c r="AL11" s="434">
        <v>0</v>
      </c>
      <c r="AM11" s="434">
        <v>0</v>
      </c>
      <c r="AN11" s="434">
        <v>0</v>
      </c>
      <c r="AO11" s="434">
        <v>0</v>
      </c>
      <c r="AP11" s="434">
        <v>0</v>
      </c>
      <c r="AQ11" s="434">
        <v>0</v>
      </c>
      <c r="AR11" s="434">
        <v>0</v>
      </c>
      <c r="AS11" s="434">
        <v>0</v>
      </c>
      <c r="AT11" s="434">
        <v>0</v>
      </c>
      <c r="AU11" s="434">
        <v>0</v>
      </c>
      <c r="AV11" s="434">
        <v>0</v>
      </c>
      <c r="AW11" s="435">
        <v>0</v>
      </c>
      <c r="AX11" s="433">
        <v>0</v>
      </c>
      <c r="AY11" s="434">
        <v>0</v>
      </c>
      <c r="AZ11" s="434">
        <v>0</v>
      </c>
      <c r="BA11" s="434">
        <v>0</v>
      </c>
      <c r="BB11" s="434">
        <v>0</v>
      </c>
      <c r="BC11" s="434">
        <v>0</v>
      </c>
      <c r="BD11" s="434">
        <v>0</v>
      </c>
      <c r="BE11" s="434">
        <v>0</v>
      </c>
      <c r="BF11" s="434">
        <v>0</v>
      </c>
      <c r="BG11" s="434">
        <v>0</v>
      </c>
      <c r="BH11" s="434">
        <v>0</v>
      </c>
      <c r="BI11" s="434">
        <v>0</v>
      </c>
      <c r="BJ11" s="434">
        <v>0</v>
      </c>
      <c r="BK11" s="434">
        <v>0</v>
      </c>
      <c r="BL11" s="434">
        <v>0</v>
      </c>
      <c r="BM11" s="435">
        <v>0</v>
      </c>
      <c r="BN11" s="433">
        <v>0</v>
      </c>
      <c r="BO11" s="434">
        <v>0</v>
      </c>
      <c r="BP11" s="435">
        <v>0</v>
      </c>
      <c r="BQ11" s="434">
        <v>0</v>
      </c>
      <c r="BR11" s="434">
        <v>0</v>
      </c>
      <c r="BS11" s="435">
        <v>0</v>
      </c>
      <c r="BT11" s="433">
        <v>0</v>
      </c>
      <c r="BU11" s="434">
        <v>0</v>
      </c>
      <c r="BV11" s="434">
        <v>0</v>
      </c>
      <c r="BW11" s="434">
        <v>0</v>
      </c>
      <c r="BX11" s="434">
        <v>0</v>
      </c>
      <c r="BY11" s="435">
        <v>0</v>
      </c>
      <c r="BZ11" s="433">
        <v>0</v>
      </c>
      <c r="CA11" s="434">
        <v>0</v>
      </c>
      <c r="CB11" s="434">
        <v>0</v>
      </c>
      <c r="CC11" s="434">
        <v>0</v>
      </c>
      <c r="CD11" s="434">
        <v>0</v>
      </c>
      <c r="CE11" s="435">
        <v>0</v>
      </c>
      <c r="CF11" s="433">
        <v>0</v>
      </c>
      <c r="CG11" s="434">
        <v>0</v>
      </c>
      <c r="CH11" s="434">
        <v>0</v>
      </c>
      <c r="CI11" s="434">
        <v>0</v>
      </c>
      <c r="CJ11" s="434">
        <v>-1</v>
      </c>
      <c r="CK11" s="435">
        <v>0</v>
      </c>
      <c r="CL11" s="292">
        <f>+ReactMatrix!AO11</f>
        <v>0</v>
      </c>
    </row>
    <row r="12" spans="1:90">
      <c r="A12" s="328" t="str">
        <f>+ReactMatrix!A12</f>
        <v>Sso4</v>
      </c>
      <c r="B12" s="433">
        <v>0</v>
      </c>
      <c r="C12" s="434">
        <v>0</v>
      </c>
      <c r="D12" s="434">
        <v>0</v>
      </c>
      <c r="E12" s="434">
        <v>0</v>
      </c>
      <c r="F12" s="434">
        <v>0</v>
      </c>
      <c r="G12" s="434">
        <v>0</v>
      </c>
      <c r="H12" s="434">
        <v>0</v>
      </c>
      <c r="I12" s="434">
        <v>0</v>
      </c>
      <c r="J12" s="434">
        <v>0</v>
      </c>
      <c r="K12" s="434">
        <v>0</v>
      </c>
      <c r="L12" s="434">
        <v>1</v>
      </c>
      <c r="M12" s="434">
        <v>0</v>
      </c>
      <c r="N12" s="434">
        <v>0</v>
      </c>
      <c r="O12" s="434">
        <v>0</v>
      </c>
      <c r="P12" s="434">
        <v>0</v>
      </c>
      <c r="Q12" s="435">
        <v>0</v>
      </c>
      <c r="R12" s="434">
        <v>0</v>
      </c>
      <c r="S12" s="434">
        <v>0</v>
      </c>
      <c r="T12" s="434">
        <v>0</v>
      </c>
      <c r="U12" s="434">
        <v>0</v>
      </c>
      <c r="V12" s="434">
        <v>0</v>
      </c>
      <c r="W12" s="434">
        <v>0</v>
      </c>
      <c r="X12" s="434">
        <v>0</v>
      </c>
      <c r="Y12" s="434">
        <v>0</v>
      </c>
      <c r="Z12" s="434">
        <v>0</v>
      </c>
      <c r="AA12" s="434">
        <v>0</v>
      </c>
      <c r="AB12" s="434">
        <v>1</v>
      </c>
      <c r="AC12" s="434">
        <v>0</v>
      </c>
      <c r="AD12" s="434">
        <v>0</v>
      </c>
      <c r="AE12" s="434">
        <v>0</v>
      </c>
      <c r="AF12" s="434">
        <v>0</v>
      </c>
      <c r="AG12" s="435">
        <v>0</v>
      </c>
      <c r="AH12" s="433">
        <v>0</v>
      </c>
      <c r="AI12" s="434">
        <v>0</v>
      </c>
      <c r="AJ12" s="434">
        <v>0</v>
      </c>
      <c r="AK12" s="434">
        <v>0</v>
      </c>
      <c r="AL12" s="434">
        <v>0</v>
      </c>
      <c r="AM12" s="434">
        <v>0</v>
      </c>
      <c r="AN12" s="434">
        <v>0</v>
      </c>
      <c r="AO12" s="434">
        <v>0</v>
      </c>
      <c r="AP12" s="434">
        <v>0</v>
      </c>
      <c r="AQ12" s="434">
        <v>0</v>
      </c>
      <c r="AR12" s="434">
        <v>0</v>
      </c>
      <c r="AS12" s="434">
        <v>0</v>
      </c>
      <c r="AT12" s="434">
        <v>0</v>
      </c>
      <c r="AU12" s="434">
        <v>0</v>
      </c>
      <c r="AV12" s="434">
        <v>0</v>
      </c>
      <c r="AW12" s="435">
        <v>0</v>
      </c>
      <c r="AX12" s="433">
        <v>0</v>
      </c>
      <c r="AY12" s="434">
        <v>0</v>
      </c>
      <c r="AZ12" s="434">
        <v>0</v>
      </c>
      <c r="BA12" s="434">
        <v>0</v>
      </c>
      <c r="BB12" s="434">
        <v>0</v>
      </c>
      <c r="BC12" s="434">
        <v>0</v>
      </c>
      <c r="BD12" s="434">
        <v>0</v>
      </c>
      <c r="BE12" s="434">
        <v>0</v>
      </c>
      <c r="BF12" s="434">
        <v>0</v>
      </c>
      <c r="BG12" s="434">
        <v>0</v>
      </c>
      <c r="BH12" s="434">
        <v>0</v>
      </c>
      <c r="BI12" s="434">
        <v>0</v>
      </c>
      <c r="BJ12" s="434">
        <v>0</v>
      </c>
      <c r="BK12" s="434">
        <v>0</v>
      </c>
      <c r="BL12" s="434">
        <v>0</v>
      </c>
      <c r="BM12" s="435">
        <v>0</v>
      </c>
      <c r="BN12" s="433">
        <v>0</v>
      </c>
      <c r="BO12" s="434">
        <v>0</v>
      </c>
      <c r="BP12" s="435">
        <v>0</v>
      </c>
      <c r="BQ12" s="434">
        <v>0</v>
      </c>
      <c r="BR12" s="434">
        <v>0</v>
      </c>
      <c r="BS12" s="435">
        <v>0</v>
      </c>
      <c r="BT12" s="433">
        <v>0</v>
      </c>
      <c r="BU12" s="434">
        <v>0</v>
      </c>
      <c r="BV12" s="434">
        <v>0</v>
      </c>
      <c r="BW12" s="434">
        <v>0</v>
      </c>
      <c r="BX12" s="434">
        <v>0</v>
      </c>
      <c r="BY12" s="435">
        <v>0</v>
      </c>
      <c r="BZ12" s="433">
        <v>0</v>
      </c>
      <c r="CA12" s="434">
        <v>0</v>
      </c>
      <c r="CB12" s="434">
        <v>0</v>
      </c>
      <c r="CC12" s="434">
        <v>0</v>
      </c>
      <c r="CD12" s="434">
        <v>0</v>
      </c>
      <c r="CE12" s="435">
        <v>0</v>
      </c>
      <c r="CF12" s="433">
        <v>0</v>
      </c>
      <c r="CG12" s="434">
        <v>0</v>
      </c>
      <c r="CH12" s="434">
        <v>0</v>
      </c>
      <c r="CI12" s="434">
        <v>0</v>
      </c>
      <c r="CJ12" s="434">
        <v>0</v>
      </c>
      <c r="CK12" s="435">
        <v>0</v>
      </c>
      <c r="CL12" s="292">
        <f>+ReactMatrix!AO12</f>
        <v>1</v>
      </c>
    </row>
    <row r="13" spans="1:90">
      <c r="A13" s="328" t="str">
        <f>+ReactMatrix!A13</f>
        <v>Sfe2</v>
      </c>
      <c r="B13" s="433">
        <v>0</v>
      </c>
      <c r="C13" s="434">
        <v>0</v>
      </c>
      <c r="D13" s="434">
        <v>0</v>
      </c>
      <c r="E13" s="434">
        <v>0</v>
      </c>
      <c r="F13" s="434">
        <v>0</v>
      </c>
      <c r="G13" s="434">
        <v>0</v>
      </c>
      <c r="H13" s="434">
        <v>0</v>
      </c>
      <c r="I13" s="434">
        <v>0</v>
      </c>
      <c r="J13" s="434">
        <v>0</v>
      </c>
      <c r="K13" s="434">
        <v>0</v>
      </c>
      <c r="L13" s="434">
        <v>0</v>
      </c>
      <c r="M13" s="434">
        <v>1</v>
      </c>
      <c r="N13" s="434">
        <v>0</v>
      </c>
      <c r="O13" s="434">
        <v>0</v>
      </c>
      <c r="P13" s="434">
        <v>0</v>
      </c>
      <c r="Q13" s="435">
        <v>0</v>
      </c>
      <c r="R13" s="434">
        <v>0</v>
      </c>
      <c r="S13" s="434">
        <v>0</v>
      </c>
      <c r="T13" s="434">
        <v>0</v>
      </c>
      <c r="U13" s="434">
        <v>0</v>
      </c>
      <c r="V13" s="434">
        <v>0</v>
      </c>
      <c r="W13" s="434">
        <v>0</v>
      </c>
      <c r="X13" s="434">
        <v>0</v>
      </c>
      <c r="Y13" s="434">
        <v>0</v>
      </c>
      <c r="Z13" s="434">
        <v>0</v>
      </c>
      <c r="AA13" s="434">
        <v>0</v>
      </c>
      <c r="AB13" s="434">
        <v>0</v>
      </c>
      <c r="AC13" s="434">
        <v>1</v>
      </c>
      <c r="AD13" s="434">
        <v>0</v>
      </c>
      <c r="AE13" s="434">
        <v>0</v>
      </c>
      <c r="AF13" s="434">
        <v>0</v>
      </c>
      <c r="AG13" s="435">
        <v>0</v>
      </c>
      <c r="AH13" s="433">
        <v>0</v>
      </c>
      <c r="AI13" s="434">
        <v>0</v>
      </c>
      <c r="AJ13" s="434">
        <v>0</v>
      </c>
      <c r="AK13" s="434">
        <v>0</v>
      </c>
      <c r="AL13" s="434">
        <v>0</v>
      </c>
      <c r="AM13" s="434">
        <v>0</v>
      </c>
      <c r="AN13" s="434">
        <v>0</v>
      </c>
      <c r="AO13" s="434">
        <v>0</v>
      </c>
      <c r="AP13" s="434">
        <v>0</v>
      </c>
      <c r="AQ13" s="434">
        <v>0</v>
      </c>
      <c r="AR13" s="434">
        <v>0</v>
      </c>
      <c r="AS13" s="434">
        <v>0</v>
      </c>
      <c r="AT13" s="434">
        <v>0</v>
      </c>
      <c r="AU13" s="434">
        <v>0</v>
      </c>
      <c r="AV13" s="434">
        <v>0</v>
      </c>
      <c r="AW13" s="435">
        <v>0</v>
      </c>
      <c r="AX13" s="433">
        <v>0</v>
      </c>
      <c r="AY13" s="434">
        <v>0</v>
      </c>
      <c r="AZ13" s="434">
        <v>0</v>
      </c>
      <c r="BA13" s="434">
        <v>0</v>
      </c>
      <c r="BB13" s="434">
        <v>0</v>
      </c>
      <c r="BC13" s="434">
        <v>0</v>
      </c>
      <c r="BD13" s="434">
        <v>0</v>
      </c>
      <c r="BE13" s="434">
        <v>0</v>
      </c>
      <c r="BF13" s="434">
        <v>0</v>
      </c>
      <c r="BG13" s="434">
        <v>0</v>
      </c>
      <c r="BH13" s="434">
        <v>0</v>
      </c>
      <c r="BI13" s="434">
        <v>0</v>
      </c>
      <c r="BJ13" s="434">
        <v>0</v>
      </c>
      <c r="BK13" s="434">
        <v>0</v>
      </c>
      <c r="BL13" s="434">
        <v>0</v>
      </c>
      <c r="BM13" s="435">
        <v>0</v>
      </c>
      <c r="BN13" s="433">
        <v>0</v>
      </c>
      <c r="BO13" s="434">
        <v>0</v>
      </c>
      <c r="BP13" s="435">
        <v>0</v>
      </c>
      <c r="BQ13" s="434">
        <v>0</v>
      </c>
      <c r="BR13" s="434">
        <v>0</v>
      </c>
      <c r="BS13" s="435">
        <v>0</v>
      </c>
      <c r="BT13" s="433">
        <v>0</v>
      </c>
      <c r="BU13" s="434">
        <v>0</v>
      </c>
      <c r="BV13" s="434">
        <v>0</v>
      </c>
      <c r="BW13" s="434">
        <v>0</v>
      </c>
      <c r="BX13" s="434">
        <v>0</v>
      </c>
      <c r="BY13" s="435">
        <v>0</v>
      </c>
      <c r="BZ13" s="433">
        <v>0</v>
      </c>
      <c r="CA13" s="434">
        <v>0</v>
      </c>
      <c r="CB13" s="434">
        <v>0</v>
      </c>
      <c r="CC13" s="434">
        <v>0</v>
      </c>
      <c r="CD13" s="434">
        <v>0</v>
      </c>
      <c r="CE13" s="435">
        <v>0</v>
      </c>
      <c r="CF13" s="433">
        <v>0</v>
      </c>
      <c r="CG13" s="434">
        <v>0</v>
      </c>
      <c r="CH13" s="434">
        <v>0</v>
      </c>
      <c r="CI13" s="434">
        <v>0</v>
      </c>
      <c r="CJ13" s="434">
        <v>0</v>
      </c>
      <c r="CK13" s="435">
        <v>0</v>
      </c>
      <c r="CL13" s="292">
        <f>+ReactMatrix!AO13</f>
        <v>0</v>
      </c>
    </row>
    <row r="14" spans="1:90">
      <c r="A14" s="328" t="str">
        <f>+ReactMatrix!A14</f>
        <v>Sfe3</v>
      </c>
      <c r="B14" s="433">
        <v>0</v>
      </c>
      <c r="C14" s="434">
        <v>0</v>
      </c>
      <c r="D14" s="434">
        <v>0</v>
      </c>
      <c r="E14" s="434">
        <v>0</v>
      </c>
      <c r="F14" s="434">
        <v>0</v>
      </c>
      <c r="G14" s="434">
        <v>0</v>
      </c>
      <c r="H14" s="434">
        <v>0</v>
      </c>
      <c r="I14" s="434">
        <v>0</v>
      </c>
      <c r="J14" s="434">
        <v>0</v>
      </c>
      <c r="K14" s="434">
        <v>0</v>
      </c>
      <c r="L14" s="434">
        <v>0</v>
      </c>
      <c r="M14" s="434">
        <v>0</v>
      </c>
      <c r="N14" s="434">
        <v>1</v>
      </c>
      <c r="O14" s="434">
        <v>0</v>
      </c>
      <c r="P14" s="434">
        <v>0</v>
      </c>
      <c r="Q14" s="435">
        <v>0</v>
      </c>
      <c r="R14" s="434">
        <v>0</v>
      </c>
      <c r="S14" s="434">
        <v>0</v>
      </c>
      <c r="T14" s="434">
        <v>0</v>
      </c>
      <c r="U14" s="434">
        <v>0</v>
      </c>
      <c r="V14" s="434">
        <v>0</v>
      </c>
      <c r="W14" s="434">
        <v>0</v>
      </c>
      <c r="X14" s="434">
        <v>0</v>
      </c>
      <c r="Y14" s="434">
        <v>0</v>
      </c>
      <c r="Z14" s="434">
        <v>0</v>
      </c>
      <c r="AA14" s="434">
        <v>0</v>
      </c>
      <c r="AB14" s="434">
        <v>0</v>
      </c>
      <c r="AC14" s="434">
        <v>0</v>
      </c>
      <c r="AD14" s="434">
        <v>1</v>
      </c>
      <c r="AE14" s="434">
        <v>0</v>
      </c>
      <c r="AF14" s="434">
        <v>0</v>
      </c>
      <c r="AG14" s="435">
        <v>0</v>
      </c>
      <c r="AH14" s="433">
        <v>0</v>
      </c>
      <c r="AI14" s="434">
        <v>0</v>
      </c>
      <c r="AJ14" s="434">
        <v>0</v>
      </c>
      <c r="AK14" s="434">
        <v>0</v>
      </c>
      <c r="AL14" s="434">
        <v>0</v>
      </c>
      <c r="AM14" s="434">
        <v>0</v>
      </c>
      <c r="AN14" s="434">
        <v>0</v>
      </c>
      <c r="AO14" s="434">
        <v>0</v>
      </c>
      <c r="AP14" s="434">
        <v>0</v>
      </c>
      <c r="AQ14" s="434">
        <v>0</v>
      </c>
      <c r="AR14" s="434">
        <v>0</v>
      </c>
      <c r="AS14" s="434">
        <v>0</v>
      </c>
      <c r="AT14" s="434">
        <v>0</v>
      </c>
      <c r="AU14" s="434">
        <v>0</v>
      </c>
      <c r="AV14" s="434">
        <v>0</v>
      </c>
      <c r="AW14" s="435">
        <v>0</v>
      </c>
      <c r="AX14" s="433">
        <v>0</v>
      </c>
      <c r="AY14" s="434">
        <v>0</v>
      </c>
      <c r="AZ14" s="434">
        <v>0</v>
      </c>
      <c r="BA14" s="434">
        <v>0</v>
      </c>
      <c r="BB14" s="434">
        <v>0</v>
      </c>
      <c r="BC14" s="434">
        <v>0</v>
      </c>
      <c r="BD14" s="434">
        <v>0</v>
      </c>
      <c r="BE14" s="434">
        <v>0</v>
      </c>
      <c r="BF14" s="434">
        <v>0</v>
      </c>
      <c r="BG14" s="434">
        <v>0</v>
      </c>
      <c r="BH14" s="434">
        <v>0</v>
      </c>
      <c r="BI14" s="434">
        <v>0</v>
      </c>
      <c r="BJ14" s="434">
        <v>0</v>
      </c>
      <c r="BK14" s="434">
        <v>0</v>
      </c>
      <c r="BL14" s="434">
        <v>0</v>
      </c>
      <c r="BM14" s="435">
        <v>0</v>
      </c>
      <c r="BN14" s="433">
        <v>0</v>
      </c>
      <c r="BO14" s="434">
        <v>0</v>
      </c>
      <c r="BP14" s="435">
        <v>0</v>
      </c>
      <c r="BQ14" s="434">
        <v>0</v>
      </c>
      <c r="BR14" s="434">
        <v>0</v>
      </c>
      <c r="BS14" s="435">
        <v>0</v>
      </c>
      <c r="BT14" s="433">
        <v>0</v>
      </c>
      <c r="BU14" s="434">
        <v>0</v>
      </c>
      <c r="BV14" s="434">
        <v>0</v>
      </c>
      <c r="BW14" s="434">
        <v>0</v>
      </c>
      <c r="BX14" s="434">
        <v>0</v>
      </c>
      <c r="BY14" s="435">
        <v>0</v>
      </c>
      <c r="BZ14" s="433">
        <v>0</v>
      </c>
      <c r="CA14" s="434">
        <v>0</v>
      </c>
      <c r="CB14" s="434">
        <v>0</v>
      </c>
      <c r="CC14" s="434">
        <v>0</v>
      </c>
      <c r="CD14" s="434">
        <v>0</v>
      </c>
      <c r="CE14" s="435">
        <v>0</v>
      </c>
      <c r="CF14" s="433">
        <v>0</v>
      </c>
      <c r="CG14" s="434">
        <v>0</v>
      </c>
      <c r="CH14" s="434">
        <v>0</v>
      </c>
      <c r="CI14" s="434">
        <v>0</v>
      </c>
      <c r="CJ14" s="434">
        <v>0</v>
      </c>
      <c r="CK14" s="435">
        <v>0</v>
      </c>
      <c r="CL14" s="292">
        <f>+ReactMatrix!AO14</f>
        <v>0</v>
      </c>
    </row>
    <row r="15" spans="1:90">
      <c r="A15" s="328" t="str">
        <f>+ReactMatrix!A15</f>
        <v>So2</v>
      </c>
      <c r="B15" s="433">
        <v>0</v>
      </c>
      <c r="C15" s="434">
        <v>0</v>
      </c>
      <c r="D15" s="434">
        <v>0</v>
      </c>
      <c r="E15" s="434">
        <v>0</v>
      </c>
      <c r="F15" s="434">
        <v>0</v>
      </c>
      <c r="G15" s="434">
        <v>0</v>
      </c>
      <c r="H15" s="434">
        <v>0</v>
      </c>
      <c r="I15" s="434">
        <v>0</v>
      </c>
      <c r="J15" s="434">
        <v>0</v>
      </c>
      <c r="K15" s="434">
        <v>0</v>
      </c>
      <c r="L15" s="434">
        <v>0</v>
      </c>
      <c r="M15" s="434">
        <v>0</v>
      </c>
      <c r="N15" s="434">
        <v>0</v>
      </c>
      <c r="O15" s="434">
        <v>1</v>
      </c>
      <c r="P15" s="434">
        <v>0</v>
      </c>
      <c r="Q15" s="435">
        <v>0</v>
      </c>
      <c r="R15" s="434">
        <v>0</v>
      </c>
      <c r="S15" s="434">
        <v>0</v>
      </c>
      <c r="T15" s="434">
        <v>0</v>
      </c>
      <c r="U15" s="434">
        <v>0</v>
      </c>
      <c r="V15" s="434">
        <v>0</v>
      </c>
      <c r="W15" s="434">
        <v>0</v>
      </c>
      <c r="X15" s="434">
        <v>0</v>
      </c>
      <c r="Y15" s="434">
        <v>0</v>
      </c>
      <c r="Z15" s="434">
        <v>0</v>
      </c>
      <c r="AA15" s="434">
        <v>0</v>
      </c>
      <c r="AB15" s="434">
        <v>0</v>
      </c>
      <c r="AC15" s="434">
        <v>0</v>
      </c>
      <c r="AD15" s="434">
        <v>0</v>
      </c>
      <c r="AE15" s="434">
        <v>1</v>
      </c>
      <c r="AF15" s="434">
        <v>0</v>
      </c>
      <c r="AG15" s="435">
        <v>0</v>
      </c>
      <c r="AH15" s="433">
        <v>0</v>
      </c>
      <c r="AI15" s="434">
        <v>0</v>
      </c>
      <c r="AJ15" s="434">
        <v>0</v>
      </c>
      <c r="AK15" s="434">
        <v>0</v>
      </c>
      <c r="AL15" s="434">
        <v>0</v>
      </c>
      <c r="AM15" s="434">
        <v>0</v>
      </c>
      <c r="AN15" s="434">
        <v>0</v>
      </c>
      <c r="AO15" s="434">
        <v>0</v>
      </c>
      <c r="AP15" s="434">
        <v>0</v>
      </c>
      <c r="AQ15" s="434">
        <v>0</v>
      </c>
      <c r="AR15" s="434">
        <v>0</v>
      </c>
      <c r="AS15" s="434">
        <v>0</v>
      </c>
      <c r="AT15" s="434">
        <v>0</v>
      </c>
      <c r="AU15" s="434">
        <v>0</v>
      </c>
      <c r="AV15" s="434">
        <v>0</v>
      </c>
      <c r="AW15" s="435">
        <v>0</v>
      </c>
      <c r="AX15" s="433">
        <v>0</v>
      </c>
      <c r="AY15" s="434">
        <v>0</v>
      </c>
      <c r="AZ15" s="434">
        <v>0</v>
      </c>
      <c r="BA15" s="434">
        <v>0</v>
      </c>
      <c r="BB15" s="434">
        <v>0</v>
      </c>
      <c r="BC15" s="434">
        <v>0</v>
      </c>
      <c r="BD15" s="434">
        <v>0</v>
      </c>
      <c r="BE15" s="434">
        <v>0</v>
      </c>
      <c r="BF15" s="434">
        <v>0</v>
      </c>
      <c r="BG15" s="434">
        <v>0</v>
      </c>
      <c r="BH15" s="434">
        <v>0</v>
      </c>
      <c r="BI15" s="434">
        <v>0</v>
      </c>
      <c r="BJ15" s="434">
        <v>0</v>
      </c>
      <c r="BK15" s="434">
        <v>0</v>
      </c>
      <c r="BL15" s="434">
        <v>0</v>
      </c>
      <c r="BM15" s="435">
        <v>0</v>
      </c>
      <c r="BN15" s="433">
        <v>0</v>
      </c>
      <c r="BO15" s="434">
        <v>0</v>
      </c>
      <c r="BP15" s="435">
        <v>0</v>
      </c>
      <c r="BQ15" s="434">
        <v>0</v>
      </c>
      <c r="BR15" s="434">
        <v>0</v>
      </c>
      <c r="BS15" s="435">
        <v>0</v>
      </c>
      <c r="BT15" s="433">
        <v>0</v>
      </c>
      <c r="BU15" s="434">
        <v>0</v>
      </c>
      <c r="BV15" s="434">
        <v>0</v>
      </c>
      <c r="BW15" s="434">
        <v>0</v>
      </c>
      <c r="BX15" s="434">
        <v>0</v>
      </c>
      <c r="BY15" s="435">
        <v>0</v>
      </c>
      <c r="BZ15" s="433">
        <v>0</v>
      </c>
      <c r="CA15" s="434">
        <v>0</v>
      </c>
      <c r="CB15" s="434">
        <v>0</v>
      </c>
      <c r="CC15" s="434">
        <v>0</v>
      </c>
      <c r="CD15" s="434">
        <v>0</v>
      </c>
      <c r="CE15" s="435">
        <v>0</v>
      </c>
      <c r="CF15" s="433">
        <v>0</v>
      </c>
      <c r="CG15" s="434">
        <v>0</v>
      </c>
      <c r="CH15" s="434">
        <v>0</v>
      </c>
      <c r="CI15" s="434">
        <v>0</v>
      </c>
      <c r="CJ15" s="434">
        <v>0</v>
      </c>
      <c r="CK15" s="435">
        <v>-1</v>
      </c>
      <c r="CL15" s="292">
        <f>+ReactMatrix!AO15</f>
        <v>0</v>
      </c>
    </row>
    <row r="16" spans="1:90">
      <c r="A16" s="328" t="str">
        <f>+ReactMatrix!A16</f>
        <v>Scat</v>
      </c>
      <c r="B16" s="433">
        <v>0</v>
      </c>
      <c r="C16" s="434">
        <v>0</v>
      </c>
      <c r="D16" s="434">
        <v>0</v>
      </c>
      <c r="E16" s="434">
        <v>0</v>
      </c>
      <c r="F16" s="434">
        <v>0</v>
      </c>
      <c r="G16" s="434">
        <v>0</v>
      </c>
      <c r="H16" s="434">
        <v>0</v>
      </c>
      <c r="I16" s="434">
        <v>0</v>
      </c>
      <c r="J16" s="434">
        <v>0</v>
      </c>
      <c r="K16" s="434">
        <v>0</v>
      </c>
      <c r="L16" s="434">
        <v>0</v>
      </c>
      <c r="M16" s="434">
        <v>0</v>
      </c>
      <c r="N16" s="434">
        <v>0</v>
      </c>
      <c r="O16" s="434">
        <v>0</v>
      </c>
      <c r="P16" s="434">
        <v>1</v>
      </c>
      <c r="Q16" s="435">
        <v>0</v>
      </c>
      <c r="R16" s="434">
        <v>0</v>
      </c>
      <c r="S16" s="434">
        <v>0</v>
      </c>
      <c r="T16" s="434">
        <v>0</v>
      </c>
      <c r="U16" s="434">
        <v>0</v>
      </c>
      <c r="V16" s="434">
        <v>0</v>
      </c>
      <c r="W16" s="434">
        <v>0</v>
      </c>
      <c r="X16" s="434">
        <v>0</v>
      </c>
      <c r="Y16" s="434">
        <v>0</v>
      </c>
      <c r="Z16" s="434">
        <v>0</v>
      </c>
      <c r="AA16" s="434">
        <v>0</v>
      </c>
      <c r="AB16" s="434">
        <v>0</v>
      </c>
      <c r="AC16" s="434">
        <v>0</v>
      </c>
      <c r="AD16" s="434">
        <v>0</v>
      </c>
      <c r="AE16" s="434">
        <v>0</v>
      </c>
      <c r="AF16" s="434">
        <v>1</v>
      </c>
      <c r="AG16" s="435">
        <v>0</v>
      </c>
      <c r="AH16" s="433">
        <v>0</v>
      </c>
      <c r="AI16" s="434">
        <v>0</v>
      </c>
      <c r="AJ16" s="434">
        <v>0</v>
      </c>
      <c r="AK16" s="434">
        <v>0</v>
      </c>
      <c r="AL16" s="434">
        <v>0</v>
      </c>
      <c r="AM16" s="434">
        <v>0</v>
      </c>
      <c r="AN16" s="434">
        <v>0</v>
      </c>
      <c r="AO16" s="434">
        <v>0</v>
      </c>
      <c r="AP16" s="434">
        <v>0</v>
      </c>
      <c r="AQ16" s="434">
        <v>0</v>
      </c>
      <c r="AR16" s="434">
        <v>0</v>
      </c>
      <c r="AS16" s="434">
        <v>0</v>
      </c>
      <c r="AT16" s="434">
        <v>0</v>
      </c>
      <c r="AU16" s="434">
        <v>0</v>
      </c>
      <c r="AV16" s="434">
        <v>0</v>
      </c>
      <c r="AW16" s="435">
        <v>0</v>
      </c>
      <c r="AX16" s="433">
        <v>0</v>
      </c>
      <c r="AY16" s="434">
        <v>0</v>
      </c>
      <c r="AZ16" s="434">
        <v>0</v>
      </c>
      <c r="BA16" s="434">
        <v>0</v>
      </c>
      <c r="BB16" s="434">
        <v>0</v>
      </c>
      <c r="BC16" s="434">
        <v>0</v>
      </c>
      <c r="BD16" s="434">
        <v>0</v>
      </c>
      <c r="BE16" s="434">
        <v>0</v>
      </c>
      <c r="BF16" s="434">
        <v>0</v>
      </c>
      <c r="BG16" s="434">
        <v>0</v>
      </c>
      <c r="BH16" s="434">
        <v>0</v>
      </c>
      <c r="BI16" s="434">
        <v>0</v>
      </c>
      <c r="BJ16" s="434">
        <v>0</v>
      </c>
      <c r="BK16" s="434">
        <v>0</v>
      </c>
      <c r="BL16" s="434">
        <v>0</v>
      </c>
      <c r="BM16" s="435">
        <v>0</v>
      </c>
      <c r="BN16" s="433">
        <v>0</v>
      </c>
      <c r="BO16" s="434">
        <v>0</v>
      </c>
      <c r="BP16" s="435">
        <v>0</v>
      </c>
      <c r="BQ16" s="434">
        <v>0</v>
      </c>
      <c r="BR16" s="434">
        <v>0</v>
      </c>
      <c r="BS16" s="435">
        <v>0</v>
      </c>
      <c r="BT16" s="433">
        <v>0</v>
      </c>
      <c r="BU16" s="434">
        <v>0</v>
      </c>
      <c r="BV16" s="434">
        <v>0</v>
      </c>
      <c r="BW16" s="434">
        <v>0</v>
      </c>
      <c r="BX16" s="434">
        <v>0</v>
      </c>
      <c r="BY16" s="435">
        <v>0</v>
      </c>
      <c r="BZ16" s="433">
        <v>0</v>
      </c>
      <c r="CA16" s="434">
        <v>0</v>
      </c>
      <c r="CB16" s="434">
        <v>0</v>
      </c>
      <c r="CC16" s="434">
        <v>0</v>
      </c>
      <c r="CD16" s="434">
        <v>0</v>
      </c>
      <c r="CE16" s="435">
        <v>0</v>
      </c>
      <c r="CF16" s="433">
        <v>0</v>
      </c>
      <c r="CG16" s="434">
        <v>0</v>
      </c>
      <c r="CH16" s="434">
        <v>0</v>
      </c>
      <c r="CI16" s="434">
        <v>0</v>
      </c>
      <c r="CJ16" s="434">
        <v>0</v>
      </c>
      <c r="CK16" s="435">
        <v>0</v>
      </c>
      <c r="CL16" s="292">
        <f>+ReactMatrix!AO16</f>
        <v>0</v>
      </c>
    </row>
    <row r="17" spans="1:90" ht="13.8" thickBot="1">
      <c r="A17" s="328" t="str">
        <f>+ReactMatrix!A17</f>
        <v>San</v>
      </c>
      <c r="B17" s="436">
        <v>0</v>
      </c>
      <c r="C17" s="437">
        <v>0</v>
      </c>
      <c r="D17" s="437">
        <v>0</v>
      </c>
      <c r="E17" s="437">
        <v>0</v>
      </c>
      <c r="F17" s="437">
        <v>0</v>
      </c>
      <c r="G17" s="437">
        <v>0</v>
      </c>
      <c r="H17" s="437">
        <v>0</v>
      </c>
      <c r="I17" s="437">
        <v>0</v>
      </c>
      <c r="J17" s="437">
        <v>0</v>
      </c>
      <c r="K17" s="437">
        <v>0</v>
      </c>
      <c r="L17" s="437">
        <v>0</v>
      </c>
      <c r="M17" s="437">
        <v>0</v>
      </c>
      <c r="N17" s="437">
        <v>0</v>
      </c>
      <c r="O17" s="437">
        <v>0</v>
      </c>
      <c r="P17" s="437">
        <v>0</v>
      </c>
      <c r="Q17" s="438">
        <v>1</v>
      </c>
      <c r="R17" s="437">
        <v>0</v>
      </c>
      <c r="S17" s="437">
        <v>0</v>
      </c>
      <c r="T17" s="437">
        <v>0</v>
      </c>
      <c r="U17" s="437">
        <v>0</v>
      </c>
      <c r="V17" s="437">
        <v>0</v>
      </c>
      <c r="W17" s="437">
        <v>0</v>
      </c>
      <c r="X17" s="437">
        <v>0</v>
      </c>
      <c r="Y17" s="437">
        <v>0</v>
      </c>
      <c r="Z17" s="437">
        <v>0</v>
      </c>
      <c r="AA17" s="437">
        <v>0</v>
      </c>
      <c r="AB17" s="437">
        <v>0</v>
      </c>
      <c r="AC17" s="437">
        <v>0</v>
      </c>
      <c r="AD17" s="437">
        <v>0</v>
      </c>
      <c r="AE17" s="437">
        <v>0</v>
      </c>
      <c r="AF17" s="437">
        <v>0</v>
      </c>
      <c r="AG17" s="438">
        <v>1</v>
      </c>
      <c r="AH17" s="436">
        <v>0</v>
      </c>
      <c r="AI17" s="437">
        <v>0</v>
      </c>
      <c r="AJ17" s="437">
        <v>0</v>
      </c>
      <c r="AK17" s="437">
        <v>0</v>
      </c>
      <c r="AL17" s="437">
        <v>0</v>
      </c>
      <c r="AM17" s="437">
        <v>0</v>
      </c>
      <c r="AN17" s="437">
        <v>0</v>
      </c>
      <c r="AO17" s="437">
        <v>0</v>
      </c>
      <c r="AP17" s="437">
        <v>0</v>
      </c>
      <c r="AQ17" s="437">
        <v>0</v>
      </c>
      <c r="AR17" s="437">
        <v>0</v>
      </c>
      <c r="AS17" s="437">
        <v>0</v>
      </c>
      <c r="AT17" s="437">
        <v>0</v>
      </c>
      <c r="AU17" s="437">
        <v>0</v>
      </c>
      <c r="AV17" s="437">
        <v>0</v>
      </c>
      <c r="AW17" s="438">
        <v>0</v>
      </c>
      <c r="AX17" s="436">
        <v>0</v>
      </c>
      <c r="AY17" s="437">
        <v>0</v>
      </c>
      <c r="AZ17" s="437">
        <v>0</v>
      </c>
      <c r="BA17" s="437">
        <v>0</v>
      </c>
      <c r="BB17" s="437">
        <v>0</v>
      </c>
      <c r="BC17" s="437">
        <v>0</v>
      </c>
      <c r="BD17" s="437">
        <v>0</v>
      </c>
      <c r="BE17" s="437">
        <v>0</v>
      </c>
      <c r="BF17" s="437">
        <v>0</v>
      </c>
      <c r="BG17" s="437">
        <v>0</v>
      </c>
      <c r="BH17" s="437">
        <v>0</v>
      </c>
      <c r="BI17" s="437">
        <v>0</v>
      </c>
      <c r="BJ17" s="437">
        <v>0</v>
      </c>
      <c r="BK17" s="437">
        <v>0</v>
      </c>
      <c r="BL17" s="437">
        <v>0</v>
      </c>
      <c r="BM17" s="438">
        <v>0</v>
      </c>
      <c r="BN17" s="436">
        <v>0</v>
      </c>
      <c r="BO17" s="437">
        <v>0</v>
      </c>
      <c r="BP17" s="438">
        <v>0</v>
      </c>
      <c r="BQ17" s="437">
        <v>0</v>
      </c>
      <c r="BR17" s="437">
        <v>0</v>
      </c>
      <c r="BS17" s="438">
        <v>0</v>
      </c>
      <c r="BT17" s="436">
        <v>0</v>
      </c>
      <c r="BU17" s="437">
        <v>0</v>
      </c>
      <c r="BV17" s="437">
        <v>0</v>
      </c>
      <c r="BW17" s="437">
        <v>0</v>
      </c>
      <c r="BX17" s="437">
        <v>0</v>
      </c>
      <c r="BY17" s="438">
        <v>0</v>
      </c>
      <c r="BZ17" s="436">
        <v>0</v>
      </c>
      <c r="CA17" s="437">
        <v>0</v>
      </c>
      <c r="CB17" s="437">
        <v>0</v>
      </c>
      <c r="CC17" s="437">
        <v>0</v>
      </c>
      <c r="CD17" s="437">
        <v>0</v>
      </c>
      <c r="CE17" s="438">
        <v>0</v>
      </c>
      <c r="CF17" s="436">
        <v>0</v>
      </c>
      <c r="CG17" s="437">
        <v>0</v>
      </c>
      <c r="CH17" s="437">
        <v>0</v>
      </c>
      <c r="CI17" s="437">
        <v>0</v>
      </c>
      <c r="CJ17" s="437">
        <v>0</v>
      </c>
      <c r="CK17" s="438">
        <v>0</v>
      </c>
      <c r="CL17" s="292">
        <f>+ReactMatrix!AO17</f>
        <v>0</v>
      </c>
    </row>
    <row r="18" spans="1:90">
      <c r="A18" s="327" t="str">
        <f>+ReactMatrix!A18</f>
        <v>Xcyb</v>
      </c>
      <c r="B18" s="433">
        <v>0</v>
      </c>
      <c r="C18" s="434">
        <v>0</v>
      </c>
      <c r="D18" s="434">
        <v>0</v>
      </c>
      <c r="E18" s="434">
        <v>0</v>
      </c>
      <c r="F18" s="434">
        <v>0</v>
      </c>
      <c r="G18" s="434">
        <v>0</v>
      </c>
      <c r="H18" s="434">
        <v>0</v>
      </c>
      <c r="I18" s="434">
        <v>0</v>
      </c>
      <c r="J18" s="434">
        <v>0</v>
      </c>
      <c r="K18" s="434">
        <v>0</v>
      </c>
      <c r="L18" s="434">
        <v>0</v>
      </c>
      <c r="M18" s="434">
        <v>0</v>
      </c>
      <c r="N18" s="434">
        <v>0</v>
      </c>
      <c r="O18" s="434">
        <v>0</v>
      </c>
      <c r="P18" s="434">
        <v>0</v>
      </c>
      <c r="Q18" s="435">
        <v>0</v>
      </c>
      <c r="R18" s="434">
        <v>0</v>
      </c>
      <c r="S18" s="434">
        <v>0</v>
      </c>
      <c r="T18" s="434">
        <v>0</v>
      </c>
      <c r="U18" s="434">
        <v>0</v>
      </c>
      <c r="V18" s="434">
        <v>0</v>
      </c>
      <c r="W18" s="434">
        <v>0</v>
      </c>
      <c r="X18" s="434">
        <v>0</v>
      </c>
      <c r="Y18" s="434">
        <v>0</v>
      </c>
      <c r="Z18" s="434">
        <v>0</v>
      </c>
      <c r="AA18" s="434">
        <v>0</v>
      </c>
      <c r="AB18" s="434">
        <v>0</v>
      </c>
      <c r="AC18" s="434">
        <v>0</v>
      </c>
      <c r="AD18" s="434">
        <v>0</v>
      </c>
      <c r="AE18" s="434">
        <v>0</v>
      </c>
      <c r="AF18" s="434">
        <v>0</v>
      </c>
      <c r="AG18" s="435">
        <v>0</v>
      </c>
      <c r="AH18" s="433">
        <v>1</v>
      </c>
      <c r="AI18" s="434">
        <v>0</v>
      </c>
      <c r="AJ18" s="434">
        <v>0</v>
      </c>
      <c r="AK18" s="434">
        <v>0</v>
      </c>
      <c r="AL18" s="434">
        <v>0</v>
      </c>
      <c r="AM18" s="434">
        <v>0</v>
      </c>
      <c r="AN18" s="434">
        <v>0</v>
      </c>
      <c r="AO18" s="434">
        <v>0</v>
      </c>
      <c r="AP18" s="434">
        <v>0</v>
      </c>
      <c r="AQ18" s="434">
        <v>0</v>
      </c>
      <c r="AR18" s="434">
        <v>0</v>
      </c>
      <c r="AS18" s="434">
        <v>0</v>
      </c>
      <c r="AT18" s="434">
        <v>0</v>
      </c>
      <c r="AU18" s="434">
        <v>0</v>
      </c>
      <c r="AV18" s="434">
        <v>0</v>
      </c>
      <c r="AW18" s="435">
        <v>0</v>
      </c>
      <c r="AX18" s="433">
        <v>1</v>
      </c>
      <c r="AY18" s="434">
        <v>0</v>
      </c>
      <c r="AZ18" s="434">
        <v>0</v>
      </c>
      <c r="BA18" s="434">
        <v>0</v>
      </c>
      <c r="BB18" s="434">
        <v>0</v>
      </c>
      <c r="BC18" s="434">
        <v>0</v>
      </c>
      <c r="BD18" s="434">
        <v>0</v>
      </c>
      <c r="BE18" s="434">
        <v>0</v>
      </c>
      <c r="BF18" s="434">
        <v>0</v>
      </c>
      <c r="BG18" s="434">
        <v>0</v>
      </c>
      <c r="BH18" s="434">
        <v>0</v>
      </c>
      <c r="BI18" s="434">
        <v>0</v>
      </c>
      <c r="BJ18" s="434">
        <v>0</v>
      </c>
      <c r="BK18" s="434">
        <v>0</v>
      </c>
      <c r="BL18" s="434">
        <v>0</v>
      </c>
      <c r="BM18" s="435">
        <v>0</v>
      </c>
      <c r="BN18" s="433">
        <v>0</v>
      </c>
      <c r="BO18" s="434">
        <v>0</v>
      </c>
      <c r="BP18" s="435">
        <v>0</v>
      </c>
      <c r="BQ18" s="434">
        <v>0</v>
      </c>
      <c r="BR18" s="434">
        <v>0</v>
      </c>
      <c r="BS18" s="435">
        <v>0</v>
      </c>
      <c r="BT18" s="433">
        <v>0</v>
      </c>
      <c r="BU18" s="434">
        <v>0</v>
      </c>
      <c r="BV18" s="434">
        <v>0</v>
      </c>
      <c r="BW18" s="434">
        <v>0</v>
      </c>
      <c r="BX18" s="434">
        <v>0</v>
      </c>
      <c r="BY18" s="435">
        <v>0</v>
      </c>
      <c r="BZ18" s="433">
        <v>0</v>
      </c>
      <c r="CA18" s="434">
        <v>0</v>
      </c>
      <c r="CB18" s="434">
        <v>0</v>
      </c>
      <c r="CC18" s="434">
        <v>0</v>
      </c>
      <c r="CD18" s="434">
        <v>0</v>
      </c>
      <c r="CE18" s="435">
        <v>0</v>
      </c>
      <c r="CF18" s="433">
        <v>0</v>
      </c>
      <c r="CG18" s="434">
        <v>0</v>
      </c>
      <c r="CH18" s="434">
        <v>0</v>
      </c>
      <c r="CI18" s="434">
        <v>0</v>
      </c>
      <c r="CJ18" s="434">
        <v>0</v>
      </c>
      <c r="CK18" s="435">
        <v>0</v>
      </c>
      <c r="CL18" s="291">
        <f>+ReactMatrix!AO18</f>
        <v>0</v>
      </c>
    </row>
    <row r="19" spans="1:90">
      <c r="A19" s="328" t="str">
        <f>+ReactMatrix!A19</f>
        <v>Xfer</v>
      </c>
      <c r="B19" s="433">
        <v>0</v>
      </c>
      <c r="C19" s="434">
        <v>0</v>
      </c>
      <c r="D19" s="434">
        <v>0</v>
      </c>
      <c r="E19" s="434">
        <v>0</v>
      </c>
      <c r="F19" s="434">
        <v>0</v>
      </c>
      <c r="G19" s="434">
        <v>0</v>
      </c>
      <c r="H19" s="434">
        <v>0</v>
      </c>
      <c r="I19" s="434">
        <v>0</v>
      </c>
      <c r="J19" s="434">
        <v>0</v>
      </c>
      <c r="K19" s="434">
        <v>0</v>
      </c>
      <c r="L19" s="434">
        <v>0</v>
      </c>
      <c r="M19" s="434">
        <v>0</v>
      </c>
      <c r="N19" s="434">
        <v>0</v>
      </c>
      <c r="O19" s="434">
        <v>0</v>
      </c>
      <c r="P19" s="434">
        <v>0</v>
      </c>
      <c r="Q19" s="435">
        <v>0</v>
      </c>
      <c r="R19" s="434">
        <v>0</v>
      </c>
      <c r="S19" s="434">
        <v>0</v>
      </c>
      <c r="T19" s="434">
        <v>0</v>
      </c>
      <c r="U19" s="434">
        <v>0</v>
      </c>
      <c r="V19" s="434">
        <v>0</v>
      </c>
      <c r="W19" s="434">
        <v>0</v>
      </c>
      <c r="X19" s="434">
        <v>0</v>
      </c>
      <c r="Y19" s="434">
        <v>0</v>
      </c>
      <c r="Z19" s="434">
        <v>0</v>
      </c>
      <c r="AA19" s="434">
        <v>0</v>
      </c>
      <c r="AB19" s="434">
        <v>0</v>
      </c>
      <c r="AC19" s="434">
        <v>0</v>
      </c>
      <c r="AD19" s="434">
        <v>0</v>
      </c>
      <c r="AE19" s="434">
        <v>0</v>
      </c>
      <c r="AF19" s="434">
        <v>0</v>
      </c>
      <c r="AG19" s="435">
        <v>0</v>
      </c>
      <c r="AH19" s="433">
        <v>0</v>
      </c>
      <c r="AI19" s="434">
        <v>1</v>
      </c>
      <c r="AJ19" s="434">
        <v>0</v>
      </c>
      <c r="AK19" s="434">
        <v>0</v>
      </c>
      <c r="AL19" s="434">
        <v>0</v>
      </c>
      <c r="AM19" s="434">
        <v>0</v>
      </c>
      <c r="AN19" s="434">
        <v>0</v>
      </c>
      <c r="AO19" s="434">
        <v>0</v>
      </c>
      <c r="AP19" s="434">
        <v>0</v>
      </c>
      <c r="AQ19" s="434">
        <v>0</v>
      </c>
      <c r="AR19" s="434">
        <v>0</v>
      </c>
      <c r="AS19" s="434">
        <v>0</v>
      </c>
      <c r="AT19" s="434">
        <v>0</v>
      </c>
      <c r="AU19" s="434">
        <v>0</v>
      </c>
      <c r="AV19" s="434">
        <v>0</v>
      </c>
      <c r="AW19" s="435">
        <v>0</v>
      </c>
      <c r="AX19" s="433">
        <v>0</v>
      </c>
      <c r="AY19" s="434">
        <v>1</v>
      </c>
      <c r="AZ19" s="434">
        <v>0</v>
      </c>
      <c r="BA19" s="434">
        <v>0</v>
      </c>
      <c r="BB19" s="434">
        <v>0</v>
      </c>
      <c r="BC19" s="434">
        <v>0</v>
      </c>
      <c r="BD19" s="434">
        <v>0</v>
      </c>
      <c r="BE19" s="434">
        <v>0</v>
      </c>
      <c r="BF19" s="434">
        <v>0</v>
      </c>
      <c r="BG19" s="434">
        <v>0</v>
      </c>
      <c r="BH19" s="434">
        <v>0</v>
      </c>
      <c r="BI19" s="434">
        <v>0</v>
      </c>
      <c r="BJ19" s="434">
        <v>0</v>
      </c>
      <c r="BK19" s="434">
        <v>0</v>
      </c>
      <c r="BL19" s="434">
        <v>0</v>
      </c>
      <c r="BM19" s="435">
        <v>0</v>
      </c>
      <c r="BN19" s="433">
        <v>0</v>
      </c>
      <c r="BO19" s="434">
        <v>0</v>
      </c>
      <c r="BP19" s="435">
        <v>0</v>
      </c>
      <c r="BQ19" s="434">
        <v>0</v>
      </c>
      <c r="BR19" s="434">
        <v>0</v>
      </c>
      <c r="BS19" s="435">
        <v>0</v>
      </c>
      <c r="BT19" s="433">
        <v>0</v>
      </c>
      <c r="BU19" s="434">
        <v>0</v>
      </c>
      <c r="BV19" s="434">
        <v>0</v>
      </c>
      <c r="BW19" s="434">
        <v>0</v>
      </c>
      <c r="BX19" s="434">
        <v>0</v>
      </c>
      <c r="BY19" s="435">
        <v>0</v>
      </c>
      <c r="BZ19" s="433">
        <v>0</v>
      </c>
      <c r="CA19" s="434">
        <v>0</v>
      </c>
      <c r="CB19" s="434">
        <v>0</v>
      </c>
      <c r="CC19" s="434">
        <v>0</v>
      </c>
      <c r="CD19" s="434">
        <v>0</v>
      </c>
      <c r="CE19" s="435">
        <v>0</v>
      </c>
      <c r="CF19" s="433">
        <v>0</v>
      </c>
      <c r="CG19" s="434">
        <v>0</v>
      </c>
      <c r="CH19" s="434">
        <v>0</v>
      </c>
      <c r="CI19" s="434">
        <v>0</v>
      </c>
      <c r="CJ19" s="434">
        <v>0</v>
      </c>
      <c r="CK19" s="435">
        <v>0</v>
      </c>
      <c r="CL19" s="292">
        <f>+ReactMatrix!AO19</f>
        <v>0</v>
      </c>
    </row>
    <row r="20" spans="1:90">
      <c r="A20" s="328" t="str">
        <f>+ReactMatrix!A20</f>
        <v>Xhet</v>
      </c>
      <c r="B20" s="433">
        <v>0</v>
      </c>
      <c r="C20" s="434">
        <v>0</v>
      </c>
      <c r="D20" s="434">
        <v>0</v>
      </c>
      <c r="E20" s="434">
        <v>0</v>
      </c>
      <c r="F20" s="434">
        <v>0</v>
      </c>
      <c r="G20" s="434">
        <v>0</v>
      </c>
      <c r="H20" s="434">
        <v>0</v>
      </c>
      <c r="I20" s="434">
        <v>0</v>
      </c>
      <c r="J20" s="434">
        <v>0</v>
      </c>
      <c r="K20" s="434">
        <v>0</v>
      </c>
      <c r="L20" s="434">
        <v>0</v>
      </c>
      <c r="M20" s="434">
        <v>0</v>
      </c>
      <c r="N20" s="434">
        <v>0</v>
      </c>
      <c r="O20" s="434">
        <v>0</v>
      </c>
      <c r="P20" s="434">
        <v>0</v>
      </c>
      <c r="Q20" s="435">
        <v>0</v>
      </c>
      <c r="R20" s="434">
        <v>0</v>
      </c>
      <c r="S20" s="434">
        <v>0</v>
      </c>
      <c r="T20" s="434">
        <v>0</v>
      </c>
      <c r="U20" s="434">
        <v>0</v>
      </c>
      <c r="V20" s="434">
        <v>0</v>
      </c>
      <c r="W20" s="434">
        <v>0</v>
      </c>
      <c r="X20" s="434">
        <v>0</v>
      </c>
      <c r="Y20" s="434">
        <v>0</v>
      </c>
      <c r="Z20" s="434">
        <v>0</v>
      </c>
      <c r="AA20" s="434">
        <v>0</v>
      </c>
      <c r="AB20" s="434">
        <v>0</v>
      </c>
      <c r="AC20" s="434">
        <v>0</v>
      </c>
      <c r="AD20" s="434">
        <v>0</v>
      </c>
      <c r="AE20" s="434">
        <v>0</v>
      </c>
      <c r="AF20" s="434">
        <v>0</v>
      </c>
      <c r="AG20" s="435">
        <v>0</v>
      </c>
      <c r="AH20" s="433">
        <v>0</v>
      </c>
      <c r="AI20" s="434">
        <v>0</v>
      </c>
      <c r="AJ20" s="434">
        <v>1</v>
      </c>
      <c r="AK20" s="434">
        <v>0</v>
      </c>
      <c r="AL20" s="434">
        <v>0</v>
      </c>
      <c r="AM20" s="434">
        <v>0</v>
      </c>
      <c r="AN20" s="434">
        <v>0</v>
      </c>
      <c r="AO20" s="434">
        <v>0</v>
      </c>
      <c r="AP20" s="434">
        <v>0</v>
      </c>
      <c r="AQ20" s="434">
        <v>0</v>
      </c>
      <c r="AR20" s="434">
        <v>0</v>
      </c>
      <c r="AS20" s="434">
        <v>0</v>
      </c>
      <c r="AT20" s="434">
        <v>0</v>
      </c>
      <c r="AU20" s="434">
        <v>0</v>
      </c>
      <c r="AV20" s="434">
        <v>0</v>
      </c>
      <c r="AW20" s="435">
        <v>0</v>
      </c>
      <c r="AX20" s="433">
        <v>0</v>
      </c>
      <c r="AY20" s="434">
        <v>0</v>
      </c>
      <c r="AZ20" s="434">
        <v>1</v>
      </c>
      <c r="BA20" s="434">
        <v>0</v>
      </c>
      <c r="BB20" s="434">
        <v>0</v>
      </c>
      <c r="BC20" s="434">
        <v>0</v>
      </c>
      <c r="BD20" s="434">
        <v>0</v>
      </c>
      <c r="BE20" s="434">
        <v>0</v>
      </c>
      <c r="BF20" s="434">
        <v>0</v>
      </c>
      <c r="BG20" s="434">
        <v>0</v>
      </c>
      <c r="BH20" s="434">
        <v>0</v>
      </c>
      <c r="BI20" s="434">
        <v>0</v>
      </c>
      <c r="BJ20" s="434">
        <v>0</v>
      </c>
      <c r="BK20" s="434">
        <v>0</v>
      </c>
      <c r="BL20" s="434">
        <v>0</v>
      </c>
      <c r="BM20" s="435">
        <v>0</v>
      </c>
      <c r="BN20" s="433">
        <v>0</v>
      </c>
      <c r="BO20" s="434">
        <v>0</v>
      </c>
      <c r="BP20" s="435">
        <v>0</v>
      </c>
      <c r="BQ20" s="434">
        <v>0</v>
      </c>
      <c r="BR20" s="434">
        <v>0</v>
      </c>
      <c r="BS20" s="435">
        <v>0</v>
      </c>
      <c r="BT20" s="433">
        <v>0</v>
      </c>
      <c r="BU20" s="434">
        <v>0</v>
      </c>
      <c r="BV20" s="434">
        <v>0</v>
      </c>
      <c r="BW20" s="434">
        <v>0</v>
      </c>
      <c r="BX20" s="434">
        <v>0</v>
      </c>
      <c r="BY20" s="435">
        <v>0</v>
      </c>
      <c r="BZ20" s="433">
        <v>0</v>
      </c>
      <c r="CA20" s="434">
        <v>0</v>
      </c>
      <c r="CB20" s="434">
        <v>0</v>
      </c>
      <c r="CC20" s="434">
        <v>0</v>
      </c>
      <c r="CD20" s="434">
        <v>0</v>
      </c>
      <c r="CE20" s="435">
        <v>0</v>
      </c>
      <c r="CF20" s="433">
        <v>0</v>
      </c>
      <c r="CG20" s="434">
        <v>0</v>
      </c>
      <c r="CH20" s="434">
        <v>0</v>
      </c>
      <c r="CI20" s="434">
        <v>0</v>
      </c>
      <c r="CJ20" s="434">
        <v>0</v>
      </c>
      <c r="CK20" s="435">
        <v>0</v>
      </c>
      <c r="CL20" s="292">
        <f>+ReactMatrix!AO20</f>
        <v>0</v>
      </c>
    </row>
    <row r="21" spans="1:90">
      <c r="A21" s="328" t="str">
        <f>+ReactMatrix!A21</f>
        <v>Xaob</v>
      </c>
      <c r="B21" s="433">
        <v>0</v>
      </c>
      <c r="C21" s="434">
        <v>0</v>
      </c>
      <c r="D21" s="434">
        <v>0</v>
      </c>
      <c r="E21" s="434">
        <v>0</v>
      </c>
      <c r="F21" s="434">
        <v>0</v>
      </c>
      <c r="G21" s="434">
        <v>0</v>
      </c>
      <c r="H21" s="434">
        <v>0</v>
      </c>
      <c r="I21" s="434">
        <v>0</v>
      </c>
      <c r="J21" s="434">
        <v>0</v>
      </c>
      <c r="K21" s="434">
        <v>0</v>
      </c>
      <c r="L21" s="434">
        <v>0</v>
      </c>
      <c r="M21" s="434">
        <v>0</v>
      </c>
      <c r="N21" s="434">
        <v>0</v>
      </c>
      <c r="O21" s="434">
        <v>0</v>
      </c>
      <c r="P21" s="434">
        <v>0</v>
      </c>
      <c r="Q21" s="435">
        <v>0</v>
      </c>
      <c r="R21" s="434">
        <v>0</v>
      </c>
      <c r="S21" s="434">
        <v>0</v>
      </c>
      <c r="T21" s="434">
        <v>0</v>
      </c>
      <c r="U21" s="434">
        <v>0</v>
      </c>
      <c r="V21" s="434">
        <v>0</v>
      </c>
      <c r="W21" s="434">
        <v>0</v>
      </c>
      <c r="X21" s="434">
        <v>0</v>
      </c>
      <c r="Y21" s="434">
        <v>0</v>
      </c>
      <c r="Z21" s="434">
        <v>0</v>
      </c>
      <c r="AA21" s="434">
        <v>0</v>
      </c>
      <c r="AB21" s="434">
        <v>0</v>
      </c>
      <c r="AC21" s="434">
        <v>0</v>
      </c>
      <c r="AD21" s="434">
        <v>0</v>
      </c>
      <c r="AE21" s="434">
        <v>0</v>
      </c>
      <c r="AF21" s="434">
        <v>0</v>
      </c>
      <c r="AG21" s="435">
        <v>0</v>
      </c>
      <c r="AH21" s="433">
        <v>0</v>
      </c>
      <c r="AI21" s="434">
        <v>0</v>
      </c>
      <c r="AJ21" s="434">
        <v>0</v>
      </c>
      <c r="AK21" s="434">
        <v>1</v>
      </c>
      <c r="AL21" s="434">
        <v>0</v>
      </c>
      <c r="AM21" s="434">
        <v>0</v>
      </c>
      <c r="AN21" s="434">
        <v>0</v>
      </c>
      <c r="AO21" s="434">
        <v>0</v>
      </c>
      <c r="AP21" s="434">
        <v>0</v>
      </c>
      <c r="AQ21" s="434">
        <v>0</v>
      </c>
      <c r="AR21" s="434">
        <v>0</v>
      </c>
      <c r="AS21" s="434">
        <v>0</v>
      </c>
      <c r="AT21" s="434">
        <v>0</v>
      </c>
      <c r="AU21" s="434">
        <v>0</v>
      </c>
      <c r="AV21" s="434">
        <v>0</v>
      </c>
      <c r="AW21" s="435">
        <v>0</v>
      </c>
      <c r="AX21" s="433">
        <v>0</v>
      </c>
      <c r="AY21" s="434">
        <v>0</v>
      </c>
      <c r="AZ21" s="434">
        <v>0</v>
      </c>
      <c r="BA21" s="434">
        <v>1</v>
      </c>
      <c r="BB21" s="434">
        <v>0</v>
      </c>
      <c r="BC21" s="434">
        <v>0</v>
      </c>
      <c r="BD21" s="434">
        <v>0</v>
      </c>
      <c r="BE21" s="434">
        <v>0</v>
      </c>
      <c r="BF21" s="434">
        <v>0</v>
      </c>
      <c r="BG21" s="434">
        <v>0</v>
      </c>
      <c r="BH21" s="434">
        <v>0</v>
      </c>
      <c r="BI21" s="434">
        <v>0</v>
      </c>
      <c r="BJ21" s="434">
        <v>0</v>
      </c>
      <c r="BK21" s="434">
        <v>0</v>
      </c>
      <c r="BL21" s="434">
        <v>0</v>
      </c>
      <c r="BM21" s="435">
        <v>0</v>
      </c>
      <c r="BN21" s="433">
        <v>0</v>
      </c>
      <c r="BO21" s="434">
        <v>0</v>
      </c>
      <c r="BP21" s="435">
        <v>0</v>
      </c>
      <c r="BQ21" s="434">
        <v>0</v>
      </c>
      <c r="BR21" s="434">
        <v>0</v>
      </c>
      <c r="BS21" s="435">
        <v>0</v>
      </c>
      <c r="BT21" s="433">
        <v>0</v>
      </c>
      <c r="BU21" s="434">
        <v>0</v>
      </c>
      <c r="BV21" s="434">
        <v>0</v>
      </c>
      <c r="BW21" s="434">
        <v>0</v>
      </c>
      <c r="BX21" s="434">
        <v>0</v>
      </c>
      <c r="BY21" s="435">
        <v>0</v>
      </c>
      <c r="BZ21" s="433">
        <v>0</v>
      </c>
      <c r="CA21" s="434">
        <v>0</v>
      </c>
      <c r="CB21" s="434">
        <v>0</v>
      </c>
      <c r="CC21" s="434">
        <v>0</v>
      </c>
      <c r="CD21" s="434">
        <v>0</v>
      </c>
      <c r="CE21" s="435">
        <v>0</v>
      </c>
      <c r="CF21" s="433">
        <v>0</v>
      </c>
      <c r="CG21" s="434">
        <v>0</v>
      </c>
      <c r="CH21" s="434">
        <v>0</v>
      </c>
      <c r="CI21" s="434">
        <v>0</v>
      </c>
      <c r="CJ21" s="434">
        <v>0</v>
      </c>
      <c r="CK21" s="435">
        <v>0</v>
      </c>
      <c r="CL21" s="292">
        <f>+ReactMatrix!AO21</f>
        <v>0</v>
      </c>
    </row>
    <row r="22" spans="1:90">
      <c r="A22" s="328" t="str">
        <f>+ReactMatrix!A22</f>
        <v>Xnob</v>
      </c>
      <c r="B22" s="433">
        <v>0</v>
      </c>
      <c r="C22" s="434">
        <v>0</v>
      </c>
      <c r="D22" s="434">
        <v>0</v>
      </c>
      <c r="E22" s="434">
        <v>0</v>
      </c>
      <c r="F22" s="434">
        <v>0</v>
      </c>
      <c r="G22" s="434">
        <v>0</v>
      </c>
      <c r="H22" s="434">
        <v>0</v>
      </c>
      <c r="I22" s="434">
        <v>0</v>
      </c>
      <c r="J22" s="434">
        <v>0</v>
      </c>
      <c r="K22" s="434">
        <v>0</v>
      </c>
      <c r="L22" s="434">
        <v>0</v>
      </c>
      <c r="M22" s="434">
        <v>0</v>
      </c>
      <c r="N22" s="434">
        <v>0</v>
      </c>
      <c r="O22" s="434">
        <v>0</v>
      </c>
      <c r="P22" s="434">
        <v>0</v>
      </c>
      <c r="Q22" s="435">
        <v>0</v>
      </c>
      <c r="R22" s="434">
        <v>0</v>
      </c>
      <c r="S22" s="434">
        <v>0</v>
      </c>
      <c r="T22" s="434">
        <v>0</v>
      </c>
      <c r="U22" s="434">
        <v>0</v>
      </c>
      <c r="V22" s="434">
        <v>0</v>
      </c>
      <c r="W22" s="434">
        <v>0</v>
      </c>
      <c r="X22" s="434">
        <v>0</v>
      </c>
      <c r="Y22" s="434">
        <v>0</v>
      </c>
      <c r="Z22" s="434">
        <v>0</v>
      </c>
      <c r="AA22" s="434">
        <v>0</v>
      </c>
      <c r="AB22" s="434">
        <v>0</v>
      </c>
      <c r="AC22" s="434">
        <v>0</v>
      </c>
      <c r="AD22" s="434">
        <v>0</v>
      </c>
      <c r="AE22" s="434">
        <v>0</v>
      </c>
      <c r="AF22" s="434">
        <v>0</v>
      </c>
      <c r="AG22" s="435">
        <v>0</v>
      </c>
      <c r="AH22" s="433">
        <v>0</v>
      </c>
      <c r="AI22" s="434">
        <v>0</v>
      </c>
      <c r="AJ22" s="434">
        <v>0</v>
      </c>
      <c r="AK22" s="434">
        <v>0</v>
      </c>
      <c r="AL22" s="434">
        <v>1</v>
      </c>
      <c r="AM22" s="434">
        <v>0</v>
      </c>
      <c r="AN22" s="434">
        <v>0</v>
      </c>
      <c r="AO22" s="434">
        <v>0</v>
      </c>
      <c r="AP22" s="434">
        <v>0</v>
      </c>
      <c r="AQ22" s="434">
        <v>0</v>
      </c>
      <c r="AR22" s="434">
        <v>0</v>
      </c>
      <c r="AS22" s="434">
        <v>0</v>
      </c>
      <c r="AT22" s="434">
        <v>0</v>
      </c>
      <c r="AU22" s="434">
        <v>0</v>
      </c>
      <c r="AV22" s="434">
        <v>0</v>
      </c>
      <c r="AW22" s="435">
        <v>0</v>
      </c>
      <c r="AX22" s="433">
        <v>0</v>
      </c>
      <c r="AY22" s="434">
        <v>0</v>
      </c>
      <c r="AZ22" s="434">
        <v>0</v>
      </c>
      <c r="BA22" s="434">
        <v>0</v>
      </c>
      <c r="BB22" s="434">
        <v>1</v>
      </c>
      <c r="BC22" s="434">
        <v>0</v>
      </c>
      <c r="BD22" s="434">
        <v>0</v>
      </c>
      <c r="BE22" s="434">
        <v>0</v>
      </c>
      <c r="BF22" s="434">
        <v>0</v>
      </c>
      <c r="BG22" s="434">
        <v>0</v>
      </c>
      <c r="BH22" s="434">
        <v>0</v>
      </c>
      <c r="BI22" s="434">
        <v>0</v>
      </c>
      <c r="BJ22" s="434">
        <v>0</v>
      </c>
      <c r="BK22" s="434">
        <v>0</v>
      </c>
      <c r="BL22" s="434">
        <v>0</v>
      </c>
      <c r="BM22" s="435">
        <v>0</v>
      </c>
      <c r="BN22" s="433">
        <v>0</v>
      </c>
      <c r="BO22" s="434">
        <v>0</v>
      </c>
      <c r="BP22" s="435">
        <v>0</v>
      </c>
      <c r="BQ22" s="434">
        <v>0</v>
      </c>
      <c r="BR22" s="434">
        <v>0</v>
      </c>
      <c r="BS22" s="435">
        <v>0</v>
      </c>
      <c r="BT22" s="433">
        <v>0</v>
      </c>
      <c r="BU22" s="434">
        <v>0</v>
      </c>
      <c r="BV22" s="434">
        <v>0</v>
      </c>
      <c r="BW22" s="434">
        <v>0</v>
      </c>
      <c r="BX22" s="434">
        <v>0</v>
      </c>
      <c r="BY22" s="435">
        <v>0</v>
      </c>
      <c r="BZ22" s="433">
        <v>0</v>
      </c>
      <c r="CA22" s="434">
        <v>0</v>
      </c>
      <c r="CB22" s="434">
        <v>0</v>
      </c>
      <c r="CC22" s="434">
        <v>0</v>
      </c>
      <c r="CD22" s="434">
        <v>0</v>
      </c>
      <c r="CE22" s="435">
        <v>0</v>
      </c>
      <c r="CF22" s="433">
        <v>0</v>
      </c>
      <c r="CG22" s="434">
        <v>0</v>
      </c>
      <c r="CH22" s="434">
        <v>0</v>
      </c>
      <c r="CI22" s="434">
        <v>0</v>
      </c>
      <c r="CJ22" s="434">
        <v>0</v>
      </c>
      <c r="CK22" s="435">
        <v>0</v>
      </c>
      <c r="CL22" s="292">
        <f>+ReactMatrix!AO22</f>
        <v>0</v>
      </c>
    </row>
    <row r="23" spans="1:90">
      <c r="A23" s="328" t="str">
        <f>+ReactMatrix!A23</f>
        <v>Xdn</v>
      </c>
      <c r="B23" s="433">
        <v>0</v>
      </c>
      <c r="C23" s="434">
        <v>0</v>
      </c>
      <c r="D23" s="434">
        <v>0</v>
      </c>
      <c r="E23" s="434">
        <v>0</v>
      </c>
      <c r="F23" s="434">
        <v>0</v>
      </c>
      <c r="G23" s="434">
        <v>0</v>
      </c>
      <c r="H23" s="434">
        <v>0</v>
      </c>
      <c r="I23" s="434">
        <v>0</v>
      </c>
      <c r="J23" s="434">
        <v>0</v>
      </c>
      <c r="K23" s="434">
        <v>0</v>
      </c>
      <c r="L23" s="434">
        <v>0</v>
      </c>
      <c r="M23" s="434">
        <v>0</v>
      </c>
      <c r="N23" s="434">
        <v>0</v>
      </c>
      <c r="O23" s="434">
        <v>0</v>
      </c>
      <c r="P23" s="434">
        <v>0</v>
      </c>
      <c r="Q23" s="435">
        <v>0</v>
      </c>
      <c r="R23" s="434">
        <v>0</v>
      </c>
      <c r="S23" s="434">
        <v>0</v>
      </c>
      <c r="T23" s="434">
        <v>0</v>
      </c>
      <c r="U23" s="434">
        <v>0</v>
      </c>
      <c r="V23" s="434">
        <v>0</v>
      </c>
      <c r="W23" s="434">
        <v>0</v>
      </c>
      <c r="X23" s="434">
        <v>0</v>
      </c>
      <c r="Y23" s="434">
        <v>0</v>
      </c>
      <c r="Z23" s="434">
        <v>0</v>
      </c>
      <c r="AA23" s="434">
        <v>0</v>
      </c>
      <c r="AB23" s="434">
        <v>0</v>
      </c>
      <c r="AC23" s="434">
        <v>0</v>
      </c>
      <c r="AD23" s="434">
        <v>0</v>
      </c>
      <c r="AE23" s="434">
        <v>0</v>
      </c>
      <c r="AF23" s="434">
        <v>0</v>
      </c>
      <c r="AG23" s="435">
        <v>0</v>
      </c>
      <c r="AH23" s="433">
        <v>0</v>
      </c>
      <c r="AI23" s="434">
        <v>0</v>
      </c>
      <c r="AJ23" s="434">
        <v>0</v>
      </c>
      <c r="AK23" s="434">
        <v>0</v>
      </c>
      <c r="AL23" s="434">
        <v>0</v>
      </c>
      <c r="AM23" s="434">
        <v>1</v>
      </c>
      <c r="AN23" s="434">
        <v>0</v>
      </c>
      <c r="AO23" s="434">
        <v>0</v>
      </c>
      <c r="AP23" s="434">
        <v>0</v>
      </c>
      <c r="AQ23" s="434">
        <v>0</v>
      </c>
      <c r="AR23" s="434">
        <v>0</v>
      </c>
      <c r="AS23" s="434">
        <v>0</v>
      </c>
      <c r="AT23" s="434">
        <v>0</v>
      </c>
      <c r="AU23" s="434">
        <v>0</v>
      </c>
      <c r="AV23" s="434">
        <v>0</v>
      </c>
      <c r="AW23" s="435">
        <v>0</v>
      </c>
      <c r="AX23" s="433">
        <v>0</v>
      </c>
      <c r="AY23" s="434">
        <v>0</v>
      </c>
      <c r="AZ23" s="434">
        <v>0</v>
      </c>
      <c r="BA23" s="434">
        <v>0</v>
      </c>
      <c r="BB23" s="434">
        <v>0</v>
      </c>
      <c r="BC23" s="434">
        <v>1</v>
      </c>
      <c r="BD23" s="434">
        <v>0</v>
      </c>
      <c r="BE23" s="434">
        <v>0</v>
      </c>
      <c r="BF23" s="434">
        <v>0</v>
      </c>
      <c r="BG23" s="434">
        <v>0</v>
      </c>
      <c r="BH23" s="434">
        <v>0</v>
      </c>
      <c r="BI23" s="434">
        <v>0</v>
      </c>
      <c r="BJ23" s="434">
        <v>0</v>
      </c>
      <c r="BK23" s="434">
        <v>0</v>
      </c>
      <c r="BL23" s="434">
        <v>0</v>
      </c>
      <c r="BM23" s="435">
        <v>0</v>
      </c>
      <c r="BN23" s="433">
        <v>0</v>
      </c>
      <c r="BO23" s="434">
        <v>0</v>
      </c>
      <c r="BP23" s="435">
        <v>0</v>
      </c>
      <c r="BQ23" s="434">
        <v>0</v>
      </c>
      <c r="BR23" s="434">
        <v>0</v>
      </c>
      <c r="BS23" s="435">
        <v>0</v>
      </c>
      <c r="BT23" s="433">
        <v>0</v>
      </c>
      <c r="BU23" s="434">
        <v>0</v>
      </c>
      <c r="BV23" s="434">
        <v>0</v>
      </c>
      <c r="BW23" s="434">
        <v>0</v>
      </c>
      <c r="BX23" s="434">
        <v>0</v>
      </c>
      <c r="BY23" s="435">
        <v>0</v>
      </c>
      <c r="BZ23" s="433">
        <v>0</v>
      </c>
      <c r="CA23" s="434">
        <v>0</v>
      </c>
      <c r="CB23" s="434">
        <v>0</v>
      </c>
      <c r="CC23" s="434">
        <v>0</v>
      </c>
      <c r="CD23" s="434">
        <v>0</v>
      </c>
      <c r="CE23" s="435">
        <v>0</v>
      </c>
      <c r="CF23" s="433">
        <v>0</v>
      </c>
      <c r="CG23" s="434">
        <v>0</v>
      </c>
      <c r="CH23" s="434">
        <v>0</v>
      </c>
      <c r="CI23" s="434">
        <v>0</v>
      </c>
      <c r="CJ23" s="434">
        <v>0</v>
      </c>
      <c r="CK23" s="435">
        <v>0</v>
      </c>
      <c r="CL23" s="292">
        <f>+ReactMatrix!AO23</f>
        <v>0</v>
      </c>
    </row>
    <row r="24" spans="1:90">
      <c r="A24" s="328" t="str">
        <f>+ReactMatrix!A24</f>
        <v>Xsrd</v>
      </c>
      <c r="B24" s="433">
        <v>0</v>
      </c>
      <c r="C24" s="434">
        <v>0</v>
      </c>
      <c r="D24" s="434">
        <v>0</v>
      </c>
      <c r="E24" s="434">
        <v>0</v>
      </c>
      <c r="F24" s="434">
        <v>0</v>
      </c>
      <c r="G24" s="434">
        <v>0</v>
      </c>
      <c r="H24" s="434">
        <v>0</v>
      </c>
      <c r="I24" s="434">
        <v>0</v>
      </c>
      <c r="J24" s="434">
        <v>0</v>
      </c>
      <c r="K24" s="434">
        <v>0</v>
      </c>
      <c r="L24" s="434">
        <v>0</v>
      </c>
      <c r="M24" s="434">
        <v>0</v>
      </c>
      <c r="N24" s="434">
        <v>0</v>
      </c>
      <c r="O24" s="434">
        <v>0</v>
      </c>
      <c r="P24" s="434">
        <v>0</v>
      </c>
      <c r="Q24" s="435">
        <v>0</v>
      </c>
      <c r="R24" s="434">
        <v>0</v>
      </c>
      <c r="S24" s="434">
        <v>0</v>
      </c>
      <c r="T24" s="434">
        <v>0</v>
      </c>
      <c r="U24" s="434">
        <v>0</v>
      </c>
      <c r="V24" s="434">
        <v>0</v>
      </c>
      <c r="W24" s="434">
        <v>0</v>
      </c>
      <c r="X24" s="434">
        <v>0</v>
      </c>
      <c r="Y24" s="434">
        <v>0</v>
      </c>
      <c r="Z24" s="434">
        <v>0</v>
      </c>
      <c r="AA24" s="434">
        <v>0</v>
      </c>
      <c r="AB24" s="434">
        <v>0</v>
      </c>
      <c r="AC24" s="434">
        <v>0</v>
      </c>
      <c r="AD24" s="434">
        <v>0</v>
      </c>
      <c r="AE24" s="434">
        <v>0</v>
      </c>
      <c r="AF24" s="434">
        <v>0</v>
      </c>
      <c r="AG24" s="435">
        <v>0</v>
      </c>
      <c r="AH24" s="433">
        <v>0</v>
      </c>
      <c r="AI24" s="434">
        <v>0</v>
      </c>
      <c r="AJ24" s="434">
        <v>0</v>
      </c>
      <c r="AK24" s="434">
        <v>0</v>
      </c>
      <c r="AL24" s="434">
        <v>0</v>
      </c>
      <c r="AM24" s="434">
        <v>0</v>
      </c>
      <c r="AN24" s="434">
        <v>1</v>
      </c>
      <c r="AO24" s="434">
        <v>0</v>
      </c>
      <c r="AP24" s="434">
        <v>0</v>
      </c>
      <c r="AQ24" s="434">
        <v>0</v>
      </c>
      <c r="AR24" s="434">
        <v>0</v>
      </c>
      <c r="AS24" s="434">
        <v>0</v>
      </c>
      <c r="AT24" s="434">
        <v>0</v>
      </c>
      <c r="AU24" s="434">
        <v>0</v>
      </c>
      <c r="AV24" s="434">
        <v>0</v>
      </c>
      <c r="AW24" s="435">
        <v>0</v>
      </c>
      <c r="AX24" s="433">
        <v>0</v>
      </c>
      <c r="AY24" s="434">
        <v>0</v>
      </c>
      <c r="AZ24" s="434">
        <v>0</v>
      </c>
      <c r="BA24" s="434">
        <v>0</v>
      </c>
      <c r="BB24" s="434">
        <v>0</v>
      </c>
      <c r="BC24" s="434">
        <v>0</v>
      </c>
      <c r="BD24" s="434">
        <v>1</v>
      </c>
      <c r="BE24" s="434">
        <v>0</v>
      </c>
      <c r="BF24" s="434">
        <v>0</v>
      </c>
      <c r="BG24" s="434">
        <v>0</v>
      </c>
      <c r="BH24" s="434">
        <v>0</v>
      </c>
      <c r="BI24" s="434">
        <v>0</v>
      </c>
      <c r="BJ24" s="434">
        <v>0</v>
      </c>
      <c r="BK24" s="434">
        <v>0</v>
      </c>
      <c r="BL24" s="434">
        <v>0</v>
      </c>
      <c r="BM24" s="435">
        <v>0</v>
      </c>
      <c r="BN24" s="433">
        <v>0</v>
      </c>
      <c r="BO24" s="434">
        <v>0</v>
      </c>
      <c r="BP24" s="435">
        <v>0</v>
      </c>
      <c r="BQ24" s="434">
        <v>0</v>
      </c>
      <c r="BR24" s="434">
        <v>0</v>
      </c>
      <c r="BS24" s="435">
        <v>0</v>
      </c>
      <c r="BT24" s="433">
        <v>0</v>
      </c>
      <c r="BU24" s="434">
        <v>0</v>
      </c>
      <c r="BV24" s="434">
        <v>0</v>
      </c>
      <c r="BW24" s="434">
        <v>0</v>
      </c>
      <c r="BX24" s="434">
        <v>0</v>
      </c>
      <c r="BY24" s="435">
        <v>0</v>
      </c>
      <c r="BZ24" s="433">
        <v>0</v>
      </c>
      <c r="CA24" s="434">
        <v>0</v>
      </c>
      <c r="CB24" s="434">
        <v>0</v>
      </c>
      <c r="CC24" s="434">
        <v>0</v>
      </c>
      <c r="CD24" s="434">
        <v>0</v>
      </c>
      <c r="CE24" s="435">
        <v>0</v>
      </c>
      <c r="CF24" s="433">
        <v>0</v>
      </c>
      <c r="CG24" s="434">
        <v>0</v>
      </c>
      <c r="CH24" s="434">
        <v>0</v>
      </c>
      <c r="CI24" s="434">
        <v>0</v>
      </c>
      <c r="CJ24" s="434">
        <v>0</v>
      </c>
      <c r="CK24" s="435">
        <v>0</v>
      </c>
      <c r="CL24" s="292">
        <f>+ReactMatrix!AO24</f>
        <v>0</v>
      </c>
    </row>
    <row r="25" spans="1:90">
      <c r="A25" s="328" t="str">
        <f>+ReactMatrix!A25</f>
        <v>Xsox</v>
      </c>
      <c r="B25" s="433">
        <v>0</v>
      </c>
      <c r="C25" s="434">
        <v>0</v>
      </c>
      <c r="D25" s="434">
        <v>0</v>
      </c>
      <c r="E25" s="434">
        <v>0</v>
      </c>
      <c r="F25" s="434">
        <v>0</v>
      </c>
      <c r="G25" s="434">
        <v>0</v>
      </c>
      <c r="H25" s="434">
        <v>0</v>
      </c>
      <c r="I25" s="434">
        <v>0</v>
      </c>
      <c r="J25" s="434">
        <v>0</v>
      </c>
      <c r="K25" s="434">
        <v>0</v>
      </c>
      <c r="L25" s="434">
        <v>0</v>
      </c>
      <c r="M25" s="434">
        <v>0</v>
      </c>
      <c r="N25" s="434">
        <v>0</v>
      </c>
      <c r="O25" s="434">
        <v>0</v>
      </c>
      <c r="P25" s="434">
        <v>0</v>
      </c>
      <c r="Q25" s="435">
        <v>0</v>
      </c>
      <c r="R25" s="434">
        <v>0</v>
      </c>
      <c r="S25" s="434">
        <v>0</v>
      </c>
      <c r="T25" s="434">
        <v>0</v>
      </c>
      <c r="U25" s="434">
        <v>0</v>
      </c>
      <c r="V25" s="434">
        <v>0</v>
      </c>
      <c r="W25" s="434">
        <v>0</v>
      </c>
      <c r="X25" s="434">
        <v>0</v>
      </c>
      <c r="Y25" s="434">
        <v>0</v>
      </c>
      <c r="Z25" s="434">
        <v>0</v>
      </c>
      <c r="AA25" s="434">
        <v>0</v>
      </c>
      <c r="AB25" s="434">
        <v>0</v>
      </c>
      <c r="AC25" s="434">
        <v>0</v>
      </c>
      <c r="AD25" s="434">
        <v>0</v>
      </c>
      <c r="AE25" s="434">
        <v>0</v>
      </c>
      <c r="AF25" s="434">
        <v>0</v>
      </c>
      <c r="AG25" s="435">
        <v>0</v>
      </c>
      <c r="AH25" s="433">
        <v>0</v>
      </c>
      <c r="AI25" s="434">
        <v>0</v>
      </c>
      <c r="AJ25" s="434">
        <v>0</v>
      </c>
      <c r="AK25" s="434">
        <v>0</v>
      </c>
      <c r="AL25" s="434">
        <v>0</v>
      </c>
      <c r="AM25" s="434">
        <v>0</v>
      </c>
      <c r="AN25" s="434">
        <v>0</v>
      </c>
      <c r="AO25" s="434">
        <v>1</v>
      </c>
      <c r="AP25" s="434">
        <v>0</v>
      </c>
      <c r="AQ25" s="434">
        <v>0</v>
      </c>
      <c r="AR25" s="434">
        <v>0</v>
      </c>
      <c r="AS25" s="434">
        <v>0</v>
      </c>
      <c r="AT25" s="434">
        <v>0</v>
      </c>
      <c r="AU25" s="434">
        <v>0</v>
      </c>
      <c r="AV25" s="434">
        <v>0</v>
      </c>
      <c r="AW25" s="435">
        <v>0</v>
      </c>
      <c r="AX25" s="433">
        <v>0</v>
      </c>
      <c r="AY25" s="434">
        <v>0</v>
      </c>
      <c r="AZ25" s="434">
        <v>0</v>
      </c>
      <c r="BA25" s="434">
        <v>0</v>
      </c>
      <c r="BB25" s="434">
        <v>0</v>
      </c>
      <c r="BC25" s="434">
        <v>0</v>
      </c>
      <c r="BD25" s="434">
        <v>0</v>
      </c>
      <c r="BE25" s="434">
        <v>1</v>
      </c>
      <c r="BF25" s="434">
        <v>0</v>
      </c>
      <c r="BG25" s="434">
        <v>0</v>
      </c>
      <c r="BH25" s="434">
        <v>0</v>
      </c>
      <c r="BI25" s="434">
        <v>0</v>
      </c>
      <c r="BJ25" s="434">
        <v>0</v>
      </c>
      <c r="BK25" s="434">
        <v>0</v>
      </c>
      <c r="BL25" s="434">
        <v>0</v>
      </c>
      <c r="BM25" s="435">
        <v>0</v>
      </c>
      <c r="BN25" s="433">
        <v>0</v>
      </c>
      <c r="BO25" s="434">
        <v>0</v>
      </c>
      <c r="BP25" s="435">
        <v>0</v>
      </c>
      <c r="BQ25" s="434">
        <v>0</v>
      </c>
      <c r="BR25" s="434">
        <v>0</v>
      </c>
      <c r="BS25" s="435">
        <v>0</v>
      </c>
      <c r="BT25" s="433">
        <v>0</v>
      </c>
      <c r="BU25" s="434">
        <v>0</v>
      </c>
      <c r="BV25" s="434">
        <v>0</v>
      </c>
      <c r="BW25" s="434">
        <v>0</v>
      </c>
      <c r="BX25" s="434">
        <v>0</v>
      </c>
      <c r="BY25" s="435">
        <v>0</v>
      </c>
      <c r="BZ25" s="433">
        <v>0</v>
      </c>
      <c r="CA25" s="434">
        <v>0</v>
      </c>
      <c r="CB25" s="434">
        <v>0</v>
      </c>
      <c r="CC25" s="434">
        <v>0</v>
      </c>
      <c r="CD25" s="434">
        <v>0</v>
      </c>
      <c r="CE25" s="435">
        <v>0</v>
      </c>
      <c r="CF25" s="433">
        <v>0</v>
      </c>
      <c r="CG25" s="434">
        <v>0</v>
      </c>
      <c r="CH25" s="434">
        <v>0</v>
      </c>
      <c r="CI25" s="434">
        <v>0</v>
      </c>
      <c r="CJ25" s="434">
        <v>0</v>
      </c>
      <c r="CK25" s="435">
        <v>0</v>
      </c>
      <c r="CL25" s="292">
        <f>+ReactMatrix!AO25</f>
        <v>0</v>
      </c>
    </row>
    <row r="26" spans="1:90">
      <c r="A26" s="328" t="str">
        <f>+ReactMatrix!A26</f>
        <v>Xson</v>
      </c>
      <c r="B26" s="433">
        <v>0</v>
      </c>
      <c r="C26" s="434">
        <v>0</v>
      </c>
      <c r="D26" s="434">
        <v>0</v>
      </c>
      <c r="E26" s="434">
        <v>0</v>
      </c>
      <c r="F26" s="434">
        <v>0</v>
      </c>
      <c r="G26" s="434">
        <v>0</v>
      </c>
      <c r="H26" s="434">
        <v>0</v>
      </c>
      <c r="I26" s="434">
        <v>0</v>
      </c>
      <c r="J26" s="434">
        <v>0</v>
      </c>
      <c r="K26" s="434">
        <v>0</v>
      </c>
      <c r="L26" s="434">
        <v>0</v>
      </c>
      <c r="M26" s="434">
        <v>0</v>
      </c>
      <c r="N26" s="434">
        <v>0</v>
      </c>
      <c r="O26" s="434">
        <v>0</v>
      </c>
      <c r="P26" s="434">
        <v>0</v>
      </c>
      <c r="Q26" s="435">
        <v>0</v>
      </c>
      <c r="R26" s="434">
        <v>0</v>
      </c>
      <c r="S26" s="434">
        <v>0</v>
      </c>
      <c r="T26" s="434">
        <v>0</v>
      </c>
      <c r="U26" s="434">
        <v>0</v>
      </c>
      <c r="V26" s="434">
        <v>0</v>
      </c>
      <c r="W26" s="434">
        <v>0</v>
      </c>
      <c r="X26" s="434">
        <v>0</v>
      </c>
      <c r="Y26" s="434">
        <v>0</v>
      </c>
      <c r="Z26" s="434">
        <v>0</v>
      </c>
      <c r="AA26" s="434">
        <v>0</v>
      </c>
      <c r="AB26" s="434">
        <v>0</v>
      </c>
      <c r="AC26" s="434">
        <v>0</v>
      </c>
      <c r="AD26" s="434">
        <v>0</v>
      </c>
      <c r="AE26" s="434">
        <v>0</v>
      </c>
      <c r="AF26" s="434">
        <v>0</v>
      </c>
      <c r="AG26" s="435">
        <v>0</v>
      </c>
      <c r="AH26" s="433">
        <v>0</v>
      </c>
      <c r="AI26" s="434">
        <v>0</v>
      </c>
      <c r="AJ26" s="434">
        <v>0</v>
      </c>
      <c r="AK26" s="434">
        <v>0</v>
      </c>
      <c r="AL26" s="434">
        <v>0</v>
      </c>
      <c r="AM26" s="434">
        <v>0</v>
      </c>
      <c r="AN26" s="434">
        <v>0</v>
      </c>
      <c r="AO26" s="434">
        <v>0</v>
      </c>
      <c r="AP26" s="434">
        <v>1</v>
      </c>
      <c r="AQ26" s="434">
        <v>0</v>
      </c>
      <c r="AR26" s="434">
        <v>0</v>
      </c>
      <c r="AS26" s="434">
        <v>0</v>
      </c>
      <c r="AT26" s="434">
        <v>0</v>
      </c>
      <c r="AU26" s="434">
        <v>0</v>
      </c>
      <c r="AV26" s="434">
        <v>0</v>
      </c>
      <c r="AW26" s="435">
        <v>0</v>
      </c>
      <c r="AX26" s="433">
        <v>0</v>
      </c>
      <c r="AY26" s="434">
        <v>0</v>
      </c>
      <c r="AZ26" s="434">
        <v>0</v>
      </c>
      <c r="BA26" s="434">
        <v>0</v>
      </c>
      <c r="BB26" s="434">
        <v>0</v>
      </c>
      <c r="BC26" s="434">
        <v>0</v>
      </c>
      <c r="BD26" s="434">
        <v>0</v>
      </c>
      <c r="BE26" s="434">
        <v>0</v>
      </c>
      <c r="BF26" s="434">
        <v>1</v>
      </c>
      <c r="BG26" s="434">
        <v>0</v>
      </c>
      <c r="BH26" s="434">
        <v>0</v>
      </c>
      <c r="BI26" s="434">
        <v>0</v>
      </c>
      <c r="BJ26" s="434">
        <v>0</v>
      </c>
      <c r="BK26" s="434">
        <v>0</v>
      </c>
      <c r="BL26" s="434">
        <v>0</v>
      </c>
      <c r="BM26" s="435">
        <v>0</v>
      </c>
      <c r="BN26" s="433">
        <v>0</v>
      </c>
      <c r="BO26" s="434">
        <v>0</v>
      </c>
      <c r="BP26" s="435">
        <v>0</v>
      </c>
      <c r="BQ26" s="434">
        <v>0</v>
      </c>
      <c r="BR26" s="434">
        <v>0</v>
      </c>
      <c r="BS26" s="435">
        <v>0</v>
      </c>
      <c r="BT26" s="433">
        <v>0</v>
      </c>
      <c r="BU26" s="434">
        <v>0</v>
      </c>
      <c r="BV26" s="434">
        <v>0</v>
      </c>
      <c r="BW26" s="434">
        <v>0</v>
      </c>
      <c r="BX26" s="434">
        <v>0</v>
      </c>
      <c r="BY26" s="435">
        <v>0</v>
      </c>
      <c r="BZ26" s="433">
        <v>0</v>
      </c>
      <c r="CA26" s="434">
        <v>0</v>
      </c>
      <c r="CB26" s="434">
        <v>0</v>
      </c>
      <c r="CC26" s="434">
        <v>0</v>
      </c>
      <c r="CD26" s="434">
        <v>0</v>
      </c>
      <c r="CE26" s="435">
        <v>0</v>
      </c>
      <c r="CF26" s="433">
        <v>0</v>
      </c>
      <c r="CG26" s="434">
        <v>0</v>
      </c>
      <c r="CH26" s="434">
        <v>0</v>
      </c>
      <c r="CI26" s="434">
        <v>0</v>
      </c>
      <c r="CJ26" s="434">
        <v>0</v>
      </c>
      <c r="CK26" s="435">
        <v>0</v>
      </c>
      <c r="CL26" s="292">
        <f>+ReactMatrix!AO26</f>
        <v>0</v>
      </c>
    </row>
    <row r="27" spans="1:90">
      <c r="A27" s="328" t="str">
        <f>+ReactMatrix!A27</f>
        <v>Xfeox</v>
      </c>
      <c r="B27" s="433">
        <v>0</v>
      </c>
      <c r="C27" s="434">
        <v>0</v>
      </c>
      <c r="D27" s="434">
        <v>0</v>
      </c>
      <c r="E27" s="434">
        <v>0</v>
      </c>
      <c r="F27" s="434">
        <v>0</v>
      </c>
      <c r="G27" s="434">
        <v>0</v>
      </c>
      <c r="H27" s="434">
        <v>0</v>
      </c>
      <c r="I27" s="434">
        <v>0</v>
      </c>
      <c r="J27" s="434">
        <v>0</v>
      </c>
      <c r="K27" s="434">
        <v>0</v>
      </c>
      <c r="L27" s="434">
        <v>0</v>
      </c>
      <c r="M27" s="434">
        <v>0</v>
      </c>
      <c r="N27" s="434">
        <v>0</v>
      </c>
      <c r="O27" s="434">
        <v>0</v>
      </c>
      <c r="P27" s="434">
        <v>0</v>
      </c>
      <c r="Q27" s="435">
        <v>0</v>
      </c>
      <c r="R27" s="434">
        <v>0</v>
      </c>
      <c r="S27" s="434">
        <v>0</v>
      </c>
      <c r="T27" s="434">
        <v>0</v>
      </c>
      <c r="U27" s="434">
        <v>0</v>
      </c>
      <c r="V27" s="434">
        <v>0</v>
      </c>
      <c r="W27" s="434">
        <v>0</v>
      </c>
      <c r="X27" s="434">
        <v>0</v>
      </c>
      <c r="Y27" s="434">
        <v>0</v>
      </c>
      <c r="Z27" s="434">
        <v>0</v>
      </c>
      <c r="AA27" s="434">
        <v>0</v>
      </c>
      <c r="AB27" s="434">
        <v>0</v>
      </c>
      <c r="AC27" s="434">
        <v>0</v>
      </c>
      <c r="AD27" s="434">
        <v>0</v>
      </c>
      <c r="AE27" s="434">
        <v>0</v>
      </c>
      <c r="AF27" s="434">
        <v>0</v>
      </c>
      <c r="AG27" s="435">
        <v>0</v>
      </c>
      <c r="AH27" s="433">
        <v>0</v>
      </c>
      <c r="AI27" s="434">
        <v>0</v>
      </c>
      <c r="AJ27" s="434">
        <v>0</v>
      </c>
      <c r="AK27" s="434">
        <v>0</v>
      </c>
      <c r="AL27" s="434">
        <v>0</v>
      </c>
      <c r="AM27" s="434">
        <v>0</v>
      </c>
      <c r="AN27" s="434">
        <v>0</v>
      </c>
      <c r="AO27" s="434">
        <v>0</v>
      </c>
      <c r="AP27" s="434">
        <v>0</v>
      </c>
      <c r="AQ27" s="434">
        <v>1</v>
      </c>
      <c r="AR27" s="434">
        <v>0</v>
      </c>
      <c r="AS27" s="434">
        <v>0</v>
      </c>
      <c r="AT27" s="434">
        <v>0</v>
      </c>
      <c r="AU27" s="434">
        <v>0</v>
      </c>
      <c r="AV27" s="434">
        <v>0</v>
      </c>
      <c r="AW27" s="435">
        <v>0</v>
      </c>
      <c r="AX27" s="433">
        <v>0</v>
      </c>
      <c r="AY27" s="434">
        <v>0</v>
      </c>
      <c r="AZ27" s="434">
        <v>0</v>
      </c>
      <c r="BA27" s="434">
        <v>0</v>
      </c>
      <c r="BB27" s="434">
        <v>0</v>
      </c>
      <c r="BC27" s="434">
        <v>0</v>
      </c>
      <c r="BD27" s="434">
        <v>0</v>
      </c>
      <c r="BE27" s="434">
        <v>0</v>
      </c>
      <c r="BF27" s="434">
        <v>0</v>
      </c>
      <c r="BG27" s="434">
        <v>1</v>
      </c>
      <c r="BH27" s="434">
        <v>0</v>
      </c>
      <c r="BI27" s="434">
        <v>0</v>
      </c>
      <c r="BJ27" s="434">
        <v>0</v>
      </c>
      <c r="BK27" s="434">
        <v>0</v>
      </c>
      <c r="BL27" s="434">
        <v>0</v>
      </c>
      <c r="BM27" s="435">
        <v>0</v>
      </c>
      <c r="BN27" s="433">
        <v>0</v>
      </c>
      <c r="BO27" s="434">
        <v>0</v>
      </c>
      <c r="BP27" s="435">
        <v>0</v>
      </c>
      <c r="BQ27" s="434">
        <v>0</v>
      </c>
      <c r="BR27" s="434">
        <v>0</v>
      </c>
      <c r="BS27" s="435">
        <v>0</v>
      </c>
      <c r="BT27" s="433">
        <v>0</v>
      </c>
      <c r="BU27" s="434">
        <v>0</v>
      </c>
      <c r="BV27" s="434">
        <v>0</v>
      </c>
      <c r="BW27" s="434">
        <v>0</v>
      </c>
      <c r="BX27" s="434">
        <v>0</v>
      </c>
      <c r="BY27" s="435">
        <v>0</v>
      </c>
      <c r="BZ27" s="433">
        <v>0</v>
      </c>
      <c r="CA27" s="434">
        <v>0</v>
      </c>
      <c r="CB27" s="434">
        <v>0</v>
      </c>
      <c r="CC27" s="434">
        <v>0</v>
      </c>
      <c r="CD27" s="434">
        <v>0</v>
      </c>
      <c r="CE27" s="435">
        <v>0</v>
      </c>
      <c r="CF27" s="433">
        <v>0</v>
      </c>
      <c r="CG27" s="434">
        <v>0</v>
      </c>
      <c r="CH27" s="434">
        <v>0</v>
      </c>
      <c r="CI27" s="434">
        <v>0</v>
      </c>
      <c r="CJ27" s="434">
        <v>0</v>
      </c>
      <c r="CK27" s="435">
        <v>0</v>
      </c>
      <c r="CL27" s="292">
        <f>+ReactMatrix!AO27</f>
        <v>0</v>
      </c>
    </row>
    <row r="28" spans="1:90">
      <c r="A28" s="328" t="str">
        <f>+ReactMatrix!A28</f>
        <v>Xfeon</v>
      </c>
      <c r="B28" s="433">
        <v>0</v>
      </c>
      <c r="C28" s="434">
        <v>0</v>
      </c>
      <c r="D28" s="434">
        <v>0</v>
      </c>
      <c r="E28" s="434">
        <v>0</v>
      </c>
      <c r="F28" s="434">
        <v>0</v>
      </c>
      <c r="G28" s="434">
        <v>0</v>
      </c>
      <c r="H28" s="434">
        <v>0</v>
      </c>
      <c r="I28" s="434">
        <v>0</v>
      </c>
      <c r="J28" s="434">
        <v>0</v>
      </c>
      <c r="K28" s="434">
        <v>0</v>
      </c>
      <c r="L28" s="434">
        <v>0</v>
      </c>
      <c r="M28" s="434">
        <v>0</v>
      </c>
      <c r="N28" s="434">
        <v>0</v>
      </c>
      <c r="O28" s="434">
        <v>0</v>
      </c>
      <c r="P28" s="434">
        <v>0</v>
      </c>
      <c r="Q28" s="435">
        <v>0</v>
      </c>
      <c r="R28" s="434">
        <v>0</v>
      </c>
      <c r="S28" s="434">
        <v>0</v>
      </c>
      <c r="T28" s="434">
        <v>0</v>
      </c>
      <c r="U28" s="434">
        <v>0</v>
      </c>
      <c r="V28" s="434">
        <v>0</v>
      </c>
      <c r="W28" s="434">
        <v>0</v>
      </c>
      <c r="X28" s="434">
        <v>0</v>
      </c>
      <c r="Y28" s="434">
        <v>0</v>
      </c>
      <c r="Z28" s="434">
        <v>0</v>
      </c>
      <c r="AA28" s="434">
        <v>0</v>
      </c>
      <c r="AB28" s="434">
        <v>0</v>
      </c>
      <c r="AC28" s="434">
        <v>0</v>
      </c>
      <c r="AD28" s="434">
        <v>0</v>
      </c>
      <c r="AE28" s="434">
        <v>0</v>
      </c>
      <c r="AF28" s="434">
        <v>0</v>
      </c>
      <c r="AG28" s="435">
        <v>0</v>
      </c>
      <c r="AH28" s="433">
        <v>0</v>
      </c>
      <c r="AI28" s="434">
        <v>0</v>
      </c>
      <c r="AJ28" s="434">
        <v>0</v>
      </c>
      <c r="AK28" s="434">
        <v>0</v>
      </c>
      <c r="AL28" s="434">
        <v>0</v>
      </c>
      <c r="AM28" s="434">
        <v>0</v>
      </c>
      <c r="AN28" s="434">
        <v>0</v>
      </c>
      <c r="AO28" s="434">
        <v>0</v>
      </c>
      <c r="AP28" s="434">
        <v>0</v>
      </c>
      <c r="AQ28" s="434">
        <v>0</v>
      </c>
      <c r="AR28" s="434">
        <v>1</v>
      </c>
      <c r="AS28" s="434">
        <v>0</v>
      </c>
      <c r="AT28" s="434">
        <v>0</v>
      </c>
      <c r="AU28" s="434">
        <v>0</v>
      </c>
      <c r="AV28" s="434">
        <v>0</v>
      </c>
      <c r="AW28" s="435">
        <v>0</v>
      </c>
      <c r="AX28" s="433">
        <v>0</v>
      </c>
      <c r="AY28" s="434">
        <v>0</v>
      </c>
      <c r="AZ28" s="434">
        <v>0</v>
      </c>
      <c r="BA28" s="434">
        <v>0</v>
      </c>
      <c r="BB28" s="434">
        <v>0</v>
      </c>
      <c r="BC28" s="434">
        <v>0</v>
      </c>
      <c r="BD28" s="434">
        <v>0</v>
      </c>
      <c r="BE28" s="434">
        <v>0</v>
      </c>
      <c r="BF28" s="434">
        <v>0</v>
      </c>
      <c r="BG28" s="434">
        <v>0</v>
      </c>
      <c r="BH28" s="434">
        <v>1</v>
      </c>
      <c r="BI28" s="434">
        <v>0</v>
      </c>
      <c r="BJ28" s="434">
        <v>0</v>
      </c>
      <c r="BK28" s="434">
        <v>0</v>
      </c>
      <c r="BL28" s="434">
        <v>0</v>
      </c>
      <c r="BM28" s="435">
        <v>0</v>
      </c>
      <c r="BN28" s="433">
        <v>0</v>
      </c>
      <c r="BO28" s="434">
        <v>0</v>
      </c>
      <c r="BP28" s="435">
        <v>0</v>
      </c>
      <c r="BQ28" s="434">
        <v>0</v>
      </c>
      <c r="BR28" s="434">
        <v>0</v>
      </c>
      <c r="BS28" s="435">
        <v>0</v>
      </c>
      <c r="BT28" s="433">
        <v>0</v>
      </c>
      <c r="BU28" s="434">
        <v>0</v>
      </c>
      <c r="BV28" s="434">
        <v>0</v>
      </c>
      <c r="BW28" s="434">
        <v>0</v>
      </c>
      <c r="BX28" s="434">
        <v>0</v>
      </c>
      <c r="BY28" s="435">
        <v>0</v>
      </c>
      <c r="BZ28" s="433">
        <v>0</v>
      </c>
      <c r="CA28" s="434">
        <v>0</v>
      </c>
      <c r="CB28" s="434">
        <v>0</v>
      </c>
      <c r="CC28" s="434">
        <v>0</v>
      </c>
      <c r="CD28" s="434">
        <v>0</v>
      </c>
      <c r="CE28" s="435">
        <v>0</v>
      </c>
      <c r="CF28" s="433">
        <v>0</v>
      </c>
      <c r="CG28" s="434">
        <v>0</v>
      </c>
      <c r="CH28" s="434">
        <v>0</v>
      </c>
      <c r="CI28" s="434">
        <v>0</v>
      </c>
      <c r="CJ28" s="434">
        <v>0</v>
      </c>
      <c r="CK28" s="435">
        <v>0</v>
      </c>
      <c r="CL28" s="292">
        <f>+ReactMatrix!AO28</f>
        <v>0</v>
      </c>
    </row>
    <row r="29" spans="1:90">
      <c r="A29" s="328" t="str">
        <f>+ReactMatrix!A29</f>
        <v>Xferd</v>
      </c>
      <c r="B29" s="433">
        <v>0</v>
      </c>
      <c r="C29" s="434">
        <v>0</v>
      </c>
      <c r="D29" s="434">
        <v>0</v>
      </c>
      <c r="E29" s="434">
        <v>0</v>
      </c>
      <c r="F29" s="434">
        <v>0</v>
      </c>
      <c r="G29" s="434">
        <v>0</v>
      </c>
      <c r="H29" s="434">
        <v>0</v>
      </c>
      <c r="I29" s="434">
        <v>0</v>
      </c>
      <c r="J29" s="434">
        <v>0</v>
      </c>
      <c r="K29" s="434">
        <v>0</v>
      </c>
      <c r="L29" s="434">
        <v>0</v>
      </c>
      <c r="M29" s="434">
        <v>0</v>
      </c>
      <c r="N29" s="434">
        <v>0</v>
      </c>
      <c r="O29" s="434">
        <v>0</v>
      </c>
      <c r="P29" s="434">
        <v>0</v>
      </c>
      <c r="Q29" s="435">
        <v>0</v>
      </c>
      <c r="R29" s="434">
        <v>0</v>
      </c>
      <c r="S29" s="434">
        <v>0</v>
      </c>
      <c r="T29" s="434">
        <v>0</v>
      </c>
      <c r="U29" s="434">
        <v>0</v>
      </c>
      <c r="V29" s="434">
        <v>0</v>
      </c>
      <c r="W29" s="434">
        <v>0</v>
      </c>
      <c r="X29" s="434">
        <v>0</v>
      </c>
      <c r="Y29" s="434">
        <v>0</v>
      </c>
      <c r="Z29" s="434">
        <v>0</v>
      </c>
      <c r="AA29" s="434">
        <v>0</v>
      </c>
      <c r="AB29" s="434">
        <v>0</v>
      </c>
      <c r="AC29" s="434">
        <v>0</v>
      </c>
      <c r="AD29" s="434">
        <v>0</v>
      </c>
      <c r="AE29" s="434">
        <v>0</v>
      </c>
      <c r="AF29" s="434">
        <v>0</v>
      </c>
      <c r="AG29" s="435">
        <v>0</v>
      </c>
      <c r="AH29" s="433">
        <v>0</v>
      </c>
      <c r="AI29" s="434">
        <v>0</v>
      </c>
      <c r="AJ29" s="434">
        <v>0</v>
      </c>
      <c r="AK29" s="434">
        <v>0</v>
      </c>
      <c r="AL29" s="434">
        <v>0</v>
      </c>
      <c r="AM29" s="434">
        <v>0</v>
      </c>
      <c r="AN29" s="434">
        <v>0</v>
      </c>
      <c r="AO29" s="434">
        <v>0</v>
      </c>
      <c r="AP29" s="434">
        <v>0</v>
      </c>
      <c r="AQ29" s="434">
        <v>0</v>
      </c>
      <c r="AR29" s="434">
        <v>0</v>
      </c>
      <c r="AS29" s="434">
        <v>1</v>
      </c>
      <c r="AT29" s="434">
        <v>0</v>
      </c>
      <c r="AU29" s="434">
        <v>0</v>
      </c>
      <c r="AV29" s="434">
        <v>0</v>
      </c>
      <c r="AW29" s="435">
        <v>0</v>
      </c>
      <c r="AX29" s="433">
        <v>0</v>
      </c>
      <c r="AY29" s="434">
        <v>0</v>
      </c>
      <c r="AZ29" s="434">
        <v>0</v>
      </c>
      <c r="BA29" s="434">
        <v>0</v>
      </c>
      <c r="BB29" s="434">
        <v>0</v>
      </c>
      <c r="BC29" s="434">
        <v>0</v>
      </c>
      <c r="BD29" s="434">
        <v>0</v>
      </c>
      <c r="BE29" s="434">
        <v>0</v>
      </c>
      <c r="BF29" s="434">
        <v>0</v>
      </c>
      <c r="BG29" s="434">
        <v>0</v>
      </c>
      <c r="BH29" s="434">
        <v>0</v>
      </c>
      <c r="BI29" s="434">
        <v>1</v>
      </c>
      <c r="BJ29" s="434">
        <v>0</v>
      </c>
      <c r="BK29" s="434">
        <v>0</v>
      </c>
      <c r="BL29" s="434">
        <v>0</v>
      </c>
      <c r="BM29" s="435">
        <v>0</v>
      </c>
      <c r="BN29" s="433">
        <v>0</v>
      </c>
      <c r="BO29" s="434">
        <v>0</v>
      </c>
      <c r="BP29" s="435">
        <v>0</v>
      </c>
      <c r="BQ29" s="434">
        <v>0</v>
      </c>
      <c r="BR29" s="434">
        <v>0</v>
      </c>
      <c r="BS29" s="435">
        <v>0</v>
      </c>
      <c r="BT29" s="433">
        <v>0</v>
      </c>
      <c r="BU29" s="434">
        <v>0</v>
      </c>
      <c r="BV29" s="434">
        <v>0</v>
      </c>
      <c r="BW29" s="434">
        <v>0</v>
      </c>
      <c r="BX29" s="434">
        <v>0</v>
      </c>
      <c r="BY29" s="435">
        <v>0</v>
      </c>
      <c r="BZ29" s="433">
        <v>0</v>
      </c>
      <c r="CA29" s="434">
        <v>0</v>
      </c>
      <c r="CB29" s="434">
        <v>0</v>
      </c>
      <c r="CC29" s="434">
        <v>0</v>
      </c>
      <c r="CD29" s="434">
        <v>0</v>
      </c>
      <c r="CE29" s="435">
        <v>0</v>
      </c>
      <c r="CF29" s="433">
        <v>0</v>
      </c>
      <c r="CG29" s="434">
        <v>0</v>
      </c>
      <c r="CH29" s="434">
        <v>0</v>
      </c>
      <c r="CI29" s="434">
        <v>0</v>
      </c>
      <c r="CJ29" s="434">
        <v>0</v>
      </c>
      <c r="CK29" s="435">
        <v>0</v>
      </c>
      <c r="CL29" s="292">
        <f>+ReactMatrix!AO29</f>
        <v>0</v>
      </c>
    </row>
    <row r="30" spans="1:90">
      <c r="A30" s="328" t="str">
        <f>+ReactMatrix!A30</f>
        <v>Xacm</v>
      </c>
      <c r="B30" s="433">
        <v>0</v>
      </c>
      <c r="C30" s="434">
        <v>0</v>
      </c>
      <c r="D30" s="434">
        <v>0</v>
      </c>
      <c r="E30" s="434">
        <v>0</v>
      </c>
      <c r="F30" s="434">
        <v>0</v>
      </c>
      <c r="G30" s="434">
        <v>0</v>
      </c>
      <c r="H30" s="434">
        <v>0</v>
      </c>
      <c r="I30" s="434">
        <v>0</v>
      </c>
      <c r="J30" s="434">
        <v>0</v>
      </c>
      <c r="K30" s="434">
        <v>0</v>
      </c>
      <c r="L30" s="434">
        <v>0</v>
      </c>
      <c r="M30" s="434">
        <v>0</v>
      </c>
      <c r="N30" s="434">
        <v>0</v>
      </c>
      <c r="O30" s="434">
        <v>0</v>
      </c>
      <c r="P30" s="434">
        <v>0</v>
      </c>
      <c r="Q30" s="435">
        <v>0</v>
      </c>
      <c r="R30" s="434">
        <v>0</v>
      </c>
      <c r="S30" s="434">
        <v>0</v>
      </c>
      <c r="T30" s="434">
        <v>0</v>
      </c>
      <c r="U30" s="434">
        <v>0</v>
      </c>
      <c r="V30" s="434">
        <v>0</v>
      </c>
      <c r="W30" s="434">
        <v>0</v>
      </c>
      <c r="X30" s="434">
        <v>0</v>
      </c>
      <c r="Y30" s="434">
        <v>0</v>
      </c>
      <c r="Z30" s="434">
        <v>0</v>
      </c>
      <c r="AA30" s="434">
        <v>0</v>
      </c>
      <c r="AB30" s="434">
        <v>0</v>
      </c>
      <c r="AC30" s="434">
        <v>0</v>
      </c>
      <c r="AD30" s="434">
        <v>0</v>
      </c>
      <c r="AE30" s="434">
        <v>0</v>
      </c>
      <c r="AF30" s="434">
        <v>0</v>
      </c>
      <c r="AG30" s="435">
        <v>0</v>
      </c>
      <c r="AH30" s="433">
        <v>0</v>
      </c>
      <c r="AI30" s="434">
        <v>0</v>
      </c>
      <c r="AJ30" s="434">
        <v>0</v>
      </c>
      <c r="AK30" s="434">
        <v>0</v>
      </c>
      <c r="AL30" s="434">
        <v>0</v>
      </c>
      <c r="AM30" s="434">
        <v>0</v>
      </c>
      <c r="AN30" s="434">
        <v>0</v>
      </c>
      <c r="AO30" s="434">
        <v>0</v>
      </c>
      <c r="AP30" s="434">
        <v>0</v>
      </c>
      <c r="AQ30" s="434">
        <v>0</v>
      </c>
      <c r="AR30" s="434">
        <v>0</v>
      </c>
      <c r="AS30" s="434">
        <v>0</v>
      </c>
      <c r="AT30" s="434">
        <v>1</v>
      </c>
      <c r="AU30" s="434">
        <v>0</v>
      </c>
      <c r="AV30" s="434">
        <v>0</v>
      </c>
      <c r="AW30" s="435">
        <v>0</v>
      </c>
      <c r="AX30" s="433">
        <v>0</v>
      </c>
      <c r="AY30" s="434">
        <v>0</v>
      </c>
      <c r="AZ30" s="434">
        <v>0</v>
      </c>
      <c r="BA30" s="434">
        <v>0</v>
      </c>
      <c r="BB30" s="434">
        <v>0</v>
      </c>
      <c r="BC30" s="434">
        <v>0</v>
      </c>
      <c r="BD30" s="434">
        <v>0</v>
      </c>
      <c r="BE30" s="434">
        <v>0</v>
      </c>
      <c r="BF30" s="434">
        <v>0</v>
      </c>
      <c r="BG30" s="434">
        <v>0</v>
      </c>
      <c r="BH30" s="434">
        <v>0</v>
      </c>
      <c r="BI30" s="434">
        <v>0</v>
      </c>
      <c r="BJ30" s="434">
        <v>1</v>
      </c>
      <c r="BK30" s="434">
        <v>0</v>
      </c>
      <c r="BL30" s="434">
        <v>0</v>
      </c>
      <c r="BM30" s="435">
        <v>0</v>
      </c>
      <c r="BN30" s="433">
        <v>0</v>
      </c>
      <c r="BO30" s="434">
        <v>0</v>
      </c>
      <c r="BP30" s="435">
        <v>0</v>
      </c>
      <c r="BQ30" s="434">
        <v>0</v>
      </c>
      <c r="BR30" s="434">
        <v>0</v>
      </c>
      <c r="BS30" s="435">
        <v>0</v>
      </c>
      <c r="BT30" s="433">
        <v>0</v>
      </c>
      <c r="BU30" s="434">
        <v>0</v>
      </c>
      <c r="BV30" s="434">
        <v>0</v>
      </c>
      <c r="BW30" s="434">
        <v>0</v>
      </c>
      <c r="BX30" s="434">
        <v>0</v>
      </c>
      <c r="BY30" s="435">
        <v>0</v>
      </c>
      <c r="BZ30" s="433">
        <v>0</v>
      </c>
      <c r="CA30" s="434">
        <v>0</v>
      </c>
      <c r="CB30" s="434">
        <v>0</v>
      </c>
      <c r="CC30" s="434">
        <v>0</v>
      </c>
      <c r="CD30" s="434">
        <v>0</v>
      </c>
      <c r="CE30" s="435">
        <v>0</v>
      </c>
      <c r="CF30" s="433">
        <v>0</v>
      </c>
      <c r="CG30" s="434">
        <v>0</v>
      </c>
      <c r="CH30" s="434">
        <v>0</v>
      </c>
      <c r="CI30" s="434">
        <v>0</v>
      </c>
      <c r="CJ30" s="434">
        <v>0</v>
      </c>
      <c r="CK30" s="435">
        <v>0</v>
      </c>
      <c r="CL30" s="292">
        <f>+ReactMatrix!AO30</f>
        <v>0</v>
      </c>
    </row>
    <row r="31" spans="1:90">
      <c r="A31" s="328" t="str">
        <f>+ReactMatrix!A31</f>
        <v>Xh2m</v>
      </c>
      <c r="B31" s="433">
        <v>0</v>
      </c>
      <c r="C31" s="434">
        <v>0</v>
      </c>
      <c r="D31" s="434">
        <v>0</v>
      </c>
      <c r="E31" s="434">
        <v>0</v>
      </c>
      <c r="F31" s="434">
        <v>0</v>
      </c>
      <c r="G31" s="434">
        <v>0</v>
      </c>
      <c r="H31" s="434">
        <v>0</v>
      </c>
      <c r="I31" s="434">
        <v>0</v>
      </c>
      <c r="J31" s="434">
        <v>0</v>
      </c>
      <c r="K31" s="434">
        <v>0</v>
      </c>
      <c r="L31" s="434">
        <v>0</v>
      </c>
      <c r="M31" s="434">
        <v>0</v>
      </c>
      <c r="N31" s="434">
        <v>0</v>
      </c>
      <c r="O31" s="434">
        <v>0</v>
      </c>
      <c r="P31" s="434">
        <v>0</v>
      </c>
      <c r="Q31" s="435">
        <v>0</v>
      </c>
      <c r="R31" s="434">
        <v>0</v>
      </c>
      <c r="S31" s="434">
        <v>0</v>
      </c>
      <c r="T31" s="434">
        <v>0</v>
      </c>
      <c r="U31" s="434">
        <v>0</v>
      </c>
      <c r="V31" s="434">
        <v>0</v>
      </c>
      <c r="W31" s="434">
        <v>0</v>
      </c>
      <c r="X31" s="434">
        <v>0</v>
      </c>
      <c r="Y31" s="434">
        <v>0</v>
      </c>
      <c r="Z31" s="434">
        <v>0</v>
      </c>
      <c r="AA31" s="434">
        <v>0</v>
      </c>
      <c r="AB31" s="434">
        <v>0</v>
      </c>
      <c r="AC31" s="434">
        <v>0</v>
      </c>
      <c r="AD31" s="434">
        <v>0</v>
      </c>
      <c r="AE31" s="434">
        <v>0</v>
      </c>
      <c r="AF31" s="434">
        <v>0</v>
      </c>
      <c r="AG31" s="435">
        <v>0</v>
      </c>
      <c r="AH31" s="433">
        <v>0</v>
      </c>
      <c r="AI31" s="434">
        <v>0</v>
      </c>
      <c r="AJ31" s="434">
        <v>0</v>
      </c>
      <c r="AK31" s="434">
        <v>0</v>
      </c>
      <c r="AL31" s="434">
        <v>0</v>
      </c>
      <c r="AM31" s="434">
        <v>0</v>
      </c>
      <c r="AN31" s="434">
        <v>0</v>
      </c>
      <c r="AO31" s="434">
        <v>0</v>
      </c>
      <c r="AP31" s="434">
        <v>0</v>
      </c>
      <c r="AQ31" s="434">
        <v>0</v>
      </c>
      <c r="AR31" s="434">
        <v>0</v>
      </c>
      <c r="AS31" s="434">
        <v>0</v>
      </c>
      <c r="AT31" s="434">
        <v>0</v>
      </c>
      <c r="AU31" s="434">
        <v>1</v>
      </c>
      <c r="AV31" s="434">
        <v>0</v>
      </c>
      <c r="AW31" s="435">
        <v>0</v>
      </c>
      <c r="AX31" s="433">
        <v>0</v>
      </c>
      <c r="AY31" s="434">
        <v>0</v>
      </c>
      <c r="AZ31" s="434">
        <v>0</v>
      </c>
      <c r="BA31" s="434">
        <v>0</v>
      </c>
      <c r="BB31" s="434">
        <v>0</v>
      </c>
      <c r="BC31" s="434">
        <v>0</v>
      </c>
      <c r="BD31" s="434">
        <v>0</v>
      </c>
      <c r="BE31" s="434">
        <v>0</v>
      </c>
      <c r="BF31" s="434">
        <v>0</v>
      </c>
      <c r="BG31" s="434">
        <v>0</v>
      </c>
      <c r="BH31" s="434">
        <v>0</v>
      </c>
      <c r="BI31" s="434">
        <v>0</v>
      </c>
      <c r="BJ31" s="434">
        <v>0</v>
      </c>
      <c r="BK31" s="434">
        <v>1</v>
      </c>
      <c r="BL31" s="434">
        <v>0</v>
      </c>
      <c r="BM31" s="435">
        <v>0</v>
      </c>
      <c r="BN31" s="433">
        <v>0</v>
      </c>
      <c r="BO31" s="434">
        <v>0</v>
      </c>
      <c r="BP31" s="435">
        <v>0</v>
      </c>
      <c r="BQ31" s="434">
        <v>0</v>
      </c>
      <c r="BR31" s="434">
        <v>0</v>
      </c>
      <c r="BS31" s="435">
        <v>0</v>
      </c>
      <c r="BT31" s="433">
        <v>0</v>
      </c>
      <c r="BU31" s="434">
        <v>0</v>
      </c>
      <c r="BV31" s="434">
        <v>0</v>
      </c>
      <c r="BW31" s="434">
        <v>0</v>
      </c>
      <c r="BX31" s="434">
        <v>0</v>
      </c>
      <c r="BY31" s="435">
        <v>0</v>
      </c>
      <c r="BZ31" s="433">
        <v>0</v>
      </c>
      <c r="CA31" s="434">
        <v>0</v>
      </c>
      <c r="CB31" s="434">
        <v>0</v>
      </c>
      <c r="CC31" s="434">
        <v>0</v>
      </c>
      <c r="CD31" s="434">
        <v>0</v>
      </c>
      <c r="CE31" s="435">
        <v>0</v>
      </c>
      <c r="CF31" s="433">
        <v>0</v>
      </c>
      <c r="CG31" s="434">
        <v>0</v>
      </c>
      <c r="CH31" s="434">
        <v>0</v>
      </c>
      <c r="CI31" s="434">
        <v>0</v>
      </c>
      <c r="CJ31" s="434">
        <v>0</v>
      </c>
      <c r="CK31" s="435">
        <v>0</v>
      </c>
      <c r="CL31" s="292">
        <f>+ReactMatrix!AO31</f>
        <v>0</v>
      </c>
    </row>
    <row r="32" spans="1:90">
      <c r="A32" s="328" t="str">
        <f>+ReactMatrix!A32</f>
        <v>Xmto</v>
      </c>
      <c r="B32" s="433">
        <v>0</v>
      </c>
      <c r="C32" s="434">
        <v>0</v>
      </c>
      <c r="D32" s="434">
        <v>0</v>
      </c>
      <c r="E32" s="434">
        <v>0</v>
      </c>
      <c r="F32" s="434">
        <v>0</v>
      </c>
      <c r="G32" s="434">
        <v>0</v>
      </c>
      <c r="H32" s="434">
        <v>0</v>
      </c>
      <c r="I32" s="434">
        <v>0</v>
      </c>
      <c r="J32" s="434">
        <v>0</v>
      </c>
      <c r="K32" s="434">
        <v>0</v>
      </c>
      <c r="L32" s="434">
        <v>0</v>
      </c>
      <c r="M32" s="434">
        <v>0</v>
      </c>
      <c r="N32" s="434">
        <v>0</v>
      </c>
      <c r="O32" s="434">
        <v>0</v>
      </c>
      <c r="P32" s="434">
        <v>0</v>
      </c>
      <c r="Q32" s="435">
        <v>0</v>
      </c>
      <c r="R32" s="434">
        <v>0</v>
      </c>
      <c r="S32" s="434">
        <v>0</v>
      </c>
      <c r="T32" s="434">
        <v>0</v>
      </c>
      <c r="U32" s="434">
        <v>0</v>
      </c>
      <c r="V32" s="434">
        <v>0</v>
      </c>
      <c r="W32" s="434">
        <v>0</v>
      </c>
      <c r="X32" s="434">
        <v>0</v>
      </c>
      <c r="Y32" s="434">
        <v>0</v>
      </c>
      <c r="Z32" s="434">
        <v>0</v>
      </c>
      <c r="AA32" s="434">
        <v>0</v>
      </c>
      <c r="AB32" s="434">
        <v>0</v>
      </c>
      <c r="AC32" s="434">
        <v>0</v>
      </c>
      <c r="AD32" s="434">
        <v>0</v>
      </c>
      <c r="AE32" s="434">
        <v>0</v>
      </c>
      <c r="AF32" s="434">
        <v>0</v>
      </c>
      <c r="AG32" s="435">
        <v>0</v>
      </c>
      <c r="AH32" s="433">
        <v>0</v>
      </c>
      <c r="AI32" s="434">
        <v>0</v>
      </c>
      <c r="AJ32" s="434">
        <v>0</v>
      </c>
      <c r="AK32" s="434">
        <v>0</v>
      </c>
      <c r="AL32" s="434">
        <v>0</v>
      </c>
      <c r="AM32" s="434">
        <v>0</v>
      </c>
      <c r="AN32" s="434">
        <v>0</v>
      </c>
      <c r="AO32" s="434">
        <v>0</v>
      </c>
      <c r="AP32" s="434">
        <v>0</v>
      </c>
      <c r="AQ32" s="434">
        <v>0</v>
      </c>
      <c r="AR32" s="434">
        <v>0</v>
      </c>
      <c r="AS32" s="434">
        <v>0</v>
      </c>
      <c r="AT32" s="434">
        <v>0</v>
      </c>
      <c r="AU32" s="434">
        <v>0</v>
      </c>
      <c r="AV32" s="434">
        <v>1</v>
      </c>
      <c r="AW32" s="435">
        <v>0</v>
      </c>
      <c r="AX32" s="433">
        <v>0</v>
      </c>
      <c r="AY32" s="434">
        <v>0</v>
      </c>
      <c r="AZ32" s="434">
        <v>0</v>
      </c>
      <c r="BA32" s="434">
        <v>0</v>
      </c>
      <c r="BB32" s="434">
        <v>0</v>
      </c>
      <c r="BC32" s="434">
        <v>0</v>
      </c>
      <c r="BD32" s="434">
        <v>0</v>
      </c>
      <c r="BE32" s="434">
        <v>0</v>
      </c>
      <c r="BF32" s="434">
        <v>0</v>
      </c>
      <c r="BG32" s="434">
        <v>0</v>
      </c>
      <c r="BH32" s="434">
        <v>0</v>
      </c>
      <c r="BI32" s="434">
        <v>0</v>
      </c>
      <c r="BJ32" s="434">
        <v>0</v>
      </c>
      <c r="BK32" s="434">
        <v>0</v>
      </c>
      <c r="BL32" s="434">
        <v>1</v>
      </c>
      <c r="BM32" s="435">
        <v>0</v>
      </c>
      <c r="BN32" s="433">
        <v>0</v>
      </c>
      <c r="BO32" s="434">
        <v>0</v>
      </c>
      <c r="BP32" s="435">
        <v>0</v>
      </c>
      <c r="BQ32" s="434">
        <v>0</v>
      </c>
      <c r="BR32" s="434">
        <v>0</v>
      </c>
      <c r="BS32" s="435">
        <v>0</v>
      </c>
      <c r="BT32" s="433">
        <v>0</v>
      </c>
      <c r="BU32" s="434">
        <v>0</v>
      </c>
      <c r="BV32" s="434">
        <v>0</v>
      </c>
      <c r="BW32" s="434">
        <v>0</v>
      </c>
      <c r="BX32" s="434">
        <v>0</v>
      </c>
      <c r="BY32" s="435">
        <v>0</v>
      </c>
      <c r="BZ32" s="433">
        <v>0</v>
      </c>
      <c r="CA32" s="434">
        <v>0</v>
      </c>
      <c r="CB32" s="434">
        <v>0</v>
      </c>
      <c r="CC32" s="434">
        <v>0</v>
      </c>
      <c r="CD32" s="434">
        <v>0</v>
      </c>
      <c r="CE32" s="435">
        <v>0</v>
      </c>
      <c r="CF32" s="433">
        <v>0</v>
      </c>
      <c r="CG32" s="434">
        <v>0</v>
      </c>
      <c r="CH32" s="434">
        <v>0</v>
      </c>
      <c r="CI32" s="434">
        <v>0</v>
      </c>
      <c r="CJ32" s="434">
        <v>0</v>
      </c>
      <c r="CK32" s="435">
        <v>0</v>
      </c>
      <c r="CL32" s="292">
        <f>+ReactMatrix!AO32</f>
        <v>0</v>
      </c>
    </row>
    <row r="33" spans="1:90" ht="13.8" thickBot="1">
      <c r="A33" s="329" t="str">
        <f>+ReactMatrix!A33</f>
        <v>Xmts</v>
      </c>
      <c r="B33" s="433">
        <v>0</v>
      </c>
      <c r="C33" s="434">
        <v>0</v>
      </c>
      <c r="D33" s="434">
        <v>0</v>
      </c>
      <c r="E33" s="434">
        <v>0</v>
      </c>
      <c r="F33" s="434">
        <v>0</v>
      </c>
      <c r="G33" s="434">
        <v>0</v>
      </c>
      <c r="H33" s="434">
        <v>0</v>
      </c>
      <c r="I33" s="434">
        <v>0</v>
      </c>
      <c r="J33" s="434">
        <v>0</v>
      </c>
      <c r="K33" s="434">
        <v>0</v>
      </c>
      <c r="L33" s="434">
        <v>0</v>
      </c>
      <c r="M33" s="434">
        <v>0</v>
      </c>
      <c r="N33" s="434">
        <v>0</v>
      </c>
      <c r="O33" s="434">
        <v>0</v>
      </c>
      <c r="P33" s="434">
        <v>0</v>
      </c>
      <c r="Q33" s="435">
        <v>0</v>
      </c>
      <c r="R33" s="434">
        <v>0</v>
      </c>
      <c r="S33" s="434">
        <v>0</v>
      </c>
      <c r="T33" s="434">
        <v>0</v>
      </c>
      <c r="U33" s="434">
        <v>0</v>
      </c>
      <c r="V33" s="434">
        <v>0</v>
      </c>
      <c r="W33" s="434">
        <v>0</v>
      </c>
      <c r="X33" s="434">
        <v>0</v>
      </c>
      <c r="Y33" s="434">
        <v>0</v>
      </c>
      <c r="Z33" s="434">
        <v>0</v>
      </c>
      <c r="AA33" s="434">
        <v>0</v>
      </c>
      <c r="AB33" s="434">
        <v>0</v>
      </c>
      <c r="AC33" s="434">
        <v>0</v>
      </c>
      <c r="AD33" s="434">
        <v>0</v>
      </c>
      <c r="AE33" s="434">
        <v>0</v>
      </c>
      <c r="AF33" s="434">
        <v>0</v>
      </c>
      <c r="AG33" s="435">
        <v>0</v>
      </c>
      <c r="AH33" s="433">
        <v>0</v>
      </c>
      <c r="AI33" s="434">
        <v>0</v>
      </c>
      <c r="AJ33" s="434">
        <v>0</v>
      </c>
      <c r="AK33" s="434">
        <v>0</v>
      </c>
      <c r="AL33" s="434">
        <v>0</v>
      </c>
      <c r="AM33" s="434">
        <v>0</v>
      </c>
      <c r="AN33" s="434">
        <v>0</v>
      </c>
      <c r="AO33" s="434">
        <v>0</v>
      </c>
      <c r="AP33" s="434">
        <v>0</v>
      </c>
      <c r="AQ33" s="434">
        <v>0</v>
      </c>
      <c r="AR33" s="434">
        <v>0</v>
      </c>
      <c r="AS33" s="434">
        <v>0</v>
      </c>
      <c r="AT33" s="434">
        <v>0</v>
      </c>
      <c r="AU33" s="434">
        <v>0</v>
      </c>
      <c r="AV33" s="434">
        <v>0</v>
      </c>
      <c r="AW33" s="435">
        <v>1</v>
      </c>
      <c r="AX33" s="433">
        <v>0</v>
      </c>
      <c r="AY33" s="434">
        <v>0</v>
      </c>
      <c r="AZ33" s="434">
        <v>0</v>
      </c>
      <c r="BA33" s="434">
        <v>0</v>
      </c>
      <c r="BB33" s="434">
        <v>0</v>
      </c>
      <c r="BC33" s="434">
        <v>0</v>
      </c>
      <c r="BD33" s="434">
        <v>0</v>
      </c>
      <c r="BE33" s="434">
        <v>0</v>
      </c>
      <c r="BF33" s="434">
        <v>0</v>
      </c>
      <c r="BG33" s="434">
        <v>0</v>
      </c>
      <c r="BH33" s="434">
        <v>0</v>
      </c>
      <c r="BI33" s="434">
        <v>0</v>
      </c>
      <c r="BJ33" s="434">
        <v>0</v>
      </c>
      <c r="BK33" s="434">
        <v>0</v>
      </c>
      <c r="BL33" s="434">
        <v>0</v>
      </c>
      <c r="BM33" s="435">
        <v>1</v>
      </c>
      <c r="BN33" s="433">
        <v>0</v>
      </c>
      <c r="BO33" s="434">
        <v>0</v>
      </c>
      <c r="BP33" s="435">
        <v>0</v>
      </c>
      <c r="BQ33" s="434">
        <v>0</v>
      </c>
      <c r="BR33" s="434">
        <v>0</v>
      </c>
      <c r="BS33" s="435">
        <v>0</v>
      </c>
      <c r="BT33" s="433">
        <v>0</v>
      </c>
      <c r="BU33" s="434">
        <v>0</v>
      </c>
      <c r="BV33" s="434">
        <v>0</v>
      </c>
      <c r="BW33" s="434">
        <v>0</v>
      </c>
      <c r="BX33" s="434">
        <v>0</v>
      </c>
      <c r="BY33" s="435">
        <v>0</v>
      </c>
      <c r="BZ33" s="433">
        <v>0</v>
      </c>
      <c r="CA33" s="434">
        <v>0</v>
      </c>
      <c r="CB33" s="434">
        <v>0</v>
      </c>
      <c r="CC33" s="434">
        <v>0</v>
      </c>
      <c r="CD33" s="434">
        <v>0</v>
      </c>
      <c r="CE33" s="435">
        <v>0</v>
      </c>
      <c r="CF33" s="433">
        <v>0</v>
      </c>
      <c r="CG33" s="434">
        <v>0</v>
      </c>
      <c r="CH33" s="434">
        <v>0</v>
      </c>
      <c r="CI33" s="434">
        <v>0</v>
      </c>
      <c r="CJ33" s="434">
        <v>0</v>
      </c>
      <c r="CK33" s="435">
        <v>0</v>
      </c>
      <c r="CL33" s="292">
        <f>+ReactMatrix!AO33</f>
        <v>0</v>
      </c>
    </row>
    <row r="34" spans="1:90">
      <c r="A34" s="327" t="str">
        <f>+ReactMatrix!A34</f>
        <v>Xd</v>
      </c>
      <c r="B34" s="430">
        <v>0</v>
      </c>
      <c r="C34" s="431">
        <v>0</v>
      </c>
      <c r="D34" s="431">
        <v>0</v>
      </c>
      <c r="E34" s="431">
        <v>0</v>
      </c>
      <c r="F34" s="431">
        <v>0</v>
      </c>
      <c r="G34" s="431">
        <v>0</v>
      </c>
      <c r="H34" s="431">
        <v>0</v>
      </c>
      <c r="I34" s="431">
        <v>0</v>
      </c>
      <c r="J34" s="431">
        <v>0</v>
      </c>
      <c r="K34" s="431">
        <v>0</v>
      </c>
      <c r="L34" s="431">
        <v>0</v>
      </c>
      <c r="M34" s="431">
        <v>0</v>
      </c>
      <c r="N34" s="431">
        <v>0</v>
      </c>
      <c r="O34" s="431">
        <v>0</v>
      </c>
      <c r="P34" s="431">
        <v>0</v>
      </c>
      <c r="Q34" s="432">
        <v>0</v>
      </c>
      <c r="R34" s="431">
        <v>0</v>
      </c>
      <c r="S34" s="431">
        <v>0</v>
      </c>
      <c r="T34" s="431">
        <v>0</v>
      </c>
      <c r="U34" s="431">
        <v>0</v>
      </c>
      <c r="V34" s="431">
        <v>0</v>
      </c>
      <c r="W34" s="431">
        <v>0</v>
      </c>
      <c r="X34" s="431">
        <v>0</v>
      </c>
      <c r="Y34" s="431">
        <v>0</v>
      </c>
      <c r="Z34" s="431">
        <v>0</v>
      </c>
      <c r="AA34" s="431">
        <v>0</v>
      </c>
      <c r="AB34" s="431">
        <v>0</v>
      </c>
      <c r="AC34" s="431">
        <v>0</v>
      </c>
      <c r="AD34" s="431">
        <v>0</v>
      </c>
      <c r="AE34" s="431">
        <v>0</v>
      </c>
      <c r="AF34" s="431">
        <v>0</v>
      </c>
      <c r="AG34" s="432">
        <v>0</v>
      </c>
      <c r="AH34" s="430">
        <v>0</v>
      </c>
      <c r="AI34" s="431">
        <v>0</v>
      </c>
      <c r="AJ34" s="431">
        <v>0</v>
      </c>
      <c r="AK34" s="431">
        <v>0</v>
      </c>
      <c r="AL34" s="431">
        <v>0</v>
      </c>
      <c r="AM34" s="431">
        <v>0</v>
      </c>
      <c r="AN34" s="431">
        <v>0</v>
      </c>
      <c r="AO34" s="431">
        <v>0</v>
      </c>
      <c r="AP34" s="431">
        <v>0</v>
      </c>
      <c r="AQ34" s="431">
        <v>0</v>
      </c>
      <c r="AR34" s="431">
        <v>0</v>
      </c>
      <c r="AS34" s="431">
        <v>0</v>
      </c>
      <c r="AT34" s="431">
        <v>0</v>
      </c>
      <c r="AU34" s="431">
        <v>0</v>
      </c>
      <c r="AV34" s="431">
        <v>0</v>
      </c>
      <c r="AW34" s="432">
        <v>0</v>
      </c>
      <c r="AX34" s="430">
        <v>0</v>
      </c>
      <c r="AY34" s="431">
        <v>0</v>
      </c>
      <c r="AZ34" s="431">
        <v>0</v>
      </c>
      <c r="BA34" s="431">
        <v>0</v>
      </c>
      <c r="BB34" s="431">
        <v>0</v>
      </c>
      <c r="BC34" s="431">
        <v>0</v>
      </c>
      <c r="BD34" s="431">
        <v>0</v>
      </c>
      <c r="BE34" s="431">
        <v>0</v>
      </c>
      <c r="BF34" s="431">
        <v>0</v>
      </c>
      <c r="BG34" s="431">
        <v>0</v>
      </c>
      <c r="BH34" s="431">
        <v>0</v>
      </c>
      <c r="BI34" s="431">
        <v>0</v>
      </c>
      <c r="BJ34" s="431">
        <v>0</v>
      </c>
      <c r="BK34" s="431">
        <v>0</v>
      </c>
      <c r="BL34" s="431">
        <v>0</v>
      </c>
      <c r="BM34" s="432">
        <v>0</v>
      </c>
      <c r="BN34" s="430">
        <v>1</v>
      </c>
      <c r="BO34" s="431">
        <v>0</v>
      </c>
      <c r="BP34" s="432">
        <v>0</v>
      </c>
      <c r="BQ34" s="431">
        <v>1</v>
      </c>
      <c r="BR34" s="431">
        <v>0</v>
      </c>
      <c r="BS34" s="432">
        <v>0</v>
      </c>
      <c r="BT34" s="430">
        <v>0</v>
      </c>
      <c r="BU34" s="431">
        <v>0</v>
      </c>
      <c r="BV34" s="431">
        <v>0</v>
      </c>
      <c r="BW34" s="431">
        <v>0</v>
      </c>
      <c r="BX34" s="431">
        <v>0</v>
      </c>
      <c r="BY34" s="432">
        <v>0</v>
      </c>
      <c r="BZ34" s="430">
        <v>0</v>
      </c>
      <c r="CA34" s="431">
        <v>0</v>
      </c>
      <c r="CB34" s="431">
        <v>0</v>
      </c>
      <c r="CC34" s="431">
        <v>0</v>
      </c>
      <c r="CD34" s="431">
        <v>0</v>
      </c>
      <c r="CE34" s="432">
        <v>0</v>
      </c>
      <c r="CF34" s="430">
        <v>0</v>
      </c>
      <c r="CG34" s="431">
        <v>0</v>
      </c>
      <c r="CH34" s="431">
        <v>0</v>
      </c>
      <c r="CI34" s="431">
        <v>0</v>
      </c>
      <c r="CJ34" s="431">
        <v>0</v>
      </c>
      <c r="CK34" s="432">
        <v>0</v>
      </c>
      <c r="CL34" s="291">
        <f>+ReactMatrix!AO34</f>
        <v>0</v>
      </c>
    </row>
    <row r="35" spans="1:90">
      <c r="A35" s="328" t="str">
        <f>+ReactMatrix!A35</f>
        <v>Xfeoh</v>
      </c>
      <c r="B35" s="433">
        <v>0</v>
      </c>
      <c r="C35" s="434">
        <v>0</v>
      </c>
      <c r="D35" s="434">
        <v>0</v>
      </c>
      <c r="E35" s="434">
        <v>0</v>
      </c>
      <c r="F35" s="434">
        <v>0</v>
      </c>
      <c r="G35" s="434">
        <v>0</v>
      </c>
      <c r="H35" s="434">
        <v>0</v>
      </c>
      <c r="I35" s="434">
        <v>0</v>
      </c>
      <c r="J35" s="434">
        <v>0</v>
      </c>
      <c r="K35" s="434">
        <v>0</v>
      </c>
      <c r="L35" s="434">
        <v>0</v>
      </c>
      <c r="M35" s="434">
        <v>0</v>
      </c>
      <c r="N35" s="434">
        <v>0</v>
      </c>
      <c r="O35" s="434">
        <v>0</v>
      </c>
      <c r="P35" s="434">
        <v>0</v>
      </c>
      <c r="Q35" s="435">
        <v>0</v>
      </c>
      <c r="R35" s="434">
        <v>0</v>
      </c>
      <c r="S35" s="434">
        <v>0</v>
      </c>
      <c r="T35" s="434">
        <v>0</v>
      </c>
      <c r="U35" s="434">
        <v>0</v>
      </c>
      <c r="V35" s="434">
        <v>0</v>
      </c>
      <c r="W35" s="434">
        <v>0</v>
      </c>
      <c r="X35" s="434">
        <v>0</v>
      </c>
      <c r="Y35" s="434">
        <v>0</v>
      </c>
      <c r="Z35" s="434">
        <v>0</v>
      </c>
      <c r="AA35" s="434">
        <v>0</v>
      </c>
      <c r="AB35" s="434">
        <v>0</v>
      </c>
      <c r="AC35" s="434">
        <v>0</v>
      </c>
      <c r="AD35" s="434">
        <v>0</v>
      </c>
      <c r="AE35" s="434">
        <v>0</v>
      </c>
      <c r="AF35" s="434">
        <v>0</v>
      </c>
      <c r="AG35" s="435">
        <v>0</v>
      </c>
      <c r="AH35" s="433">
        <v>0</v>
      </c>
      <c r="AI35" s="434">
        <v>0</v>
      </c>
      <c r="AJ35" s="434">
        <v>0</v>
      </c>
      <c r="AK35" s="434">
        <v>0</v>
      </c>
      <c r="AL35" s="434">
        <v>0</v>
      </c>
      <c r="AM35" s="434">
        <v>0</v>
      </c>
      <c r="AN35" s="434">
        <v>0</v>
      </c>
      <c r="AO35" s="434">
        <v>0</v>
      </c>
      <c r="AP35" s="434">
        <v>0</v>
      </c>
      <c r="AQ35" s="434">
        <v>0</v>
      </c>
      <c r="AR35" s="434">
        <v>0</v>
      </c>
      <c r="AS35" s="434">
        <v>0</v>
      </c>
      <c r="AT35" s="434">
        <v>0</v>
      </c>
      <c r="AU35" s="434">
        <v>0</v>
      </c>
      <c r="AV35" s="434">
        <v>0</v>
      </c>
      <c r="AW35" s="435">
        <v>0</v>
      </c>
      <c r="AX35" s="433">
        <v>0</v>
      </c>
      <c r="AY35" s="434">
        <v>0</v>
      </c>
      <c r="AZ35" s="434">
        <v>0</v>
      </c>
      <c r="BA35" s="434">
        <v>0</v>
      </c>
      <c r="BB35" s="434">
        <v>0</v>
      </c>
      <c r="BC35" s="434">
        <v>0</v>
      </c>
      <c r="BD35" s="434">
        <v>0</v>
      </c>
      <c r="BE35" s="434">
        <v>0</v>
      </c>
      <c r="BF35" s="434">
        <v>0</v>
      </c>
      <c r="BG35" s="434">
        <v>0</v>
      </c>
      <c r="BH35" s="434">
        <v>0</v>
      </c>
      <c r="BI35" s="434">
        <v>0</v>
      </c>
      <c r="BJ35" s="434">
        <v>0</v>
      </c>
      <c r="BK35" s="434">
        <v>0</v>
      </c>
      <c r="BL35" s="434">
        <v>0</v>
      </c>
      <c r="BM35" s="435">
        <v>0</v>
      </c>
      <c r="BN35" s="433">
        <v>0</v>
      </c>
      <c r="BO35" s="434">
        <v>1</v>
      </c>
      <c r="BP35" s="435">
        <v>0</v>
      </c>
      <c r="BQ35" s="434">
        <v>0</v>
      </c>
      <c r="BR35" s="434">
        <v>1</v>
      </c>
      <c r="BS35" s="435">
        <v>0</v>
      </c>
      <c r="BT35" s="433">
        <v>0</v>
      </c>
      <c r="BU35" s="434">
        <v>0</v>
      </c>
      <c r="BV35" s="434">
        <v>0</v>
      </c>
      <c r="BW35" s="434">
        <v>0</v>
      </c>
      <c r="BX35" s="434">
        <v>0</v>
      </c>
      <c r="BY35" s="435">
        <v>0</v>
      </c>
      <c r="BZ35" s="433">
        <v>0</v>
      </c>
      <c r="CA35" s="434">
        <v>0</v>
      </c>
      <c r="CB35" s="434">
        <v>0</v>
      </c>
      <c r="CC35" s="434">
        <v>0</v>
      </c>
      <c r="CD35" s="434">
        <v>0</v>
      </c>
      <c r="CE35" s="435">
        <v>0</v>
      </c>
      <c r="CF35" s="433">
        <v>0</v>
      </c>
      <c r="CG35" s="434">
        <v>0</v>
      </c>
      <c r="CH35" s="434">
        <v>0</v>
      </c>
      <c r="CI35" s="434">
        <v>0</v>
      </c>
      <c r="CJ35" s="434">
        <v>0</v>
      </c>
      <c r="CK35" s="435">
        <v>0</v>
      </c>
      <c r="CL35" s="292">
        <f>+ReactMatrix!AO35</f>
        <v>0</v>
      </c>
    </row>
    <row r="36" spans="1:90" ht="13.8" thickBot="1">
      <c r="A36" s="329" t="str">
        <f>+ReactMatrix!A36</f>
        <v>Xi</v>
      </c>
      <c r="B36" s="436">
        <v>0</v>
      </c>
      <c r="C36" s="437">
        <v>0</v>
      </c>
      <c r="D36" s="437">
        <v>0</v>
      </c>
      <c r="E36" s="437">
        <v>0</v>
      </c>
      <c r="F36" s="437">
        <v>0</v>
      </c>
      <c r="G36" s="437">
        <v>0</v>
      </c>
      <c r="H36" s="437">
        <v>0</v>
      </c>
      <c r="I36" s="437">
        <v>0</v>
      </c>
      <c r="J36" s="437">
        <v>0</v>
      </c>
      <c r="K36" s="437">
        <v>0</v>
      </c>
      <c r="L36" s="437">
        <v>0</v>
      </c>
      <c r="M36" s="437">
        <v>0</v>
      </c>
      <c r="N36" s="437">
        <v>0</v>
      </c>
      <c r="O36" s="437">
        <v>0</v>
      </c>
      <c r="P36" s="437">
        <v>0</v>
      </c>
      <c r="Q36" s="438">
        <v>0</v>
      </c>
      <c r="R36" s="437">
        <v>0</v>
      </c>
      <c r="S36" s="437">
        <v>0</v>
      </c>
      <c r="T36" s="437">
        <v>0</v>
      </c>
      <c r="U36" s="437">
        <v>0</v>
      </c>
      <c r="V36" s="437">
        <v>0</v>
      </c>
      <c r="W36" s="437">
        <v>0</v>
      </c>
      <c r="X36" s="437">
        <v>0</v>
      </c>
      <c r="Y36" s="437">
        <v>0</v>
      </c>
      <c r="Z36" s="437">
        <v>0</v>
      </c>
      <c r="AA36" s="437">
        <v>0</v>
      </c>
      <c r="AB36" s="437">
        <v>0</v>
      </c>
      <c r="AC36" s="437">
        <v>0</v>
      </c>
      <c r="AD36" s="437">
        <v>0</v>
      </c>
      <c r="AE36" s="437">
        <v>0</v>
      </c>
      <c r="AF36" s="437">
        <v>0</v>
      </c>
      <c r="AG36" s="438">
        <v>0</v>
      </c>
      <c r="AH36" s="436">
        <v>0</v>
      </c>
      <c r="AI36" s="437">
        <v>0</v>
      </c>
      <c r="AJ36" s="437">
        <v>0</v>
      </c>
      <c r="AK36" s="437">
        <v>0</v>
      </c>
      <c r="AL36" s="437">
        <v>0</v>
      </c>
      <c r="AM36" s="437">
        <v>0</v>
      </c>
      <c r="AN36" s="437">
        <v>0</v>
      </c>
      <c r="AO36" s="437">
        <v>0</v>
      </c>
      <c r="AP36" s="437">
        <v>0</v>
      </c>
      <c r="AQ36" s="437">
        <v>0</v>
      </c>
      <c r="AR36" s="437">
        <v>0</v>
      </c>
      <c r="AS36" s="437">
        <v>0</v>
      </c>
      <c r="AT36" s="437">
        <v>0</v>
      </c>
      <c r="AU36" s="437">
        <v>0</v>
      </c>
      <c r="AV36" s="437">
        <v>0</v>
      </c>
      <c r="AW36" s="438">
        <v>0</v>
      </c>
      <c r="AX36" s="436">
        <v>0</v>
      </c>
      <c r="AY36" s="437">
        <v>0</v>
      </c>
      <c r="AZ36" s="437">
        <v>0</v>
      </c>
      <c r="BA36" s="437">
        <v>0</v>
      </c>
      <c r="BB36" s="437">
        <v>0</v>
      </c>
      <c r="BC36" s="437">
        <v>0</v>
      </c>
      <c r="BD36" s="437">
        <v>0</v>
      </c>
      <c r="BE36" s="437">
        <v>0</v>
      </c>
      <c r="BF36" s="437">
        <v>0</v>
      </c>
      <c r="BG36" s="437">
        <v>0</v>
      </c>
      <c r="BH36" s="437">
        <v>0</v>
      </c>
      <c r="BI36" s="437">
        <v>0</v>
      </c>
      <c r="BJ36" s="437">
        <v>0</v>
      </c>
      <c r="BK36" s="437">
        <v>0</v>
      </c>
      <c r="BL36" s="437">
        <v>0</v>
      </c>
      <c r="BM36" s="438">
        <v>0</v>
      </c>
      <c r="BN36" s="436">
        <v>0</v>
      </c>
      <c r="BO36" s="437">
        <v>0</v>
      </c>
      <c r="BP36" s="438">
        <v>1</v>
      </c>
      <c r="BQ36" s="437">
        <v>0</v>
      </c>
      <c r="BR36" s="437">
        <v>0</v>
      </c>
      <c r="BS36" s="438">
        <v>1</v>
      </c>
      <c r="BT36" s="436">
        <v>0</v>
      </c>
      <c r="BU36" s="437">
        <v>0</v>
      </c>
      <c r="BV36" s="437">
        <v>0</v>
      </c>
      <c r="BW36" s="437">
        <v>0</v>
      </c>
      <c r="BX36" s="437">
        <v>0</v>
      </c>
      <c r="BY36" s="438">
        <v>0</v>
      </c>
      <c r="BZ36" s="436">
        <v>0</v>
      </c>
      <c r="CA36" s="437">
        <v>0</v>
      </c>
      <c r="CB36" s="437">
        <v>0</v>
      </c>
      <c r="CC36" s="437">
        <v>0</v>
      </c>
      <c r="CD36" s="437">
        <v>0</v>
      </c>
      <c r="CE36" s="438">
        <v>0</v>
      </c>
      <c r="CF36" s="436">
        <v>0</v>
      </c>
      <c r="CG36" s="437">
        <v>0</v>
      </c>
      <c r="CH36" s="437">
        <v>0</v>
      </c>
      <c r="CI36" s="437">
        <v>0</v>
      </c>
      <c r="CJ36" s="437">
        <v>0</v>
      </c>
      <c r="CK36" s="438">
        <v>0</v>
      </c>
      <c r="CL36" s="293">
        <f>+ReactMatrix!AO36</f>
        <v>0</v>
      </c>
    </row>
    <row r="37" spans="1:90">
      <c r="A37" s="327" t="str">
        <f>+ReactMatrix!A37</f>
        <v>Gch4</v>
      </c>
      <c r="B37" s="430">
        <v>0</v>
      </c>
      <c r="C37" s="431">
        <v>0</v>
      </c>
      <c r="D37" s="431">
        <v>0</v>
      </c>
      <c r="E37" s="431">
        <v>0</v>
      </c>
      <c r="F37" s="431">
        <v>0</v>
      </c>
      <c r="G37" s="431">
        <v>0</v>
      </c>
      <c r="H37" s="431">
        <v>0</v>
      </c>
      <c r="I37" s="431">
        <v>0</v>
      </c>
      <c r="J37" s="431">
        <v>0</v>
      </c>
      <c r="K37" s="431">
        <v>0</v>
      </c>
      <c r="L37" s="431">
        <v>0</v>
      </c>
      <c r="M37" s="431">
        <v>0</v>
      </c>
      <c r="N37" s="431">
        <v>0</v>
      </c>
      <c r="O37" s="431">
        <v>0</v>
      </c>
      <c r="P37" s="431">
        <v>0</v>
      </c>
      <c r="Q37" s="432">
        <v>0</v>
      </c>
      <c r="R37" s="430">
        <v>0</v>
      </c>
      <c r="S37" s="431">
        <v>0</v>
      </c>
      <c r="T37" s="431">
        <v>0</v>
      </c>
      <c r="U37" s="431">
        <v>0</v>
      </c>
      <c r="V37" s="431">
        <v>0</v>
      </c>
      <c r="W37" s="431">
        <v>0</v>
      </c>
      <c r="X37" s="431">
        <v>0</v>
      </c>
      <c r="Y37" s="431">
        <v>0</v>
      </c>
      <c r="Z37" s="431">
        <v>0</v>
      </c>
      <c r="AA37" s="431">
        <v>0</v>
      </c>
      <c r="AB37" s="431">
        <v>0</v>
      </c>
      <c r="AC37" s="431">
        <v>0</v>
      </c>
      <c r="AD37" s="431">
        <v>0</v>
      </c>
      <c r="AE37" s="431">
        <v>0</v>
      </c>
      <c r="AF37" s="431">
        <v>0</v>
      </c>
      <c r="AG37" s="432">
        <v>0</v>
      </c>
      <c r="AH37" s="430">
        <v>0</v>
      </c>
      <c r="AI37" s="431">
        <v>0</v>
      </c>
      <c r="AJ37" s="431">
        <v>0</v>
      </c>
      <c r="AK37" s="431">
        <v>0</v>
      </c>
      <c r="AL37" s="431">
        <v>0</v>
      </c>
      <c r="AM37" s="431">
        <v>0</v>
      </c>
      <c r="AN37" s="431">
        <v>0</v>
      </c>
      <c r="AO37" s="431">
        <v>0</v>
      </c>
      <c r="AP37" s="431">
        <v>0</v>
      </c>
      <c r="AQ37" s="431">
        <v>0</v>
      </c>
      <c r="AR37" s="431">
        <v>0</v>
      </c>
      <c r="AS37" s="431">
        <v>0</v>
      </c>
      <c r="AT37" s="431">
        <v>0</v>
      </c>
      <c r="AU37" s="431">
        <v>0</v>
      </c>
      <c r="AV37" s="431">
        <v>0</v>
      </c>
      <c r="AW37" s="432">
        <v>0</v>
      </c>
      <c r="AX37" s="430">
        <v>0</v>
      </c>
      <c r="AY37" s="431">
        <v>0</v>
      </c>
      <c r="AZ37" s="431">
        <v>0</v>
      </c>
      <c r="BA37" s="431">
        <v>0</v>
      </c>
      <c r="BB37" s="431">
        <v>0</v>
      </c>
      <c r="BC37" s="431">
        <v>0</v>
      </c>
      <c r="BD37" s="431">
        <v>0</v>
      </c>
      <c r="BE37" s="431">
        <v>0</v>
      </c>
      <c r="BF37" s="431">
        <v>0</v>
      </c>
      <c r="BG37" s="431">
        <v>0</v>
      </c>
      <c r="BH37" s="431">
        <v>0</v>
      </c>
      <c r="BI37" s="431">
        <v>0</v>
      </c>
      <c r="BJ37" s="431">
        <v>0</v>
      </c>
      <c r="BK37" s="431">
        <v>0</v>
      </c>
      <c r="BL37" s="431">
        <v>0</v>
      </c>
      <c r="BM37" s="432">
        <v>0</v>
      </c>
      <c r="BN37" s="430">
        <v>0</v>
      </c>
      <c r="BO37" s="431">
        <v>0</v>
      </c>
      <c r="BP37" s="432">
        <v>0</v>
      </c>
      <c r="BQ37" s="430">
        <v>0</v>
      </c>
      <c r="BR37" s="431">
        <v>0</v>
      </c>
      <c r="BS37" s="432">
        <v>0</v>
      </c>
      <c r="BT37" s="430">
        <v>-1</v>
      </c>
      <c r="BU37" s="431">
        <v>0</v>
      </c>
      <c r="BV37" s="431">
        <v>0</v>
      </c>
      <c r="BW37" s="431">
        <v>0</v>
      </c>
      <c r="BX37" s="431">
        <v>0</v>
      </c>
      <c r="BY37" s="432">
        <v>0</v>
      </c>
      <c r="BZ37" s="430">
        <v>0</v>
      </c>
      <c r="CA37" s="431">
        <v>0</v>
      </c>
      <c r="CB37" s="431">
        <v>0</v>
      </c>
      <c r="CC37" s="431">
        <v>0</v>
      </c>
      <c r="CD37" s="431">
        <v>0</v>
      </c>
      <c r="CE37" s="432">
        <v>0</v>
      </c>
      <c r="CF37" s="431">
        <v>1</v>
      </c>
      <c r="CG37" s="431">
        <v>0</v>
      </c>
      <c r="CH37" s="431">
        <v>0</v>
      </c>
      <c r="CI37" s="431">
        <v>0</v>
      </c>
      <c r="CJ37" s="431">
        <v>0</v>
      </c>
      <c r="CK37" s="432">
        <v>0</v>
      </c>
      <c r="CL37" s="291">
        <f>+ReactMatrix!AO37</f>
        <v>0</v>
      </c>
    </row>
    <row r="38" spans="1:90">
      <c r="A38" s="328" t="str">
        <f>+ReactMatrix!A38</f>
        <v>Gco2</v>
      </c>
      <c r="B38" s="433">
        <v>0</v>
      </c>
      <c r="C38" s="434">
        <v>0</v>
      </c>
      <c r="D38" s="434">
        <v>0</v>
      </c>
      <c r="E38" s="434">
        <v>0</v>
      </c>
      <c r="F38" s="434">
        <v>0</v>
      </c>
      <c r="G38" s="434">
        <v>0</v>
      </c>
      <c r="H38" s="434">
        <v>0</v>
      </c>
      <c r="I38" s="434">
        <v>0</v>
      </c>
      <c r="J38" s="434">
        <v>0</v>
      </c>
      <c r="K38" s="434">
        <v>0</v>
      </c>
      <c r="L38" s="434">
        <v>0</v>
      </c>
      <c r="M38" s="434">
        <v>0</v>
      </c>
      <c r="N38" s="434">
        <v>0</v>
      </c>
      <c r="O38" s="434">
        <v>0</v>
      </c>
      <c r="P38" s="434">
        <v>0</v>
      </c>
      <c r="Q38" s="435">
        <v>0</v>
      </c>
      <c r="R38" s="433">
        <v>0</v>
      </c>
      <c r="S38" s="434">
        <v>0</v>
      </c>
      <c r="T38" s="434">
        <v>0</v>
      </c>
      <c r="U38" s="434">
        <v>0</v>
      </c>
      <c r="V38" s="434">
        <v>0</v>
      </c>
      <c r="W38" s="434">
        <v>0</v>
      </c>
      <c r="X38" s="434">
        <v>0</v>
      </c>
      <c r="Y38" s="434">
        <v>0</v>
      </c>
      <c r="Z38" s="434">
        <v>0</v>
      </c>
      <c r="AA38" s="434">
        <v>0</v>
      </c>
      <c r="AB38" s="434">
        <v>0</v>
      </c>
      <c r="AC38" s="434">
        <v>0</v>
      </c>
      <c r="AD38" s="434">
        <v>0</v>
      </c>
      <c r="AE38" s="434">
        <v>0</v>
      </c>
      <c r="AF38" s="434">
        <v>0</v>
      </c>
      <c r="AG38" s="435">
        <v>0</v>
      </c>
      <c r="AH38" s="433">
        <v>0</v>
      </c>
      <c r="AI38" s="434">
        <v>0</v>
      </c>
      <c r="AJ38" s="434">
        <v>0</v>
      </c>
      <c r="AK38" s="434">
        <v>0</v>
      </c>
      <c r="AL38" s="434">
        <v>0</v>
      </c>
      <c r="AM38" s="434">
        <v>0</v>
      </c>
      <c r="AN38" s="434">
        <v>0</v>
      </c>
      <c r="AO38" s="434">
        <v>0</v>
      </c>
      <c r="AP38" s="434">
        <v>0</v>
      </c>
      <c r="AQ38" s="434">
        <v>0</v>
      </c>
      <c r="AR38" s="434">
        <v>0</v>
      </c>
      <c r="AS38" s="434">
        <v>0</v>
      </c>
      <c r="AT38" s="434">
        <v>0</v>
      </c>
      <c r="AU38" s="434">
        <v>0</v>
      </c>
      <c r="AV38" s="434">
        <v>0</v>
      </c>
      <c r="AW38" s="435">
        <v>0</v>
      </c>
      <c r="AX38" s="433">
        <v>0</v>
      </c>
      <c r="AY38" s="434">
        <v>0</v>
      </c>
      <c r="AZ38" s="434">
        <v>0</v>
      </c>
      <c r="BA38" s="434">
        <v>0</v>
      </c>
      <c r="BB38" s="434">
        <v>0</v>
      </c>
      <c r="BC38" s="434">
        <v>0</v>
      </c>
      <c r="BD38" s="434">
        <v>0</v>
      </c>
      <c r="BE38" s="434">
        <v>0</v>
      </c>
      <c r="BF38" s="434">
        <v>0</v>
      </c>
      <c r="BG38" s="434">
        <v>0</v>
      </c>
      <c r="BH38" s="434">
        <v>0</v>
      </c>
      <c r="BI38" s="434">
        <v>0</v>
      </c>
      <c r="BJ38" s="434">
        <v>0</v>
      </c>
      <c r="BK38" s="434">
        <v>0</v>
      </c>
      <c r="BL38" s="434">
        <v>0</v>
      </c>
      <c r="BM38" s="435">
        <v>0</v>
      </c>
      <c r="BN38" s="433">
        <v>0</v>
      </c>
      <c r="BO38" s="434">
        <v>0</v>
      </c>
      <c r="BP38" s="435">
        <v>0</v>
      </c>
      <c r="BQ38" s="433">
        <v>0</v>
      </c>
      <c r="BR38" s="434">
        <v>0</v>
      </c>
      <c r="BS38" s="435">
        <v>0</v>
      </c>
      <c r="BT38" s="433">
        <v>0</v>
      </c>
      <c r="BU38" s="434">
        <v>-1</v>
      </c>
      <c r="BV38" s="434">
        <v>0</v>
      </c>
      <c r="BW38" s="434">
        <v>0</v>
      </c>
      <c r="BX38" s="434">
        <v>0</v>
      </c>
      <c r="BY38" s="435">
        <v>0</v>
      </c>
      <c r="BZ38" s="433">
        <v>0</v>
      </c>
      <c r="CA38" s="434">
        <v>0</v>
      </c>
      <c r="CB38" s="434">
        <v>0</v>
      </c>
      <c r="CC38" s="434">
        <v>0</v>
      </c>
      <c r="CD38" s="434">
        <v>0</v>
      </c>
      <c r="CE38" s="435">
        <v>0</v>
      </c>
      <c r="CF38" s="434">
        <v>0</v>
      </c>
      <c r="CG38" s="434">
        <v>1</v>
      </c>
      <c r="CH38" s="434">
        <v>0</v>
      </c>
      <c r="CI38" s="434">
        <v>0</v>
      </c>
      <c r="CJ38" s="434">
        <v>0</v>
      </c>
      <c r="CK38" s="435">
        <v>0</v>
      </c>
      <c r="CL38" s="292">
        <f>+ReactMatrix!AO38</f>
        <v>0</v>
      </c>
    </row>
    <row r="39" spans="1:90">
      <c r="A39" s="328" t="str">
        <f>+ReactMatrix!A39</f>
        <v>Gh2</v>
      </c>
      <c r="B39" s="433">
        <v>0</v>
      </c>
      <c r="C39" s="434">
        <v>0</v>
      </c>
      <c r="D39" s="434">
        <v>0</v>
      </c>
      <c r="E39" s="434">
        <v>0</v>
      </c>
      <c r="F39" s="434">
        <v>0</v>
      </c>
      <c r="G39" s="434">
        <v>0</v>
      </c>
      <c r="H39" s="434">
        <v>0</v>
      </c>
      <c r="I39" s="434">
        <v>0</v>
      </c>
      <c r="J39" s="434">
        <v>0</v>
      </c>
      <c r="K39" s="434">
        <v>0</v>
      </c>
      <c r="L39" s="434">
        <v>0</v>
      </c>
      <c r="M39" s="434">
        <v>0</v>
      </c>
      <c r="N39" s="434">
        <v>0</v>
      </c>
      <c r="O39" s="434">
        <v>0</v>
      </c>
      <c r="P39" s="434">
        <v>0</v>
      </c>
      <c r="Q39" s="435">
        <v>0</v>
      </c>
      <c r="R39" s="433">
        <v>0</v>
      </c>
      <c r="S39" s="434">
        <v>0</v>
      </c>
      <c r="T39" s="434">
        <v>0</v>
      </c>
      <c r="U39" s="434">
        <v>0</v>
      </c>
      <c r="V39" s="434">
        <v>0</v>
      </c>
      <c r="W39" s="434">
        <v>0</v>
      </c>
      <c r="X39" s="434">
        <v>0</v>
      </c>
      <c r="Y39" s="434">
        <v>0</v>
      </c>
      <c r="Z39" s="434">
        <v>0</v>
      </c>
      <c r="AA39" s="434">
        <v>0</v>
      </c>
      <c r="AB39" s="434">
        <v>0</v>
      </c>
      <c r="AC39" s="434">
        <v>0</v>
      </c>
      <c r="AD39" s="434">
        <v>0</v>
      </c>
      <c r="AE39" s="434">
        <v>0</v>
      </c>
      <c r="AF39" s="434">
        <v>0</v>
      </c>
      <c r="AG39" s="435">
        <v>0</v>
      </c>
      <c r="AH39" s="433">
        <v>0</v>
      </c>
      <c r="AI39" s="434">
        <v>0</v>
      </c>
      <c r="AJ39" s="434">
        <v>0</v>
      </c>
      <c r="AK39" s="434">
        <v>0</v>
      </c>
      <c r="AL39" s="434">
        <v>0</v>
      </c>
      <c r="AM39" s="434">
        <v>0</v>
      </c>
      <c r="AN39" s="434">
        <v>0</v>
      </c>
      <c r="AO39" s="434">
        <v>0</v>
      </c>
      <c r="AP39" s="434">
        <v>0</v>
      </c>
      <c r="AQ39" s="434">
        <v>0</v>
      </c>
      <c r="AR39" s="434">
        <v>0</v>
      </c>
      <c r="AS39" s="434">
        <v>0</v>
      </c>
      <c r="AT39" s="434">
        <v>0</v>
      </c>
      <c r="AU39" s="434">
        <v>0</v>
      </c>
      <c r="AV39" s="434">
        <v>0</v>
      </c>
      <c r="AW39" s="435">
        <v>0</v>
      </c>
      <c r="AX39" s="433">
        <v>0</v>
      </c>
      <c r="AY39" s="434">
        <v>0</v>
      </c>
      <c r="AZ39" s="434">
        <v>0</v>
      </c>
      <c r="BA39" s="434">
        <v>0</v>
      </c>
      <c r="BB39" s="434">
        <v>0</v>
      </c>
      <c r="BC39" s="434">
        <v>0</v>
      </c>
      <c r="BD39" s="434">
        <v>0</v>
      </c>
      <c r="BE39" s="434">
        <v>0</v>
      </c>
      <c r="BF39" s="434">
        <v>0</v>
      </c>
      <c r="BG39" s="434">
        <v>0</v>
      </c>
      <c r="BH39" s="434">
        <v>0</v>
      </c>
      <c r="BI39" s="434">
        <v>0</v>
      </c>
      <c r="BJ39" s="434">
        <v>0</v>
      </c>
      <c r="BK39" s="434">
        <v>0</v>
      </c>
      <c r="BL39" s="434">
        <v>0</v>
      </c>
      <c r="BM39" s="435">
        <v>0</v>
      </c>
      <c r="BN39" s="433">
        <v>0</v>
      </c>
      <c r="BO39" s="434">
        <v>0</v>
      </c>
      <c r="BP39" s="435">
        <v>0</v>
      </c>
      <c r="BQ39" s="433">
        <v>0</v>
      </c>
      <c r="BR39" s="434">
        <v>0</v>
      </c>
      <c r="BS39" s="435">
        <v>0</v>
      </c>
      <c r="BT39" s="433">
        <v>0</v>
      </c>
      <c r="BU39" s="434">
        <v>0</v>
      </c>
      <c r="BV39" s="434">
        <v>-1</v>
      </c>
      <c r="BW39" s="434">
        <v>0</v>
      </c>
      <c r="BX39" s="434">
        <v>0</v>
      </c>
      <c r="BY39" s="435">
        <v>0</v>
      </c>
      <c r="BZ39" s="433">
        <v>0</v>
      </c>
      <c r="CA39" s="434">
        <v>0</v>
      </c>
      <c r="CB39" s="434">
        <v>0</v>
      </c>
      <c r="CC39" s="434">
        <v>0</v>
      </c>
      <c r="CD39" s="434">
        <v>0</v>
      </c>
      <c r="CE39" s="435">
        <v>0</v>
      </c>
      <c r="CF39" s="434">
        <v>0</v>
      </c>
      <c r="CG39" s="434">
        <v>0</v>
      </c>
      <c r="CH39" s="434">
        <v>1</v>
      </c>
      <c r="CI39" s="434">
        <v>0</v>
      </c>
      <c r="CJ39" s="434">
        <v>0</v>
      </c>
      <c r="CK39" s="435">
        <v>0</v>
      </c>
      <c r="CL39" s="292">
        <f>+ReactMatrix!AO39</f>
        <v>0</v>
      </c>
    </row>
    <row r="40" spans="1:90">
      <c r="A40" s="328" t="str">
        <f>+ReactMatrix!A40</f>
        <v>Gn2</v>
      </c>
      <c r="B40" s="433">
        <v>0</v>
      </c>
      <c r="C40" s="434">
        <v>0</v>
      </c>
      <c r="D40" s="434">
        <v>0</v>
      </c>
      <c r="E40" s="434">
        <v>0</v>
      </c>
      <c r="F40" s="434">
        <v>0</v>
      </c>
      <c r="G40" s="434">
        <v>0</v>
      </c>
      <c r="H40" s="434">
        <v>0</v>
      </c>
      <c r="I40" s="434">
        <v>0</v>
      </c>
      <c r="J40" s="434">
        <v>0</v>
      </c>
      <c r="K40" s="434">
        <v>0</v>
      </c>
      <c r="L40" s="434">
        <v>0</v>
      </c>
      <c r="M40" s="434">
        <v>0</v>
      </c>
      <c r="N40" s="434">
        <v>0</v>
      </c>
      <c r="O40" s="434">
        <v>0</v>
      </c>
      <c r="P40" s="434">
        <v>0</v>
      </c>
      <c r="Q40" s="435">
        <v>0</v>
      </c>
      <c r="R40" s="433">
        <v>0</v>
      </c>
      <c r="S40" s="434">
        <v>0</v>
      </c>
      <c r="T40" s="434">
        <v>0</v>
      </c>
      <c r="U40" s="434">
        <v>0</v>
      </c>
      <c r="V40" s="434">
        <v>0</v>
      </c>
      <c r="W40" s="434">
        <v>0</v>
      </c>
      <c r="X40" s="434">
        <v>0</v>
      </c>
      <c r="Y40" s="434">
        <v>0</v>
      </c>
      <c r="Z40" s="434">
        <v>0</v>
      </c>
      <c r="AA40" s="434">
        <v>0</v>
      </c>
      <c r="AB40" s="434">
        <v>0</v>
      </c>
      <c r="AC40" s="434">
        <v>0</v>
      </c>
      <c r="AD40" s="434">
        <v>0</v>
      </c>
      <c r="AE40" s="434">
        <v>0</v>
      </c>
      <c r="AF40" s="434">
        <v>0</v>
      </c>
      <c r="AG40" s="435">
        <v>0</v>
      </c>
      <c r="AH40" s="433">
        <v>0</v>
      </c>
      <c r="AI40" s="434">
        <v>0</v>
      </c>
      <c r="AJ40" s="434">
        <v>0</v>
      </c>
      <c r="AK40" s="434">
        <v>0</v>
      </c>
      <c r="AL40" s="434">
        <v>0</v>
      </c>
      <c r="AM40" s="434">
        <v>0</v>
      </c>
      <c r="AN40" s="434">
        <v>0</v>
      </c>
      <c r="AO40" s="434">
        <v>0</v>
      </c>
      <c r="AP40" s="434">
        <v>0</v>
      </c>
      <c r="AQ40" s="434">
        <v>0</v>
      </c>
      <c r="AR40" s="434">
        <v>0</v>
      </c>
      <c r="AS40" s="434">
        <v>0</v>
      </c>
      <c r="AT40" s="434">
        <v>0</v>
      </c>
      <c r="AU40" s="434">
        <v>0</v>
      </c>
      <c r="AV40" s="434">
        <v>0</v>
      </c>
      <c r="AW40" s="435">
        <v>0</v>
      </c>
      <c r="AX40" s="433">
        <v>0</v>
      </c>
      <c r="AY40" s="434">
        <v>0</v>
      </c>
      <c r="AZ40" s="434">
        <v>0</v>
      </c>
      <c r="BA40" s="434">
        <v>0</v>
      </c>
      <c r="BB40" s="434">
        <v>0</v>
      </c>
      <c r="BC40" s="434">
        <v>0</v>
      </c>
      <c r="BD40" s="434">
        <v>0</v>
      </c>
      <c r="BE40" s="434">
        <v>0</v>
      </c>
      <c r="BF40" s="434">
        <v>0</v>
      </c>
      <c r="BG40" s="434">
        <v>0</v>
      </c>
      <c r="BH40" s="434">
        <v>0</v>
      </c>
      <c r="BI40" s="434">
        <v>0</v>
      </c>
      <c r="BJ40" s="434">
        <v>0</v>
      </c>
      <c r="BK40" s="434">
        <v>0</v>
      </c>
      <c r="BL40" s="434">
        <v>0</v>
      </c>
      <c r="BM40" s="435">
        <v>0</v>
      </c>
      <c r="BN40" s="433">
        <v>0</v>
      </c>
      <c r="BO40" s="434">
        <v>0</v>
      </c>
      <c r="BP40" s="435">
        <v>0</v>
      </c>
      <c r="BQ40" s="433">
        <v>0</v>
      </c>
      <c r="BR40" s="434">
        <v>0</v>
      </c>
      <c r="BS40" s="435">
        <v>0</v>
      </c>
      <c r="BT40" s="433">
        <v>0</v>
      </c>
      <c r="BU40" s="434">
        <v>0</v>
      </c>
      <c r="BV40" s="434">
        <v>0</v>
      </c>
      <c r="BW40" s="434">
        <v>-1</v>
      </c>
      <c r="BX40" s="434">
        <v>0</v>
      </c>
      <c r="BY40" s="435">
        <v>0</v>
      </c>
      <c r="BZ40" s="433">
        <v>0</v>
      </c>
      <c r="CA40" s="434">
        <v>0</v>
      </c>
      <c r="CB40" s="434">
        <v>0</v>
      </c>
      <c r="CC40" s="434">
        <v>0</v>
      </c>
      <c r="CD40" s="434">
        <v>0</v>
      </c>
      <c r="CE40" s="435">
        <v>0</v>
      </c>
      <c r="CF40" s="434">
        <v>0</v>
      </c>
      <c r="CG40" s="434">
        <v>0</v>
      </c>
      <c r="CH40" s="434">
        <v>0</v>
      </c>
      <c r="CI40" s="434">
        <v>1</v>
      </c>
      <c r="CJ40" s="434">
        <v>0</v>
      </c>
      <c r="CK40" s="435">
        <v>0</v>
      </c>
      <c r="CL40" s="292">
        <f>+ReactMatrix!AO40</f>
        <v>0</v>
      </c>
    </row>
    <row r="41" spans="1:90">
      <c r="A41" s="328" t="str">
        <f>+ReactMatrix!A41</f>
        <v>Gsh2</v>
      </c>
      <c r="B41" s="433">
        <v>0</v>
      </c>
      <c r="C41" s="434">
        <v>0</v>
      </c>
      <c r="D41" s="434">
        <v>0</v>
      </c>
      <c r="E41" s="434">
        <v>0</v>
      </c>
      <c r="F41" s="434">
        <v>0</v>
      </c>
      <c r="G41" s="434">
        <v>0</v>
      </c>
      <c r="H41" s="434">
        <v>0</v>
      </c>
      <c r="I41" s="434">
        <v>0</v>
      </c>
      <c r="J41" s="434">
        <v>0</v>
      </c>
      <c r="K41" s="434">
        <v>0</v>
      </c>
      <c r="L41" s="434">
        <v>0</v>
      </c>
      <c r="M41" s="434">
        <v>0</v>
      </c>
      <c r="N41" s="434">
        <v>0</v>
      </c>
      <c r="O41" s="434">
        <v>0</v>
      </c>
      <c r="P41" s="434">
        <v>0</v>
      </c>
      <c r="Q41" s="435">
        <v>0</v>
      </c>
      <c r="R41" s="433">
        <v>0</v>
      </c>
      <c r="S41" s="434">
        <v>0</v>
      </c>
      <c r="T41" s="434">
        <v>0</v>
      </c>
      <c r="U41" s="434">
        <v>0</v>
      </c>
      <c r="V41" s="434">
        <v>0</v>
      </c>
      <c r="W41" s="434">
        <v>0</v>
      </c>
      <c r="X41" s="434">
        <v>0</v>
      </c>
      <c r="Y41" s="434">
        <v>0</v>
      </c>
      <c r="Z41" s="434">
        <v>0</v>
      </c>
      <c r="AA41" s="434">
        <v>0</v>
      </c>
      <c r="AB41" s="434">
        <v>0</v>
      </c>
      <c r="AC41" s="434">
        <v>0</v>
      </c>
      <c r="AD41" s="434">
        <v>0</v>
      </c>
      <c r="AE41" s="434">
        <v>0</v>
      </c>
      <c r="AF41" s="434">
        <v>0</v>
      </c>
      <c r="AG41" s="435">
        <v>0</v>
      </c>
      <c r="AH41" s="433">
        <v>0</v>
      </c>
      <c r="AI41" s="434">
        <v>0</v>
      </c>
      <c r="AJ41" s="434">
        <v>0</v>
      </c>
      <c r="AK41" s="434">
        <v>0</v>
      </c>
      <c r="AL41" s="434">
        <v>0</v>
      </c>
      <c r="AM41" s="434">
        <v>0</v>
      </c>
      <c r="AN41" s="434">
        <v>0</v>
      </c>
      <c r="AO41" s="434">
        <v>0</v>
      </c>
      <c r="AP41" s="434">
        <v>0</v>
      </c>
      <c r="AQ41" s="434">
        <v>0</v>
      </c>
      <c r="AR41" s="434">
        <v>0</v>
      </c>
      <c r="AS41" s="434">
        <v>0</v>
      </c>
      <c r="AT41" s="434">
        <v>0</v>
      </c>
      <c r="AU41" s="434">
        <v>0</v>
      </c>
      <c r="AV41" s="434">
        <v>0</v>
      </c>
      <c r="AW41" s="435">
        <v>0</v>
      </c>
      <c r="AX41" s="433">
        <v>0</v>
      </c>
      <c r="AY41" s="434">
        <v>0</v>
      </c>
      <c r="AZ41" s="434">
        <v>0</v>
      </c>
      <c r="BA41" s="434">
        <v>0</v>
      </c>
      <c r="BB41" s="434">
        <v>0</v>
      </c>
      <c r="BC41" s="434">
        <v>0</v>
      </c>
      <c r="BD41" s="434">
        <v>0</v>
      </c>
      <c r="BE41" s="434">
        <v>0</v>
      </c>
      <c r="BF41" s="434">
        <v>0</v>
      </c>
      <c r="BG41" s="434">
        <v>0</v>
      </c>
      <c r="BH41" s="434">
        <v>0</v>
      </c>
      <c r="BI41" s="434">
        <v>0</v>
      </c>
      <c r="BJ41" s="434">
        <v>0</v>
      </c>
      <c r="BK41" s="434">
        <v>0</v>
      </c>
      <c r="BL41" s="434">
        <v>0</v>
      </c>
      <c r="BM41" s="435">
        <v>0</v>
      </c>
      <c r="BN41" s="433">
        <v>0</v>
      </c>
      <c r="BO41" s="434">
        <v>0</v>
      </c>
      <c r="BP41" s="435">
        <v>0</v>
      </c>
      <c r="BQ41" s="433">
        <v>0</v>
      </c>
      <c r="BR41" s="434">
        <v>0</v>
      </c>
      <c r="BS41" s="435">
        <v>0</v>
      </c>
      <c r="BT41" s="433">
        <v>0</v>
      </c>
      <c r="BU41" s="434">
        <v>0</v>
      </c>
      <c r="BV41" s="434">
        <v>0</v>
      </c>
      <c r="BW41" s="434">
        <v>0</v>
      </c>
      <c r="BX41" s="434">
        <v>-1</v>
      </c>
      <c r="BY41" s="435">
        <v>0</v>
      </c>
      <c r="BZ41" s="433">
        <v>0</v>
      </c>
      <c r="CA41" s="434">
        <v>0</v>
      </c>
      <c r="CB41" s="434">
        <v>0</v>
      </c>
      <c r="CC41" s="434">
        <v>0</v>
      </c>
      <c r="CD41" s="434">
        <v>0</v>
      </c>
      <c r="CE41" s="435">
        <v>0</v>
      </c>
      <c r="CF41" s="434">
        <v>0</v>
      </c>
      <c r="CG41" s="434">
        <v>0</v>
      </c>
      <c r="CH41" s="434">
        <v>0</v>
      </c>
      <c r="CI41" s="434">
        <v>0</v>
      </c>
      <c r="CJ41" s="434">
        <v>1</v>
      </c>
      <c r="CK41" s="435">
        <v>0</v>
      </c>
      <c r="CL41" s="292">
        <f>+ReactMatrix!AO41</f>
        <v>0</v>
      </c>
    </row>
    <row r="42" spans="1:90" ht="13.8" thickBot="1">
      <c r="A42" s="329" t="str">
        <f>+ReactMatrix!A42</f>
        <v>Go2</v>
      </c>
      <c r="B42" s="436">
        <v>0</v>
      </c>
      <c r="C42" s="437">
        <v>0</v>
      </c>
      <c r="D42" s="437">
        <v>0</v>
      </c>
      <c r="E42" s="437">
        <v>0</v>
      </c>
      <c r="F42" s="437">
        <v>0</v>
      </c>
      <c r="G42" s="437">
        <v>0</v>
      </c>
      <c r="H42" s="437">
        <v>0</v>
      </c>
      <c r="I42" s="437">
        <v>0</v>
      </c>
      <c r="J42" s="437">
        <v>0</v>
      </c>
      <c r="K42" s="437">
        <v>0</v>
      </c>
      <c r="L42" s="437">
        <v>0</v>
      </c>
      <c r="M42" s="437">
        <v>0</v>
      </c>
      <c r="N42" s="437">
        <v>0</v>
      </c>
      <c r="O42" s="437">
        <v>0</v>
      </c>
      <c r="P42" s="437">
        <v>0</v>
      </c>
      <c r="Q42" s="438">
        <v>0</v>
      </c>
      <c r="R42" s="436">
        <v>0</v>
      </c>
      <c r="S42" s="437">
        <v>0</v>
      </c>
      <c r="T42" s="437">
        <v>0</v>
      </c>
      <c r="U42" s="437">
        <v>0</v>
      </c>
      <c r="V42" s="437">
        <v>0</v>
      </c>
      <c r="W42" s="437">
        <v>0</v>
      </c>
      <c r="X42" s="437">
        <v>0</v>
      </c>
      <c r="Y42" s="437">
        <v>0</v>
      </c>
      <c r="Z42" s="437">
        <v>0</v>
      </c>
      <c r="AA42" s="437">
        <v>0</v>
      </c>
      <c r="AB42" s="437">
        <v>0</v>
      </c>
      <c r="AC42" s="437">
        <v>0</v>
      </c>
      <c r="AD42" s="437">
        <v>0</v>
      </c>
      <c r="AE42" s="437">
        <v>0</v>
      </c>
      <c r="AF42" s="437">
        <v>0</v>
      </c>
      <c r="AG42" s="438">
        <v>0</v>
      </c>
      <c r="AH42" s="436">
        <v>0</v>
      </c>
      <c r="AI42" s="437">
        <v>0</v>
      </c>
      <c r="AJ42" s="437">
        <v>0</v>
      </c>
      <c r="AK42" s="437">
        <v>0</v>
      </c>
      <c r="AL42" s="437">
        <v>0</v>
      </c>
      <c r="AM42" s="437">
        <v>0</v>
      </c>
      <c r="AN42" s="437">
        <v>0</v>
      </c>
      <c r="AO42" s="437">
        <v>0</v>
      </c>
      <c r="AP42" s="437">
        <v>0</v>
      </c>
      <c r="AQ42" s="437">
        <v>0</v>
      </c>
      <c r="AR42" s="437">
        <v>0</v>
      </c>
      <c r="AS42" s="437">
        <v>0</v>
      </c>
      <c r="AT42" s="437">
        <v>0</v>
      </c>
      <c r="AU42" s="437">
        <v>0</v>
      </c>
      <c r="AV42" s="437">
        <v>0</v>
      </c>
      <c r="AW42" s="438">
        <v>0</v>
      </c>
      <c r="AX42" s="436">
        <v>0</v>
      </c>
      <c r="AY42" s="437">
        <v>0</v>
      </c>
      <c r="AZ42" s="437">
        <v>0</v>
      </c>
      <c r="BA42" s="437">
        <v>0</v>
      </c>
      <c r="BB42" s="437">
        <v>0</v>
      </c>
      <c r="BC42" s="437">
        <v>0</v>
      </c>
      <c r="BD42" s="437">
        <v>0</v>
      </c>
      <c r="BE42" s="437">
        <v>0</v>
      </c>
      <c r="BF42" s="437">
        <v>0</v>
      </c>
      <c r="BG42" s="437">
        <v>0</v>
      </c>
      <c r="BH42" s="437">
        <v>0</v>
      </c>
      <c r="BI42" s="437">
        <v>0</v>
      </c>
      <c r="BJ42" s="437">
        <v>0</v>
      </c>
      <c r="BK42" s="437">
        <v>0</v>
      </c>
      <c r="BL42" s="437">
        <v>0</v>
      </c>
      <c r="BM42" s="438">
        <v>0</v>
      </c>
      <c r="BN42" s="436">
        <v>0</v>
      </c>
      <c r="BO42" s="437">
        <v>0</v>
      </c>
      <c r="BP42" s="438">
        <v>0</v>
      </c>
      <c r="BQ42" s="436">
        <v>0</v>
      </c>
      <c r="BR42" s="437">
        <v>0</v>
      </c>
      <c r="BS42" s="438">
        <v>0</v>
      </c>
      <c r="BT42" s="436">
        <v>0</v>
      </c>
      <c r="BU42" s="437">
        <v>0</v>
      </c>
      <c r="BV42" s="437">
        <v>0</v>
      </c>
      <c r="BW42" s="437">
        <v>0</v>
      </c>
      <c r="BX42" s="437">
        <v>0</v>
      </c>
      <c r="BY42" s="438">
        <v>-1</v>
      </c>
      <c r="BZ42" s="436">
        <v>0</v>
      </c>
      <c r="CA42" s="437">
        <v>0</v>
      </c>
      <c r="CB42" s="437">
        <v>0</v>
      </c>
      <c r="CC42" s="437">
        <v>0</v>
      </c>
      <c r="CD42" s="437">
        <v>0</v>
      </c>
      <c r="CE42" s="438">
        <v>0</v>
      </c>
      <c r="CF42" s="437">
        <v>0</v>
      </c>
      <c r="CG42" s="437">
        <v>0</v>
      </c>
      <c r="CH42" s="437">
        <v>0</v>
      </c>
      <c r="CI42" s="437">
        <v>0</v>
      </c>
      <c r="CJ42" s="437">
        <v>0</v>
      </c>
      <c r="CK42" s="438">
        <v>1</v>
      </c>
      <c r="CL42" s="292">
        <f>+ReactMatrix!AO42</f>
        <v>0</v>
      </c>
    </row>
    <row r="43" spans="1:90">
      <c r="A43" s="398" t="str">
        <f>+ReactMatrix!A43</f>
        <v>H2O</v>
      </c>
      <c r="B43" s="433">
        <v>0</v>
      </c>
      <c r="C43" s="434">
        <v>0</v>
      </c>
      <c r="D43" s="434">
        <v>0</v>
      </c>
      <c r="E43" s="434">
        <v>0</v>
      </c>
      <c r="F43" s="434">
        <v>0</v>
      </c>
      <c r="G43" s="434">
        <v>0</v>
      </c>
      <c r="H43" s="434">
        <v>0</v>
      </c>
      <c r="I43" s="434">
        <v>0</v>
      </c>
      <c r="J43" s="434">
        <v>0</v>
      </c>
      <c r="K43" s="434">
        <v>0</v>
      </c>
      <c r="L43" s="434">
        <v>0</v>
      </c>
      <c r="M43" s="434">
        <v>0</v>
      </c>
      <c r="N43" s="434">
        <v>0</v>
      </c>
      <c r="O43" s="434">
        <v>0</v>
      </c>
      <c r="P43" s="434">
        <v>0</v>
      </c>
      <c r="Q43" s="435">
        <v>0</v>
      </c>
      <c r="R43" s="434">
        <v>0</v>
      </c>
      <c r="S43" s="434">
        <v>0</v>
      </c>
      <c r="T43" s="434">
        <v>0</v>
      </c>
      <c r="U43" s="434">
        <v>0</v>
      </c>
      <c r="V43" s="434">
        <v>0</v>
      </c>
      <c r="W43" s="434">
        <v>0</v>
      </c>
      <c r="X43" s="434">
        <v>0</v>
      </c>
      <c r="Y43" s="434">
        <v>0</v>
      </c>
      <c r="Z43" s="434">
        <v>0</v>
      </c>
      <c r="AA43" s="434">
        <v>0</v>
      </c>
      <c r="AB43" s="434">
        <v>0</v>
      </c>
      <c r="AC43" s="434">
        <v>0</v>
      </c>
      <c r="AD43" s="434">
        <v>0</v>
      </c>
      <c r="AE43" s="434">
        <v>0</v>
      </c>
      <c r="AF43" s="434">
        <v>0</v>
      </c>
      <c r="AG43" s="435">
        <v>0</v>
      </c>
      <c r="AH43" s="433">
        <v>0</v>
      </c>
      <c r="AI43" s="434">
        <v>0</v>
      </c>
      <c r="AJ43" s="434">
        <v>0</v>
      </c>
      <c r="AK43" s="434">
        <v>0</v>
      </c>
      <c r="AL43" s="434">
        <v>0</v>
      </c>
      <c r="AM43" s="434">
        <v>0</v>
      </c>
      <c r="AN43" s="434">
        <v>0</v>
      </c>
      <c r="AO43" s="434">
        <v>0</v>
      </c>
      <c r="AP43" s="434">
        <v>0</v>
      </c>
      <c r="AQ43" s="434">
        <v>0</v>
      </c>
      <c r="AR43" s="434">
        <v>0</v>
      </c>
      <c r="AS43" s="434">
        <v>0</v>
      </c>
      <c r="AT43" s="434">
        <v>0</v>
      </c>
      <c r="AU43" s="434">
        <v>0</v>
      </c>
      <c r="AV43" s="434">
        <v>0</v>
      </c>
      <c r="AW43" s="435">
        <v>0</v>
      </c>
      <c r="AX43" s="433">
        <v>0</v>
      </c>
      <c r="AY43" s="434">
        <v>0</v>
      </c>
      <c r="AZ43" s="434">
        <v>0</v>
      </c>
      <c r="BA43" s="434">
        <v>0</v>
      </c>
      <c r="BB43" s="434">
        <v>0</v>
      </c>
      <c r="BC43" s="434">
        <v>0</v>
      </c>
      <c r="BD43" s="434">
        <v>0</v>
      </c>
      <c r="BE43" s="434">
        <v>0</v>
      </c>
      <c r="BF43" s="434">
        <v>0</v>
      </c>
      <c r="BG43" s="434">
        <v>0</v>
      </c>
      <c r="BH43" s="434">
        <v>0</v>
      </c>
      <c r="BI43" s="434">
        <v>0</v>
      </c>
      <c r="BJ43" s="434">
        <v>0</v>
      </c>
      <c r="BK43" s="434">
        <v>0</v>
      </c>
      <c r="BL43" s="434">
        <v>0</v>
      </c>
      <c r="BM43" s="435">
        <v>0</v>
      </c>
      <c r="BN43" s="433">
        <v>0</v>
      </c>
      <c r="BO43" s="434">
        <v>0</v>
      </c>
      <c r="BP43" s="435">
        <v>0</v>
      </c>
      <c r="BQ43" s="434">
        <v>0</v>
      </c>
      <c r="BR43" s="434">
        <v>0</v>
      </c>
      <c r="BS43" s="435">
        <v>0</v>
      </c>
      <c r="BT43" s="433">
        <v>0</v>
      </c>
      <c r="BU43" s="434">
        <v>0</v>
      </c>
      <c r="BV43" s="434">
        <v>0</v>
      </c>
      <c r="BW43" s="434">
        <v>0</v>
      </c>
      <c r="BX43" s="434">
        <v>0</v>
      </c>
      <c r="BY43" s="435">
        <v>0</v>
      </c>
      <c r="BZ43" s="433">
        <v>0</v>
      </c>
      <c r="CA43" s="434">
        <v>0</v>
      </c>
      <c r="CB43" s="434">
        <v>0</v>
      </c>
      <c r="CC43" s="434">
        <v>0</v>
      </c>
      <c r="CD43" s="434">
        <v>0</v>
      </c>
      <c r="CE43" s="435">
        <v>0</v>
      </c>
      <c r="CF43" s="433">
        <v>0</v>
      </c>
      <c r="CG43" s="434">
        <v>0</v>
      </c>
      <c r="CH43" s="434">
        <v>0</v>
      </c>
      <c r="CI43" s="434">
        <v>0</v>
      </c>
      <c r="CJ43" s="434">
        <v>0</v>
      </c>
      <c r="CK43" s="435">
        <v>0</v>
      </c>
      <c r="CL43" s="291">
        <f>+ReactMatrix!AO43</f>
        <v>0</v>
      </c>
    </row>
    <row r="44" spans="1:90" ht="13.8" thickBot="1">
      <c r="A44" s="399" t="str">
        <f>+ReactMatrix!A44</f>
        <v>H+</v>
      </c>
      <c r="B44" s="436">
        <v>0</v>
      </c>
      <c r="C44" s="437">
        <v>0</v>
      </c>
      <c r="D44" s="437">
        <v>0</v>
      </c>
      <c r="E44" s="437">
        <v>0</v>
      </c>
      <c r="F44" s="437">
        <v>0</v>
      </c>
      <c r="G44" s="437">
        <v>0</v>
      </c>
      <c r="H44" s="437">
        <v>0</v>
      </c>
      <c r="I44" s="437">
        <v>0</v>
      </c>
      <c r="J44" s="437">
        <v>0</v>
      </c>
      <c r="K44" s="437">
        <v>0</v>
      </c>
      <c r="L44" s="437">
        <v>0</v>
      </c>
      <c r="M44" s="437">
        <v>0</v>
      </c>
      <c r="N44" s="437">
        <v>0</v>
      </c>
      <c r="O44" s="437">
        <v>0</v>
      </c>
      <c r="P44" s="437">
        <v>0</v>
      </c>
      <c r="Q44" s="438">
        <v>0</v>
      </c>
      <c r="R44" s="437">
        <v>0</v>
      </c>
      <c r="S44" s="437">
        <v>0</v>
      </c>
      <c r="T44" s="437">
        <v>0</v>
      </c>
      <c r="U44" s="437">
        <v>0</v>
      </c>
      <c r="V44" s="437">
        <v>0</v>
      </c>
      <c r="W44" s="437">
        <v>0</v>
      </c>
      <c r="X44" s="437">
        <v>0</v>
      </c>
      <c r="Y44" s="437">
        <v>0</v>
      </c>
      <c r="Z44" s="437">
        <v>0</v>
      </c>
      <c r="AA44" s="437">
        <v>0</v>
      </c>
      <c r="AB44" s="437">
        <v>0</v>
      </c>
      <c r="AC44" s="437">
        <v>0</v>
      </c>
      <c r="AD44" s="437">
        <v>0</v>
      </c>
      <c r="AE44" s="437">
        <v>0</v>
      </c>
      <c r="AF44" s="437">
        <v>0</v>
      </c>
      <c r="AG44" s="438">
        <v>0</v>
      </c>
      <c r="AH44" s="436">
        <v>0</v>
      </c>
      <c r="AI44" s="437">
        <v>0</v>
      </c>
      <c r="AJ44" s="437">
        <v>0</v>
      </c>
      <c r="AK44" s="437">
        <v>0</v>
      </c>
      <c r="AL44" s="437">
        <v>0</v>
      </c>
      <c r="AM44" s="437">
        <v>0</v>
      </c>
      <c r="AN44" s="437">
        <v>0</v>
      </c>
      <c r="AO44" s="437">
        <v>0</v>
      </c>
      <c r="AP44" s="437">
        <v>0</v>
      </c>
      <c r="AQ44" s="437">
        <v>0</v>
      </c>
      <c r="AR44" s="437">
        <v>0</v>
      </c>
      <c r="AS44" s="437">
        <v>0</v>
      </c>
      <c r="AT44" s="437">
        <v>0</v>
      </c>
      <c r="AU44" s="437">
        <v>0</v>
      </c>
      <c r="AV44" s="437">
        <v>0</v>
      </c>
      <c r="AW44" s="438">
        <v>0</v>
      </c>
      <c r="AX44" s="436">
        <v>0</v>
      </c>
      <c r="AY44" s="437">
        <v>0</v>
      </c>
      <c r="AZ44" s="437">
        <v>0</v>
      </c>
      <c r="BA44" s="437">
        <v>0</v>
      </c>
      <c r="BB44" s="437">
        <v>0</v>
      </c>
      <c r="BC44" s="437">
        <v>0</v>
      </c>
      <c r="BD44" s="437">
        <v>0</v>
      </c>
      <c r="BE44" s="437">
        <v>0</v>
      </c>
      <c r="BF44" s="437">
        <v>0</v>
      </c>
      <c r="BG44" s="437">
        <v>0</v>
      </c>
      <c r="BH44" s="437">
        <v>0</v>
      </c>
      <c r="BI44" s="437">
        <v>0</v>
      </c>
      <c r="BJ44" s="437">
        <v>0</v>
      </c>
      <c r="BK44" s="437">
        <v>0</v>
      </c>
      <c r="BL44" s="437">
        <v>0</v>
      </c>
      <c r="BM44" s="438">
        <v>0</v>
      </c>
      <c r="BN44" s="436">
        <v>0</v>
      </c>
      <c r="BO44" s="437">
        <v>0</v>
      </c>
      <c r="BP44" s="438">
        <v>0</v>
      </c>
      <c r="BQ44" s="437">
        <v>0</v>
      </c>
      <c r="BR44" s="437">
        <v>0</v>
      </c>
      <c r="BS44" s="438">
        <v>0</v>
      </c>
      <c r="BT44" s="436">
        <v>0</v>
      </c>
      <c r="BU44" s="437">
        <v>0</v>
      </c>
      <c r="BV44" s="437">
        <v>0</v>
      </c>
      <c r="BW44" s="437">
        <v>0</v>
      </c>
      <c r="BX44" s="437">
        <v>0</v>
      </c>
      <c r="BY44" s="438">
        <v>0</v>
      </c>
      <c r="BZ44" s="436">
        <v>0</v>
      </c>
      <c r="CA44" s="437">
        <v>0</v>
      </c>
      <c r="CB44" s="437">
        <v>0</v>
      </c>
      <c r="CC44" s="437">
        <v>0</v>
      </c>
      <c r="CD44" s="437">
        <v>0</v>
      </c>
      <c r="CE44" s="438">
        <v>0</v>
      </c>
      <c r="CF44" s="436">
        <v>0</v>
      </c>
      <c r="CG44" s="437">
        <v>0</v>
      </c>
      <c r="CH44" s="437">
        <v>0</v>
      </c>
      <c r="CI44" s="437">
        <v>0</v>
      </c>
      <c r="CJ44" s="437">
        <v>0</v>
      </c>
      <c r="CK44" s="438">
        <v>0</v>
      </c>
      <c r="CL44" s="293">
        <f>+ReactMatrix!AO44</f>
        <v>0</v>
      </c>
    </row>
  </sheetData>
  <phoneticPr fontId="3" type="noConversion"/>
  <conditionalFormatting sqref="B2:CK42">
    <cfRule type="cellIs" dxfId="57" priority="5" stopIfTrue="1" operator="notBetween">
      <formula>-0.0001</formula>
      <formula>0.0001</formula>
    </cfRule>
  </conditionalFormatting>
  <conditionalFormatting sqref="CL2:CL10">
    <cfRule type="cellIs" dxfId="56" priority="4" stopIfTrue="1" operator="notEqual">
      <formula>0</formula>
    </cfRule>
  </conditionalFormatting>
  <conditionalFormatting sqref="CL11:CL42">
    <cfRule type="cellIs" dxfId="55" priority="3" stopIfTrue="1" operator="notEqual">
      <formula>0</formula>
    </cfRule>
  </conditionalFormatting>
  <conditionalFormatting sqref="CL43:CL44">
    <cfRule type="cellIs" dxfId="54" priority="1" stopIfTrue="1" operator="notEqual">
      <formula>0</formula>
    </cfRule>
  </conditionalFormatting>
  <conditionalFormatting sqref="B43:CK44">
    <cfRule type="cellIs" dxfId="53" priority="2" stopIfTrue="1" operator="notBetween">
      <formula>-0.0001</formula>
      <formula>0.0001</formula>
    </cfRule>
  </conditionalFormatting>
  <pageMargins left="0.75" right="0.75" top="1" bottom="1" header="0" footer="0"/>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AO44"/>
  <sheetViews>
    <sheetView topLeftCell="U1" workbookViewId="0">
      <selection activeCell="AO2" sqref="AO2:AO44"/>
    </sheetView>
  </sheetViews>
  <sheetFormatPr defaultColWidth="11.44140625" defaultRowHeight="13.2"/>
  <cols>
    <col min="1" max="1" width="9.5546875" style="186" bestFit="1" customWidth="1"/>
    <col min="2" max="17" width="7.6640625" style="187" customWidth="1"/>
    <col min="18" max="18" width="9" style="187" bestFit="1" customWidth="1"/>
    <col min="19" max="22" width="7.6640625" style="187" customWidth="1"/>
    <col min="23" max="40" width="6.6640625" style="187" customWidth="1"/>
    <col min="41" max="16384" width="11.44140625" style="187"/>
  </cols>
  <sheetData>
    <row r="1" spans="1:41" s="186" customFormat="1" ht="13.8" thickBot="1">
      <c r="A1" s="185"/>
      <c r="B1" s="186" t="s">
        <v>428</v>
      </c>
      <c r="C1" s="186" t="s">
        <v>429</v>
      </c>
      <c r="D1" s="186" t="s">
        <v>455</v>
      </c>
      <c r="E1" s="186" t="s">
        <v>456</v>
      </c>
      <c r="F1" s="186" t="s">
        <v>430</v>
      </c>
      <c r="G1" s="186" t="s">
        <v>431</v>
      </c>
      <c r="H1" s="186" t="s">
        <v>446</v>
      </c>
      <c r="I1" s="186" t="s">
        <v>447</v>
      </c>
      <c r="J1" s="186" t="s">
        <v>782</v>
      </c>
      <c r="K1" s="186" t="s">
        <v>432</v>
      </c>
      <c r="L1" s="186" t="s">
        <v>783</v>
      </c>
      <c r="M1" s="186" t="s">
        <v>433</v>
      </c>
      <c r="N1" s="186" t="s">
        <v>434</v>
      </c>
      <c r="O1" s="186" t="s">
        <v>435</v>
      </c>
      <c r="P1" s="186" t="s">
        <v>436</v>
      </c>
      <c r="Q1" s="186" t="s">
        <v>437</v>
      </c>
      <c r="R1" s="186" t="s">
        <v>784</v>
      </c>
      <c r="S1" s="186" t="s">
        <v>438</v>
      </c>
      <c r="T1" s="186" t="s">
        <v>439</v>
      </c>
      <c r="U1" s="186" t="s">
        <v>440</v>
      </c>
      <c r="V1" s="186" t="s">
        <v>441</v>
      </c>
      <c r="W1" s="330" t="s">
        <v>763</v>
      </c>
      <c r="X1" s="186" t="s">
        <v>457</v>
      </c>
      <c r="Y1" s="186" t="s">
        <v>458</v>
      </c>
      <c r="Z1" s="186" t="s">
        <v>801</v>
      </c>
      <c r="AA1" s="186" t="s">
        <v>459</v>
      </c>
      <c r="AB1" s="186" t="s">
        <v>460</v>
      </c>
      <c r="AC1" s="186" t="s">
        <v>786</v>
      </c>
      <c r="AD1" s="186" t="s">
        <v>461</v>
      </c>
      <c r="AE1" s="186" t="s">
        <v>462</v>
      </c>
      <c r="AF1" s="186" t="s">
        <v>463</v>
      </c>
      <c r="AG1" s="186" t="s">
        <v>464</v>
      </c>
      <c r="AH1" s="186" t="s">
        <v>465</v>
      </c>
      <c r="AI1" s="186" t="s">
        <v>466</v>
      </c>
      <c r="AJ1" s="186" t="s">
        <v>467</v>
      </c>
      <c r="AK1" s="186" t="s">
        <v>468</v>
      </c>
      <c r="AL1" s="186" t="s">
        <v>469</v>
      </c>
      <c r="AM1" s="186" t="s">
        <v>470</v>
      </c>
      <c r="AN1" s="330" t="s">
        <v>442</v>
      </c>
      <c r="AO1" s="330" t="s">
        <v>822</v>
      </c>
    </row>
    <row r="2" spans="1:41">
      <c r="A2" s="327" t="str">
        <f>+States!A1</f>
        <v>Sglu</v>
      </c>
      <c r="B2" s="224">
        <f>+'Phytoplankton Model'!Y4</f>
        <v>0</v>
      </c>
      <c r="C2" s="225">
        <f>+'Microbial Model'!$Z4</f>
        <v>-1</v>
      </c>
      <c r="D2" s="225">
        <f>+'Microbial Model'!$AK4</f>
        <v>-1</v>
      </c>
      <c r="E2" s="225">
        <f>+'Microbial Model'!$AV4</f>
        <v>0</v>
      </c>
      <c r="F2" s="225">
        <f>+'Microbial Model'!$BG4</f>
        <v>0</v>
      </c>
      <c r="G2" s="225">
        <f>+'Microbial Model'!$BR4</f>
        <v>0</v>
      </c>
      <c r="H2" s="225">
        <f>+'Microbial Model'!$CC4</f>
        <v>-1</v>
      </c>
      <c r="I2" s="225">
        <f>+'Microbial Model'!$CN4</f>
        <v>0</v>
      </c>
      <c r="J2" s="225">
        <f>+'Microbial Model'!$CY4</f>
        <v>0</v>
      </c>
      <c r="K2" s="225">
        <f>+'Microbial Model'!$DJ4</f>
        <v>0</v>
      </c>
      <c r="L2" s="225">
        <f>+'Microbial Model'!$DU4</f>
        <v>0</v>
      </c>
      <c r="M2" s="225">
        <f>+'Microbial Model'!$EF4</f>
        <v>0</v>
      </c>
      <c r="N2" s="225">
        <f>+'Microbial Model'!$EQ4</f>
        <v>0</v>
      </c>
      <c r="O2" s="225">
        <f>+'Microbial Model'!$FB4</f>
        <v>0</v>
      </c>
      <c r="P2" s="225">
        <f>+'Microbial Model'!$FM4</f>
        <v>0</v>
      </c>
      <c r="Q2" s="225">
        <f>+'Microbial Model'!$FX4</f>
        <v>0</v>
      </c>
      <c r="R2" s="225">
        <f>+'Microbial Model'!$GI4</f>
        <v>0</v>
      </c>
      <c r="S2" s="225">
        <f>+'Microbial Model'!$GT4</f>
        <v>0</v>
      </c>
      <c r="T2" s="225">
        <f>+'Microbial Model'!$HE4</f>
        <v>0</v>
      </c>
      <c r="U2" s="225">
        <f>+'Microbial Model'!$HP4</f>
        <v>0</v>
      </c>
      <c r="V2" s="226">
        <f>+'Microbial Model'!$IA4</f>
        <v>0</v>
      </c>
      <c r="W2" s="226">
        <f>+'Microbial Model'!ID4</f>
        <v>0</v>
      </c>
      <c r="X2" s="224">
        <f>+'Microbial Model'!$IH4</f>
        <v>3.9166666666666662E-2</v>
      </c>
      <c r="Y2" s="225">
        <v>0</v>
      </c>
      <c r="Z2" s="225">
        <v>0</v>
      </c>
      <c r="AA2" s="225">
        <v>0</v>
      </c>
      <c r="AB2" s="225">
        <v>0</v>
      </c>
      <c r="AC2" s="225">
        <v>0</v>
      </c>
      <c r="AD2" s="225">
        <v>0</v>
      </c>
      <c r="AE2" s="225">
        <v>0</v>
      </c>
      <c r="AF2" s="225">
        <v>0</v>
      </c>
      <c r="AG2" s="225">
        <v>0</v>
      </c>
      <c r="AH2" s="225">
        <v>0</v>
      </c>
      <c r="AI2" s="225">
        <v>0</v>
      </c>
      <c r="AJ2" s="225">
        <v>0</v>
      </c>
      <c r="AK2" s="225">
        <v>0</v>
      </c>
      <c r="AL2" s="225">
        <v>0</v>
      </c>
      <c r="AM2" s="225">
        <v>0</v>
      </c>
      <c r="AN2" s="224">
        <f>+(1-$AN$36)*'Microbial Model'!$IF4</f>
        <v>0.1275</v>
      </c>
      <c r="AO2" s="427">
        <v>0</v>
      </c>
    </row>
    <row r="3" spans="1:41">
      <c r="A3" s="328" t="str">
        <f>+States!A2</f>
        <v>Sac</v>
      </c>
      <c r="B3" s="227">
        <f>+'Phytoplankton Model'!Y5</f>
        <v>0</v>
      </c>
      <c r="C3" s="223">
        <f>+'Microbial Model'!$Z5</f>
        <v>1.7999999999999998</v>
      </c>
      <c r="D3" s="223">
        <f>+'Microbial Model'!$AK5</f>
        <v>0</v>
      </c>
      <c r="E3" s="223">
        <f>+'Microbial Model'!$AV5</f>
        <v>-1</v>
      </c>
      <c r="F3" s="223">
        <f>+'Microbial Model'!$BG5</f>
        <v>0</v>
      </c>
      <c r="G3" s="223">
        <f>+'Microbial Model'!$BR5</f>
        <v>0</v>
      </c>
      <c r="H3" s="223">
        <f>+'Microbial Model'!$CC5</f>
        <v>0</v>
      </c>
      <c r="I3" s="223">
        <f>+'Microbial Model'!$CN5</f>
        <v>-1</v>
      </c>
      <c r="J3" s="223">
        <f>+'Microbial Model'!$CY5</f>
        <v>-0.10237510347602015</v>
      </c>
      <c r="K3" s="223">
        <f>+'Microbial Model'!$DJ5</f>
        <v>-1</v>
      </c>
      <c r="L3" s="223">
        <f>+'Microbial Model'!$DU5</f>
        <v>-9.9354202146312645E-3</v>
      </c>
      <c r="M3" s="223">
        <f>+'Microbial Model'!$EF5</f>
        <v>0</v>
      </c>
      <c r="N3" s="223">
        <f>+'Microbial Model'!$EQ5</f>
        <v>0</v>
      </c>
      <c r="O3" s="223">
        <f>+'Microbial Model'!$FB5</f>
        <v>-1.2127764435424975E-2</v>
      </c>
      <c r="P3" s="223">
        <f>+'Microbial Model'!$FM5</f>
        <v>-5.259045981321063E-3</v>
      </c>
      <c r="Q3" s="223">
        <f>+'Microbial Model'!$FX5</f>
        <v>-1</v>
      </c>
      <c r="R3" s="223">
        <f>+'Microbial Model'!$GI5</f>
        <v>-0.104024295981874</v>
      </c>
      <c r="S3" s="223">
        <f>+'Microbial Model'!$GT5</f>
        <v>-1</v>
      </c>
      <c r="T3" s="223">
        <f>+'Microbial Model'!$HE5</f>
        <v>0</v>
      </c>
      <c r="U3" s="223">
        <f>+'Microbial Model'!$HP5</f>
        <v>0</v>
      </c>
      <c r="V3" s="228">
        <f>+'Microbial Model'!$IA5</f>
        <v>0</v>
      </c>
      <c r="W3" s="228">
        <f>+'Microbial Model'!ID5</f>
        <v>0</v>
      </c>
      <c r="X3" s="227">
        <f>+'Microbial Model'!$IH5</f>
        <v>0</v>
      </c>
      <c r="Y3" s="223">
        <v>0</v>
      </c>
      <c r="Z3" s="223">
        <v>0</v>
      </c>
      <c r="AA3" s="223">
        <v>0</v>
      </c>
      <c r="AB3" s="223">
        <v>0</v>
      </c>
      <c r="AC3" s="223">
        <v>0</v>
      </c>
      <c r="AD3" s="223">
        <v>0</v>
      </c>
      <c r="AE3" s="223">
        <v>0</v>
      </c>
      <c r="AF3" s="223">
        <v>0</v>
      </c>
      <c r="AG3" s="223">
        <v>0</v>
      </c>
      <c r="AH3" s="223">
        <v>0</v>
      </c>
      <c r="AI3" s="223">
        <v>0</v>
      </c>
      <c r="AJ3" s="223">
        <v>0</v>
      </c>
      <c r="AK3" s="223">
        <v>0</v>
      </c>
      <c r="AL3" s="223">
        <v>0</v>
      </c>
      <c r="AM3" s="223">
        <v>0</v>
      </c>
      <c r="AN3" s="227">
        <f>+(1-$AN$36)*'Microbial Model'!$IF5</f>
        <v>0</v>
      </c>
      <c r="AO3" s="428">
        <v>1</v>
      </c>
    </row>
    <row r="4" spans="1:41">
      <c r="A4" s="328" t="str">
        <f>+States!A3</f>
        <v>Sch4</v>
      </c>
      <c r="B4" s="227">
        <f>+'Phytoplankton Model'!Y6</f>
        <v>0</v>
      </c>
      <c r="C4" s="223">
        <f>+'Microbial Model'!$Z6</f>
        <v>0</v>
      </c>
      <c r="D4" s="223">
        <f>+'Microbial Model'!$AK6</f>
        <v>0</v>
      </c>
      <c r="E4" s="223">
        <f>+'Microbial Model'!$AV6</f>
        <v>0</v>
      </c>
      <c r="F4" s="223">
        <f>+'Microbial Model'!$BG6</f>
        <v>0</v>
      </c>
      <c r="G4" s="223">
        <f>+'Microbial Model'!$BR6</f>
        <v>0</v>
      </c>
      <c r="H4" s="223">
        <f>+'Microbial Model'!$CC6</f>
        <v>0</v>
      </c>
      <c r="I4" s="223">
        <f>+'Microbial Model'!$CN6</f>
        <v>0</v>
      </c>
      <c r="J4" s="223">
        <f>+'Microbial Model'!$CY6</f>
        <v>0</v>
      </c>
      <c r="K4" s="223">
        <f>+'Microbial Model'!$DJ6</f>
        <v>0</v>
      </c>
      <c r="L4" s="223">
        <f>+'Microbial Model'!$DU6</f>
        <v>0</v>
      </c>
      <c r="M4" s="223">
        <f>+'Microbial Model'!$EF6</f>
        <v>0</v>
      </c>
      <c r="N4" s="223">
        <f>+'Microbial Model'!$EQ6</f>
        <v>0</v>
      </c>
      <c r="O4" s="223">
        <f>+'Microbial Model'!$FB6</f>
        <v>0</v>
      </c>
      <c r="P4" s="223">
        <f>+'Microbial Model'!$FM6</f>
        <v>0</v>
      </c>
      <c r="Q4" s="223">
        <f>+'Microbial Model'!$FX6</f>
        <v>0</v>
      </c>
      <c r="R4" s="223">
        <f>+'Microbial Model'!$GI6</f>
        <v>0</v>
      </c>
      <c r="S4" s="223">
        <f>+'Microbial Model'!$GT6</f>
        <v>0.94750000000000001</v>
      </c>
      <c r="T4" s="223">
        <f>+'Microbial Model'!$HE6</f>
        <v>0.23425000000000001</v>
      </c>
      <c r="U4" s="223">
        <f>+'Microbial Model'!$HP6</f>
        <v>-1</v>
      </c>
      <c r="V4" s="228">
        <f>+'Microbial Model'!$IA6</f>
        <v>-1</v>
      </c>
      <c r="W4" s="228">
        <f>+'Microbial Model'!ID6</f>
        <v>0</v>
      </c>
      <c r="X4" s="227">
        <f>+'Microbial Model'!$IH6</f>
        <v>0</v>
      </c>
      <c r="Y4" s="223">
        <v>0</v>
      </c>
      <c r="Z4" s="223">
        <v>0</v>
      </c>
      <c r="AA4" s="223">
        <v>0</v>
      </c>
      <c r="AB4" s="223">
        <v>0</v>
      </c>
      <c r="AC4" s="223">
        <v>0</v>
      </c>
      <c r="AD4" s="223">
        <v>0</v>
      </c>
      <c r="AE4" s="223">
        <v>0</v>
      </c>
      <c r="AF4" s="223">
        <v>0</v>
      </c>
      <c r="AG4" s="223">
        <v>0</v>
      </c>
      <c r="AH4" s="223">
        <v>0</v>
      </c>
      <c r="AI4" s="223">
        <v>0</v>
      </c>
      <c r="AJ4" s="223">
        <v>0</v>
      </c>
      <c r="AK4" s="223">
        <v>0</v>
      </c>
      <c r="AL4" s="223">
        <v>0</v>
      </c>
      <c r="AM4" s="223">
        <v>0</v>
      </c>
      <c r="AN4" s="227">
        <f>+(1-$AN$36)*'Microbial Model'!$IF6</f>
        <v>0</v>
      </c>
      <c r="AO4" s="428">
        <v>0</v>
      </c>
    </row>
    <row r="5" spans="1:41">
      <c r="A5" s="328" t="str">
        <f>+States!A4</f>
        <v>Sic</v>
      </c>
      <c r="B5" s="227">
        <f>+'Phytoplankton Model'!Y7</f>
        <v>-1</v>
      </c>
      <c r="C5" s="223">
        <f>+'Microbial Model'!$Z7</f>
        <v>1.7999999999999998</v>
      </c>
      <c r="D5" s="223">
        <f>+'Microbial Model'!$AK7</f>
        <v>2.0933774363145909</v>
      </c>
      <c r="E5" s="390">
        <f>+'Microbial Model'!$AV7</f>
        <v>1.0781118988395217</v>
      </c>
      <c r="F5" s="223">
        <f>+'Microbial Model'!$BG7</f>
        <v>-7.2794774775357188E-2</v>
      </c>
      <c r="G5" s="223">
        <f>+'Microbial Model'!$BR7</f>
        <v>-2.1487798659852262E-2</v>
      </c>
      <c r="H5" s="223">
        <f>+'Microbial Model'!$CC7</f>
        <v>2.5034315144678656</v>
      </c>
      <c r="I5" s="223">
        <f>+'Microbial Model'!$CN7</f>
        <v>1.1809991721918387</v>
      </c>
      <c r="J5" s="223">
        <f>+'Microbial Model'!$CY7</f>
        <v>0</v>
      </c>
      <c r="K5" s="223">
        <f>+'Microbial Model'!$DJ7</f>
        <v>1.9205166382829499</v>
      </c>
      <c r="L5" s="223">
        <f>+'Microbial Model'!$DU7</f>
        <v>0</v>
      </c>
      <c r="M5" s="223">
        <f>+'Microbial Model'!$EF7</f>
        <v>-0.56331509802276736</v>
      </c>
      <c r="N5" s="223">
        <f>+'Microbial Model'!$EQ7</f>
        <v>-0.50056602170578135</v>
      </c>
      <c r="O5" s="223">
        <f>+'Microbial Model'!$FB7</f>
        <v>0</v>
      </c>
      <c r="P5" s="223">
        <f>+'Microbial Model'!$FM7</f>
        <v>0</v>
      </c>
      <c r="Q5" s="223">
        <f>+'Microbial Model'!$FX7</f>
        <v>1.1678056321450079</v>
      </c>
      <c r="R5" s="223">
        <f>+'Microbial Model'!$GI7</f>
        <v>0</v>
      </c>
      <c r="S5" s="223">
        <f>+'Microbial Model'!$GT7</f>
        <v>0.95250000000000001</v>
      </c>
      <c r="T5" s="223">
        <f>+'Microbial Model'!$HE7</f>
        <v>-0.26424999999999998</v>
      </c>
      <c r="U5" s="223">
        <f>+'Microbial Model'!$HP7</f>
        <v>0.46311234409020807</v>
      </c>
      <c r="V5" s="228">
        <f>+'Microbial Model'!$IA7</f>
        <v>0.97480697420544316</v>
      </c>
      <c r="W5" s="228">
        <f>+'Microbial Model'!ID7</f>
        <v>0</v>
      </c>
      <c r="X5" s="227">
        <f>+'Microbial Model'!$IH7</f>
        <v>0</v>
      </c>
      <c r="Y5" s="223">
        <v>0</v>
      </c>
      <c r="Z5" s="223">
        <v>0</v>
      </c>
      <c r="AA5" s="223">
        <v>0</v>
      </c>
      <c r="AB5" s="223">
        <v>0</v>
      </c>
      <c r="AC5" s="223">
        <v>0</v>
      </c>
      <c r="AD5" s="223">
        <v>0</v>
      </c>
      <c r="AE5" s="223">
        <v>0</v>
      </c>
      <c r="AF5" s="223">
        <v>0</v>
      </c>
      <c r="AG5" s="223">
        <v>0</v>
      </c>
      <c r="AH5" s="223">
        <v>0</v>
      </c>
      <c r="AI5" s="223">
        <v>0</v>
      </c>
      <c r="AJ5" s="223">
        <v>0</v>
      </c>
      <c r="AK5" s="223">
        <v>0</v>
      </c>
      <c r="AL5" s="223">
        <v>0</v>
      </c>
      <c r="AM5" s="223">
        <v>0</v>
      </c>
      <c r="AN5" s="227">
        <f>+(1-$AN$36)*'Microbial Model'!$IF7</f>
        <v>0</v>
      </c>
      <c r="AO5" s="428">
        <v>-1</v>
      </c>
    </row>
    <row r="6" spans="1:41">
      <c r="A6" s="328" t="str">
        <f>+States!A5</f>
        <v>Sh2</v>
      </c>
      <c r="B6" s="227">
        <f>+'Phytoplankton Model'!Y8</f>
        <v>0</v>
      </c>
      <c r="C6" s="223">
        <f>+'Microbial Model'!$Z8</f>
        <v>3.54</v>
      </c>
      <c r="D6" s="223">
        <f>+'Microbial Model'!$AK8</f>
        <v>0</v>
      </c>
      <c r="E6" s="223">
        <f>+'Microbial Model'!$AV8</f>
        <v>0</v>
      </c>
      <c r="F6" s="223">
        <f>+'Microbial Model'!$BG8</f>
        <v>0</v>
      </c>
      <c r="G6" s="223">
        <f>+'Microbial Model'!$BR8</f>
        <v>0</v>
      </c>
      <c r="H6" s="223">
        <f>+'Microbial Model'!$CC8</f>
        <v>0</v>
      </c>
      <c r="I6" s="223">
        <f>+'Microbial Model'!$CN8</f>
        <v>0</v>
      </c>
      <c r="J6" s="223">
        <f>+'Microbial Model'!$CY8</f>
        <v>-1</v>
      </c>
      <c r="K6" s="223">
        <f>+'Microbial Model'!$DJ8</f>
        <v>0</v>
      </c>
      <c r="L6" s="223">
        <f>+'Microbial Model'!$DU8</f>
        <v>-1</v>
      </c>
      <c r="M6" s="223">
        <f>+'Microbial Model'!$EF8</f>
        <v>0</v>
      </c>
      <c r="N6" s="223">
        <f>+'Microbial Model'!$EQ8</f>
        <v>0</v>
      </c>
      <c r="O6" s="223">
        <f>+'Microbial Model'!$FB8</f>
        <v>0</v>
      </c>
      <c r="P6" s="223">
        <f>+'Microbial Model'!$FM8</f>
        <v>0</v>
      </c>
      <c r="Q6" s="223">
        <f>+'Microbial Model'!$FX8</f>
        <v>0</v>
      </c>
      <c r="R6" s="223">
        <f>+'Microbial Model'!$GI8</f>
        <v>-1</v>
      </c>
      <c r="S6" s="223">
        <f>+'Microbial Model'!$GT8</f>
        <v>0</v>
      </c>
      <c r="T6" s="223">
        <f>+'Microbial Model'!$HE8</f>
        <v>-1</v>
      </c>
      <c r="U6" s="223">
        <f>+'Microbial Model'!$HP8</f>
        <v>0</v>
      </c>
      <c r="V6" s="228">
        <f>+'Microbial Model'!$IA8</f>
        <v>0</v>
      </c>
      <c r="W6" s="228">
        <f>+'Microbial Model'!ID8</f>
        <v>0</v>
      </c>
      <c r="X6" s="227">
        <f>+'Microbial Model'!$IH8</f>
        <v>2.35E-2</v>
      </c>
      <c r="Y6" s="223">
        <v>0</v>
      </c>
      <c r="Z6" s="223">
        <v>0</v>
      </c>
      <c r="AA6" s="223">
        <v>0</v>
      </c>
      <c r="AB6" s="223">
        <v>0</v>
      </c>
      <c r="AC6" s="223">
        <v>0</v>
      </c>
      <c r="AD6" s="223">
        <v>0</v>
      </c>
      <c r="AE6" s="223">
        <v>0</v>
      </c>
      <c r="AF6" s="223">
        <v>0</v>
      </c>
      <c r="AG6" s="223">
        <v>0</v>
      </c>
      <c r="AH6" s="223">
        <v>0</v>
      </c>
      <c r="AI6" s="223">
        <v>0</v>
      </c>
      <c r="AJ6" s="223">
        <v>0</v>
      </c>
      <c r="AK6" s="223">
        <v>0</v>
      </c>
      <c r="AL6" s="223">
        <v>0</v>
      </c>
      <c r="AM6" s="223">
        <v>0</v>
      </c>
      <c r="AN6" s="227">
        <f>+(1-$AN$36)*'Microbial Model'!$IF8</f>
        <v>7.6500000000000012E-2</v>
      </c>
      <c r="AO6" s="428">
        <v>0</v>
      </c>
    </row>
    <row r="7" spans="1:41">
      <c r="A7" s="328" t="str">
        <f>+States!A6</f>
        <v>Samn</v>
      </c>
      <c r="B7" s="227">
        <f>+'Phytoplankton Model'!Y9</f>
        <v>-0.153</v>
      </c>
      <c r="C7" s="223">
        <f>+'Microbial Model'!$Z9</f>
        <v>-0.12</v>
      </c>
      <c r="D7" s="223">
        <f>+'Microbial Model'!$AK9</f>
        <v>-0.78132451273708181</v>
      </c>
      <c r="E7" s="223">
        <f>+'Microbial Model'!$AV9</f>
        <v>-0.18437762023209564</v>
      </c>
      <c r="F7" s="223">
        <f>+'Microbial Model'!$BG9</f>
        <v>-1</v>
      </c>
      <c r="G7" s="223">
        <f>+'Microbial Model'!$BR9</f>
        <v>0</v>
      </c>
      <c r="H7" s="223">
        <f>+'Microbial Model'!$CC9</f>
        <v>0</v>
      </c>
      <c r="I7" s="223">
        <f>+'Microbial Model'!$CN9</f>
        <v>0</v>
      </c>
      <c r="J7" s="223">
        <f>+'Microbial Model'!$CY9</f>
        <v>0</v>
      </c>
      <c r="K7" s="223">
        <f>+'Microbial Model'!$DJ9</f>
        <v>-1.5896672343410023E-2</v>
      </c>
      <c r="L7" s="223">
        <f>+'Microbial Model'!$DU9</f>
        <v>-3.9741680858525058E-3</v>
      </c>
      <c r="M7" s="223">
        <f>+'Microbial Model'!$EF9</f>
        <v>-0.11266301960455349</v>
      </c>
      <c r="N7" s="223">
        <f>+'Microbial Model'!$EQ9</f>
        <v>0</v>
      </c>
      <c r="O7" s="223">
        <f>+'Microbial Model'!$FB9</f>
        <v>0</v>
      </c>
      <c r="P7" s="223">
        <f>+'Microbial Model'!$FM9</f>
        <v>0</v>
      </c>
      <c r="Q7" s="223">
        <f>+'Microbial Model'!$FX9</f>
        <v>-0.1664388735709984</v>
      </c>
      <c r="R7" s="223">
        <f>+'Microbial Model'!$GI9</f>
        <v>-4.1609718392749601E-2</v>
      </c>
      <c r="S7" s="223">
        <f>+'Microbial Model'!$GT9</f>
        <v>-0.02</v>
      </c>
      <c r="T7" s="223">
        <f>+'Microbial Model'!$HE9</f>
        <v>-6.0000000000000001E-3</v>
      </c>
      <c r="U7" s="223">
        <f>+'Microbial Model'!$HP9</f>
        <v>-0.10737753118195838</v>
      </c>
      <c r="V7" s="228">
        <f>+'Microbial Model'!$IA9</f>
        <v>-5.0386051589113795E-3</v>
      </c>
      <c r="W7" s="228">
        <f>+'Microbial Model'!ID9</f>
        <v>0</v>
      </c>
      <c r="X7" s="227">
        <f>+'Microbial Model'!$IH9</f>
        <v>0</v>
      </c>
      <c r="Y7" s="223">
        <v>0</v>
      </c>
      <c r="Z7" s="223">
        <v>0</v>
      </c>
      <c r="AA7" s="223">
        <v>0</v>
      </c>
      <c r="AB7" s="223">
        <v>0</v>
      </c>
      <c r="AC7" s="223">
        <v>0</v>
      </c>
      <c r="AD7" s="223">
        <v>0</v>
      </c>
      <c r="AE7" s="223">
        <v>0</v>
      </c>
      <c r="AF7" s="223">
        <v>0</v>
      </c>
      <c r="AG7" s="223">
        <v>0</v>
      </c>
      <c r="AH7" s="223">
        <v>0</v>
      </c>
      <c r="AI7" s="223">
        <v>0</v>
      </c>
      <c r="AJ7" s="223">
        <v>0</v>
      </c>
      <c r="AK7" s="223">
        <v>0</v>
      </c>
      <c r="AL7" s="223">
        <v>0</v>
      </c>
      <c r="AM7" s="223">
        <v>0</v>
      </c>
      <c r="AN7" s="227">
        <f>+(1-$AN$36)*'Microbial Model'!$IF9</f>
        <v>0.117045</v>
      </c>
      <c r="AO7" s="428">
        <v>0</v>
      </c>
    </row>
    <row r="8" spans="1:41">
      <c r="A8" s="328" t="str">
        <f>+States!A7</f>
        <v>Sno2</v>
      </c>
      <c r="B8" s="227">
        <f>+'Phytoplankton Model'!Y10</f>
        <v>0</v>
      </c>
      <c r="C8" s="223">
        <f>+'Microbial Model'!$Z10</f>
        <v>0</v>
      </c>
      <c r="D8" s="223">
        <f>+'Microbial Model'!$AK10</f>
        <v>0</v>
      </c>
      <c r="E8" s="223">
        <f>+'Microbial Model'!$AV10</f>
        <v>0</v>
      </c>
      <c r="F8" s="223">
        <f>+'Microbial Model'!$BG10</f>
        <v>0.98544104504492847</v>
      </c>
      <c r="G8" s="223">
        <f>+'Microbial Model'!$BR10</f>
        <v>-1</v>
      </c>
      <c r="H8" s="223">
        <f>+'Microbial Model'!$CC10</f>
        <v>0</v>
      </c>
      <c r="I8" s="223">
        <f>+'Microbial Model'!$CN10</f>
        <v>0</v>
      </c>
      <c r="J8" s="223">
        <f>+'Microbial Model'!$CY10</f>
        <v>0</v>
      </c>
      <c r="K8" s="223">
        <f>+'Microbial Model'!$DJ10</f>
        <v>0</v>
      </c>
      <c r="L8" s="223">
        <f>+'Microbial Model'!$DU10</f>
        <v>0</v>
      </c>
      <c r="M8" s="223">
        <f>+'Microbial Model'!$EF10</f>
        <v>0</v>
      </c>
      <c r="N8" s="223">
        <f>+'Microbial Model'!$EQ10</f>
        <v>0</v>
      </c>
      <c r="O8" s="223">
        <f>+'Microbial Model'!$FB10</f>
        <v>0</v>
      </c>
      <c r="P8" s="223">
        <f>+'Microbial Model'!$FM10</f>
        <v>0</v>
      </c>
      <c r="Q8" s="223">
        <f>+'Microbial Model'!$FX10</f>
        <v>0</v>
      </c>
      <c r="R8" s="223">
        <f>+'Microbial Model'!$GI10</f>
        <v>0</v>
      </c>
      <c r="S8" s="223">
        <f>+'Microbial Model'!$GT10</f>
        <v>0</v>
      </c>
      <c r="T8" s="223">
        <f>+'Microbial Model'!$HE10</f>
        <v>0</v>
      </c>
      <c r="U8" s="223">
        <f>+'Microbial Model'!$HP10</f>
        <v>0</v>
      </c>
      <c r="V8" s="228">
        <f>+'Microbial Model'!$IA10</f>
        <v>0</v>
      </c>
      <c r="W8" s="228">
        <f>+'Microbial Model'!ID10</f>
        <v>0</v>
      </c>
      <c r="X8" s="227">
        <f>+'Microbial Model'!$IH10</f>
        <v>0</v>
      </c>
      <c r="Y8" s="223">
        <v>0</v>
      </c>
      <c r="Z8" s="223">
        <v>0</v>
      </c>
      <c r="AA8" s="223">
        <v>0</v>
      </c>
      <c r="AB8" s="223">
        <v>0</v>
      </c>
      <c r="AC8" s="223">
        <v>0</v>
      </c>
      <c r="AD8" s="223">
        <v>0</v>
      </c>
      <c r="AE8" s="223">
        <v>0</v>
      </c>
      <c r="AF8" s="223">
        <v>0</v>
      </c>
      <c r="AG8" s="223">
        <v>0</v>
      </c>
      <c r="AH8" s="223">
        <v>0</v>
      </c>
      <c r="AI8" s="223">
        <v>0</v>
      </c>
      <c r="AJ8" s="223">
        <v>0</v>
      </c>
      <c r="AK8" s="223">
        <v>0</v>
      </c>
      <c r="AL8" s="223">
        <v>0</v>
      </c>
      <c r="AM8" s="223">
        <v>0</v>
      </c>
      <c r="AN8" s="227">
        <f>+(1-$AN$36)*'Microbial Model'!$IF10</f>
        <v>0</v>
      </c>
      <c r="AO8" s="428">
        <v>1</v>
      </c>
    </row>
    <row r="9" spans="1:41">
      <c r="A9" s="328" t="str">
        <f>+States!A8</f>
        <v>Sno3</v>
      </c>
      <c r="B9" s="227">
        <f>+'Phytoplankton Model'!Y11</f>
        <v>0</v>
      </c>
      <c r="C9" s="223">
        <f>+'Microbial Model'!$Z11</f>
        <v>0</v>
      </c>
      <c r="D9" s="223">
        <f>+'Microbial Model'!$AK11</f>
        <v>0</v>
      </c>
      <c r="E9" s="223">
        <f>+'Microbial Model'!$AV11</f>
        <v>0</v>
      </c>
      <c r="F9" s="223">
        <f>+'Microbial Model'!$BG11</f>
        <v>0</v>
      </c>
      <c r="G9" s="223">
        <f>+'Microbial Model'!$BR11</f>
        <v>0.99570244026802968</v>
      </c>
      <c r="H9" s="223">
        <f>+'Microbial Model'!$CC11</f>
        <v>-1.4432942538891511</v>
      </c>
      <c r="I9" s="223">
        <f>+'Microbial Model'!$CN11</f>
        <v>-0.81375920530416535</v>
      </c>
      <c r="J9" s="223">
        <f>+'Microbial Model'!$CY11</f>
        <v>-0.36723996688767357</v>
      </c>
      <c r="K9" s="223">
        <f>+'Microbial Model'!$DJ11</f>
        <v>0</v>
      </c>
      <c r="L9" s="223">
        <f>+'Microbial Model'!$DU11</f>
        <v>0</v>
      </c>
      <c r="M9" s="223">
        <f>+'Microbial Model'!$EF11</f>
        <v>0</v>
      </c>
      <c r="N9" s="223">
        <f>+'Microbial Model'!$EQ11</f>
        <v>-1.11945661916245</v>
      </c>
      <c r="O9" s="223">
        <f>+'Microbial Model'!$FB11</f>
        <v>-4.8511057741699899E-3</v>
      </c>
      <c r="P9" s="223">
        <f>+'Microbial Model'!$FM11</f>
        <v>-0.19831710528597726</v>
      </c>
      <c r="Q9" s="223">
        <f>+'Microbial Model'!$FX11</f>
        <v>0</v>
      </c>
      <c r="R9" s="223">
        <f>+'Microbial Model'!$GI11</f>
        <v>0</v>
      </c>
      <c r="S9" s="223">
        <f>+'Microbial Model'!$GT11</f>
        <v>0</v>
      </c>
      <c r="T9" s="223">
        <f>+'Microbial Model'!$HE11</f>
        <v>0</v>
      </c>
      <c r="U9" s="223">
        <f>+'Microbial Model'!$HP11</f>
        <v>0</v>
      </c>
      <c r="V9" s="228">
        <f>+'Microbial Model'!$IA11</f>
        <v>0</v>
      </c>
      <c r="W9" s="228">
        <f>+'Microbial Model'!ID11</f>
        <v>0</v>
      </c>
      <c r="X9" s="227">
        <f>+'Microbial Model'!$IH11</f>
        <v>0</v>
      </c>
      <c r="Y9" s="223">
        <v>0</v>
      </c>
      <c r="Z9" s="223">
        <v>0</v>
      </c>
      <c r="AA9" s="223">
        <v>0</v>
      </c>
      <c r="AB9" s="223">
        <v>0</v>
      </c>
      <c r="AC9" s="223">
        <v>0</v>
      </c>
      <c r="AD9" s="223">
        <v>0</v>
      </c>
      <c r="AE9" s="223">
        <v>0</v>
      </c>
      <c r="AF9" s="223">
        <v>0</v>
      </c>
      <c r="AG9" s="223">
        <v>0</v>
      </c>
      <c r="AH9" s="223">
        <v>0</v>
      </c>
      <c r="AI9" s="223">
        <v>0</v>
      </c>
      <c r="AJ9" s="223">
        <v>0</v>
      </c>
      <c r="AK9" s="223">
        <v>0</v>
      </c>
      <c r="AL9" s="223">
        <v>0</v>
      </c>
      <c r="AM9" s="223">
        <v>0</v>
      </c>
      <c r="AN9" s="227">
        <f>+(1-$AN$36)*'Microbial Model'!$IF11</f>
        <v>0</v>
      </c>
      <c r="AO9" s="428">
        <v>0</v>
      </c>
    </row>
    <row r="10" spans="1:41">
      <c r="A10" s="328" t="str">
        <f>+States!A9</f>
        <v>Sn2</v>
      </c>
      <c r="B10" s="227">
        <f>+'Phytoplankton Model'!Y12</f>
        <v>0</v>
      </c>
      <c r="C10" s="223">
        <f>+'Microbial Model'!$Z12</f>
        <v>0</v>
      </c>
      <c r="D10" s="223">
        <f>+'Microbial Model'!$AK12</f>
        <v>0</v>
      </c>
      <c r="E10" s="223">
        <f>+'Microbial Model'!$AV12</f>
        <v>0</v>
      </c>
      <c r="F10" s="223">
        <f>+'Microbial Model'!$BG12</f>
        <v>0</v>
      </c>
      <c r="G10" s="223">
        <f>+'Microbial Model'!$BR12</f>
        <v>0</v>
      </c>
      <c r="H10" s="223">
        <f>+'Microbial Model'!$CC12</f>
        <v>0.37199027839136201</v>
      </c>
      <c r="I10" s="223">
        <f>+'Microbial Model'!$CN12</f>
        <v>0.32497951987126655</v>
      </c>
      <c r="J10" s="223">
        <f>+'Microbial Model'!$CY12</f>
        <v>0.16314496274863277</v>
      </c>
      <c r="K10" s="223">
        <f>+'Microbial Model'!$DJ12</f>
        <v>0</v>
      </c>
      <c r="L10" s="223">
        <f>+'Microbial Model'!$DU12</f>
        <v>0</v>
      </c>
      <c r="M10" s="223">
        <f>+'Microbial Model'!$EF12</f>
        <v>0</v>
      </c>
      <c r="N10" s="223">
        <f>+'Microbial Model'!$EQ12</f>
        <v>0.50967170741064682</v>
      </c>
      <c r="O10" s="223">
        <f>+'Microbial Model'!$FB12</f>
        <v>0</v>
      </c>
      <c r="P10" s="223">
        <f>+'Microbial Model'!$FM12</f>
        <v>9.8106743446724418E-2</v>
      </c>
      <c r="Q10" s="223">
        <f>+'Microbial Model'!$FX12</f>
        <v>0</v>
      </c>
      <c r="R10" s="223">
        <f>+'Microbial Model'!$GI12</f>
        <v>0</v>
      </c>
      <c r="S10" s="223">
        <f>+'Microbial Model'!$GT12</f>
        <v>0</v>
      </c>
      <c r="T10" s="223">
        <f>+'Microbial Model'!$HE12</f>
        <v>0</v>
      </c>
      <c r="U10" s="223">
        <f>+'Microbial Model'!$HP12</f>
        <v>0</v>
      </c>
      <c r="V10" s="228">
        <f>+'Microbial Model'!$IA12</f>
        <v>0</v>
      </c>
      <c r="W10" s="228">
        <f>+'Microbial Model'!ID12</f>
        <v>0</v>
      </c>
      <c r="X10" s="227">
        <f>+'Microbial Model'!$IH12</f>
        <v>0</v>
      </c>
      <c r="Y10" s="223">
        <v>0</v>
      </c>
      <c r="Z10" s="223">
        <v>0</v>
      </c>
      <c r="AA10" s="223">
        <v>0</v>
      </c>
      <c r="AB10" s="223">
        <v>0</v>
      </c>
      <c r="AC10" s="223">
        <v>0</v>
      </c>
      <c r="AD10" s="223">
        <v>0</v>
      </c>
      <c r="AE10" s="223">
        <v>0</v>
      </c>
      <c r="AF10" s="223">
        <v>0</v>
      </c>
      <c r="AG10" s="223">
        <v>0</v>
      </c>
      <c r="AH10" s="223">
        <v>0</v>
      </c>
      <c r="AI10" s="223">
        <v>0</v>
      </c>
      <c r="AJ10" s="223">
        <v>0</v>
      </c>
      <c r="AK10" s="223">
        <v>0</v>
      </c>
      <c r="AL10" s="223">
        <v>0</v>
      </c>
      <c r="AM10" s="223">
        <v>0</v>
      </c>
      <c r="AN10" s="227">
        <f>+(1-$AN$36)*'Microbial Model'!$IF12</f>
        <v>0</v>
      </c>
      <c r="AO10" s="428">
        <v>0</v>
      </c>
    </row>
    <row r="11" spans="1:41">
      <c r="A11" s="328" t="str">
        <f>+States!A10</f>
        <v>Sh2s</v>
      </c>
      <c r="B11" s="227">
        <f>+'Phytoplankton Model'!Y13</f>
        <v>0</v>
      </c>
      <c r="C11" s="223">
        <f>+'Microbial Model'!$Z13</f>
        <v>0</v>
      </c>
      <c r="D11" s="223">
        <f>+'Microbial Model'!$AK13</f>
        <v>0</v>
      </c>
      <c r="E11" s="223">
        <f>+'Microbial Model'!$AV13</f>
        <v>0</v>
      </c>
      <c r="F11" s="223">
        <f>+'Microbial Model'!$BG13</f>
        <v>0</v>
      </c>
      <c r="G11" s="223">
        <f>+'Microbial Model'!$BR13</f>
        <v>0</v>
      </c>
      <c r="H11" s="223">
        <f>+'Microbial Model'!$CC13</f>
        <v>0</v>
      </c>
      <c r="I11" s="223">
        <f>+'Microbial Model'!$CN13</f>
        <v>0</v>
      </c>
      <c r="J11" s="223">
        <f>+'Microbial Model'!$CY13</f>
        <v>0</v>
      </c>
      <c r="K11" s="223">
        <f>+'Microbial Model'!$DJ13</f>
        <v>0.95827123509854861</v>
      </c>
      <c r="L11" s="223">
        <f>+'Microbial Model'!$DU13</f>
        <v>0.24950322898926844</v>
      </c>
      <c r="M11" s="223">
        <f>+'Microbial Model'!$EF13</f>
        <v>-1</v>
      </c>
      <c r="N11" s="223">
        <f>+'Microbial Model'!$EQ13</f>
        <v>-1</v>
      </c>
      <c r="O11" s="223">
        <f>+'Microbial Model'!$FB13</f>
        <v>0</v>
      </c>
      <c r="P11" s="223">
        <f>+'Microbial Model'!$FM13</f>
        <v>0</v>
      </c>
      <c r="Q11" s="223">
        <f>+'Microbial Model'!$FX13</f>
        <v>0</v>
      </c>
      <c r="R11" s="223">
        <f>+'Microbial Model'!$GI13</f>
        <v>0</v>
      </c>
      <c r="S11" s="223">
        <f>+'Microbial Model'!$GT13</f>
        <v>0</v>
      </c>
      <c r="T11" s="223">
        <f>+'Microbial Model'!$HE13</f>
        <v>0</v>
      </c>
      <c r="U11" s="223">
        <f>+'Microbial Model'!$HP13</f>
        <v>0</v>
      </c>
      <c r="V11" s="228">
        <f>+'Microbial Model'!$IA13</f>
        <v>0.98677366145785772</v>
      </c>
      <c r="W11" s="228">
        <f>+'Microbial Model'!ID13</f>
        <v>0</v>
      </c>
      <c r="X11" s="227">
        <f>+'Microbial Model'!$IH13</f>
        <v>0</v>
      </c>
      <c r="Y11" s="223">
        <v>0</v>
      </c>
      <c r="Z11" s="223">
        <v>0</v>
      </c>
      <c r="AA11" s="223">
        <v>0</v>
      </c>
      <c r="AB11" s="223">
        <v>0</v>
      </c>
      <c r="AC11" s="223">
        <v>0</v>
      </c>
      <c r="AD11" s="223">
        <v>0</v>
      </c>
      <c r="AE11" s="223">
        <v>0</v>
      </c>
      <c r="AF11" s="223">
        <v>0</v>
      </c>
      <c r="AG11" s="223">
        <v>0</v>
      </c>
      <c r="AH11" s="223">
        <v>0</v>
      </c>
      <c r="AI11" s="223">
        <v>0</v>
      </c>
      <c r="AJ11" s="223">
        <v>0</v>
      </c>
      <c r="AK11" s="223">
        <v>0</v>
      </c>
      <c r="AL11" s="223">
        <v>0</v>
      </c>
      <c r="AM11" s="223">
        <v>0</v>
      </c>
      <c r="AN11" s="227">
        <f>+(1-$AN$36)*'Microbial Model'!$IF13</f>
        <v>0</v>
      </c>
      <c r="AO11" s="428">
        <v>0</v>
      </c>
    </row>
    <row r="12" spans="1:41">
      <c r="A12" s="328" t="str">
        <f>+States!A11</f>
        <v>Sso4</v>
      </c>
      <c r="B12" s="227">
        <f>+'Phytoplankton Model'!Y14</f>
        <v>0</v>
      </c>
      <c r="C12" s="223">
        <f>+'Microbial Model'!$Z14</f>
        <v>0</v>
      </c>
      <c r="D12" s="223">
        <f>+'Microbial Model'!$AK14</f>
        <v>0</v>
      </c>
      <c r="E12" s="223">
        <f>+'Microbial Model'!$AV14</f>
        <v>0</v>
      </c>
      <c r="F12" s="223">
        <f>+'Microbial Model'!$BG14</f>
        <v>0</v>
      </c>
      <c r="G12" s="223">
        <f>+'Microbial Model'!$BR14</f>
        <v>0</v>
      </c>
      <c r="H12" s="223">
        <f>+'Microbial Model'!$CC14</f>
        <v>0</v>
      </c>
      <c r="I12" s="223">
        <f>+'Microbial Model'!$CN14</f>
        <v>0</v>
      </c>
      <c r="J12" s="223">
        <f>+'Microbial Model'!$CY14</f>
        <v>0</v>
      </c>
      <c r="K12" s="223">
        <f>+'Microbial Model'!$DJ14</f>
        <v>-0.95827123509854861</v>
      </c>
      <c r="L12" s="223">
        <f>+'Microbial Model'!$DU14</f>
        <v>-0.24950322898926844</v>
      </c>
      <c r="M12" s="223">
        <f>+'Microbial Model'!$EF14</f>
        <v>1</v>
      </c>
      <c r="N12" s="223">
        <f>+'Microbial Model'!$EQ14</f>
        <v>1</v>
      </c>
      <c r="O12" s="223">
        <f>+'Microbial Model'!$FB14</f>
        <v>0</v>
      </c>
      <c r="P12" s="223">
        <f>+'Microbial Model'!$FM14</f>
        <v>0</v>
      </c>
      <c r="Q12" s="223">
        <f>+'Microbial Model'!$FX14</f>
        <v>0</v>
      </c>
      <c r="R12" s="223">
        <f>+'Microbial Model'!$GI14</f>
        <v>0</v>
      </c>
      <c r="S12" s="223">
        <f>+'Microbial Model'!$GT14</f>
        <v>0</v>
      </c>
      <c r="T12" s="223">
        <f>+'Microbial Model'!$HE14</f>
        <v>0</v>
      </c>
      <c r="U12" s="223">
        <f>+'Microbial Model'!$HP14</f>
        <v>0</v>
      </c>
      <c r="V12" s="228">
        <f>+'Microbial Model'!$IA14</f>
        <v>-0.98677366145785772</v>
      </c>
      <c r="W12" s="228">
        <f>+'Microbial Model'!ID14</f>
        <v>0</v>
      </c>
      <c r="X12" s="227">
        <f>+'Microbial Model'!$IH14</f>
        <v>0</v>
      </c>
      <c r="Y12" s="223">
        <v>0</v>
      </c>
      <c r="Z12" s="223">
        <v>0</v>
      </c>
      <c r="AA12" s="223">
        <v>0</v>
      </c>
      <c r="AB12" s="223">
        <v>0</v>
      </c>
      <c r="AC12" s="223">
        <v>0</v>
      </c>
      <c r="AD12" s="223">
        <v>0</v>
      </c>
      <c r="AE12" s="223">
        <v>0</v>
      </c>
      <c r="AF12" s="223">
        <v>0</v>
      </c>
      <c r="AG12" s="223">
        <v>0</v>
      </c>
      <c r="AH12" s="223">
        <v>0</v>
      </c>
      <c r="AI12" s="223">
        <v>0</v>
      </c>
      <c r="AJ12" s="223">
        <v>0</v>
      </c>
      <c r="AK12" s="223">
        <v>0</v>
      </c>
      <c r="AL12" s="223">
        <v>0</v>
      </c>
      <c r="AM12" s="223">
        <v>0</v>
      </c>
      <c r="AN12" s="227">
        <f>+(1-$AN$36)*'Microbial Model'!$IF14</f>
        <v>0</v>
      </c>
      <c r="AO12" s="428">
        <v>1</v>
      </c>
    </row>
    <row r="13" spans="1:41">
      <c r="A13" s="328" t="str">
        <f>+States!A12</f>
        <v>Sfe2</v>
      </c>
      <c r="B13" s="227">
        <f>+'Phytoplankton Model'!Y15</f>
        <v>0</v>
      </c>
      <c r="C13" s="223">
        <f>+'Microbial Model'!$Z15</f>
        <v>0</v>
      </c>
      <c r="D13" s="223">
        <f>+'Microbial Model'!$AK15</f>
        <v>0</v>
      </c>
      <c r="E13" s="223">
        <f>+'Microbial Model'!$AV15</f>
        <v>0</v>
      </c>
      <c r="F13" s="223">
        <f>+'Microbial Model'!$BG15</f>
        <v>0</v>
      </c>
      <c r="G13" s="223">
        <f>+'Microbial Model'!$BR15</f>
        <v>0</v>
      </c>
      <c r="H13" s="223">
        <f>+'Microbial Model'!$CC15</f>
        <v>0</v>
      </c>
      <c r="I13" s="223">
        <f>+'Microbial Model'!$CN15</f>
        <v>0</v>
      </c>
      <c r="J13" s="223">
        <f>+'Microbial Model'!$CY15</f>
        <v>0</v>
      </c>
      <c r="K13" s="223">
        <f>+'Microbial Model'!$DJ15</f>
        <v>0</v>
      </c>
      <c r="L13" s="223">
        <f>+'Microbial Model'!$DU15</f>
        <v>0</v>
      </c>
      <c r="M13" s="223">
        <f>+'Microbial Model'!$EF15</f>
        <v>0</v>
      </c>
      <c r="N13" s="223">
        <f>+'Microbial Model'!$EQ15</f>
        <v>0</v>
      </c>
      <c r="O13" s="223">
        <f>+'Microbial Model'!$FB15</f>
        <v>-1</v>
      </c>
      <c r="P13" s="223">
        <f>+'Microbial Model'!$FM15</f>
        <v>-1</v>
      </c>
      <c r="Q13" s="223">
        <f>+'Microbial Model'!$FX15</f>
        <v>4.5047836550090334</v>
      </c>
      <c r="R13" s="223">
        <f>+'Microbial Model'!$GI15</f>
        <v>1.9583902816072505</v>
      </c>
      <c r="S13" s="223">
        <f>+'Microbial Model'!$GT15</f>
        <v>0</v>
      </c>
      <c r="T13" s="223">
        <f>+'Microbial Model'!$HE15</f>
        <v>0</v>
      </c>
      <c r="U13" s="223">
        <f>+'Microbial Model'!$HP15</f>
        <v>0</v>
      </c>
      <c r="V13" s="228">
        <f>+'Microbial Model'!$IA15</f>
        <v>0</v>
      </c>
      <c r="W13" s="228">
        <f>+'Microbial Model'!ID15</f>
        <v>0</v>
      </c>
      <c r="X13" s="227">
        <f>+'Microbial Model'!$IH15</f>
        <v>0</v>
      </c>
      <c r="Y13" s="223">
        <v>0</v>
      </c>
      <c r="Z13" s="223">
        <v>0</v>
      </c>
      <c r="AA13" s="223">
        <v>0</v>
      </c>
      <c r="AB13" s="223">
        <v>0</v>
      </c>
      <c r="AC13" s="223">
        <v>0</v>
      </c>
      <c r="AD13" s="223">
        <v>0</v>
      </c>
      <c r="AE13" s="223">
        <v>0</v>
      </c>
      <c r="AF13" s="223">
        <v>0</v>
      </c>
      <c r="AG13" s="223">
        <v>0</v>
      </c>
      <c r="AH13" s="223">
        <v>0</v>
      </c>
      <c r="AI13" s="223">
        <v>0</v>
      </c>
      <c r="AJ13" s="223">
        <v>0</v>
      </c>
      <c r="AK13" s="223">
        <v>0</v>
      </c>
      <c r="AL13" s="223">
        <v>0</v>
      </c>
      <c r="AM13" s="223">
        <v>0</v>
      </c>
      <c r="AN13" s="227">
        <f>+(1-$AN$36)*'Microbial Model'!$IF15</f>
        <v>0</v>
      </c>
      <c r="AO13" s="428">
        <v>0</v>
      </c>
    </row>
    <row r="14" spans="1:41">
      <c r="A14" s="328" t="str">
        <f>+States!A13</f>
        <v>Sfe3</v>
      </c>
      <c r="B14" s="227">
        <f>+'Phytoplankton Model'!Y16</f>
        <v>0</v>
      </c>
      <c r="C14" s="223">
        <f>+'Microbial Model'!$Z16</f>
        <v>0</v>
      </c>
      <c r="D14" s="223">
        <f>+'Microbial Model'!$AK16</f>
        <v>0</v>
      </c>
      <c r="E14" s="223">
        <f>+'Microbial Model'!$AV16</f>
        <v>0</v>
      </c>
      <c r="F14" s="223">
        <f>+'Microbial Model'!$BG16</f>
        <v>0</v>
      </c>
      <c r="G14" s="223">
        <f>+'Microbial Model'!$BR16</f>
        <v>0</v>
      </c>
      <c r="H14" s="223">
        <f>+'Microbial Model'!$CC16</f>
        <v>0</v>
      </c>
      <c r="I14" s="223">
        <f>+'Microbial Model'!$CN16</f>
        <v>0</v>
      </c>
      <c r="J14" s="223">
        <f>+'Microbial Model'!$CY16</f>
        <v>0</v>
      </c>
      <c r="K14" s="223">
        <f>+'Microbial Model'!$DJ16</f>
        <v>0</v>
      </c>
      <c r="L14" s="223">
        <f>+'Microbial Model'!$DU16</f>
        <v>0</v>
      </c>
      <c r="M14" s="223">
        <f>+'Microbial Model'!$EF16</f>
        <v>0</v>
      </c>
      <c r="N14" s="223">
        <f>+'Microbial Model'!$EQ16</f>
        <v>0</v>
      </c>
      <c r="O14" s="223">
        <f>+'Microbial Model'!$FB16</f>
        <v>1</v>
      </c>
      <c r="P14" s="223">
        <f>+'Microbial Model'!$FM16</f>
        <v>1</v>
      </c>
      <c r="Q14" s="223">
        <f>+'Microbial Model'!$FX16</f>
        <v>-4.5047836550090334</v>
      </c>
      <c r="R14" s="223">
        <f>+'Microbial Model'!$GI16</f>
        <v>-1.9583902816072505</v>
      </c>
      <c r="S14" s="223">
        <f>+'Microbial Model'!$GT16</f>
        <v>0</v>
      </c>
      <c r="T14" s="223">
        <f>+'Microbial Model'!$HE16</f>
        <v>0</v>
      </c>
      <c r="U14" s="223">
        <f>+'Microbial Model'!$HP16</f>
        <v>0</v>
      </c>
      <c r="V14" s="228">
        <f>+'Microbial Model'!$IA16</f>
        <v>0</v>
      </c>
      <c r="W14" s="228">
        <f>+'Microbial Model'!ID16</f>
        <v>-1</v>
      </c>
      <c r="X14" s="227">
        <f>+'Microbial Model'!$IH16</f>
        <v>0</v>
      </c>
      <c r="Y14" s="223">
        <v>0</v>
      </c>
      <c r="Z14" s="223">
        <v>0</v>
      </c>
      <c r="AA14" s="223">
        <v>0</v>
      </c>
      <c r="AB14" s="223">
        <v>0</v>
      </c>
      <c r="AC14" s="223">
        <v>0</v>
      </c>
      <c r="AD14" s="223">
        <v>0</v>
      </c>
      <c r="AE14" s="223">
        <v>0</v>
      </c>
      <c r="AF14" s="223">
        <v>0</v>
      </c>
      <c r="AG14" s="223">
        <v>0</v>
      </c>
      <c r="AH14" s="223">
        <v>0</v>
      </c>
      <c r="AI14" s="223">
        <v>0</v>
      </c>
      <c r="AJ14" s="223">
        <v>0</v>
      </c>
      <c r="AK14" s="223">
        <v>0</v>
      </c>
      <c r="AL14" s="223">
        <v>0</v>
      </c>
      <c r="AM14" s="223">
        <v>0</v>
      </c>
      <c r="AN14" s="227">
        <f>+(1-$AN$36)*'Microbial Model'!$IF16</f>
        <v>0</v>
      </c>
      <c r="AO14" s="428">
        <v>0</v>
      </c>
    </row>
    <row r="15" spans="1:41">
      <c r="A15" s="328" t="str">
        <f>+States!A14</f>
        <v>So2</v>
      </c>
      <c r="B15" s="227">
        <f>+'Phytoplankton Model'!Y17</f>
        <v>1.05</v>
      </c>
      <c r="C15" s="223">
        <f>+'Microbial Model'!$Z17</f>
        <v>0</v>
      </c>
      <c r="D15" s="223">
        <f>+'Microbial Model'!$AK17</f>
        <v>-1.8980463081303203</v>
      </c>
      <c r="E15" s="223">
        <f>+'Microbial Model'!$AV17</f>
        <v>-1.0320174937814977</v>
      </c>
      <c r="F15" s="223">
        <f>+'Microbial Model'!$BG17</f>
        <v>-1.4017270540532676</v>
      </c>
      <c r="G15" s="223">
        <f>+'Microbial Model'!$BR17</f>
        <v>-0.46884269194321426</v>
      </c>
      <c r="H15" s="223">
        <f>+'Microbial Model'!$CC17</f>
        <v>0</v>
      </c>
      <c r="I15" s="223">
        <f>+'Microbial Model'!$CN17</f>
        <v>0</v>
      </c>
      <c r="J15" s="223">
        <f>+'Microbial Model'!$CY17</f>
        <v>0</v>
      </c>
      <c r="K15" s="223">
        <f>+'Microbial Model'!$DJ17</f>
        <v>0</v>
      </c>
      <c r="L15" s="223">
        <f>+'Microbial Model'!$DU17</f>
        <v>0</v>
      </c>
      <c r="M15" s="223">
        <f>+'Microbial Model'!$EF17</f>
        <v>-1.4085191470760943</v>
      </c>
      <c r="N15" s="223">
        <f>+'Microbial Model'!$EQ17</f>
        <v>0</v>
      </c>
      <c r="O15" s="223">
        <f>+'Microbial Model'!$FB17</f>
        <v>-0.23908501200811755</v>
      </c>
      <c r="P15" s="223">
        <f>+'Microbial Model'!$FM17</f>
        <v>0</v>
      </c>
      <c r="Q15" s="223">
        <f>+'Microbial Model'!$FX17</f>
        <v>0</v>
      </c>
      <c r="R15" s="223">
        <f>+'Microbial Model'!$GI17</f>
        <v>0</v>
      </c>
      <c r="S15" s="223">
        <f>+'Microbial Model'!$GT17</f>
        <v>0</v>
      </c>
      <c r="T15" s="223">
        <f>+'Microbial Model'!$HE17</f>
        <v>0</v>
      </c>
      <c r="U15" s="223">
        <f>+'Microbial Model'!$HP17</f>
        <v>-1.4362679612947185</v>
      </c>
      <c r="V15" s="228">
        <f>+'Microbial Model'!$IA17</f>
        <v>0</v>
      </c>
      <c r="W15" s="228">
        <f>+'Microbial Model'!ID17</f>
        <v>0</v>
      </c>
      <c r="X15" s="227">
        <f>+'Microbial Model'!$IH17</f>
        <v>0</v>
      </c>
      <c r="Y15" s="223">
        <v>0</v>
      </c>
      <c r="Z15" s="223">
        <v>0</v>
      </c>
      <c r="AA15" s="223">
        <v>0</v>
      </c>
      <c r="AB15" s="223">
        <v>0</v>
      </c>
      <c r="AC15" s="223">
        <v>0</v>
      </c>
      <c r="AD15" s="223">
        <v>0</v>
      </c>
      <c r="AE15" s="223">
        <v>0</v>
      </c>
      <c r="AF15" s="223">
        <v>0</v>
      </c>
      <c r="AG15" s="223">
        <v>0</v>
      </c>
      <c r="AH15" s="223">
        <v>0</v>
      </c>
      <c r="AI15" s="223">
        <v>0</v>
      </c>
      <c r="AJ15" s="223">
        <v>0</v>
      </c>
      <c r="AK15" s="223">
        <v>0</v>
      </c>
      <c r="AL15" s="223">
        <v>0</v>
      </c>
      <c r="AM15" s="223">
        <v>0</v>
      </c>
      <c r="AN15" s="227">
        <f>+(1-$AN$36)*'Microbial Model'!$IF17</f>
        <v>0</v>
      </c>
      <c r="AO15" s="428">
        <v>0</v>
      </c>
    </row>
    <row r="16" spans="1:41">
      <c r="A16" s="328" t="str">
        <f>+States!A15</f>
        <v>Scat</v>
      </c>
      <c r="B16" s="227">
        <f>+'Phytoplankton Model'!Y18</f>
        <v>0</v>
      </c>
      <c r="C16" s="223">
        <v>0</v>
      </c>
      <c r="D16" s="223">
        <v>0</v>
      </c>
      <c r="E16" s="223">
        <v>0</v>
      </c>
      <c r="F16" s="223">
        <v>0</v>
      </c>
      <c r="G16" s="223">
        <v>0</v>
      </c>
      <c r="H16" s="223">
        <v>0</v>
      </c>
      <c r="I16" s="223">
        <v>0</v>
      </c>
      <c r="J16" s="223">
        <v>0</v>
      </c>
      <c r="K16" s="223">
        <v>0</v>
      </c>
      <c r="L16" s="223">
        <v>0</v>
      </c>
      <c r="M16" s="223">
        <v>0</v>
      </c>
      <c r="N16" s="223">
        <v>0</v>
      </c>
      <c r="O16" s="223">
        <v>0</v>
      </c>
      <c r="P16" s="223">
        <v>0</v>
      </c>
      <c r="Q16" s="223">
        <v>0</v>
      </c>
      <c r="R16" s="223">
        <v>0</v>
      </c>
      <c r="S16" s="223">
        <v>0</v>
      </c>
      <c r="T16" s="223">
        <v>0</v>
      </c>
      <c r="U16" s="223">
        <v>0</v>
      </c>
      <c r="V16" s="228">
        <v>0</v>
      </c>
      <c r="W16" s="228">
        <v>0</v>
      </c>
      <c r="X16" s="227">
        <f>+'Microbial Model'!$IH17</f>
        <v>0</v>
      </c>
      <c r="Y16" s="223">
        <v>0</v>
      </c>
      <c r="Z16" s="223">
        <v>0</v>
      </c>
      <c r="AA16" s="223">
        <v>0</v>
      </c>
      <c r="AB16" s="223">
        <v>0</v>
      </c>
      <c r="AC16" s="223">
        <v>0</v>
      </c>
      <c r="AD16" s="223">
        <v>0</v>
      </c>
      <c r="AE16" s="223">
        <v>0</v>
      </c>
      <c r="AF16" s="223">
        <v>0</v>
      </c>
      <c r="AG16" s="223">
        <v>0</v>
      </c>
      <c r="AH16" s="223">
        <v>0</v>
      </c>
      <c r="AI16" s="223">
        <v>0</v>
      </c>
      <c r="AJ16" s="223">
        <v>0</v>
      </c>
      <c r="AK16" s="223">
        <v>0</v>
      </c>
      <c r="AL16" s="223">
        <v>0</v>
      </c>
      <c r="AM16" s="223">
        <v>0</v>
      </c>
      <c r="AN16" s="227">
        <v>0</v>
      </c>
      <c r="AO16" s="428">
        <v>0</v>
      </c>
    </row>
    <row r="17" spans="1:41" ht="13.8" thickBot="1">
      <c r="A17" s="329" t="str">
        <f>+States!A16</f>
        <v>San</v>
      </c>
      <c r="B17" s="229">
        <f>+'Phytoplankton Model'!Y19</f>
        <v>0</v>
      </c>
      <c r="C17" s="230">
        <v>0</v>
      </c>
      <c r="D17" s="230">
        <v>0</v>
      </c>
      <c r="E17" s="230">
        <v>0</v>
      </c>
      <c r="F17" s="230">
        <v>0</v>
      </c>
      <c r="G17" s="230">
        <v>0</v>
      </c>
      <c r="H17" s="230">
        <v>0</v>
      </c>
      <c r="I17" s="230">
        <v>0</v>
      </c>
      <c r="J17" s="230">
        <v>0</v>
      </c>
      <c r="K17" s="230">
        <v>0</v>
      </c>
      <c r="L17" s="230">
        <v>0</v>
      </c>
      <c r="M17" s="230">
        <v>0</v>
      </c>
      <c r="N17" s="230">
        <v>0</v>
      </c>
      <c r="O17" s="230">
        <v>0</v>
      </c>
      <c r="P17" s="230">
        <v>0</v>
      </c>
      <c r="Q17" s="230">
        <v>0</v>
      </c>
      <c r="R17" s="230">
        <v>0</v>
      </c>
      <c r="S17" s="230">
        <v>0</v>
      </c>
      <c r="T17" s="230">
        <v>0</v>
      </c>
      <c r="U17" s="230">
        <v>0</v>
      </c>
      <c r="V17" s="231">
        <v>0</v>
      </c>
      <c r="W17" s="231">
        <v>0</v>
      </c>
      <c r="X17" s="229">
        <f>+'Microbial Model'!$IH16</f>
        <v>0</v>
      </c>
      <c r="Y17" s="230">
        <v>0</v>
      </c>
      <c r="Z17" s="230">
        <v>0</v>
      </c>
      <c r="AA17" s="230">
        <v>0</v>
      </c>
      <c r="AB17" s="230">
        <v>0</v>
      </c>
      <c r="AC17" s="230">
        <v>0</v>
      </c>
      <c r="AD17" s="230">
        <v>0</v>
      </c>
      <c r="AE17" s="230">
        <v>0</v>
      </c>
      <c r="AF17" s="230">
        <v>0</v>
      </c>
      <c r="AG17" s="230">
        <v>0</v>
      </c>
      <c r="AH17" s="230">
        <v>0</v>
      </c>
      <c r="AI17" s="230">
        <v>0</v>
      </c>
      <c r="AJ17" s="230">
        <v>0</v>
      </c>
      <c r="AK17" s="230">
        <v>0</v>
      </c>
      <c r="AL17" s="230">
        <v>0</v>
      </c>
      <c r="AM17" s="230">
        <v>0</v>
      </c>
      <c r="AN17" s="229">
        <v>0</v>
      </c>
      <c r="AO17" s="428">
        <v>0</v>
      </c>
    </row>
    <row r="18" spans="1:41">
      <c r="A18" s="327" t="str">
        <f>+States!A17</f>
        <v>Xcyb</v>
      </c>
      <c r="B18" s="227">
        <f>+'Phytoplankton Model'!Y22</f>
        <v>1</v>
      </c>
      <c r="C18" s="223">
        <f>+'Microbial Model'!$Z16</f>
        <v>0</v>
      </c>
      <c r="D18" s="223">
        <v>0</v>
      </c>
      <c r="E18" s="223">
        <v>0</v>
      </c>
      <c r="F18" s="223">
        <v>0</v>
      </c>
      <c r="G18" s="223">
        <v>0</v>
      </c>
      <c r="H18" s="223">
        <v>0</v>
      </c>
      <c r="I18" s="223">
        <v>0</v>
      </c>
      <c r="J18" s="223">
        <v>0</v>
      </c>
      <c r="K18" s="223">
        <v>0</v>
      </c>
      <c r="L18" s="223">
        <v>0</v>
      </c>
      <c r="M18" s="223">
        <v>0</v>
      </c>
      <c r="N18" s="223">
        <v>0</v>
      </c>
      <c r="O18" s="223">
        <v>0</v>
      </c>
      <c r="P18" s="223">
        <v>0</v>
      </c>
      <c r="Q18" s="223">
        <v>0</v>
      </c>
      <c r="R18" s="223">
        <v>0</v>
      </c>
      <c r="S18" s="223">
        <v>0</v>
      </c>
      <c r="T18" s="223">
        <v>0</v>
      </c>
      <c r="U18" s="223">
        <v>0</v>
      </c>
      <c r="V18" s="228">
        <v>0</v>
      </c>
      <c r="W18" s="228">
        <v>0</v>
      </c>
      <c r="X18" s="227">
        <v>-1</v>
      </c>
      <c r="Y18" s="223">
        <v>0</v>
      </c>
      <c r="Z18" s="223">
        <v>0</v>
      </c>
      <c r="AA18" s="223">
        <v>0</v>
      </c>
      <c r="AB18" s="223">
        <v>0</v>
      </c>
      <c r="AC18" s="223">
        <v>0</v>
      </c>
      <c r="AD18" s="223">
        <v>0</v>
      </c>
      <c r="AE18" s="223">
        <v>0</v>
      </c>
      <c r="AF18" s="223">
        <v>0</v>
      </c>
      <c r="AG18" s="223">
        <v>0</v>
      </c>
      <c r="AH18" s="223">
        <v>0</v>
      </c>
      <c r="AI18" s="223">
        <v>0</v>
      </c>
      <c r="AJ18" s="223">
        <v>0</v>
      </c>
      <c r="AK18" s="223">
        <v>0</v>
      </c>
      <c r="AL18" s="223">
        <v>0</v>
      </c>
      <c r="AM18" s="223">
        <v>0</v>
      </c>
      <c r="AN18" s="292">
        <v>0</v>
      </c>
      <c r="AO18" s="427">
        <v>0</v>
      </c>
    </row>
    <row r="19" spans="1:41">
      <c r="A19" s="328" t="str">
        <f>+States!A18</f>
        <v>Xfer</v>
      </c>
      <c r="B19" s="227">
        <v>0</v>
      </c>
      <c r="C19" s="223">
        <f>+'Microbial Model'!$Z$23</f>
        <v>0.6</v>
      </c>
      <c r="D19" s="223">
        <v>0</v>
      </c>
      <c r="E19" s="223">
        <v>0</v>
      </c>
      <c r="F19" s="223">
        <v>0</v>
      </c>
      <c r="G19" s="223">
        <v>0</v>
      </c>
      <c r="H19" s="223">
        <v>0</v>
      </c>
      <c r="I19" s="223">
        <v>0</v>
      </c>
      <c r="J19" s="223">
        <v>0</v>
      </c>
      <c r="K19" s="223">
        <v>0</v>
      </c>
      <c r="L19" s="223">
        <v>0</v>
      </c>
      <c r="M19" s="223">
        <v>0</v>
      </c>
      <c r="N19" s="223">
        <v>0</v>
      </c>
      <c r="O19" s="223">
        <v>0</v>
      </c>
      <c r="P19" s="223">
        <v>0</v>
      </c>
      <c r="Q19" s="223">
        <v>0</v>
      </c>
      <c r="R19" s="223">
        <v>0</v>
      </c>
      <c r="S19" s="223">
        <v>0</v>
      </c>
      <c r="T19" s="223">
        <v>0</v>
      </c>
      <c r="U19" s="223">
        <v>0</v>
      </c>
      <c r="V19" s="228">
        <v>0</v>
      </c>
      <c r="W19" s="228">
        <v>0</v>
      </c>
      <c r="X19" s="227">
        <v>0</v>
      </c>
      <c r="Y19" s="223">
        <v>-1</v>
      </c>
      <c r="Z19" s="223">
        <v>0</v>
      </c>
      <c r="AA19" s="223">
        <v>0</v>
      </c>
      <c r="AB19" s="223">
        <v>0</v>
      </c>
      <c r="AC19" s="223">
        <v>0</v>
      </c>
      <c r="AD19" s="223">
        <v>0</v>
      </c>
      <c r="AE19" s="223">
        <v>0</v>
      </c>
      <c r="AF19" s="223">
        <v>0</v>
      </c>
      <c r="AG19" s="223">
        <v>0</v>
      </c>
      <c r="AH19" s="223">
        <v>0</v>
      </c>
      <c r="AI19" s="223">
        <v>0</v>
      </c>
      <c r="AJ19" s="223">
        <v>0</v>
      </c>
      <c r="AK19" s="223">
        <v>0</v>
      </c>
      <c r="AL19" s="223">
        <v>0</v>
      </c>
      <c r="AM19" s="223">
        <v>0</v>
      </c>
      <c r="AN19" s="292">
        <v>0</v>
      </c>
      <c r="AO19" s="428">
        <v>0</v>
      </c>
    </row>
    <row r="20" spans="1:41">
      <c r="A20" s="328" t="str">
        <f>+States!A19</f>
        <v>Xhet</v>
      </c>
      <c r="B20" s="227">
        <v>0</v>
      </c>
      <c r="C20" s="223">
        <v>0</v>
      </c>
      <c r="D20" s="223">
        <f>+'Microbial Model'!$AK$23</f>
        <v>3.9066225636854091</v>
      </c>
      <c r="E20" s="223">
        <f>+'Microbial Model'!$AV$23</f>
        <v>0.92188810116047815</v>
      </c>
      <c r="F20" s="223">
        <v>0</v>
      </c>
      <c r="G20" s="223">
        <v>0</v>
      </c>
      <c r="H20" s="223">
        <v>0</v>
      </c>
      <c r="I20" s="223">
        <v>0</v>
      </c>
      <c r="J20" s="223">
        <v>0</v>
      </c>
      <c r="K20" s="223">
        <v>0</v>
      </c>
      <c r="L20" s="223">
        <v>0</v>
      </c>
      <c r="M20" s="223">
        <v>0</v>
      </c>
      <c r="N20" s="223">
        <v>0</v>
      </c>
      <c r="O20" s="223">
        <v>0</v>
      </c>
      <c r="P20" s="223">
        <v>0</v>
      </c>
      <c r="Q20" s="223">
        <v>0</v>
      </c>
      <c r="R20" s="223">
        <v>0</v>
      </c>
      <c r="S20" s="223">
        <v>0</v>
      </c>
      <c r="T20" s="223">
        <v>0</v>
      </c>
      <c r="U20" s="223">
        <v>0</v>
      </c>
      <c r="V20" s="228">
        <v>0</v>
      </c>
      <c r="W20" s="228">
        <v>0</v>
      </c>
      <c r="X20" s="227">
        <v>0</v>
      </c>
      <c r="Y20" s="223">
        <v>0</v>
      </c>
      <c r="Z20" s="223">
        <v>-1</v>
      </c>
      <c r="AA20" s="223">
        <v>0</v>
      </c>
      <c r="AB20" s="223">
        <v>0</v>
      </c>
      <c r="AC20" s="223">
        <v>0</v>
      </c>
      <c r="AD20" s="223">
        <v>0</v>
      </c>
      <c r="AE20" s="223">
        <v>0</v>
      </c>
      <c r="AF20" s="223">
        <v>0</v>
      </c>
      <c r="AG20" s="223">
        <v>0</v>
      </c>
      <c r="AH20" s="223">
        <v>0</v>
      </c>
      <c r="AI20" s="223">
        <v>0</v>
      </c>
      <c r="AJ20" s="223">
        <v>0</v>
      </c>
      <c r="AK20" s="223">
        <v>0</v>
      </c>
      <c r="AL20" s="223">
        <v>0</v>
      </c>
      <c r="AM20" s="223">
        <v>0</v>
      </c>
      <c r="AN20" s="292">
        <v>0</v>
      </c>
      <c r="AO20" s="428">
        <v>0</v>
      </c>
    </row>
    <row r="21" spans="1:41">
      <c r="A21" s="328" t="str">
        <f>+States!A20</f>
        <v>Xaob</v>
      </c>
      <c r="B21" s="227">
        <v>0</v>
      </c>
      <c r="C21" s="223">
        <v>0</v>
      </c>
      <c r="D21" s="223">
        <v>0</v>
      </c>
      <c r="E21" s="223">
        <v>0</v>
      </c>
      <c r="F21" s="223">
        <f>+'Microbial Model'!$BG$23</f>
        <v>7.2794774775357188E-2</v>
      </c>
      <c r="G21" s="223">
        <v>0</v>
      </c>
      <c r="H21" s="223">
        <v>0</v>
      </c>
      <c r="I21" s="223">
        <v>0</v>
      </c>
      <c r="J21" s="223">
        <v>0</v>
      </c>
      <c r="K21" s="223">
        <v>0</v>
      </c>
      <c r="L21" s="223">
        <v>0</v>
      </c>
      <c r="M21" s="223">
        <v>0</v>
      </c>
      <c r="N21" s="223">
        <v>0</v>
      </c>
      <c r="O21" s="223">
        <v>0</v>
      </c>
      <c r="P21" s="223">
        <v>0</v>
      </c>
      <c r="Q21" s="223">
        <v>0</v>
      </c>
      <c r="R21" s="223">
        <v>0</v>
      </c>
      <c r="S21" s="223">
        <v>0</v>
      </c>
      <c r="T21" s="223">
        <v>0</v>
      </c>
      <c r="U21" s="223">
        <v>0</v>
      </c>
      <c r="V21" s="228">
        <v>0</v>
      </c>
      <c r="W21" s="228">
        <v>0</v>
      </c>
      <c r="X21" s="227">
        <v>0</v>
      </c>
      <c r="Y21" s="223">
        <v>0</v>
      </c>
      <c r="Z21" s="223">
        <v>0</v>
      </c>
      <c r="AA21" s="223">
        <v>-1</v>
      </c>
      <c r="AB21" s="223">
        <v>0</v>
      </c>
      <c r="AC21" s="223">
        <v>0</v>
      </c>
      <c r="AD21" s="223">
        <v>0</v>
      </c>
      <c r="AE21" s="223">
        <v>0</v>
      </c>
      <c r="AF21" s="223">
        <v>0</v>
      </c>
      <c r="AG21" s="223">
        <v>0</v>
      </c>
      <c r="AH21" s="223">
        <v>0</v>
      </c>
      <c r="AI21" s="223">
        <v>0</v>
      </c>
      <c r="AJ21" s="223">
        <v>0</v>
      </c>
      <c r="AK21" s="223">
        <v>0</v>
      </c>
      <c r="AL21" s="223">
        <v>0</v>
      </c>
      <c r="AM21" s="223">
        <v>0</v>
      </c>
      <c r="AN21" s="292">
        <v>0</v>
      </c>
      <c r="AO21" s="428">
        <v>0</v>
      </c>
    </row>
    <row r="22" spans="1:41">
      <c r="A22" s="328" t="str">
        <f>+States!A21</f>
        <v>Xnob</v>
      </c>
      <c r="B22" s="227">
        <v>0</v>
      </c>
      <c r="C22" s="223">
        <v>0</v>
      </c>
      <c r="D22" s="223">
        <v>0</v>
      </c>
      <c r="E22" s="223">
        <v>0</v>
      </c>
      <c r="F22" s="223">
        <v>0</v>
      </c>
      <c r="G22" s="223">
        <f>+'Microbial Model'!$BR$23</f>
        <v>2.1487798659852262E-2</v>
      </c>
      <c r="H22" s="223">
        <v>0</v>
      </c>
      <c r="I22" s="223">
        <v>0</v>
      </c>
      <c r="J22" s="223">
        <v>0</v>
      </c>
      <c r="K22" s="223">
        <v>0</v>
      </c>
      <c r="L22" s="223">
        <v>0</v>
      </c>
      <c r="M22" s="223">
        <v>0</v>
      </c>
      <c r="N22" s="223">
        <v>0</v>
      </c>
      <c r="O22" s="223">
        <v>0</v>
      </c>
      <c r="P22" s="223">
        <v>0</v>
      </c>
      <c r="Q22" s="223">
        <v>0</v>
      </c>
      <c r="R22" s="223">
        <v>0</v>
      </c>
      <c r="S22" s="223">
        <v>0</v>
      </c>
      <c r="T22" s="223">
        <v>0</v>
      </c>
      <c r="U22" s="223">
        <v>0</v>
      </c>
      <c r="V22" s="228">
        <v>0</v>
      </c>
      <c r="W22" s="228">
        <v>0</v>
      </c>
      <c r="X22" s="227">
        <v>0</v>
      </c>
      <c r="Y22" s="223">
        <v>0</v>
      </c>
      <c r="Z22" s="223">
        <v>0</v>
      </c>
      <c r="AA22" s="223">
        <v>0</v>
      </c>
      <c r="AB22" s="223">
        <v>-1</v>
      </c>
      <c r="AC22" s="223">
        <v>0</v>
      </c>
      <c r="AD22" s="223">
        <v>0</v>
      </c>
      <c r="AE22" s="223">
        <v>0</v>
      </c>
      <c r="AF22" s="223">
        <v>0</v>
      </c>
      <c r="AG22" s="223">
        <v>0</v>
      </c>
      <c r="AH22" s="223">
        <v>0</v>
      </c>
      <c r="AI22" s="223">
        <v>0</v>
      </c>
      <c r="AJ22" s="223">
        <v>0</v>
      </c>
      <c r="AK22" s="223">
        <v>0</v>
      </c>
      <c r="AL22" s="223">
        <v>0</v>
      </c>
      <c r="AM22" s="223">
        <v>0</v>
      </c>
      <c r="AN22" s="292">
        <v>0</v>
      </c>
      <c r="AO22" s="428">
        <v>0</v>
      </c>
    </row>
    <row r="23" spans="1:41">
      <c r="A23" s="328" t="str">
        <f>+States!A22</f>
        <v>Xdn</v>
      </c>
      <c r="B23" s="227">
        <v>0</v>
      </c>
      <c r="C23" s="223">
        <v>0</v>
      </c>
      <c r="D23" s="223">
        <v>0</v>
      </c>
      <c r="E23" s="223">
        <v>0</v>
      </c>
      <c r="F23" s="223">
        <v>0</v>
      </c>
      <c r="G23" s="223">
        <v>0</v>
      </c>
      <c r="H23" s="223">
        <f>+'Microbial Model'!$CC$23</f>
        <v>3.4965684855321348</v>
      </c>
      <c r="I23" s="223">
        <f>+'Microbial Model'!$CC$23</f>
        <v>3.4965684855321348</v>
      </c>
      <c r="J23" s="223">
        <f>+'Microbial Model'!$CY$23</f>
        <v>0.2047502069520403</v>
      </c>
      <c r="K23" s="223">
        <v>0</v>
      </c>
      <c r="L23" s="223">
        <v>0</v>
      </c>
      <c r="M23" s="223">
        <v>0</v>
      </c>
      <c r="N23" s="223">
        <v>0</v>
      </c>
      <c r="O23" s="223">
        <v>0</v>
      </c>
      <c r="P23" s="223">
        <v>0</v>
      </c>
      <c r="Q23" s="223">
        <v>0</v>
      </c>
      <c r="R23" s="223">
        <v>0</v>
      </c>
      <c r="S23" s="223">
        <v>0</v>
      </c>
      <c r="T23" s="223">
        <v>0</v>
      </c>
      <c r="U23" s="223">
        <v>0</v>
      </c>
      <c r="V23" s="228">
        <v>0</v>
      </c>
      <c r="W23" s="228">
        <v>0</v>
      </c>
      <c r="X23" s="227">
        <v>0</v>
      </c>
      <c r="Y23" s="223">
        <v>0</v>
      </c>
      <c r="Z23" s="223">
        <v>0</v>
      </c>
      <c r="AA23" s="223">
        <v>0</v>
      </c>
      <c r="AB23" s="223">
        <v>0</v>
      </c>
      <c r="AC23" s="223">
        <v>-1</v>
      </c>
      <c r="AD23" s="223">
        <v>0</v>
      </c>
      <c r="AE23" s="223">
        <v>0</v>
      </c>
      <c r="AF23" s="223">
        <v>0</v>
      </c>
      <c r="AG23" s="223">
        <v>0</v>
      </c>
      <c r="AH23" s="223">
        <v>0</v>
      </c>
      <c r="AI23" s="223">
        <v>0</v>
      </c>
      <c r="AJ23" s="223">
        <v>0</v>
      </c>
      <c r="AK23" s="223">
        <v>0</v>
      </c>
      <c r="AL23" s="223">
        <v>0</v>
      </c>
      <c r="AM23" s="223">
        <v>0</v>
      </c>
      <c r="AN23" s="292">
        <v>0</v>
      </c>
      <c r="AO23" s="428">
        <v>0</v>
      </c>
    </row>
    <row r="24" spans="1:41">
      <c r="A24" s="328" t="str">
        <f>+States!A23</f>
        <v>Xsrd</v>
      </c>
      <c r="B24" s="227">
        <v>0</v>
      </c>
      <c r="C24" s="223">
        <v>0</v>
      </c>
      <c r="D24" s="223">
        <v>0</v>
      </c>
      <c r="E24" s="223">
        <v>0</v>
      </c>
      <c r="F24" s="223">
        <v>0</v>
      </c>
      <c r="G24" s="223">
        <v>0</v>
      </c>
      <c r="H24" s="223">
        <v>0</v>
      </c>
      <c r="I24" s="223">
        <v>0</v>
      </c>
      <c r="J24" s="223">
        <v>0</v>
      </c>
      <c r="K24" s="223">
        <f>+'Microbial Model'!$DJ$23</f>
        <v>7.9483361717050116E-2</v>
      </c>
      <c r="L24" s="223">
        <f>+'Microbial Model'!$DU$23</f>
        <v>1.9870840429262529E-2</v>
      </c>
      <c r="M24" s="223">
        <v>0</v>
      </c>
      <c r="N24" s="223">
        <v>0</v>
      </c>
      <c r="O24" s="223">
        <v>0</v>
      </c>
      <c r="P24" s="223">
        <v>0</v>
      </c>
      <c r="Q24" s="223">
        <v>0</v>
      </c>
      <c r="R24" s="223">
        <v>0</v>
      </c>
      <c r="S24" s="223">
        <v>0</v>
      </c>
      <c r="T24" s="223">
        <v>0</v>
      </c>
      <c r="U24" s="223">
        <v>0</v>
      </c>
      <c r="V24" s="228">
        <v>0</v>
      </c>
      <c r="W24" s="228">
        <v>0</v>
      </c>
      <c r="X24" s="227">
        <v>0</v>
      </c>
      <c r="Y24" s="223">
        <v>0</v>
      </c>
      <c r="Z24" s="223">
        <v>0</v>
      </c>
      <c r="AA24" s="223">
        <v>0</v>
      </c>
      <c r="AB24" s="223">
        <v>0</v>
      </c>
      <c r="AC24" s="223">
        <v>0</v>
      </c>
      <c r="AD24" s="223">
        <v>-1</v>
      </c>
      <c r="AE24" s="223">
        <v>0</v>
      </c>
      <c r="AF24" s="223">
        <v>0</v>
      </c>
      <c r="AG24" s="223">
        <v>0</v>
      </c>
      <c r="AH24" s="223">
        <v>0</v>
      </c>
      <c r="AI24" s="223">
        <v>0</v>
      </c>
      <c r="AJ24" s="223">
        <v>0</v>
      </c>
      <c r="AK24" s="223">
        <v>0</v>
      </c>
      <c r="AL24" s="223">
        <v>0</v>
      </c>
      <c r="AM24" s="223">
        <v>0</v>
      </c>
      <c r="AN24" s="292">
        <v>0</v>
      </c>
      <c r="AO24" s="428">
        <v>0</v>
      </c>
    </row>
    <row r="25" spans="1:41">
      <c r="A25" s="328" t="str">
        <f>+States!A24</f>
        <v>Xsox</v>
      </c>
      <c r="B25" s="227">
        <v>0</v>
      </c>
      <c r="C25" s="223">
        <v>0</v>
      </c>
      <c r="D25" s="223">
        <v>0</v>
      </c>
      <c r="E25" s="223">
        <v>0</v>
      </c>
      <c r="F25" s="223">
        <v>0</v>
      </c>
      <c r="G25" s="223">
        <v>0</v>
      </c>
      <c r="H25" s="223">
        <v>0</v>
      </c>
      <c r="I25" s="223">
        <v>0</v>
      </c>
      <c r="J25" s="223">
        <v>0</v>
      </c>
      <c r="K25" s="223">
        <v>0</v>
      </c>
      <c r="L25" s="223">
        <v>0</v>
      </c>
      <c r="M25" s="223">
        <f>+'Microbial Model'!$EF$23</f>
        <v>0.56331509802276736</v>
      </c>
      <c r="N25" s="223">
        <v>0</v>
      </c>
      <c r="O25" s="223">
        <v>0</v>
      </c>
      <c r="P25" s="223">
        <v>0</v>
      </c>
      <c r="Q25" s="223">
        <v>0</v>
      </c>
      <c r="R25" s="223">
        <v>0</v>
      </c>
      <c r="S25" s="223">
        <v>0</v>
      </c>
      <c r="T25" s="223">
        <v>0</v>
      </c>
      <c r="U25" s="223">
        <v>0</v>
      </c>
      <c r="V25" s="228">
        <v>0</v>
      </c>
      <c r="W25" s="228">
        <v>0</v>
      </c>
      <c r="X25" s="227">
        <v>0</v>
      </c>
      <c r="Y25" s="223">
        <v>0</v>
      </c>
      <c r="Z25" s="223">
        <v>0</v>
      </c>
      <c r="AA25" s="223">
        <v>0</v>
      </c>
      <c r="AB25" s="223">
        <v>0</v>
      </c>
      <c r="AC25" s="223">
        <v>0</v>
      </c>
      <c r="AD25" s="223">
        <v>0</v>
      </c>
      <c r="AE25" s="223">
        <v>-1</v>
      </c>
      <c r="AF25" s="223">
        <v>0</v>
      </c>
      <c r="AG25" s="223">
        <v>0</v>
      </c>
      <c r="AH25" s="223">
        <v>0</v>
      </c>
      <c r="AI25" s="223">
        <v>0</v>
      </c>
      <c r="AJ25" s="223">
        <v>0</v>
      </c>
      <c r="AK25" s="223">
        <v>0</v>
      </c>
      <c r="AL25" s="223">
        <v>0</v>
      </c>
      <c r="AM25" s="223">
        <v>0</v>
      </c>
      <c r="AN25" s="292">
        <v>0</v>
      </c>
      <c r="AO25" s="428">
        <v>0</v>
      </c>
    </row>
    <row r="26" spans="1:41">
      <c r="A26" s="328" t="str">
        <f>+States!A25</f>
        <v>Xson</v>
      </c>
      <c r="B26" s="227">
        <v>0</v>
      </c>
      <c r="C26" s="223">
        <v>0</v>
      </c>
      <c r="D26" s="223">
        <v>0</v>
      </c>
      <c r="E26" s="223">
        <v>0</v>
      </c>
      <c r="F26" s="223">
        <v>0</v>
      </c>
      <c r="G26" s="223">
        <v>0</v>
      </c>
      <c r="H26" s="223">
        <v>0</v>
      </c>
      <c r="I26" s="223">
        <v>0</v>
      </c>
      <c r="J26" s="223">
        <v>0</v>
      </c>
      <c r="K26" s="223">
        <v>0</v>
      </c>
      <c r="L26" s="223">
        <v>0</v>
      </c>
      <c r="M26" s="223">
        <v>0</v>
      </c>
      <c r="N26" s="223">
        <f>+'Microbial Model'!$EQ$23</f>
        <v>0.50056602170578135</v>
      </c>
      <c r="O26" s="223">
        <v>0</v>
      </c>
      <c r="P26" s="223">
        <v>0</v>
      </c>
      <c r="Q26" s="223">
        <v>0</v>
      </c>
      <c r="R26" s="223">
        <v>0</v>
      </c>
      <c r="S26" s="223">
        <v>0</v>
      </c>
      <c r="T26" s="223">
        <v>0</v>
      </c>
      <c r="U26" s="223">
        <v>0</v>
      </c>
      <c r="V26" s="228">
        <v>0</v>
      </c>
      <c r="W26" s="228">
        <v>0</v>
      </c>
      <c r="X26" s="227">
        <v>0</v>
      </c>
      <c r="Y26" s="223">
        <v>0</v>
      </c>
      <c r="Z26" s="223">
        <v>0</v>
      </c>
      <c r="AA26" s="223">
        <v>0</v>
      </c>
      <c r="AB26" s="223">
        <v>0</v>
      </c>
      <c r="AC26" s="223">
        <v>0</v>
      </c>
      <c r="AD26" s="223">
        <v>0</v>
      </c>
      <c r="AE26" s="223">
        <v>0</v>
      </c>
      <c r="AF26" s="223">
        <v>-1</v>
      </c>
      <c r="AG26" s="223">
        <v>0</v>
      </c>
      <c r="AH26" s="223">
        <v>0</v>
      </c>
      <c r="AI26" s="223">
        <v>0</v>
      </c>
      <c r="AJ26" s="223">
        <v>0</v>
      </c>
      <c r="AK26" s="223">
        <v>0</v>
      </c>
      <c r="AL26" s="223">
        <v>0</v>
      </c>
      <c r="AM26" s="223">
        <v>0</v>
      </c>
      <c r="AN26" s="292">
        <v>0</v>
      </c>
      <c r="AO26" s="428">
        <v>0</v>
      </c>
    </row>
    <row r="27" spans="1:41">
      <c r="A27" s="328" t="str">
        <f>+States!A26</f>
        <v>Xfeox</v>
      </c>
      <c r="B27" s="227">
        <v>0</v>
      </c>
      <c r="C27" s="223">
        <v>0</v>
      </c>
      <c r="D27" s="223">
        <v>0</v>
      </c>
      <c r="E27" s="223">
        <v>0</v>
      </c>
      <c r="F27" s="223">
        <v>0</v>
      </c>
      <c r="G27" s="223">
        <v>0</v>
      </c>
      <c r="H27" s="223">
        <v>0</v>
      </c>
      <c r="I27" s="223">
        <v>0</v>
      </c>
      <c r="J27" s="223">
        <v>0</v>
      </c>
      <c r="K27" s="223">
        <v>0</v>
      </c>
      <c r="L27" s="223">
        <v>0</v>
      </c>
      <c r="M27" s="223">
        <v>0</v>
      </c>
      <c r="N27" s="223">
        <v>0</v>
      </c>
      <c r="O27" s="223">
        <f>+'Microbial Model'!$FB$23</f>
        <v>2.425552887084995E-2</v>
      </c>
      <c r="P27" s="223">
        <v>0</v>
      </c>
      <c r="Q27" s="223">
        <v>0</v>
      </c>
      <c r="R27" s="223">
        <v>0</v>
      </c>
      <c r="S27" s="223">
        <v>0</v>
      </c>
      <c r="T27" s="223">
        <v>0</v>
      </c>
      <c r="U27" s="223">
        <v>0</v>
      </c>
      <c r="V27" s="228">
        <v>0</v>
      </c>
      <c r="W27" s="228">
        <v>0</v>
      </c>
      <c r="X27" s="227">
        <v>0</v>
      </c>
      <c r="Y27" s="223">
        <v>0</v>
      </c>
      <c r="Z27" s="223">
        <v>0</v>
      </c>
      <c r="AA27" s="223">
        <v>0</v>
      </c>
      <c r="AB27" s="223">
        <v>0</v>
      </c>
      <c r="AC27" s="223">
        <v>0</v>
      </c>
      <c r="AD27" s="223">
        <v>0</v>
      </c>
      <c r="AE27" s="223">
        <v>0</v>
      </c>
      <c r="AF27" s="223">
        <v>0</v>
      </c>
      <c r="AG27" s="223">
        <v>-1</v>
      </c>
      <c r="AH27" s="223">
        <v>0</v>
      </c>
      <c r="AI27" s="223">
        <v>0</v>
      </c>
      <c r="AJ27" s="223">
        <v>0</v>
      </c>
      <c r="AK27" s="223">
        <v>0</v>
      </c>
      <c r="AL27" s="223">
        <v>0</v>
      </c>
      <c r="AM27" s="223">
        <v>0</v>
      </c>
      <c r="AN27" s="292">
        <v>0</v>
      </c>
      <c r="AO27" s="428">
        <v>0</v>
      </c>
    </row>
    <row r="28" spans="1:41">
      <c r="A28" s="328" t="str">
        <f>+States!A27</f>
        <v>Xfeon</v>
      </c>
      <c r="B28" s="227">
        <v>0</v>
      </c>
      <c r="C28" s="223">
        <v>0</v>
      </c>
      <c r="D28" s="223">
        <v>0</v>
      </c>
      <c r="E28" s="223">
        <v>0</v>
      </c>
      <c r="F28" s="223">
        <v>0</v>
      </c>
      <c r="G28" s="223">
        <v>0</v>
      </c>
      <c r="H28" s="223">
        <v>0</v>
      </c>
      <c r="I28" s="223">
        <v>0</v>
      </c>
      <c r="J28" s="223">
        <v>0</v>
      </c>
      <c r="K28" s="223">
        <v>0</v>
      </c>
      <c r="L28" s="223">
        <v>0</v>
      </c>
      <c r="M28" s="223">
        <v>0</v>
      </c>
      <c r="N28" s="223">
        <v>0</v>
      </c>
      <c r="O28" s="223">
        <v>0</v>
      </c>
      <c r="P28" s="223">
        <f>+'Microbial Model'!$FM$23</f>
        <v>1.0518091962642126E-2</v>
      </c>
      <c r="Q28" s="223">
        <v>0</v>
      </c>
      <c r="R28" s="223">
        <v>0</v>
      </c>
      <c r="S28" s="223">
        <v>0</v>
      </c>
      <c r="T28" s="223">
        <v>0</v>
      </c>
      <c r="U28" s="223">
        <v>0</v>
      </c>
      <c r="V28" s="228">
        <v>0</v>
      </c>
      <c r="W28" s="228">
        <v>0</v>
      </c>
      <c r="X28" s="227">
        <v>0</v>
      </c>
      <c r="Y28" s="223">
        <v>0</v>
      </c>
      <c r="Z28" s="223">
        <v>0</v>
      </c>
      <c r="AA28" s="223">
        <v>0</v>
      </c>
      <c r="AB28" s="223">
        <v>0</v>
      </c>
      <c r="AC28" s="223">
        <v>0</v>
      </c>
      <c r="AD28" s="223">
        <v>0</v>
      </c>
      <c r="AE28" s="223">
        <v>0</v>
      </c>
      <c r="AF28" s="223">
        <v>0</v>
      </c>
      <c r="AG28" s="223">
        <v>0</v>
      </c>
      <c r="AH28" s="223">
        <v>-1</v>
      </c>
      <c r="AI28" s="223">
        <v>0</v>
      </c>
      <c r="AJ28" s="223">
        <v>0</v>
      </c>
      <c r="AK28" s="223">
        <v>0</v>
      </c>
      <c r="AL28" s="223">
        <v>0</v>
      </c>
      <c r="AM28" s="223">
        <v>0</v>
      </c>
      <c r="AN28" s="292">
        <v>0</v>
      </c>
      <c r="AO28" s="428">
        <v>0</v>
      </c>
    </row>
    <row r="29" spans="1:41">
      <c r="A29" s="328" t="str">
        <f>+States!A28</f>
        <v>Xferd</v>
      </c>
      <c r="B29" s="227">
        <v>0</v>
      </c>
      <c r="C29" s="223">
        <v>0</v>
      </c>
      <c r="D29" s="223">
        <v>0</v>
      </c>
      <c r="E29" s="223">
        <v>0</v>
      </c>
      <c r="F29" s="223">
        <v>0</v>
      </c>
      <c r="G29" s="223">
        <v>0</v>
      </c>
      <c r="H29" s="223">
        <v>0</v>
      </c>
      <c r="I29" s="223">
        <v>0</v>
      </c>
      <c r="J29" s="223">
        <v>0</v>
      </c>
      <c r="K29" s="223">
        <v>0</v>
      </c>
      <c r="L29" s="223">
        <v>0</v>
      </c>
      <c r="M29" s="223">
        <v>0</v>
      </c>
      <c r="N29" s="223">
        <v>0</v>
      </c>
      <c r="O29" s="223">
        <v>0</v>
      </c>
      <c r="P29" s="223">
        <v>0</v>
      </c>
      <c r="Q29" s="223">
        <f>+'Microbial Model'!$FX$23</f>
        <v>0.83219436785499201</v>
      </c>
      <c r="R29" s="223">
        <f>+'Microbial Model'!$GI23</f>
        <v>0.208048591963748</v>
      </c>
      <c r="S29" s="223">
        <v>0</v>
      </c>
      <c r="T29" s="223">
        <v>0</v>
      </c>
      <c r="U29" s="223">
        <v>0</v>
      </c>
      <c r="V29" s="228">
        <v>0</v>
      </c>
      <c r="W29" s="228">
        <v>0</v>
      </c>
      <c r="X29" s="227">
        <v>0</v>
      </c>
      <c r="Y29" s="223">
        <v>0</v>
      </c>
      <c r="Z29" s="223">
        <v>0</v>
      </c>
      <c r="AA29" s="223">
        <v>0</v>
      </c>
      <c r="AB29" s="223">
        <v>0</v>
      </c>
      <c r="AC29" s="223">
        <v>0</v>
      </c>
      <c r="AD29" s="223">
        <v>0</v>
      </c>
      <c r="AE29" s="223">
        <v>0</v>
      </c>
      <c r="AF29" s="223">
        <v>0</v>
      </c>
      <c r="AG29" s="223">
        <v>0</v>
      </c>
      <c r="AH29" s="223">
        <v>0</v>
      </c>
      <c r="AI29" s="223">
        <v>-1</v>
      </c>
      <c r="AJ29" s="223">
        <v>0</v>
      </c>
      <c r="AK29" s="223">
        <v>0</v>
      </c>
      <c r="AL29" s="223">
        <v>0</v>
      </c>
      <c r="AM29" s="223">
        <v>0</v>
      </c>
      <c r="AN29" s="292">
        <v>0</v>
      </c>
      <c r="AO29" s="428">
        <v>0</v>
      </c>
    </row>
    <row r="30" spans="1:41">
      <c r="A30" s="328" t="str">
        <f>+States!A29</f>
        <v>Xacm</v>
      </c>
      <c r="B30" s="227">
        <v>0</v>
      </c>
      <c r="C30" s="223">
        <v>0</v>
      </c>
      <c r="D30" s="223">
        <v>0</v>
      </c>
      <c r="E30" s="223">
        <v>0</v>
      </c>
      <c r="F30" s="223">
        <v>0</v>
      </c>
      <c r="G30" s="223">
        <v>0</v>
      </c>
      <c r="H30" s="223">
        <v>0</v>
      </c>
      <c r="I30" s="223">
        <v>0</v>
      </c>
      <c r="J30" s="223">
        <v>0</v>
      </c>
      <c r="K30" s="223">
        <v>0</v>
      </c>
      <c r="L30" s="223">
        <v>0</v>
      </c>
      <c r="M30" s="223">
        <v>0</v>
      </c>
      <c r="N30" s="223">
        <v>0</v>
      </c>
      <c r="O30" s="223">
        <v>0</v>
      </c>
      <c r="P30" s="223">
        <v>0</v>
      </c>
      <c r="Q30" s="223">
        <v>0</v>
      </c>
      <c r="R30" s="223">
        <v>0</v>
      </c>
      <c r="S30" s="223">
        <f>+'Microbial Model'!$GT$23</f>
        <v>0.1</v>
      </c>
      <c r="T30" s="223">
        <v>0</v>
      </c>
      <c r="U30" s="223">
        <v>0</v>
      </c>
      <c r="V30" s="228">
        <v>0</v>
      </c>
      <c r="W30" s="228">
        <v>0</v>
      </c>
      <c r="X30" s="227">
        <v>0</v>
      </c>
      <c r="Y30" s="223">
        <v>0</v>
      </c>
      <c r="Z30" s="223">
        <v>0</v>
      </c>
      <c r="AA30" s="223">
        <v>0</v>
      </c>
      <c r="AB30" s="223">
        <v>0</v>
      </c>
      <c r="AC30" s="223">
        <v>0</v>
      </c>
      <c r="AD30" s="223">
        <v>0</v>
      </c>
      <c r="AE30" s="223">
        <v>0</v>
      </c>
      <c r="AF30" s="223">
        <v>0</v>
      </c>
      <c r="AG30" s="223">
        <v>0</v>
      </c>
      <c r="AH30" s="223">
        <v>0</v>
      </c>
      <c r="AI30" s="223">
        <v>0</v>
      </c>
      <c r="AJ30" s="223">
        <v>-1</v>
      </c>
      <c r="AK30" s="223">
        <v>0</v>
      </c>
      <c r="AL30" s="223">
        <v>0</v>
      </c>
      <c r="AM30" s="223">
        <v>0</v>
      </c>
      <c r="AN30" s="292">
        <v>0</v>
      </c>
      <c r="AO30" s="428">
        <v>0</v>
      </c>
    </row>
    <row r="31" spans="1:41">
      <c r="A31" s="328" t="str">
        <f>+States!A30</f>
        <v>Xh2m</v>
      </c>
      <c r="B31" s="227">
        <v>0</v>
      </c>
      <c r="C31" s="223">
        <v>0</v>
      </c>
      <c r="D31" s="223">
        <v>0</v>
      </c>
      <c r="E31" s="223">
        <v>0</v>
      </c>
      <c r="F31" s="223">
        <v>0</v>
      </c>
      <c r="G31" s="223">
        <v>0</v>
      </c>
      <c r="H31" s="223">
        <v>0</v>
      </c>
      <c r="I31" s="223">
        <v>0</v>
      </c>
      <c r="J31" s="223">
        <v>0</v>
      </c>
      <c r="K31" s="223">
        <v>0</v>
      </c>
      <c r="L31" s="223">
        <v>0</v>
      </c>
      <c r="M31" s="223">
        <v>0</v>
      </c>
      <c r="N31" s="223">
        <v>0</v>
      </c>
      <c r="O31" s="223">
        <v>0</v>
      </c>
      <c r="P31" s="223">
        <v>0</v>
      </c>
      <c r="Q31" s="223">
        <v>0</v>
      </c>
      <c r="R31" s="223">
        <v>0</v>
      </c>
      <c r="S31" s="223">
        <v>0</v>
      </c>
      <c r="T31" s="223">
        <f>+'Microbial Model'!$HE$23</f>
        <v>0.03</v>
      </c>
      <c r="U31" s="223">
        <v>0</v>
      </c>
      <c r="V31" s="228">
        <v>0</v>
      </c>
      <c r="W31" s="228">
        <v>0</v>
      </c>
      <c r="X31" s="227">
        <v>0</v>
      </c>
      <c r="Y31" s="223">
        <v>0</v>
      </c>
      <c r="Z31" s="223">
        <v>0</v>
      </c>
      <c r="AA31" s="223">
        <v>0</v>
      </c>
      <c r="AB31" s="223">
        <v>0</v>
      </c>
      <c r="AC31" s="223">
        <v>0</v>
      </c>
      <c r="AD31" s="223">
        <v>0</v>
      </c>
      <c r="AE31" s="223">
        <v>0</v>
      </c>
      <c r="AF31" s="223">
        <v>0</v>
      </c>
      <c r="AG31" s="223">
        <v>0</v>
      </c>
      <c r="AH31" s="223">
        <v>0</v>
      </c>
      <c r="AI31" s="223">
        <v>0</v>
      </c>
      <c r="AJ31" s="223">
        <v>0</v>
      </c>
      <c r="AK31" s="223">
        <v>-1</v>
      </c>
      <c r="AL31" s="223">
        <v>0</v>
      </c>
      <c r="AM31" s="223">
        <v>0</v>
      </c>
      <c r="AN31" s="292">
        <v>0</v>
      </c>
      <c r="AO31" s="428">
        <v>0</v>
      </c>
    </row>
    <row r="32" spans="1:41">
      <c r="A32" s="328" t="str">
        <f>+States!A31</f>
        <v>Xmto</v>
      </c>
      <c r="B32" s="227">
        <v>0</v>
      </c>
      <c r="C32" s="223">
        <v>0</v>
      </c>
      <c r="D32" s="223">
        <v>0</v>
      </c>
      <c r="E32" s="223">
        <v>0</v>
      </c>
      <c r="F32" s="223">
        <v>0</v>
      </c>
      <c r="G32" s="223">
        <v>0</v>
      </c>
      <c r="H32" s="223">
        <v>0</v>
      </c>
      <c r="I32" s="223">
        <v>0</v>
      </c>
      <c r="J32" s="223">
        <v>0</v>
      </c>
      <c r="K32" s="223">
        <v>0</v>
      </c>
      <c r="L32" s="223">
        <v>0</v>
      </c>
      <c r="M32" s="223">
        <v>0</v>
      </c>
      <c r="N32" s="223">
        <v>0</v>
      </c>
      <c r="O32" s="223">
        <v>0</v>
      </c>
      <c r="P32" s="223">
        <v>0</v>
      </c>
      <c r="Q32" s="223">
        <v>0</v>
      </c>
      <c r="R32" s="223">
        <v>0</v>
      </c>
      <c r="S32" s="223">
        <v>0</v>
      </c>
      <c r="T32" s="223">
        <v>0</v>
      </c>
      <c r="U32" s="223">
        <f>+'Microbial Model'!$HP$23</f>
        <v>0.53688765590979193</v>
      </c>
      <c r="V32" s="228">
        <v>0</v>
      </c>
      <c r="W32" s="228">
        <v>0</v>
      </c>
      <c r="X32" s="227">
        <v>0</v>
      </c>
      <c r="Y32" s="223">
        <v>0</v>
      </c>
      <c r="Z32" s="223">
        <v>0</v>
      </c>
      <c r="AA32" s="223">
        <v>0</v>
      </c>
      <c r="AB32" s="223">
        <v>0</v>
      </c>
      <c r="AC32" s="223">
        <v>0</v>
      </c>
      <c r="AD32" s="223">
        <v>0</v>
      </c>
      <c r="AE32" s="223">
        <v>0</v>
      </c>
      <c r="AF32" s="223">
        <v>0</v>
      </c>
      <c r="AG32" s="223">
        <v>0</v>
      </c>
      <c r="AH32" s="223">
        <v>0</v>
      </c>
      <c r="AI32" s="223">
        <v>0</v>
      </c>
      <c r="AJ32" s="223">
        <v>0</v>
      </c>
      <c r="AK32" s="223">
        <v>0</v>
      </c>
      <c r="AL32" s="223">
        <v>-1</v>
      </c>
      <c r="AM32" s="223">
        <v>0</v>
      </c>
      <c r="AN32" s="292">
        <v>0</v>
      </c>
      <c r="AO32" s="428">
        <v>0</v>
      </c>
    </row>
    <row r="33" spans="1:41">
      <c r="A33" s="328" t="str">
        <f>+States!A32</f>
        <v>Xmts</v>
      </c>
      <c r="B33" s="227">
        <v>0</v>
      </c>
      <c r="C33" s="223">
        <v>0</v>
      </c>
      <c r="D33" s="223">
        <v>0</v>
      </c>
      <c r="E33" s="223">
        <v>0</v>
      </c>
      <c r="F33" s="223">
        <v>0</v>
      </c>
      <c r="G33" s="223">
        <v>0</v>
      </c>
      <c r="H33" s="223">
        <v>0</v>
      </c>
      <c r="I33" s="223">
        <v>0</v>
      </c>
      <c r="J33" s="223">
        <v>0</v>
      </c>
      <c r="K33" s="223">
        <v>0</v>
      </c>
      <c r="L33" s="223">
        <v>0</v>
      </c>
      <c r="M33" s="223">
        <v>0</v>
      </c>
      <c r="N33" s="223">
        <v>0</v>
      </c>
      <c r="O33" s="223">
        <v>0</v>
      </c>
      <c r="P33" s="223">
        <v>0</v>
      </c>
      <c r="Q33" s="223">
        <v>0</v>
      </c>
      <c r="R33" s="223">
        <v>0</v>
      </c>
      <c r="S33" s="223">
        <v>0</v>
      </c>
      <c r="T33" s="223">
        <v>0</v>
      </c>
      <c r="U33" s="223">
        <v>0</v>
      </c>
      <c r="V33" s="228">
        <f>+'Microbial Model'!$IA$23</f>
        <v>2.5193025794556893E-2</v>
      </c>
      <c r="W33" s="228">
        <v>0</v>
      </c>
      <c r="X33" s="227">
        <v>0</v>
      </c>
      <c r="Y33" s="223">
        <v>0</v>
      </c>
      <c r="Z33" s="223">
        <v>0</v>
      </c>
      <c r="AA33" s="223">
        <v>0</v>
      </c>
      <c r="AB33" s="223">
        <v>0</v>
      </c>
      <c r="AC33" s="223">
        <v>0</v>
      </c>
      <c r="AD33" s="223">
        <v>0</v>
      </c>
      <c r="AE33" s="223">
        <v>0</v>
      </c>
      <c r="AF33" s="223">
        <v>0</v>
      </c>
      <c r="AG33" s="223">
        <v>0</v>
      </c>
      <c r="AH33" s="223">
        <v>0</v>
      </c>
      <c r="AI33" s="223">
        <v>0</v>
      </c>
      <c r="AJ33" s="223">
        <v>0</v>
      </c>
      <c r="AK33" s="223">
        <v>0</v>
      </c>
      <c r="AL33" s="223">
        <v>0</v>
      </c>
      <c r="AM33" s="223">
        <v>-1</v>
      </c>
      <c r="AN33" s="292">
        <v>0</v>
      </c>
      <c r="AO33" s="428">
        <v>0</v>
      </c>
    </row>
    <row r="34" spans="1:41">
      <c r="A34" s="328" t="str">
        <f>+States!A33</f>
        <v>Xd</v>
      </c>
      <c r="B34" s="227">
        <v>0</v>
      </c>
      <c r="C34" s="223">
        <v>0</v>
      </c>
      <c r="D34" s="223">
        <v>0</v>
      </c>
      <c r="E34" s="223">
        <v>0</v>
      </c>
      <c r="F34" s="223">
        <v>0</v>
      </c>
      <c r="G34" s="223">
        <v>0</v>
      </c>
      <c r="H34" s="223">
        <v>0</v>
      </c>
      <c r="I34" s="223">
        <v>0</v>
      </c>
      <c r="J34" s="223">
        <v>0</v>
      </c>
      <c r="K34" s="223">
        <v>0</v>
      </c>
      <c r="L34" s="223">
        <v>0</v>
      </c>
      <c r="M34" s="223">
        <v>0</v>
      </c>
      <c r="N34" s="223">
        <v>0</v>
      </c>
      <c r="O34" s="223">
        <v>0</v>
      </c>
      <c r="P34" s="223">
        <v>0</v>
      </c>
      <c r="Q34" s="223">
        <v>0</v>
      </c>
      <c r="R34" s="223">
        <v>0</v>
      </c>
      <c r="S34" s="223">
        <v>0</v>
      </c>
      <c r="T34" s="223">
        <v>0</v>
      </c>
      <c r="U34" s="223">
        <v>0</v>
      </c>
      <c r="V34" s="228">
        <v>0</v>
      </c>
      <c r="W34" s="228">
        <v>0</v>
      </c>
      <c r="X34" s="227">
        <f>+'Microbial Model'!$IH$23</f>
        <v>0.76500000000000001</v>
      </c>
      <c r="Y34" s="223">
        <v>1</v>
      </c>
      <c r="Z34" s="223">
        <v>1</v>
      </c>
      <c r="AA34" s="223">
        <v>1</v>
      </c>
      <c r="AB34" s="223">
        <v>1</v>
      </c>
      <c r="AC34" s="223">
        <v>1</v>
      </c>
      <c r="AD34" s="223">
        <v>1</v>
      </c>
      <c r="AE34" s="223">
        <v>1</v>
      </c>
      <c r="AF34" s="223">
        <v>1</v>
      </c>
      <c r="AG34" s="223">
        <v>1</v>
      </c>
      <c r="AH34" s="223">
        <v>1</v>
      </c>
      <c r="AI34" s="223">
        <v>1</v>
      </c>
      <c r="AJ34" s="223">
        <v>1</v>
      </c>
      <c r="AK34" s="223">
        <v>1</v>
      </c>
      <c r="AL34" s="223">
        <v>1</v>
      </c>
      <c r="AM34" s="223">
        <v>1</v>
      </c>
      <c r="AN34" s="292">
        <v>-1</v>
      </c>
      <c r="AO34" s="428">
        <v>0</v>
      </c>
    </row>
    <row r="35" spans="1:41">
      <c r="A35" s="328" t="str">
        <f>+States!A34</f>
        <v>Xfeoh</v>
      </c>
      <c r="B35" s="227">
        <v>0</v>
      </c>
      <c r="C35" s="223">
        <f>+'Microbial Model'!$Z18</f>
        <v>0</v>
      </c>
      <c r="D35" s="223">
        <f>+'Microbial Model'!$AK18</f>
        <v>0</v>
      </c>
      <c r="E35" s="223">
        <f>+'Microbial Model'!$AV18</f>
        <v>0</v>
      </c>
      <c r="F35" s="223">
        <f>+'Microbial Model'!$BG18</f>
        <v>0</v>
      </c>
      <c r="G35" s="223">
        <f>+'Microbial Model'!$BR18</f>
        <v>0</v>
      </c>
      <c r="H35" s="223">
        <f>+'Microbial Model'!$CC18</f>
        <v>0</v>
      </c>
      <c r="I35" s="223">
        <f>+'Microbial Model'!$CN18</f>
        <v>0</v>
      </c>
      <c r="J35" s="223">
        <f>+'Microbial Model'!$CN18</f>
        <v>0</v>
      </c>
      <c r="K35" s="223">
        <f>+'Microbial Model'!$DJ18</f>
        <v>0</v>
      </c>
      <c r="L35" s="223">
        <f>+'Microbial Model'!$DJ18</f>
        <v>0</v>
      </c>
      <c r="M35" s="223">
        <f>+'Microbial Model'!$EF18</f>
        <v>0</v>
      </c>
      <c r="N35" s="223">
        <f>+'Microbial Model'!$EQ18</f>
        <v>0</v>
      </c>
      <c r="O35" s="223">
        <v>0</v>
      </c>
      <c r="P35" s="223">
        <v>0</v>
      </c>
      <c r="Q35" s="223">
        <v>0</v>
      </c>
      <c r="R35" s="223">
        <v>0</v>
      </c>
      <c r="S35" s="223">
        <f>+'Microbial Model'!$GT18</f>
        <v>0</v>
      </c>
      <c r="T35" s="223">
        <f>+'Microbial Model'!$HE18</f>
        <v>0</v>
      </c>
      <c r="U35" s="223">
        <f>+'Microbial Model'!$HP18</f>
        <v>0</v>
      </c>
      <c r="V35" s="228">
        <f>+'Microbial Model'!$IA18</f>
        <v>0</v>
      </c>
      <c r="W35" s="228">
        <v>1</v>
      </c>
      <c r="X35" s="227">
        <v>0</v>
      </c>
      <c r="Y35" s="223">
        <v>0</v>
      </c>
      <c r="Z35" s="223">
        <v>0</v>
      </c>
      <c r="AA35" s="223">
        <v>0</v>
      </c>
      <c r="AB35" s="223">
        <v>0</v>
      </c>
      <c r="AC35" s="223">
        <v>0</v>
      </c>
      <c r="AD35" s="223">
        <v>0</v>
      </c>
      <c r="AE35" s="223">
        <v>0</v>
      </c>
      <c r="AF35" s="223">
        <v>0</v>
      </c>
      <c r="AG35" s="223">
        <v>0</v>
      </c>
      <c r="AH35" s="223">
        <v>0</v>
      </c>
      <c r="AI35" s="223">
        <v>0</v>
      </c>
      <c r="AJ35" s="223">
        <v>0</v>
      </c>
      <c r="AK35" s="223">
        <v>0</v>
      </c>
      <c r="AL35" s="223">
        <v>0</v>
      </c>
      <c r="AM35" s="223">
        <v>0</v>
      </c>
      <c r="AN35" s="292">
        <f>+(1-$AN$36)*'Microbial Model'!$IF18</f>
        <v>0</v>
      </c>
      <c r="AO35" s="428">
        <v>0</v>
      </c>
    </row>
    <row r="36" spans="1:41" ht="13.8" thickBot="1">
      <c r="A36" s="329" t="str">
        <f>+States!A35</f>
        <v>Xi</v>
      </c>
      <c r="B36" s="229">
        <v>0</v>
      </c>
      <c r="C36" s="230">
        <v>0</v>
      </c>
      <c r="D36" s="230">
        <v>0</v>
      </c>
      <c r="E36" s="230">
        <v>0</v>
      </c>
      <c r="F36" s="230">
        <v>0</v>
      </c>
      <c r="G36" s="230">
        <v>0</v>
      </c>
      <c r="H36" s="230">
        <v>0</v>
      </c>
      <c r="I36" s="230">
        <v>0</v>
      </c>
      <c r="J36" s="230">
        <v>0</v>
      </c>
      <c r="K36" s="230">
        <v>0</v>
      </c>
      <c r="L36" s="230">
        <v>0</v>
      </c>
      <c r="M36" s="230">
        <v>0</v>
      </c>
      <c r="N36" s="230">
        <v>0</v>
      </c>
      <c r="O36" s="230">
        <v>0</v>
      </c>
      <c r="P36" s="230">
        <v>0</v>
      </c>
      <c r="Q36" s="230">
        <v>0</v>
      </c>
      <c r="R36" s="230">
        <v>0</v>
      </c>
      <c r="S36" s="230">
        <v>0</v>
      </c>
      <c r="T36" s="230">
        <v>0</v>
      </c>
      <c r="U36" s="230">
        <v>0</v>
      </c>
      <c r="V36" s="231">
        <v>0</v>
      </c>
      <c r="W36" s="231">
        <v>0</v>
      </c>
      <c r="X36" s="229">
        <v>0</v>
      </c>
      <c r="Y36" s="230">
        <v>0</v>
      </c>
      <c r="Z36" s="230">
        <v>0</v>
      </c>
      <c r="AA36" s="230">
        <v>0</v>
      </c>
      <c r="AB36" s="230">
        <v>0</v>
      </c>
      <c r="AC36" s="230">
        <v>0</v>
      </c>
      <c r="AD36" s="230">
        <v>0</v>
      </c>
      <c r="AE36" s="230">
        <v>0</v>
      </c>
      <c r="AF36" s="230">
        <v>0</v>
      </c>
      <c r="AG36" s="230">
        <v>0</v>
      </c>
      <c r="AH36" s="230">
        <v>0</v>
      </c>
      <c r="AI36" s="230">
        <v>0</v>
      </c>
      <c r="AJ36" s="230">
        <v>0</v>
      </c>
      <c r="AK36" s="230">
        <v>0</v>
      </c>
      <c r="AL36" s="230">
        <v>0</v>
      </c>
      <c r="AM36" s="230">
        <v>0</v>
      </c>
      <c r="AN36" s="293">
        <f>+'Microbial Model'!$IF$27</f>
        <v>0.23499999999999999</v>
      </c>
      <c r="AO36" s="428">
        <v>0</v>
      </c>
    </row>
    <row r="37" spans="1:41">
      <c r="A37" s="327" t="str">
        <f>+States!A36</f>
        <v>Gch4</v>
      </c>
      <c r="B37" s="224">
        <v>0</v>
      </c>
      <c r="C37" s="225">
        <v>0</v>
      </c>
      <c r="D37" s="225">
        <v>0</v>
      </c>
      <c r="E37" s="225">
        <v>0</v>
      </c>
      <c r="F37" s="225">
        <v>0</v>
      </c>
      <c r="G37" s="225">
        <v>0</v>
      </c>
      <c r="H37" s="225">
        <v>0</v>
      </c>
      <c r="I37" s="225">
        <v>0</v>
      </c>
      <c r="J37" s="225">
        <v>0</v>
      </c>
      <c r="K37" s="225">
        <v>0</v>
      </c>
      <c r="L37" s="225">
        <v>0</v>
      </c>
      <c r="M37" s="225">
        <v>0</v>
      </c>
      <c r="N37" s="225">
        <v>0</v>
      </c>
      <c r="O37" s="225">
        <v>0</v>
      </c>
      <c r="P37" s="225">
        <v>0</v>
      </c>
      <c r="Q37" s="225">
        <v>0</v>
      </c>
      <c r="R37" s="225">
        <v>0</v>
      </c>
      <c r="S37" s="225">
        <v>0</v>
      </c>
      <c r="T37" s="225">
        <v>0</v>
      </c>
      <c r="U37" s="225">
        <v>0</v>
      </c>
      <c r="V37" s="226">
        <v>0</v>
      </c>
      <c r="W37" s="226">
        <v>0</v>
      </c>
      <c r="X37" s="224">
        <v>0</v>
      </c>
      <c r="Y37" s="225">
        <v>0</v>
      </c>
      <c r="Z37" s="225">
        <v>0</v>
      </c>
      <c r="AA37" s="225">
        <v>0</v>
      </c>
      <c r="AB37" s="225">
        <v>0</v>
      </c>
      <c r="AC37" s="225">
        <v>0</v>
      </c>
      <c r="AD37" s="225">
        <v>0</v>
      </c>
      <c r="AE37" s="225">
        <v>0</v>
      </c>
      <c r="AF37" s="225">
        <v>0</v>
      </c>
      <c r="AG37" s="225">
        <v>0</v>
      </c>
      <c r="AH37" s="225">
        <v>0</v>
      </c>
      <c r="AI37" s="225">
        <v>0</v>
      </c>
      <c r="AJ37" s="225">
        <v>0</v>
      </c>
      <c r="AK37" s="225">
        <v>0</v>
      </c>
      <c r="AL37" s="225">
        <v>0</v>
      </c>
      <c r="AM37" s="225">
        <v>0</v>
      </c>
      <c r="AN37" s="291">
        <v>0</v>
      </c>
      <c r="AO37" s="427">
        <v>0</v>
      </c>
    </row>
    <row r="38" spans="1:41">
      <c r="A38" s="328" t="str">
        <f>+States!A37</f>
        <v>Gco2</v>
      </c>
      <c r="B38" s="227">
        <v>0</v>
      </c>
      <c r="C38" s="223">
        <v>0</v>
      </c>
      <c r="D38" s="223">
        <v>0</v>
      </c>
      <c r="E38" s="223">
        <v>0</v>
      </c>
      <c r="F38" s="223">
        <v>0</v>
      </c>
      <c r="G38" s="223">
        <v>0</v>
      </c>
      <c r="H38" s="223">
        <v>0</v>
      </c>
      <c r="I38" s="223">
        <v>0</v>
      </c>
      <c r="J38" s="223">
        <v>0</v>
      </c>
      <c r="K38" s="223">
        <v>0</v>
      </c>
      <c r="L38" s="223">
        <v>0</v>
      </c>
      <c r="M38" s="223">
        <v>0</v>
      </c>
      <c r="N38" s="223">
        <v>0</v>
      </c>
      <c r="O38" s="223">
        <v>0</v>
      </c>
      <c r="P38" s="223">
        <v>0</v>
      </c>
      <c r="Q38" s="223">
        <v>0</v>
      </c>
      <c r="R38" s="223">
        <v>0</v>
      </c>
      <c r="S38" s="223">
        <v>0</v>
      </c>
      <c r="T38" s="223">
        <v>0</v>
      </c>
      <c r="U38" s="223">
        <v>0</v>
      </c>
      <c r="V38" s="228">
        <v>0</v>
      </c>
      <c r="W38" s="228">
        <v>0</v>
      </c>
      <c r="X38" s="227">
        <v>0</v>
      </c>
      <c r="Y38" s="223">
        <v>0</v>
      </c>
      <c r="Z38" s="223">
        <v>0</v>
      </c>
      <c r="AA38" s="223">
        <v>0</v>
      </c>
      <c r="AB38" s="223">
        <v>0</v>
      </c>
      <c r="AC38" s="223">
        <v>0</v>
      </c>
      <c r="AD38" s="223">
        <v>0</v>
      </c>
      <c r="AE38" s="223">
        <v>0</v>
      </c>
      <c r="AF38" s="223">
        <v>0</v>
      </c>
      <c r="AG38" s="223">
        <v>0</v>
      </c>
      <c r="AH38" s="223">
        <v>0</v>
      </c>
      <c r="AI38" s="223">
        <v>0</v>
      </c>
      <c r="AJ38" s="223">
        <v>0</v>
      </c>
      <c r="AK38" s="223">
        <v>0</v>
      </c>
      <c r="AL38" s="223">
        <v>0</v>
      </c>
      <c r="AM38" s="223">
        <v>0</v>
      </c>
      <c r="AN38" s="292">
        <v>0</v>
      </c>
      <c r="AO38" s="428">
        <v>0</v>
      </c>
    </row>
    <row r="39" spans="1:41">
      <c r="A39" s="328" t="str">
        <f>+States!A38</f>
        <v>Gh2</v>
      </c>
      <c r="B39" s="227">
        <v>0</v>
      </c>
      <c r="C39" s="223">
        <v>0</v>
      </c>
      <c r="D39" s="223">
        <v>0</v>
      </c>
      <c r="E39" s="223">
        <v>0</v>
      </c>
      <c r="F39" s="223">
        <v>0</v>
      </c>
      <c r="G39" s="223">
        <v>0</v>
      </c>
      <c r="H39" s="223">
        <v>0</v>
      </c>
      <c r="I39" s="223">
        <v>0</v>
      </c>
      <c r="J39" s="223">
        <v>0</v>
      </c>
      <c r="K39" s="223">
        <v>0</v>
      </c>
      <c r="L39" s="223">
        <v>0</v>
      </c>
      <c r="M39" s="223">
        <v>0</v>
      </c>
      <c r="N39" s="223">
        <v>0</v>
      </c>
      <c r="O39" s="223">
        <v>0</v>
      </c>
      <c r="P39" s="223">
        <v>0</v>
      </c>
      <c r="Q39" s="223">
        <v>0</v>
      </c>
      <c r="R39" s="223">
        <v>0</v>
      </c>
      <c r="S39" s="223">
        <v>0</v>
      </c>
      <c r="T39" s="223">
        <v>0</v>
      </c>
      <c r="U39" s="223">
        <v>0</v>
      </c>
      <c r="V39" s="228">
        <v>0</v>
      </c>
      <c r="W39" s="228">
        <v>0</v>
      </c>
      <c r="X39" s="227">
        <v>0</v>
      </c>
      <c r="Y39" s="223">
        <v>0</v>
      </c>
      <c r="Z39" s="223">
        <v>0</v>
      </c>
      <c r="AA39" s="223">
        <v>0</v>
      </c>
      <c r="AB39" s="223">
        <v>0</v>
      </c>
      <c r="AC39" s="223">
        <v>0</v>
      </c>
      <c r="AD39" s="223">
        <v>0</v>
      </c>
      <c r="AE39" s="223">
        <v>0</v>
      </c>
      <c r="AF39" s="223">
        <v>0</v>
      </c>
      <c r="AG39" s="223">
        <v>0</v>
      </c>
      <c r="AH39" s="223">
        <v>0</v>
      </c>
      <c r="AI39" s="223">
        <v>0</v>
      </c>
      <c r="AJ39" s="223">
        <v>0</v>
      </c>
      <c r="AK39" s="223">
        <v>0</v>
      </c>
      <c r="AL39" s="223">
        <v>0</v>
      </c>
      <c r="AM39" s="223">
        <v>0</v>
      </c>
      <c r="AN39" s="292">
        <v>0</v>
      </c>
      <c r="AO39" s="428">
        <v>0</v>
      </c>
    </row>
    <row r="40" spans="1:41">
      <c r="A40" s="328" t="str">
        <f>+States!A39</f>
        <v>Gn2</v>
      </c>
      <c r="B40" s="227">
        <v>0</v>
      </c>
      <c r="C40" s="223">
        <v>0</v>
      </c>
      <c r="D40" s="223">
        <v>0</v>
      </c>
      <c r="E40" s="223">
        <v>0</v>
      </c>
      <c r="F40" s="223">
        <v>0</v>
      </c>
      <c r="G40" s="223">
        <v>0</v>
      </c>
      <c r="H40" s="223">
        <v>0</v>
      </c>
      <c r="I40" s="223">
        <v>0</v>
      </c>
      <c r="J40" s="223">
        <v>0</v>
      </c>
      <c r="K40" s="223">
        <v>0</v>
      </c>
      <c r="L40" s="223">
        <v>0</v>
      </c>
      <c r="M40" s="223">
        <v>0</v>
      </c>
      <c r="N40" s="223">
        <v>0</v>
      </c>
      <c r="O40" s="223">
        <v>0</v>
      </c>
      <c r="P40" s="223">
        <v>0</v>
      </c>
      <c r="Q40" s="223">
        <v>0</v>
      </c>
      <c r="R40" s="223">
        <v>0</v>
      </c>
      <c r="S40" s="223">
        <v>0</v>
      </c>
      <c r="T40" s="223">
        <v>0</v>
      </c>
      <c r="U40" s="223">
        <v>0</v>
      </c>
      <c r="V40" s="228">
        <v>0</v>
      </c>
      <c r="W40" s="228">
        <v>0</v>
      </c>
      <c r="X40" s="227">
        <v>0</v>
      </c>
      <c r="Y40" s="223">
        <v>0</v>
      </c>
      <c r="Z40" s="223">
        <v>0</v>
      </c>
      <c r="AA40" s="223">
        <v>0</v>
      </c>
      <c r="AB40" s="223">
        <v>0</v>
      </c>
      <c r="AC40" s="223">
        <v>0</v>
      </c>
      <c r="AD40" s="223">
        <v>0</v>
      </c>
      <c r="AE40" s="223">
        <v>0</v>
      </c>
      <c r="AF40" s="223">
        <v>0</v>
      </c>
      <c r="AG40" s="223">
        <v>0</v>
      </c>
      <c r="AH40" s="223">
        <v>0</v>
      </c>
      <c r="AI40" s="223">
        <v>0</v>
      </c>
      <c r="AJ40" s="223">
        <v>0</v>
      </c>
      <c r="AK40" s="223">
        <v>0</v>
      </c>
      <c r="AL40" s="223">
        <v>0</v>
      </c>
      <c r="AM40" s="223">
        <v>0</v>
      </c>
      <c r="AN40" s="292">
        <v>0</v>
      </c>
      <c r="AO40" s="428">
        <v>0</v>
      </c>
    </row>
    <row r="41" spans="1:41">
      <c r="A41" s="328" t="str">
        <f>+States!A40</f>
        <v>Gsh2</v>
      </c>
      <c r="B41" s="227">
        <v>0</v>
      </c>
      <c r="C41" s="223">
        <v>0</v>
      </c>
      <c r="D41" s="223">
        <v>0</v>
      </c>
      <c r="E41" s="223">
        <v>0</v>
      </c>
      <c r="F41" s="223">
        <v>0</v>
      </c>
      <c r="G41" s="223">
        <v>0</v>
      </c>
      <c r="H41" s="223">
        <v>0</v>
      </c>
      <c r="I41" s="223">
        <v>0</v>
      </c>
      <c r="J41" s="223">
        <v>0</v>
      </c>
      <c r="K41" s="223">
        <v>0</v>
      </c>
      <c r="L41" s="223">
        <v>0</v>
      </c>
      <c r="M41" s="223">
        <v>0</v>
      </c>
      <c r="N41" s="223">
        <v>0</v>
      </c>
      <c r="O41" s="223">
        <v>0</v>
      </c>
      <c r="P41" s="223">
        <v>0</v>
      </c>
      <c r="Q41" s="223">
        <v>0</v>
      </c>
      <c r="R41" s="223">
        <v>0</v>
      </c>
      <c r="S41" s="223">
        <v>0</v>
      </c>
      <c r="T41" s="223">
        <v>0</v>
      </c>
      <c r="U41" s="223">
        <v>0</v>
      </c>
      <c r="V41" s="228">
        <v>0</v>
      </c>
      <c r="W41" s="228">
        <v>0</v>
      </c>
      <c r="X41" s="227">
        <v>0</v>
      </c>
      <c r="Y41" s="223">
        <v>0</v>
      </c>
      <c r="Z41" s="223">
        <v>0</v>
      </c>
      <c r="AA41" s="223">
        <v>0</v>
      </c>
      <c r="AB41" s="223">
        <v>0</v>
      </c>
      <c r="AC41" s="223">
        <v>0</v>
      </c>
      <c r="AD41" s="223">
        <v>0</v>
      </c>
      <c r="AE41" s="223">
        <v>0</v>
      </c>
      <c r="AF41" s="223">
        <v>0</v>
      </c>
      <c r="AG41" s="223">
        <v>0</v>
      </c>
      <c r="AH41" s="223">
        <v>0</v>
      </c>
      <c r="AI41" s="223">
        <v>0</v>
      </c>
      <c r="AJ41" s="223">
        <v>0</v>
      </c>
      <c r="AK41" s="223">
        <v>0</v>
      </c>
      <c r="AL41" s="223">
        <v>0</v>
      </c>
      <c r="AM41" s="223">
        <v>0</v>
      </c>
      <c r="AN41" s="292">
        <v>0</v>
      </c>
      <c r="AO41" s="428">
        <v>0</v>
      </c>
    </row>
    <row r="42" spans="1:41" ht="13.8" thickBot="1">
      <c r="A42" s="329" t="str">
        <f>+States!A41</f>
        <v>Go2</v>
      </c>
      <c r="B42" s="229">
        <v>0</v>
      </c>
      <c r="C42" s="230">
        <v>0</v>
      </c>
      <c r="D42" s="230">
        <v>0</v>
      </c>
      <c r="E42" s="230">
        <v>0</v>
      </c>
      <c r="F42" s="230">
        <v>0</v>
      </c>
      <c r="G42" s="230">
        <v>0</v>
      </c>
      <c r="H42" s="230">
        <v>0</v>
      </c>
      <c r="I42" s="230">
        <v>0</v>
      </c>
      <c r="J42" s="230">
        <v>0</v>
      </c>
      <c r="K42" s="230">
        <v>0</v>
      </c>
      <c r="L42" s="230">
        <v>0</v>
      </c>
      <c r="M42" s="230">
        <v>0</v>
      </c>
      <c r="N42" s="230">
        <v>0</v>
      </c>
      <c r="O42" s="230">
        <v>0</v>
      </c>
      <c r="P42" s="230">
        <v>0</v>
      </c>
      <c r="Q42" s="230">
        <v>0</v>
      </c>
      <c r="R42" s="230">
        <v>0</v>
      </c>
      <c r="S42" s="230">
        <v>0</v>
      </c>
      <c r="T42" s="230">
        <v>0</v>
      </c>
      <c r="U42" s="230">
        <v>0</v>
      </c>
      <c r="V42" s="231">
        <v>0</v>
      </c>
      <c r="W42" s="231">
        <v>0</v>
      </c>
      <c r="X42" s="229">
        <v>0</v>
      </c>
      <c r="Y42" s="230">
        <v>0</v>
      </c>
      <c r="Z42" s="230">
        <v>0</v>
      </c>
      <c r="AA42" s="230">
        <v>0</v>
      </c>
      <c r="AB42" s="230">
        <v>0</v>
      </c>
      <c r="AC42" s="230">
        <v>0</v>
      </c>
      <c r="AD42" s="230">
        <v>0</v>
      </c>
      <c r="AE42" s="230">
        <v>0</v>
      </c>
      <c r="AF42" s="230">
        <v>0</v>
      </c>
      <c r="AG42" s="230">
        <v>0</v>
      </c>
      <c r="AH42" s="230">
        <v>0</v>
      </c>
      <c r="AI42" s="230">
        <v>0</v>
      </c>
      <c r="AJ42" s="230">
        <v>0</v>
      </c>
      <c r="AK42" s="230">
        <v>0</v>
      </c>
      <c r="AL42" s="230">
        <v>0</v>
      </c>
      <c r="AM42" s="230">
        <v>0</v>
      </c>
      <c r="AN42" s="293">
        <v>0</v>
      </c>
      <c r="AO42" s="428">
        <v>0</v>
      </c>
    </row>
    <row r="43" spans="1:41" ht="13.8" thickBot="1">
      <c r="A43" s="329" t="s">
        <v>119</v>
      </c>
      <c r="B43" s="229">
        <f>+'Phytoplankton Model'!Y20</f>
        <v>-0.60000000000000009</v>
      </c>
      <c r="C43" s="230">
        <f>+'Microbial Model'!Z20</f>
        <v>-1.5</v>
      </c>
      <c r="D43" s="230">
        <f>+'Microbial Model'!AK20</f>
        <v>3.6560264617887546</v>
      </c>
      <c r="E43" s="230">
        <f>+'Microbial Model'!$AV17</f>
        <v>-1.0320174937814977</v>
      </c>
      <c r="F43" s="230">
        <f>+'Microbial Model'!$BG20</f>
        <v>0.94176418017971419</v>
      </c>
      <c r="G43" s="230">
        <f>+'Microbial Model'!$BR20</f>
        <v>-1.7190238927881817E-2</v>
      </c>
      <c r="H43" s="230">
        <f>+'Microbial Model'!$CC20</f>
        <v>3.5747354899656543</v>
      </c>
      <c r="I43" s="230">
        <f>+'Microbial Model'!$CN20</f>
        <v>1.6697788576247379</v>
      </c>
      <c r="J43" s="230">
        <f>+'Microbial Model'!$CY20</f>
        <v>1.2040950041390408</v>
      </c>
      <c r="K43" s="230">
        <f>+'Microbial Model'!$DJ20</f>
        <v>1.9523099829697699</v>
      </c>
      <c r="L43" s="230">
        <f>+'Microbial Model'!$DU20</f>
        <v>1.007948336171705</v>
      </c>
      <c r="M43" s="230">
        <f>+'Microbial Model'!$EF20</f>
        <v>-0.33798905881366048</v>
      </c>
      <c r="N43" s="230">
        <f>+'Microbial Model'!$EQ20</f>
        <v>0.1092188900460223</v>
      </c>
      <c r="O43" s="230">
        <f>+'Microbial Model'!$FB20</f>
        <v>0.50485110577417003</v>
      </c>
      <c r="P43" s="230">
        <f>+'Microbial Model'!$FM20</f>
        <v>0.60021036183925291</v>
      </c>
      <c r="Q43" s="230">
        <f>+'Microbial Model'!$FX20</f>
        <v>-0.75170844821751193</v>
      </c>
      <c r="R43" s="230">
        <f>+'Microbial Model'!$GI20</f>
        <v>0.104024295981874</v>
      </c>
      <c r="S43" s="230">
        <f>+'Microbial Model'!$GT20</f>
        <v>4.4999999999999998E-2</v>
      </c>
      <c r="T43" s="230">
        <f>+'Microbial Model'!$HE20</f>
        <v>0.51349999999999996</v>
      </c>
      <c r="U43" s="230">
        <f>+'Microbial Model'!$HP20</f>
        <v>1.6778674064541246</v>
      </c>
      <c r="V43" s="231">
        <f>+'Microbial Model'!$IA20</f>
        <v>1.9848841845232661</v>
      </c>
      <c r="W43" s="231">
        <f>+'Microbial Model'!ID20</f>
        <v>-2</v>
      </c>
      <c r="X43" s="229">
        <f>+'Microbial Model'!$IH20</f>
        <v>-0.11749999999999999</v>
      </c>
      <c r="Y43" s="230">
        <v>0</v>
      </c>
      <c r="Z43" s="230">
        <v>0</v>
      </c>
      <c r="AA43" s="230">
        <v>0</v>
      </c>
      <c r="AB43" s="230">
        <v>0</v>
      </c>
      <c r="AC43" s="230">
        <v>0</v>
      </c>
      <c r="AD43" s="230">
        <v>0</v>
      </c>
      <c r="AE43" s="230">
        <v>0</v>
      </c>
      <c r="AF43" s="230">
        <v>0</v>
      </c>
      <c r="AG43" s="230">
        <v>0</v>
      </c>
      <c r="AH43" s="230">
        <v>0</v>
      </c>
      <c r="AI43" s="230">
        <v>0</v>
      </c>
      <c r="AJ43" s="230">
        <v>0</v>
      </c>
      <c r="AK43" s="230">
        <v>0</v>
      </c>
      <c r="AL43" s="230">
        <v>0</v>
      </c>
      <c r="AM43" s="230">
        <v>0</v>
      </c>
      <c r="AN43" s="293">
        <f>+'Microbial Model'!IF20</f>
        <v>-0.5</v>
      </c>
      <c r="AO43" s="427">
        <v>0</v>
      </c>
    </row>
    <row r="44" spans="1:41" ht="13.8" thickBot="1">
      <c r="A44" s="330" t="s">
        <v>123</v>
      </c>
      <c r="B44" s="400">
        <f>+'Phytoplankton Model'!Y21</f>
        <v>0.15300000000000047</v>
      </c>
      <c r="C44" s="401">
        <f>+'Microbial Model'!Z21</f>
        <v>1.92</v>
      </c>
      <c r="D44" s="401">
        <f>+'Microbial Model'!AK21</f>
        <v>0.78132451273708181</v>
      </c>
      <c r="E44" s="401">
        <f>+'Microbial Model'!$AV18</f>
        <v>0</v>
      </c>
      <c r="F44" s="401">
        <f>+'Microbial Model'!$BG21</f>
        <v>1.9854410450449287</v>
      </c>
      <c r="G44" s="401">
        <f>+'Microbial Model'!$BR21</f>
        <v>-4.2975597319704368E-3</v>
      </c>
      <c r="H44" s="401">
        <f>+'Microbial Model'!$CC21</f>
        <v>-1.4432942538891511</v>
      </c>
      <c r="I44" s="401">
        <f>+'Microbial Model'!$CN21</f>
        <v>-1.8137592053041656</v>
      </c>
      <c r="J44" s="401">
        <f>+'Microbial Model'!$CY21</f>
        <v>-0.46961507036369399</v>
      </c>
      <c r="K44" s="401">
        <f>+'Microbial Model'!$DJ21</f>
        <v>-1.9423745627551385</v>
      </c>
      <c r="L44" s="401">
        <f>+'Microbial Model'!$DU21</f>
        <v>-0.2554644811180472</v>
      </c>
      <c r="M44" s="401">
        <f>+'Microbial Model'!$EF21</f>
        <v>1.1126630196045539</v>
      </c>
      <c r="N44" s="401">
        <f>+'Microbial Model'!$EQ21</f>
        <v>-0.11945661916245111</v>
      </c>
      <c r="O44" s="401">
        <f>+'Microbial Model'!$FB21</f>
        <v>-1.016978870209595</v>
      </c>
      <c r="P44" s="401">
        <f>+'Microbial Model'!$FM21</f>
        <v>-1.2035761512672984</v>
      </c>
      <c r="Q44" s="401">
        <f>+'Microbial Model'!$FX21</f>
        <v>3.6712225285800315</v>
      </c>
      <c r="R44" s="401">
        <f>+'Microbial Model'!$GI21</f>
        <v>1.895975704018126</v>
      </c>
      <c r="S44" s="401">
        <f>+'Microbial Model'!$GT21</f>
        <v>-0.97999999999999987</v>
      </c>
      <c r="T44" s="401">
        <f>+'Microbial Model'!$HE21</f>
        <v>6.0000000000000053E-3</v>
      </c>
      <c r="U44" s="401">
        <f>+'Microbial Model'!$HP21</f>
        <v>0.10737753118195847</v>
      </c>
      <c r="V44" s="402">
        <f>+'Microbial Model'!$IA21</f>
        <v>-0.9817350562989462</v>
      </c>
      <c r="W44" s="402">
        <f>+'Microbial Model'!ID21</f>
        <v>3</v>
      </c>
      <c r="X44" s="400">
        <f>+'Microbial Model'!$IH21</f>
        <v>0</v>
      </c>
      <c r="Y44" s="401">
        <v>0</v>
      </c>
      <c r="Z44" s="401">
        <v>0</v>
      </c>
      <c r="AA44" s="401">
        <v>0</v>
      </c>
      <c r="AB44" s="401">
        <v>0</v>
      </c>
      <c r="AC44" s="401">
        <v>0</v>
      </c>
      <c r="AD44" s="401">
        <v>0</v>
      </c>
      <c r="AE44" s="401">
        <v>0</v>
      </c>
      <c r="AF44" s="401">
        <v>0</v>
      </c>
      <c r="AG44" s="401">
        <v>0</v>
      </c>
      <c r="AH44" s="401">
        <v>0</v>
      </c>
      <c r="AI44" s="401">
        <v>0</v>
      </c>
      <c r="AJ44" s="401">
        <v>0</v>
      </c>
      <c r="AK44" s="401">
        <v>0</v>
      </c>
      <c r="AL44" s="401">
        <v>0</v>
      </c>
      <c r="AM44" s="401">
        <v>0</v>
      </c>
      <c r="AN44" s="397">
        <f>+'Microbial Model'!IF21</f>
        <v>-0.153</v>
      </c>
      <c r="AO44" s="429">
        <v>0</v>
      </c>
    </row>
  </sheetData>
  <phoneticPr fontId="3" type="noConversion"/>
  <conditionalFormatting sqref="B2:AN4 B6:AN44 B5:D5 F5:AN5">
    <cfRule type="cellIs" dxfId="52" priority="8" stopIfTrue="1" operator="lessThan">
      <formula>-0.0001</formula>
    </cfRule>
    <cfRule type="cellIs" dxfId="51" priority="9" stopIfTrue="1" operator="greaterThan">
      <formula>0.0001</formula>
    </cfRule>
  </conditionalFormatting>
  <conditionalFormatting sqref="E5">
    <cfRule type="cellIs" dxfId="50" priority="6" stopIfTrue="1" operator="lessThan">
      <formula>-0.0001</formula>
    </cfRule>
    <cfRule type="cellIs" dxfId="49" priority="7" stopIfTrue="1" operator="greaterThan">
      <formula>0.0001</formula>
    </cfRule>
  </conditionalFormatting>
  <conditionalFormatting sqref="AO2:AO10">
    <cfRule type="cellIs" dxfId="48" priority="2" stopIfTrue="1" operator="notEqual">
      <formula>0</formula>
    </cfRule>
  </conditionalFormatting>
  <conditionalFormatting sqref="AO11:AO44">
    <cfRule type="cellIs" dxfId="47" priority="1" stopIfTrue="1" operator="notEqual">
      <formula>0</formula>
    </cfRule>
  </conditionalFormatting>
  <pageMargins left="0.75" right="0.75" top="1" bottom="1"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45"/>
  <sheetViews>
    <sheetView workbookViewId="0">
      <selection activeCell="D45" sqref="D45"/>
    </sheetView>
  </sheetViews>
  <sheetFormatPr defaultColWidth="11.44140625" defaultRowHeight="13.2"/>
  <cols>
    <col min="1" max="1" width="9.5546875" style="186" bestFit="1" customWidth="1"/>
    <col min="2" max="17" width="7.6640625" style="187" customWidth="1"/>
    <col min="18" max="18" width="9" style="187" bestFit="1" customWidth="1"/>
    <col min="19" max="22" width="7.6640625" style="187" customWidth="1"/>
    <col min="23" max="40" width="6.6640625" style="187" customWidth="1"/>
    <col min="41" max="16384" width="11.44140625" style="187"/>
  </cols>
  <sheetData>
    <row r="1" spans="1:41" s="186" customFormat="1" ht="13.8" thickBot="1">
      <c r="A1" s="185"/>
      <c r="B1" s="186" t="s">
        <v>428</v>
      </c>
      <c r="C1" s="186" t="s">
        <v>429</v>
      </c>
      <c r="D1" s="186" t="s">
        <v>455</v>
      </c>
      <c r="E1" s="186" t="s">
        <v>456</v>
      </c>
      <c r="F1" s="186" t="s">
        <v>430</v>
      </c>
      <c r="G1" s="186" t="s">
        <v>431</v>
      </c>
      <c r="H1" s="186" t="s">
        <v>446</v>
      </c>
      <c r="I1" s="186" t="s">
        <v>447</v>
      </c>
      <c r="J1" s="186" t="s">
        <v>782</v>
      </c>
      <c r="K1" s="186" t="s">
        <v>432</v>
      </c>
      <c r="L1" s="186" t="s">
        <v>783</v>
      </c>
      <c r="M1" s="186" t="s">
        <v>433</v>
      </c>
      <c r="N1" s="186" t="s">
        <v>434</v>
      </c>
      <c r="O1" s="186" t="s">
        <v>435</v>
      </c>
      <c r="P1" s="186" t="s">
        <v>436</v>
      </c>
      <c r="Q1" s="186" t="s">
        <v>437</v>
      </c>
      <c r="R1" s="186" t="s">
        <v>784</v>
      </c>
      <c r="S1" s="186" t="s">
        <v>438</v>
      </c>
      <c r="T1" s="186" t="s">
        <v>439</v>
      </c>
      <c r="U1" s="186" t="s">
        <v>440</v>
      </c>
      <c r="V1" s="186" t="s">
        <v>441</v>
      </c>
      <c r="W1" s="330" t="s">
        <v>763</v>
      </c>
      <c r="X1" s="186" t="s">
        <v>457</v>
      </c>
      <c r="Y1" s="186" t="s">
        <v>458</v>
      </c>
      <c r="Z1" s="186" t="s">
        <v>801</v>
      </c>
      <c r="AA1" s="186" t="s">
        <v>459</v>
      </c>
      <c r="AB1" s="186" t="s">
        <v>460</v>
      </c>
      <c r="AC1" s="186" t="s">
        <v>786</v>
      </c>
      <c r="AD1" s="186" t="s">
        <v>461</v>
      </c>
      <c r="AE1" s="186" t="s">
        <v>462</v>
      </c>
      <c r="AF1" s="186" t="s">
        <v>463</v>
      </c>
      <c r="AG1" s="186" t="s">
        <v>464</v>
      </c>
      <c r="AH1" s="186" t="s">
        <v>465</v>
      </c>
      <c r="AI1" s="186" t="s">
        <v>466</v>
      </c>
      <c r="AJ1" s="186" t="s">
        <v>467</v>
      </c>
      <c r="AK1" s="186" t="s">
        <v>468</v>
      </c>
      <c r="AL1" s="186" t="s">
        <v>469</v>
      </c>
      <c r="AM1" s="186" t="s">
        <v>470</v>
      </c>
      <c r="AN1" s="330" t="s">
        <v>442</v>
      </c>
      <c r="AO1" s="330" t="s">
        <v>822</v>
      </c>
    </row>
    <row r="2" spans="1:41">
      <c r="A2" s="327" t="str">
        <f>+States!A1</f>
        <v>Sglu</v>
      </c>
      <c r="B2" s="224">
        <f>+'Phytoplankton Model'!Y4</f>
        <v>0</v>
      </c>
      <c r="C2" s="225">
        <f>+'Microbial Model'!$Z4</f>
        <v>-1</v>
      </c>
      <c r="D2" s="225">
        <f>+'Microbial Model'!$AK4</f>
        <v>-1</v>
      </c>
      <c r="E2" s="225">
        <f>+'Microbial Model'!$AV4</f>
        <v>0</v>
      </c>
      <c r="F2" s="225">
        <f>+'Microbial Model'!$BG4</f>
        <v>0</v>
      </c>
      <c r="G2" s="225">
        <f>+'Microbial Model'!$BR4</f>
        <v>0</v>
      </c>
      <c r="H2" s="225">
        <f>+'Microbial Model'!$CC4</f>
        <v>-1</v>
      </c>
      <c r="I2" s="225">
        <f>+'Microbial Model'!$CN4</f>
        <v>0</v>
      </c>
      <c r="J2" s="225">
        <f>+'Microbial Model'!$CY4</f>
        <v>0</v>
      </c>
      <c r="K2" s="225">
        <f>+'Microbial Model'!$DJ4</f>
        <v>0</v>
      </c>
      <c r="L2" s="225">
        <f>+'Microbial Model'!$DU4</f>
        <v>0</v>
      </c>
      <c r="M2" s="225">
        <f>+'Microbial Model'!$EF4</f>
        <v>0</v>
      </c>
      <c r="N2" s="225">
        <f>+'Microbial Model'!$EQ4</f>
        <v>0</v>
      </c>
      <c r="O2" s="225">
        <f>+'Microbial Model'!$FB4</f>
        <v>0</v>
      </c>
      <c r="P2" s="225">
        <f>+'Microbial Model'!$FM4</f>
        <v>0</v>
      </c>
      <c r="Q2" s="225">
        <f>+'Microbial Model'!$FX4</f>
        <v>0</v>
      </c>
      <c r="R2" s="225">
        <f>+'Microbial Model'!$GI4</f>
        <v>0</v>
      </c>
      <c r="S2" s="225">
        <f>+'Microbial Model'!$GT4</f>
        <v>0</v>
      </c>
      <c r="T2" s="225">
        <f>+'Microbial Model'!$HE4</f>
        <v>0</v>
      </c>
      <c r="U2" s="225">
        <f>+'Microbial Model'!$HP4</f>
        <v>0</v>
      </c>
      <c r="V2" s="226">
        <f>+'Microbial Model'!$IA4</f>
        <v>0</v>
      </c>
      <c r="W2" s="226">
        <f>+'Microbial Model'!ID4</f>
        <v>0</v>
      </c>
      <c r="X2" s="224">
        <f>+'Microbial Model'!$IH4</f>
        <v>3.9166666666666662E-2</v>
      </c>
      <c r="Y2" s="225">
        <v>0</v>
      </c>
      <c r="Z2" s="225">
        <v>0</v>
      </c>
      <c r="AA2" s="225">
        <v>0</v>
      </c>
      <c r="AB2" s="225">
        <v>0</v>
      </c>
      <c r="AC2" s="225">
        <v>0</v>
      </c>
      <c r="AD2" s="225">
        <v>0</v>
      </c>
      <c r="AE2" s="225">
        <v>0</v>
      </c>
      <c r="AF2" s="225">
        <v>0</v>
      </c>
      <c r="AG2" s="225">
        <v>0</v>
      </c>
      <c r="AH2" s="225">
        <v>0</v>
      </c>
      <c r="AI2" s="225">
        <v>0</v>
      </c>
      <c r="AJ2" s="225">
        <v>0</v>
      </c>
      <c r="AK2" s="225">
        <v>0</v>
      </c>
      <c r="AL2" s="225">
        <v>0</v>
      </c>
      <c r="AM2" s="225">
        <v>0</v>
      </c>
      <c r="AN2" s="224">
        <f>+(1-$AN$36)*'Microbial Model'!$IF4</f>
        <v>0.1275</v>
      </c>
      <c r="AO2" s="291">
        <v>0</v>
      </c>
    </row>
    <row r="3" spans="1:41">
      <c r="A3" s="328" t="str">
        <f>+States!A2</f>
        <v>Sac</v>
      </c>
      <c r="B3" s="227">
        <f>+'Phytoplankton Model'!Y5</f>
        <v>0</v>
      </c>
      <c r="C3" s="223">
        <f>+'Microbial Model'!$Z5</f>
        <v>1.7999999999999998</v>
      </c>
      <c r="D3" s="223">
        <f>+'Microbial Model'!$AK5</f>
        <v>0</v>
      </c>
      <c r="E3" s="223">
        <f>+'Microbial Model'!$AV5</f>
        <v>-1</v>
      </c>
      <c r="F3" s="223">
        <f>+'Microbial Model'!$BG5</f>
        <v>0</v>
      </c>
      <c r="G3" s="223">
        <f>+'Microbial Model'!$BR5</f>
        <v>0</v>
      </c>
      <c r="H3" s="223">
        <f>+'Microbial Model'!$CC5</f>
        <v>0</v>
      </c>
      <c r="I3" s="223">
        <f>+'Microbial Model'!$CN5</f>
        <v>-1</v>
      </c>
      <c r="J3" s="223">
        <f>+'Microbial Model'!$CY5</f>
        <v>-0.10237510347602015</v>
      </c>
      <c r="K3" s="223">
        <f>+'Microbial Model'!$DJ5</f>
        <v>-1</v>
      </c>
      <c r="L3" s="223">
        <f>+'Microbial Model'!$DU5</f>
        <v>-9.9354202146312645E-3</v>
      </c>
      <c r="M3" s="223">
        <f>+'Microbial Model'!$EF5</f>
        <v>0</v>
      </c>
      <c r="N3" s="223">
        <f>+'Microbial Model'!$EQ5</f>
        <v>0</v>
      </c>
      <c r="O3" s="223">
        <f>+'Microbial Model'!$FB5</f>
        <v>-1.2127764435424975E-2</v>
      </c>
      <c r="P3" s="223">
        <f>+'Microbial Model'!$FM5</f>
        <v>-5.259045981321063E-3</v>
      </c>
      <c r="Q3" s="223">
        <f>+'Microbial Model'!$FX5</f>
        <v>-1</v>
      </c>
      <c r="R3" s="223">
        <f>+'Microbial Model'!$GI5</f>
        <v>-0.104024295981874</v>
      </c>
      <c r="S3" s="223">
        <f>+'Microbial Model'!$GT5</f>
        <v>-1</v>
      </c>
      <c r="T3" s="223">
        <f>+'Microbial Model'!$HE5</f>
        <v>0</v>
      </c>
      <c r="U3" s="223">
        <f>+'Microbial Model'!$HP5</f>
        <v>0</v>
      </c>
      <c r="V3" s="228">
        <f>+'Microbial Model'!$IA5</f>
        <v>0</v>
      </c>
      <c r="W3" s="228">
        <f>+'Microbial Model'!ID5</f>
        <v>0</v>
      </c>
      <c r="X3" s="227">
        <f>+'Microbial Model'!$IH5</f>
        <v>0</v>
      </c>
      <c r="Y3" s="223">
        <v>0</v>
      </c>
      <c r="Z3" s="223">
        <v>0</v>
      </c>
      <c r="AA3" s="223">
        <v>0</v>
      </c>
      <c r="AB3" s="223">
        <v>0</v>
      </c>
      <c r="AC3" s="223">
        <v>0</v>
      </c>
      <c r="AD3" s="223">
        <v>0</v>
      </c>
      <c r="AE3" s="223">
        <v>0</v>
      </c>
      <c r="AF3" s="223">
        <v>0</v>
      </c>
      <c r="AG3" s="223">
        <v>0</v>
      </c>
      <c r="AH3" s="223">
        <v>0</v>
      </c>
      <c r="AI3" s="223">
        <v>0</v>
      </c>
      <c r="AJ3" s="223">
        <v>0</v>
      </c>
      <c r="AK3" s="223">
        <v>0</v>
      </c>
      <c r="AL3" s="223">
        <v>0</v>
      </c>
      <c r="AM3" s="223">
        <v>0</v>
      </c>
      <c r="AN3" s="227">
        <f>+(1-$AN$36)*'Microbial Model'!$IF5</f>
        <v>0</v>
      </c>
      <c r="AO3" s="292">
        <v>1</v>
      </c>
    </row>
    <row r="4" spans="1:41">
      <c r="A4" s="328" t="str">
        <f>+States!A3</f>
        <v>Sch4</v>
      </c>
      <c r="B4" s="227">
        <f>+'Phytoplankton Model'!Y6</f>
        <v>0</v>
      </c>
      <c r="C4" s="223">
        <f>+'Microbial Model'!$Z6</f>
        <v>0</v>
      </c>
      <c r="D4" s="223">
        <f>+'Microbial Model'!$AK6</f>
        <v>0</v>
      </c>
      <c r="E4" s="223">
        <f>+'Microbial Model'!$AV6</f>
        <v>0</v>
      </c>
      <c r="F4" s="223">
        <f>+'Microbial Model'!$BG6</f>
        <v>0</v>
      </c>
      <c r="G4" s="223">
        <f>+'Microbial Model'!$BR6</f>
        <v>0</v>
      </c>
      <c r="H4" s="223">
        <f>+'Microbial Model'!$CC6</f>
        <v>0</v>
      </c>
      <c r="I4" s="223">
        <f>+'Microbial Model'!$CN6</f>
        <v>0</v>
      </c>
      <c r="J4" s="223">
        <f>+'Microbial Model'!$CY6</f>
        <v>0</v>
      </c>
      <c r="K4" s="223">
        <f>+'Microbial Model'!$DJ6</f>
        <v>0</v>
      </c>
      <c r="L4" s="223">
        <f>+'Microbial Model'!$DU6</f>
        <v>0</v>
      </c>
      <c r="M4" s="223">
        <f>+'Microbial Model'!$EF6</f>
        <v>0</v>
      </c>
      <c r="N4" s="223">
        <f>+'Microbial Model'!$EQ6</f>
        <v>0</v>
      </c>
      <c r="O4" s="223">
        <f>+'Microbial Model'!$FB6</f>
        <v>0</v>
      </c>
      <c r="P4" s="223">
        <f>+'Microbial Model'!$FM6</f>
        <v>0</v>
      </c>
      <c r="Q4" s="223">
        <f>+'Microbial Model'!$FX6</f>
        <v>0</v>
      </c>
      <c r="R4" s="223">
        <f>+'Microbial Model'!$GI6</f>
        <v>0</v>
      </c>
      <c r="S4" s="223">
        <f>+'Microbial Model'!$GT6</f>
        <v>0.94750000000000001</v>
      </c>
      <c r="T4" s="223">
        <f>+'Microbial Model'!$HE6</f>
        <v>0.23425000000000001</v>
      </c>
      <c r="U4" s="223">
        <f>+'Microbial Model'!$HP6</f>
        <v>-1</v>
      </c>
      <c r="V4" s="228">
        <f>+'Microbial Model'!$IA6</f>
        <v>-1</v>
      </c>
      <c r="W4" s="228">
        <f>+'Microbial Model'!ID6</f>
        <v>0</v>
      </c>
      <c r="X4" s="227">
        <f>+'Microbial Model'!$IH6</f>
        <v>0</v>
      </c>
      <c r="Y4" s="223">
        <v>0</v>
      </c>
      <c r="Z4" s="223">
        <v>0</v>
      </c>
      <c r="AA4" s="223">
        <v>0</v>
      </c>
      <c r="AB4" s="223">
        <v>0</v>
      </c>
      <c r="AC4" s="223">
        <v>0</v>
      </c>
      <c r="AD4" s="223">
        <v>0</v>
      </c>
      <c r="AE4" s="223">
        <v>0</v>
      </c>
      <c r="AF4" s="223">
        <v>0</v>
      </c>
      <c r="AG4" s="223">
        <v>0</v>
      </c>
      <c r="AH4" s="223">
        <v>0</v>
      </c>
      <c r="AI4" s="223">
        <v>0</v>
      </c>
      <c r="AJ4" s="223">
        <v>0</v>
      </c>
      <c r="AK4" s="223">
        <v>0</v>
      </c>
      <c r="AL4" s="223">
        <v>0</v>
      </c>
      <c r="AM4" s="223">
        <v>0</v>
      </c>
      <c r="AN4" s="227">
        <f>+(1-$AN$36)*'Microbial Model'!$IF6</f>
        <v>0</v>
      </c>
      <c r="AO4" s="292">
        <v>0</v>
      </c>
    </row>
    <row r="5" spans="1:41">
      <c r="A5" s="328" t="str">
        <f>+States!A4</f>
        <v>Sic</v>
      </c>
      <c r="B5" s="227">
        <f>+'Phytoplankton Model'!Y7</f>
        <v>-1</v>
      </c>
      <c r="C5" s="223">
        <f>+'Microbial Model'!$Z7</f>
        <v>1.7999999999999998</v>
      </c>
      <c r="D5" s="223">
        <f>+'Microbial Model'!$AK7</f>
        <v>2.0933774363145909</v>
      </c>
      <c r="E5" s="390">
        <f>+'Microbial Model'!$AV7</f>
        <v>1.0781118988395217</v>
      </c>
      <c r="F5" s="223">
        <f>+'Microbial Model'!$BG7</f>
        <v>-7.2794774775357188E-2</v>
      </c>
      <c r="G5" s="223">
        <f>+'Microbial Model'!$BR7</f>
        <v>-2.1487798659852262E-2</v>
      </c>
      <c r="H5" s="223">
        <f>+'Microbial Model'!$CC7</f>
        <v>2.5034315144678656</v>
      </c>
      <c r="I5" s="223">
        <f>+'Microbial Model'!$CN7</f>
        <v>1.1809991721918387</v>
      </c>
      <c r="J5" s="223">
        <f>+'Microbial Model'!$CY7</f>
        <v>0</v>
      </c>
      <c r="K5" s="223">
        <f>+'Microbial Model'!$DJ7</f>
        <v>1.9205166382829499</v>
      </c>
      <c r="L5" s="223">
        <f>+'Microbial Model'!$DU7</f>
        <v>0</v>
      </c>
      <c r="M5" s="223">
        <f>+'Microbial Model'!$EF7</f>
        <v>-0.56331509802276736</v>
      </c>
      <c r="N5" s="223">
        <f>+'Microbial Model'!$EQ7</f>
        <v>-0.50056602170578135</v>
      </c>
      <c r="O5" s="223">
        <f>+'Microbial Model'!$FB7</f>
        <v>0</v>
      </c>
      <c r="P5" s="223">
        <f>+'Microbial Model'!$FM7</f>
        <v>0</v>
      </c>
      <c r="Q5" s="223">
        <f>+'Microbial Model'!$FX7</f>
        <v>1.1678056321450079</v>
      </c>
      <c r="R5" s="223">
        <f>+'Microbial Model'!$GI7</f>
        <v>0</v>
      </c>
      <c r="S5" s="223">
        <f>+'Microbial Model'!$GT7</f>
        <v>0.95250000000000001</v>
      </c>
      <c r="T5" s="223">
        <f>+'Microbial Model'!$HE7</f>
        <v>-0.26424999999999998</v>
      </c>
      <c r="U5" s="223">
        <f>+'Microbial Model'!$HP7</f>
        <v>0.46311234409020807</v>
      </c>
      <c r="V5" s="228">
        <f>+'Microbial Model'!$IA7</f>
        <v>0.97480697420544316</v>
      </c>
      <c r="W5" s="228">
        <f>+'Microbial Model'!ID7</f>
        <v>0</v>
      </c>
      <c r="X5" s="227">
        <f>+'Microbial Model'!$IH7</f>
        <v>0</v>
      </c>
      <c r="Y5" s="223">
        <v>0</v>
      </c>
      <c r="Z5" s="223">
        <v>0</v>
      </c>
      <c r="AA5" s="223">
        <v>0</v>
      </c>
      <c r="AB5" s="223">
        <v>0</v>
      </c>
      <c r="AC5" s="223">
        <v>0</v>
      </c>
      <c r="AD5" s="223">
        <v>0</v>
      </c>
      <c r="AE5" s="223">
        <v>0</v>
      </c>
      <c r="AF5" s="223">
        <v>0</v>
      </c>
      <c r="AG5" s="223">
        <v>0</v>
      </c>
      <c r="AH5" s="223">
        <v>0</v>
      </c>
      <c r="AI5" s="223">
        <v>0</v>
      </c>
      <c r="AJ5" s="223">
        <v>0</v>
      </c>
      <c r="AK5" s="223">
        <v>0</v>
      </c>
      <c r="AL5" s="223">
        <v>0</v>
      </c>
      <c r="AM5" s="223">
        <v>0</v>
      </c>
      <c r="AN5" s="227">
        <f>+(1-$AN$36)*'Microbial Model'!$IF7</f>
        <v>0</v>
      </c>
      <c r="AO5" s="292">
        <v>-1</v>
      </c>
    </row>
    <row r="6" spans="1:41">
      <c r="A6" s="328" t="str">
        <f>+States!A5</f>
        <v>Sh2</v>
      </c>
      <c r="B6" s="227">
        <f>+'Phytoplankton Model'!Y8</f>
        <v>0</v>
      </c>
      <c r="C6" s="223">
        <f>+'Microbial Model'!$Z8</f>
        <v>3.54</v>
      </c>
      <c r="D6" s="223">
        <f>+'Microbial Model'!$AK8</f>
        <v>0</v>
      </c>
      <c r="E6" s="223">
        <f>+'Microbial Model'!$AV8</f>
        <v>0</v>
      </c>
      <c r="F6" s="223">
        <f>+'Microbial Model'!$BG8</f>
        <v>0</v>
      </c>
      <c r="G6" s="223">
        <f>+'Microbial Model'!$BR8</f>
        <v>0</v>
      </c>
      <c r="H6" s="223">
        <f>+'Microbial Model'!$CC8</f>
        <v>0</v>
      </c>
      <c r="I6" s="223">
        <f>+'Microbial Model'!$CN8</f>
        <v>0</v>
      </c>
      <c r="J6" s="223">
        <f>+'Microbial Model'!$CY8</f>
        <v>-1</v>
      </c>
      <c r="K6" s="223">
        <f>+'Microbial Model'!$DJ8</f>
        <v>0</v>
      </c>
      <c r="L6" s="223">
        <f>+'Microbial Model'!$DU8</f>
        <v>-1</v>
      </c>
      <c r="M6" s="223">
        <f>+'Microbial Model'!$EF8</f>
        <v>0</v>
      </c>
      <c r="N6" s="223">
        <f>+'Microbial Model'!$EQ8</f>
        <v>0</v>
      </c>
      <c r="O6" s="223">
        <f>+'Microbial Model'!$FB8</f>
        <v>0</v>
      </c>
      <c r="P6" s="223">
        <f>+'Microbial Model'!$FM8</f>
        <v>0</v>
      </c>
      <c r="Q6" s="223">
        <f>+'Microbial Model'!$FX8</f>
        <v>0</v>
      </c>
      <c r="R6" s="223">
        <f>+'Microbial Model'!$GI8</f>
        <v>-1</v>
      </c>
      <c r="S6" s="223">
        <f>+'Microbial Model'!$GT8</f>
        <v>0</v>
      </c>
      <c r="T6" s="223">
        <f>+'Microbial Model'!$HE8</f>
        <v>-1</v>
      </c>
      <c r="U6" s="223">
        <f>+'Microbial Model'!$HP8</f>
        <v>0</v>
      </c>
      <c r="V6" s="228">
        <f>+'Microbial Model'!$IA8</f>
        <v>0</v>
      </c>
      <c r="W6" s="228">
        <f>+'Microbial Model'!ID8</f>
        <v>0</v>
      </c>
      <c r="X6" s="227">
        <f>+'Microbial Model'!$IH8</f>
        <v>2.35E-2</v>
      </c>
      <c r="Y6" s="223">
        <v>0</v>
      </c>
      <c r="Z6" s="223">
        <v>0</v>
      </c>
      <c r="AA6" s="223">
        <v>0</v>
      </c>
      <c r="AB6" s="223">
        <v>0</v>
      </c>
      <c r="AC6" s="223">
        <v>0</v>
      </c>
      <c r="AD6" s="223">
        <v>0</v>
      </c>
      <c r="AE6" s="223">
        <v>0</v>
      </c>
      <c r="AF6" s="223">
        <v>0</v>
      </c>
      <c r="AG6" s="223">
        <v>0</v>
      </c>
      <c r="AH6" s="223">
        <v>0</v>
      </c>
      <c r="AI6" s="223">
        <v>0</v>
      </c>
      <c r="AJ6" s="223">
        <v>0</v>
      </c>
      <c r="AK6" s="223">
        <v>0</v>
      </c>
      <c r="AL6" s="223">
        <v>0</v>
      </c>
      <c r="AM6" s="223">
        <v>0</v>
      </c>
      <c r="AN6" s="227">
        <f>+(1-$AN$36)*'Microbial Model'!$IF8</f>
        <v>7.6500000000000012E-2</v>
      </c>
      <c r="AO6" s="292">
        <v>0</v>
      </c>
    </row>
    <row r="7" spans="1:41">
      <c r="A7" s="328" t="str">
        <f>+States!A6</f>
        <v>Samn</v>
      </c>
      <c r="B7" s="227">
        <f>+'Phytoplankton Model'!Y9</f>
        <v>-0.153</v>
      </c>
      <c r="C7" s="223">
        <f>+'Microbial Model'!$Z9</f>
        <v>-0.12</v>
      </c>
      <c r="D7" s="223">
        <f>+'Microbial Model'!$AK9</f>
        <v>-0.78132451273708181</v>
      </c>
      <c r="E7" s="223">
        <f>+'Microbial Model'!$AV9</f>
        <v>-0.18437762023209564</v>
      </c>
      <c r="F7" s="223">
        <f>+'Microbial Model'!$BG9</f>
        <v>-1</v>
      </c>
      <c r="G7" s="223">
        <f>+'Microbial Model'!$BR9</f>
        <v>0</v>
      </c>
      <c r="H7" s="223">
        <f>+'Microbial Model'!$CC9</f>
        <v>0</v>
      </c>
      <c r="I7" s="223">
        <f>+'Microbial Model'!$CN9</f>
        <v>0</v>
      </c>
      <c r="J7" s="223">
        <f>+'Microbial Model'!$CY9</f>
        <v>0</v>
      </c>
      <c r="K7" s="223">
        <f>+'Microbial Model'!$DJ9</f>
        <v>-1.5896672343410023E-2</v>
      </c>
      <c r="L7" s="223">
        <f>+'Microbial Model'!$DU9</f>
        <v>-3.9741680858525058E-3</v>
      </c>
      <c r="M7" s="223">
        <f>+'Microbial Model'!$EF9</f>
        <v>-0.11266301960455349</v>
      </c>
      <c r="N7" s="223">
        <f>+'Microbial Model'!$EQ9</f>
        <v>0</v>
      </c>
      <c r="O7" s="223">
        <f>+'Microbial Model'!$FB9</f>
        <v>0</v>
      </c>
      <c r="P7" s="223">
        <f>+'Microbial Model'!$FM9</f>
        <v>0</v>
      </c>
      <c r="Q7" s="223">
        <f>+'Microbial Model'!$FX9</f>
        <v>-0.1664388735709984</v>
      </c>
      <c r="R7" s="223">
        <f>+'Microbial Model'!$GI9</f>
        <v>-4.1609718392749601E-2</v>
      </c>
      <c r="S7" s="223">
        <f>+'Microbial Model'!$GT9</f>
        <v>-0.02</v>
      </c>
      <c r="T7" s="223">
        <f>+'Microbial Model'!$HE9</f>
        <v>-6.0000000000000001E-3</v>
      </c>
      <c r="U7" s="223">
        <f>+'Microbial Model'!$HP9</f>
        <v>-0.10737753118195838</v>
      </c>
      <c r="V7" s="228">
        <f>+'Microbial Model'!$IA9</f>
        <v>-5.0386051589113795E-3</v>
      </c>
      <c r="W7" s="228">
        <f>+'Microbial Model'!ID9</f>
        <v>0</v>
      </c>
      <c r="X7" s="227">
        <f>+'Microbial Model'!$IH9</f>
        <v>0</v>
      </c>
      <c r="Y7" s="223">
        <v>0</v>
      </c>
      <c r="Z7" s="223">
        <v>0</v>
      </c>
      <c r="AA7" s="223">
        <v>0</v>
      </c>
      <c r="AB7" s="223">
        <v>0</v>
      </c>
      <c r="AC7" s="223">
        <v>0</v>
      </c>
      <c r="AD7" s="223">
        <v>0</v>
      </c>
      <c r="AE7" s="223">
        <v>0</v>
      </c>
      <c r="AF7" s="223">
        <v>0</v>
      </c>
      <c r="AG7" s="223">
        <v>0</v>
      </c>
      <c r="AH7" s="223">
        <v>0</v>
      </c>
      <c r="AI7" s="223">
        <v>0</v>
      </c>
      <c r="AJ7" s="223">
        <v>0</v>
      </c>
      <c r="AK7" s="223">
        <v>0</v>
      </c>
      <c r="AL7" s="223">
        <v>0</v>
      </c>
      <c r="AM7" s="223">
        <v>0</v>
      </c>
      <c r="AN7" s="227">
        <f>+(1-$AN$36)*'Microbial Model'!$IF9</f>
        <v>0.117045</v>
      </c>
      <c r="AO7" s="292">
        <v>0</v>
      </c>
    </row>
    <row r="8" spans="1:41">
      <c r="A8" s="328" t="str">
        <f>+States!A7</f>
        <v>Sno2</v>
      </c>
      <c r="B8" s="227">
        <f>+'Phytoplankton Model'!Y10</f>
        <v>0</v>
      </c>
      <c r="C8" s="223">
        <f>+'Microbial Model'!$Z10</f>
        <v>0</v>
      </c>
      <c r="D8" s="223">
        <f>+'Microbial Model'!$AK10</f>
        <v>0</v>
      </c>
      <c r="E8" s="223">
        <f>+'Microbial Model'!$AV10</f>
        <v>0</v>
      </c>
      <c r="F8" s="223">
        <f>+'Microbial Model'!$BG10</f>
        <v>0.98544104504492847</v>
      </c>
      <c r="G8" s="223">
        <f>+'Microbial Model'!$BR10</f>
        <v>-1</v>
      </c>
      <c r="H8" s="223">
        <f>+'Microbial Model'!$CC10</f>
        <v>0</v>
      </c>
      <c r="I8" s="223">
        <f>+'Microbial Model'!$CN10</f>
        <v>0</v>
      </c>
      <c r="J8" s="223">
        <f>+'Microbial Model'!$CY10</f>
        <v>0</v>
      </c>
      <c r="K8" s="223">
        <f>+'Microbial Model'!$DJ10</f>
        <v>0</v>
      </c>
      <c r="L8" s="223">
        <f>+'Microbial Model'!$DU10</f>
        <v>0</v>
      </c>
      <c r="M8" s="223">
        <f>+'Microbial Model'!$EF10</f>
        <v>0</v>
      </c>
      <c r="N8" s="223">
        <f>+'Microbial Model'!$EQ10</f>
        <v>0</v>
      </c>
      <c r="O8" s="223">
        <f>+'Microbial Model'!$FB10</f>
        <v>0</v>
      </c>
      <c r="P8" s="223">
        <f>+'Microbial Model'!$FM10</f>
        <v>0</v>
      </c>
      <c r="Q8" s="223">
        <f>+'Microbial Model'!$FX10</f>
        <v>0</v>
      </c>
      <c r="R8" s="223">
        <f>+'Microbial Model'!$GI10</f>
        <v>0</v>
      </c>
      <c r="S8" s="223">
        <f>+'Microbial Model'!$GT10</f>
        <v>0</v>
      </c>
      <c r="T8" s="223">
        <f>+'Microbial Model'!$HE10</f>
        <v>0</v>
      </c>
      <c r="U8" s="223">
        <f>+'Microbial Model'!$HP10</f>
        <v>0</v>
      </c>
      <c r="V8" s="228">
        <f>+'Microbial Model'!$IA10</f>
        <v>0</v>
      </c>
      <c r="W8" s="228">
        <f>+'Microbial Model'!ID10</f>
        <v>0</v>
      </c>
      <c r="X8" s="227">
        <f>+'Microbial Model'!$IH10</f>
        <v>0</v>
      </c>
      <c r="Y8" s="223">
        <v>0</v>
      </c>
      <c r="Z8" s="223">
        <v>0</v>
      </c>
      <c r="AA8" s="223">
        <v>0</v>
      </c>
      <c r="AB8" s="223">
        <v>0</v>
      </c>
      <c r="AC8" s="223">
        <v>0</v>
      </c>
      <c r="AD8" s="223">
        <v>0</v>
      </c>
      <c r="AE8" s="223">
        <v>0</v>
      </c>
      <c r="AF8" s="223">
        <v>0</v>
      </c>
      <c r="AG8" s="223">
        <v>0</v>
      </c>
      <c r="AH8" s="223">
        <v>0</v>
      </c>
      <c r="AI8" s="223">
        <v>0</v>
      </c>
      <c r="AJ8" s="223">
        <v>0</v>
      </c>
      <c r="AK8" s="223">
        <v>0</v>
      </c>
      <c r="AL8" s="223">
        <v>0</v>
      </c>
      <c r="AM8" s="223">
        <v>0</v>
      </c>
      <c r="AN8" s="227">
        <f>+(1-$AN$36)*'Microbial Model'!$IF10</f>
        <v>0</v>
      </c>
      <c r="AO8" s="292">
        <v>1</v>
      </c>
    </row>
    <row r="9" spans="1:41">
      <c r="A9" s="328" t="str">
        <f>+States!A8</f>
        <v>Sno3</v>
      </c>
      <c r="B9" s="227">
        <f>+'Phytoplankton Model'!Y11</f>
        <v>0</v>
      </c>
      <c r="C9" s="223">
        <f>+'Microbial Model'!$Z11</f>
        <v>0</v>
      </c>
      <c r="D9" s="223">
        <f>+'Microbial Model'!$AK11</f>
        <v>0</v>
      </c>
      <c r="E9" s="223">
        <f>+'Microbial Model'!$AV11</f>
        <v>0</v>
      </c>
      <c r="F9" s="223">
        <f>+'Microbial Model'!$BG11</f>
        <v>0</v>
      </c>
      <c r="G9" s="223">
        <f>+'Microbial Model'!$BR11</f>
        <v>0.99570244026802968</v>
      </c>
      <c r="H9" s="223">
        <f>+'Microbial Model'!$CC11</f>
        <v>-1.4432942538891511</v>
      </c>
      <c r="I9" s="223">
        <f>+'Microbial Model'!$CN11</f>
        <v>-0.81375920530416535</v>
      </c>
      <c r="J9" s="223">
        <f>+'Microbial Model'!$CY11</f>
        <v>-0.36723996688767357</v>
      </c>
      <c r="K9" s="223">
        <f>+'Microbial Model'!$DJ11</f>
        <v>0</v>
      </c>
      <c r="L9" s="223">
        <f>+'Microbial Model'!$DU11</f>
        <v>0</v>
      </c>
      <c r="M9" s="223">
        <f>+'Microbial Model'!$EF11</f>
        <v>0</v>
      </c>
      <c r="N9" s="223">
        <f>+'Microbial Model'!$EQ11</f>
        <v>-1.11945661916245</v>
      </c>
      <c r="O9" s="223">
        <f>+'Microbial Model'!$FB11</f>
        <v>-4.8511057741699899E-3</v>
      </c>
      <c r="P9" s="223">
        <f>+'Microbial Model'!$FM11</f>
        <v>-0.19831710528597726</v>
      </c>
      <c r="Q9" s="223">
        <f>+'Microbial Model'!$FX11</f>
        <v>0</v>
      </c>
      <c r="R9" s="223">
        <f>+'Microbial Model'!$GI11</f>
        <v>0</v>
      </c>
      <c r="S9" s="223">
        <f>+'Microbial Model'!$GT11</f>
        <v>0</v>
      </c>
      <c r="T9" s="223">
        <f>+'Microbial Model'!$HE11</f>
        <v>0</v>
      </c>
      <c r="U9" s="223">
        <f>+'Microbial Model'!$HP11</f>
        <v>0</v>
      </c>
      <c r="V9" s="228">
        <f>+'Microbial Model'!$IA11</f>
        <v>0</v>
      </c>
      <c r="W9" s="228">
        <f>+'Microbial Model'!ID11</f>
        <v>0</v>
      </c>
      <c r="X9" s="227">
        <f>+'Microbial Model'!$IH11</f>
        <v>0</v>
      </c>
      <c r="Y9" s="223">
        <v>0</v>
      </c>
      <c r="Z9" s="223">
        <v>0</v>
      </c>
      <c r="AA9" s="223">
        <v>0</v>
      </c>
      <c r="AB9" s="223">
        <v>0</v>
      </c>
      <c r="AC9" s="223">
        <v>0</v>
      </c>
      <c r="AD9" s="223">
        <v>0</v>
      </c>
      <c r="AE9" s="223">
        <v>0</v>
      </c>
      <c r="AF9" s="223">
        <v>0</v>
      </c>
      <c r="AG9" s="223">
        <v>0</v>
      </c>
      <c r="AH9" s="223">
        <v>0</v>
      </c>
      <c r="AI9" s="223">
        <v>0</v>
      </c>
      <c r="AJ9" s="223">
        <v>0</v>
      </c>
      <c r="AK9" s="223">
        <v>0</v>
      </c>
      <c r="AL9" s="223">
        <v>0</v>
      </c>
      <c r="AM9" s="223">
        <v>0</v>
      </c>
      <c r="AN9" s="227">
        <f>+(1-$AN$36)*'Microbial Model'!$IF11</f>
        <v>0</v>
      </c>
      <c r="AO9" s="292">
        <v>0</v>
      </c>
    </row>
    <row r="10" spans="1:41">
      <c r="A10" s="328" t="str">
        <f>+States!A9</f>
        <v>Sn2</v>
      </c>
      <c r="B10" s="227">
        <f>+'Phytoplankton Model'!Y12</f>
        <v>0</v>
      </c>
      <c r="C10" s="223">
        <f>+'Microbial Model'!$Z12</f>
        <v>0</v>
      </c>
      <c r="D10" s="223">
        <f>+'Microbial Model'!$AK12</f>
        <v>0</v>
      </c>
      <c r="E10" s="223">
        <f>+'Microbial Model'!$AV12</f>
        <v>0</v>
      </c>
      <c r="F10" s="223">
        <f>+'Microbial Model'!$BG12</f>
        <v>0</v>
      </c>
      <c r="G10" s="223">
        <f>+'Microbial Model'!$BR12</f>
        <v>0</v>
      </c>
      <c r="H10" s="223">
        <f>+'Microbial Model'!$CC12</f>
        <v>0.37199027839136201</v>
      </c>
      <c r="I10" s="223">
        <f>+'Microbial Model'!$CN12</f>
        <v>0.32497951987126655</v>
      </c>
      <c r="J10" s="223">
        <f>+'Microbial Model'!$CY12</f>
        <v>0.16314496274863277</v>
      </c>
      <c r="K10" s="223">
        <f>+'Microbial Model'!$DJ12</f>
        <v>0</v>
      </c>
      <c r="L10" s="223">
        <f>+'Microbial Model'!$DU12</f>
        <v>0</v>
      </c>
      <c r="M10" s="223">
        <f>+'Microbial Model'!$EF12</f>
        <v>0</v>
      </c>
      <c r="N10" s="223">
        <f>+'Microbial Model'!$EQ12</f>
        <v>0.50967170741064682</v>
      </c>
      <c r="O10" s="223">
        <f>+'Microbial Model'!$FB12</f>
        <v>0</v>
      </c>
      <c r="P10" s="223">
        <f>+'Microbial Model'!$FM12</f>
        <v>9.8106743446724418E-2</v>
      </c>
      <c r="Q10" s="223">
        <f>+'Microbial Model'!$FX12</f>
        <v>0</v>
      </c>
      <c r="R10" s="223">
        <f>+'Microbial Model'!$GI12</f>
        <v>0</v>
      </c>
      <c r="S10" s="223">
        <f>+'Microbial Model'!$GT12</f>
        <v>0</v>
      </c>
      <c r="T10" s="223">
        <f>+'Microbial Model'!$HE12</f>
        <v>0</v>
      </c>
      <c r="U10" s="223">
        <f>+'Microbial Model'!$HP12</f>
        <v>0</v>
      </c>
      <c r="V10" s="228">
        <f>+'Microbial Model'!$IA12</f>
        <v>0</v>
      </c>
      <c r="W10" s="228">
        <f>+'Microbial Model'!ID12</f>
        <v>0</v>
      </c>
      <c r="X10" s="227">
        <f>+'Microbial Model'!$IH12</f>
        <v>0</v>
      </c>
      <c r="Y10" s="223">
        <v>0</v>
      </c>
      <c r="Z10" s="223">
        <v>0</v>
      </c>
      <c r="AA10" s="223">
        <v>0</v>
      </c>
      <c r="AB10" s="223">
        <v>0</v>
      </c>
      <c r="AC10" s="223">
        <v>0</v>
      </c>
      <c r="AD10" s="223">
        <v>0</v>
      </c>
      <c r="AE10" s="223">
        <v>0</v>
      </c>
      <c r="AF10" s="223">
        <v>0</v>
      </c>
      <c r="AG10" s="223">
        <v>0</v>
      </c>
      <c r="AH10" s="223">
        <v>0</v>
      </c>
      <c r="AI10" s="223">
        <v>0</v>
      </c>
      <c r="AJ10" s="223">
        <v>0</v>
      </c>
      <c r="AK10" s="223">
        <v>0</v>
      </c>
      <c r="AL10" s="223">
        <v>0</v>
      </c>
      <c r="AM10" s="223">
        <v>0</v>
      </c>
      <c r="AN10" s="227">
        <f>+(1-$AN$36)*'Microbial Model'!$IF12</f>
        <v>0</v>
      </c>
      <c r="AO10" s="292">
        <v>0</v>
      </c>
    </row>
    <row r="11" spans="1:41">
      <c r="A11" s="328" t="str">
        <f>+States!A10</f>
        <v>Sh2s</v>
      </c>
      <c r="B11" s="227">
        <f>+'Phytoplankton Model'!Y13</f>
        <v>0</v>
      </c>
      <c r="C11" s="223">
        <f>+'Microbial Model'!$Z13</f>
        <v>0</v>
      </c>
      <c r="D11" s="223">
        <f>+'Microbial Model'!$AK13</f>
        <v>0</v>
      </c>
      <c r="E11" s="223">
        <f>+'Microbial Model'!$AV13</f>
        <v>0</v>
      </c>
      <c r="F11" s="223">
        <f>+'Microbial Model'!$BG13</f>
        <v>0</v>
      </c>
      <c r="G11" s="223">
        <f>+'Microbial Model'!$BR13</f>
        <v>0</v>
      </c>
      <c r="H11" s="223">
        <f>+'Microbial Model'!$CC13</f>
        <v>0</v>
      </c>
      <c r="I11" s="223">
        <f>+'Microbial Model'!$CN13</f>
        <v>0</v>
      </c>
      <c r="J11" s="223">
        <f>+'Microbial Model'!$CY13</f>
        <v>0</v>
      </c>
      <c r="K11" s="223">
        <f>+'Microbial Model'!$DJ13</f>
        <v>0.95827123509854861</v>
      </c>
      <c r="L11" s="223">
        <f>+'Microbial Model'!$DU13</f>
        <v>0.24950322898926844</v>
      </c>
      <c r="M11" s="223">
        <f>+'Microbial Model'!$EF13</f>
        <v>-1</v>
      </c>
      <c r="N11" s="223">
        <f>+'Microbial Model'!$EQ13</f>
        <v>-1</v>
      </c>
      <c r="O11" s="223">
        <f>+'Microbial Model'!$FB13</f>
        <v>0</v>
      </c>
      <c r="P11" s="223">
        <f>+'Microbial Model'!$FM13</f>
        <v>0</v>
      </c>
      <c r="Q11" s="223">
        <f>+'Microbial Model'!$FX13</f>
        <v>0</v>
      </c>
      <c r="R11" s="223">
        <f>+'Microbial Model'!$GI13</f>
        <v>0</v>
      </c>
      <c r="S11" s="223">
        <f>+'Microbial Model'!$GT13</f>
        <v>0</v>
      </c>
      <c r="T11" s="223">
        <f>+'Microbial Model'!$HE13</f>
        <v>0</v>
      </c>
      <c r="U11" s="223">
        <f>+'Microbial Model'!$HP13</f>
        <v>0</v>
      </c>
      <c r="V11" s="228">
        <f>+'Microbial Model'!$IA13</f>
        <v>0.98677366145785772</v>
      </c>
      <c r="W11" s="228">
        <f>+'Microbial Model'!ID13</f>
        <v>0</v>
      </c>
      <c r="X11" s="227">
        <f>+'Microbial Model'!$IH13</f>
        <v>0</v>
      </c>
      <c r="Y11" s="223">
        <v>0</v>
      </c>
      <c r="Z11" s="223">
        <v>0</v>
      </c>
      <c r="AA11" s="223">
        <v>0</v>
      </c>
      <c r="AB11" s="223">
        <v>0</v>
      </c>
      <c r="AC11" s="223">
        <v>0</v>
      </c>
      <c r="AD11" s="223">
        <v>0</v>
      </c>
      <c r="AE11" s="223">
        <v>0</v>
      </c>
      <c r="AF11" s="223">
        <v>0</v>
      </c>
      <c r="AG11" s="223">
        <v>0</v>
      </c>
      <c r="AH11" s="223">
        <v>0</v>
      </c>
      <c r="AI11" s="223">
        <v>0</v>
      </c>
      <c r="AJ11" s="223">
        <v>0</v>
      </c>
      <c r="AK11" s="223">
        <v>0</v>
      </c>
      <c r="AL11" s="223">
        <v>0</v>
      </c>
      <c r="AM11" s="223">
        <v>0</v>
      </c>
      <c r="AN11" s="227">
        <f>+(1-$AN$36)*'Microbial Model'!$IF13</f>
        <v>0</v>
      </c>
      <c r="AO11" s="292">
        <v>0</v>
      </c>
    </row>
    <row r="12" spans="1:41">
      <c r="A12" s="328" t="str">
        <f>+States!A11</f>
        <v>Sso4</v>
      </c>
      <c r="B12" s="227">
        <f>+'Phytoplankton Model'!Y14</f>
        <v>0</v>
      </c>
      <c r="C12" s="223">
        <f>+'Microbial Model'!$Z14</f>
        <v>0</v>
      </c>
      <c r="D12" s="223">
        <f>+'Microbial Model'!$AK14</f>
        <v>0</v>
      </c>
      <c r="E12" s="223">
        <f>+'Microbial Model'!$AV14</f>
        <v>0</v>
      </c>
      <c r="F12" s="223">
        <f>+'Microbial Model'!$BG14</f>
        <v>0</v>
      </c>
      <c r="G12" s="223">
        <f>+'Microbial Model'!$BR14</f>
        <v>0</v>
      </c>
      <c r="H12" s="223">
        <f>+'Microbial Model'!$CC14</f>
        <v>0</v>
      </c>
      <c r="I12" s="223">
        <f>+'Microbial Model'!$CN14</f>
        <v>0</v>
      </c>
      <c r="J12" s="223">
        <f>+'Microbial Model'!$CY14</f>
        <v>0</v>
      </c>
      <c r="K12" s="223">
        <f>+'Microbial Model'!$DJ14</f>
        <v>-0.95827123509854861</v>
      </c>
      <c r="L12" s="223">
        <f>+'Microbial Model'!$DU14</f>
        <v>-0.24950322898926844</v>
      </c>
      <c r="M12" s="223">
        <f>+'Microbial Model'!$EF14</f>
        <v>1</v>
      </c>
      <c r="N12" s="223">
        <f>+'Microbial Model'!$EQ14</f>
        <v>1</v>
      </c>
      <c r="O12" s="223">
        <f>+'Microbial Model'!$FB14</f>
        <v>0</v>
      </c>
      <c r="P12" s="223">
        <f>+'Microbial Model'!$FM14</f>
        <v>0</v>
      </c>
      <c r="Q12" s="223">
        <f>+'Microbial Model'!$FX14</f>
        <v>0</v>
      </c>
      <c r="R12" s="223">
        <f>+'Microbial Model'!$GI14</f>
        <v>0</v>
      </c>
      <c r="S12" s="223">
        <f>+'Microbial Model'!$GT14</f>
        <v>0</v>
      </c>
      <c r="T12" s="223">
        <f>+'Microbial Model'!$HE14</f>
        <v>0</v>
      </c>
      <c r="U12" s="223">
        <f>+'Microbial Model'!$HP14</f>
        <v>0</v>
      </c>
      <c r="V12" s="228">
        <f>+'Microbial Model'!$IA14</f>
        <v>-0.98677366145785772</v>
      </c>
      <c r="W12" s="228">
        <f>+'Microbial Model'!ID14</f>
        <v>0</v>
      </c>
      <c r="X12" s="227">
        <f>+'Microbial Model'!$IH14</f>
        <v>0</v>
      </c>
      <c r="Y12" s="223">
        <v>0</v>
      </c>
      <c r="Z12" s="223">
        <v>0</v>
      </c>
      <c r="AA12" s="223">
        <v>0</v>
      </c>
      <c r="AB12" s="223">
        <v>0</v>
      </c>
      <c r="AC12" s="223">
        <v>0</v>
      </c>
      <c r="AD12" s="223">
        <v>0</v>
      </c>
      <c r="AE12" s="223">
        <v>0</v>
      </c>
      <c r="AF12" s="223">
        <v>0</v>
      </c>
      <c r="AG12" s="223">
        <v>0</v>
      </c>
      <c r="AH12" s="223">
        <v>0</v>
      </c>
      <c r="AI12" s="223">
        <v>0</v>
      </c>
      <c r="AJ12" s="223">
        <v>0</v>
      </c>
      <c r="AK12" s="223">
        <v>0</v>
      </c>
      <c r="AL12" s="223">
        <v>0</v>
      </c>
      <c r="AM12" s="223">
        <v>0</v>
      </c>
      <c r="AN12" s="227">
        <f>+(1-$AN$36)*'Microbial Model'!$IF14</f>
        <v>0</v>
      </c>
      <c r="AO12" s="292">
        <v>1</v>
      </c>
    </row>
    <row r="13" spans="1:41">
      <c r="A13" s="328" t="str">
        <f>+States!A12</f>
        <v>Sfe2</v>
      </c>
      <c r="B13" s="227">
        <f>+'Phytoplankton Model'!Y15</f>
        <v>0</v>
      </c>
      <c r="C13" s="223">
        <f>+'Microbial Model'!$Z15</f>
        <v>0</v>
      </c>
      <c r="D13" s="223">
        <f>+'Microbial Model'!$AK15</f>
        <v>0</v>
      </c>
      <c r="E13" s="223">
        <f>+'Microbial Model'!$AV15</f>
        <v>0</v>
      </c>
      <c r="F13" s="223">
        <f>+'Microbial Model'!$BG15</f>
        <v>0</v>
      </c>
      <c r="G13" s="223">
        <f>+'Microbial Model'!$BR15</f>
        <v>0</v>
      </c>
      <c r="H13" s="223">
        <f>+'Microbial Model'!$CC15</f>
        <v>0</v>
      </c>
      <c r="I13" s="223">
        <f>+'Microbial Model'!$CN15</f>
        <v>0</v>
      </c>
      <c r="J13" s="223">
        <f>+'Microbial Model'!$CY15</f>
        <v>0</v>
      </c>
      <c r="K13" s="223">
        <f>+'Microbial Model'!$DJ15</f>
        <v>0</v>
      </c>
      <c r="L13" s="223">
        <f>+'Microbial Model'!$DU15</f>
        <v>0</v>
      </c>
      <c r="M13" s="223">
        <f>+'Microbial Model'!$EF15</f>
        <v>0</v>
      </c>
      <c r="N13" s="223">
        <f>+'Microbial Model'!$EQ15</f>
        <v>0</v>
      </c>
      <c r="O13" s="223">
        <f>+'Microbial Model'!$FB15</f>
        <v>-1</v>
      </c>
      <c r="P13" s="223">
        <f>+'Microbial Model'!$FM15</f>
        <v>-1</v>
      </c>
      <c r="Q13" s="223">
        <f>+'Microbial Model'!$FX15</f>
        <v>4.5047836550090334</v>
      </c>
      <c r="R13" s="223">
        <f>+'Microbial Model'!$GI15</f>
        <v>1.9583902816072505</v>
      </c>
      <c r="S13" s="223">
        <f>+'Microbial Model'!$GT15</f>
        <v>0</v>
      </c>
      <c r="T13" s="223">
        <f>+'Microbial Model'!$HE15</f>
        <v>0</v>
      </c>
      <c r="U13" s="223">
        <f>+'Microbial Model'!$HP15</f>
        <v>0</v>
      </c>
      <c r="V13" s="228">
        <f>+'Microbial Model'!$IA15</f>
        <v>0</v>
      </c>
      <c r="W13" s="228">
        <f>+'Microbial Model'!ID15</f>
        <v>0</v>
      </c>
      <c r="X13" s="227">
        <f>+'Microbial Model'!$IH15</f>
        <v>0</v>
      </c>
      <c r="Y13" s="223">
        <v>0</v>
      </c>
      <c r="Z13" s="223">
        <v>0</v>
      </c>
      <c r="AA13" s="223">
        <v>0</v>
      </c>
      <c r="AB13" s="223">
        <v>0</v>
      </c>
      <c r="AC13" s="223">
        <v>0</v>
      </c>
      <c r="AD13" s="223">
        <v>0</v>
      </c>
      <c r="AE13" s="223">
        <v>0</v>
      </c>
      <c r="AF13" s="223">
        <v>0</v>
      </c>
      <c r="AG13" s="223">
        <v>0</v>
      </c>
      <c r="AH13" s="223">
        <v>0</v>
      </c>
      <c r="AI13" s="223">
        <v>0</v>
      </c>
      <c r="AJ13" s="223">
        <v>0</v>
      </c>
      <c r="AK13" s="223">
        <v>0</v>
      </c>
      <c r="AL13" s="223">
        <v>0</v>
      </c>
      <c r="AM13" s="223">
        <v>0</v>
      </c>
      <c r="AN13" s="227">
        <f>+(1-$AN$36)*'Microbial Model'!$IF15</f>
        <v>0</v>
      </c>
      <c r="AO13" s="292">
        <v>0</v>
      </c>
    </row>
    <row r="14" spans="1:41">
      <c r="A14" s="328" t="str">
        <f>+States!A13</f>
        <v>Sfe3</v>
      </c>
      <c r="B14" s="227">
        <f>+'Phytoplankton Model'!Y16</f>
        <v>0</v>
      </c>
      <c r="C14" s="223">
        <f>+'Microbial Model'!$Z16</f>
        <v>0</v>
      </c>
      <c r="D14" s="223">
        <f>+'Microbial Model'!$AK16</f>
        <v>0</v>
      </c>
      <c r="E14" s="223">
        <f>+'Microbial Model'!$AV16</f>
        <v>0</v>
      </c>
      <c r="F14" s="223">
        <f>+'Microbial Model'!$BG16</f>
        <v>0</v>
      </c>
      <c r="G14" s="223">
        <f>+'Microbial Model'!$BR16</f>
        <v>0</v>
      </c>
      <c r="H14" s="223">
        <f>+'Microbial Model'!$CC16</f>
        <v>0</v>
      </c>
      <c r="I14" s="223">
        <f>+'Microbial Model'!$CN16</f>
        <v>0</v>
      </c>
      <c r="J14" s="223">
        <f>+'Microbial Model'!$CY16</f>
        <v>0</v>
      </c>
      <c r="K14" s="223">
        <f>+'Microbial Model'!$DJ16</f>
        <v>0</v>
      </c>
      <c r="L14" s="223">
        <f>+'Microbial Model'!$DU16</f>
        <v>0</v>
      </c>
      <c r="M14" s="223">
        <f>+'Microbial Model'!$EF16</f>
        <v>0</v>
      </c>
      <c r="N14" s="223">
        <f>+'Microbial Model'!$EQ16</f>
        <v>0</v>
      </c>
      <c r="O14" s="223">
        <f>+'Microbial Model'!$FB16</f>
        <v>1</v>
      </c>
      <c r="P14" s="223">
        <f>+'Microbial Model'!$FM16</f>
        <v>1</v>
      </c>
      <c r="Q14" s="223">
        <f>+'Microbial Model'!$FX16</f>
        <v>-4.5047836550090334</v>
      </c>
      <c r="R14" s="223">
        <f>+'Microbial Model'!$GI16</f>
        <v>-1.9583902816072505</v>
      </c>
      <c r="S14" s="223">
        <f>+'Microbial Model'!$GT16</f>
        <v>0</v>
      </c>
      <c r="T14" s="223">
        <f>+'Microbial Model'!$HE16</f>
        <v>0</v>
      </c>
      <c r="U14" s="223">
        <f>+'Microbial Model'!$HP16</f>
        <v>0</v>
      </c>
      <c r="V14" s="228">
        <f>+'Microbial Model'!$IA16</f>
        <v>0</v>
      </c>
      <c r="W14" s="228">
        <f>+'Microbial Model'!ID16</f>
        <v>-1</v>
      </c>
      <c r="X14" s="227">
        <f>+'Microbial Model'!$IH16</f>
        <v>0</v>
      </c>
      <c r="Y14" s="223">
        <v>0</v>
      </c>
      <c r="Z14" s="223">
        <v>0</v>
      </c>
      <c r="AA14" s="223">
        <v>0</v>
      </c>
      <c r="AB14" s="223">
        <v>0</v>
      </c>
      <c r="AC14" s="223">
        <v>0</v>
      </c>
      <c r="AD14" s="223">
        <v>0</v>
      </c>
      <c r="AE14" s="223">
        <v>0</v>
      </c>
      <c r="AF14" s="223">
        <v>0</v>
      </c>
      <c r="AG14" s="223">
        <v>0</v>
      </c>
      <c r="AH14" s="223">
        <v>0</v>
      </c>
      <c r="AI14" s="223">
        <v>0</v>
      </c>
      <c r="AJ14" s="223">
        <v>0</v>
      </c>
      <c r="AK14" s="223">
        <v>0</v>
      </c>
      <c r="AL14" s="223">
        <v>0</v>
      </c>
      <c r="AM14" s="223">
        <v>0</v>
      </c>
      <c r="AN14" s="227">
        <f>+(1-$AN$36)*'Microbial Model'!$IF16</f>
        <v>0</v>
      </c>
      <c r="AO14" s="292">
        <v>0</v>
      </c>
    </row>
    <row r="15" spans="1:41">
      <c r="A15" s="328" t="str">
        <f>+States!A14</f>
        <v>So2</v>
      </c>
      <c r="B15" s="227">
        <f>+'Phytoplankton Model'!Y17</f>
        <v>1.05</v>
      </c>
      <c r="C15" s="223">
        <f>+'Microbial Model'!$Z17</f>
        <v>0</v>
      </c>
      <c r="D15" s="223">
        <f>+'Microbial Model'!$AK17</f>
        <v>-1.8980463081303203</v>
      </c>
      <c r="E15" s="223">
        <f>+'Microbial Model'!$AV17</f>
        <v>-1.0320174937814977</v>
      </c>
      <c r="F15" s="223">
        <f>+'Microbial Model'!$BG17</f>
        <v>-1.4017270540532676</v>
      </c>
      <c r="G15" s="223">
        <f>+'Microbial Model'!$BR17</f>
        <v>-0.46884269194321426</v>
      </c>
      <c r="H15" s="223">
        <f>+'Microbial Model'!$CC17</f>
        <v>0</v>
      </c>
      <c r="I15" s="223">
        <f>+'Microbial Model'!$CN17</f>
        <v>0</v>
      </c>
      <c r="J15" s="223">
        <f>+'Microbial Model'!$CY17</f>
        <v>0</v>
      </c>
      <c r="K15" s="223">
        <f>+'Microbial Model'!$DJ17</f>
        <v>0</v>
      </c>
      <c r="L15" s="223">
        <f>+'Microbial Model'!$DU17</f>
        <v>0</v>
      </c>
      <c r="M15" s="223">
        <f>+'Microbial Model'!$EF17</f>
        <v>-1.4085191470760943</v>
      </c>
      <c r="N15" s="223">
        <f>+'Microbial Model'!$EQ17</f>
        <v>0</v>
      </c>
      <c r="O15" s="223">
        <f>+'Microbial Model'!$FB17</f>
        <v>-0.23908501200811755</v>
      </c>
      <c r="P15" s="223">
        <f>+'Microbial Model'!$FM17</f>
        <v>0</v>
      </c>
      <c r="Q15" s="223">
        <f>+'Microbial Model'!$FX17</f>
        <v>0</v>
      </c>
      <c r="R15" s="223">
        <f>+'Microbial Model'!$GI17</f>
        <v>0</v>
      </c>
      <c r="S15" s="223">
        <f>+'Microbial Model'!$GT17</f>
        <v>0</v>
      </c>
      <c r="T15" s="223">
        <f>+'Microbial Model'!$HE17</f>
        <v>0</v>
      </c>
      <c r="U15" s="223">
        <f>+'Microbial Model'!$HP17</f>
        <v>-1.4362679612947185</v>
      </c>
      <c r="V15" s="228">
        <f>+'Microbial Model'!$IA17</f>
        <v>0</v>
      </c>
      <c r="W15" s="228">
        <f>+'Microbial Model'!ID17</f>
        <v>0</v>
      </c>
      <c r="X15" s="227">
        <f>+'Microbial Model'!$IH17</f>
        <v>0</v>
      </c>
      <c r="Y15" s="223">
        <v>0</v>
      </c>
      <c r="Z15" s="223">
        <v>0</v>
      </c>
      <c r="AA15" s="223">
        <v>0</v>
      </c>
      <c r="AB15" s="223">
        <v>0</v>
      </c>
      <c r="AC15" s="223">
        <v>0</v>
      </c>
      <c r="AD15" s="223">
        <v>0</v>
      </c>
      <c r="AE15" s="223">
        <v>0</v>
      </c>
      <c r="AF15" s="223">
        <v>0</v>
      </c>
      <c r="AG15" s="223">
        <v>0</v>
      </c>
      <c r="AH15" s="223">
        <v>0</v>
      </c>
      <c r="AI15" s="223">
        <v>0</v>
      </c>
      <c r="AJ15" s="223">
        <v>0</v>
      </c>
      <c r="AK15" s="223">
        <v>0</v>
      </c>
      <c r="AL15" s="223">
        <v>0</v>
      </c>
      <c r="AM15" s="223">
        <v>0</v>
      </c>
      <c r="AN15" s="227">
        <f>+(1-$AN$36)*'Microbial Model'!$IF17</f>
        <v>0</v>
      </c>
      <c r="AO15" s="292">
        <v>0</v>
      </c>
    </row>
    <row r="16" spans="1:41">
      <c r="A16" s="328" t="str">
        <f>+States!A15</f>
        <v>Scat</v>
      </c>
      <c r="B16" s="227">
        <f>+'Phytoplankton Model'!Y18</f>
        <v>0</v>
      </c>
      <c r="C16" s="223">
        <v>0</v>
      </c>
      <c r="D16" s="223">
        <v>0</v>
      </c>
      <c r="E16" s="223">
        <v>0</v>
      </c>
      <c r="F16" s="223">
        <v>0</v>
      </c>
      <c r="G16" s="223">
        <v>0</v>
      </c>
      <c r="H16" s="223">
        <v>0</v>
      </c>
      <c r="I16" s="223">
        <v>0</v>
      </c>
      <c r="J16" s="223">
        <v>0</v>
      </c>
      <c r="K16" s="223">
        <v>0</v>
      </c>
      <c r="L16" s="223">
        <v>0</v>
      </c>
      <c r="M16" s="223">
        <v>0</v>
      </c>
      <c r="N16" s="223">
        <v>0</v>
      </c>
      <c r="O16" s="223">
        <v>0</v>
      </c>
      <c r="P16" s="223">
        <v>0</v>
      </c>
      <c r="Q16" s="223">
        <v>0</v>
      </c>
      <c r="R16" s="223">
        <v>0</v>
      </c>
      <c r="S16" s="223">
        <v>0</v>
      </c>
      <c r="T16" s="223">
        <v>0</v>
      </c>
      <c r="U16" s="223">
        <v>0</v>
      </c>
      <c r="V16" s="228">
        <v>0</v>
      </c>
      <c r="W16" s="228">
        <v>0</v>
      </c>
      <c r="X16" s="227">
        <f>+'Microbial Model'!$IH17</f>
        <v>0</v>
      </c>
      <c r="Y16" s="223">
        <v>0</v>
      </c>
      <c r="Z16" s="223">
        <v>0</v>
      </c>
      <c r="AA16" s="223">
        <v>0</v>
      </c>
      <c r="AB16" s="223">
        <v>0</v>
      </c>
      <c r="AC16" s="223">
        <v>0</v>
      </c>
      <c r="AD16" s="223">
        <v>0</v>
      </c>
      <c r="AE16" s="223">
        <v>0</v>
      </c>
      <c r="AF16" s="223">
        <v>0</v>
      </c>
      <c r="AG16" s="223">
        <v>0</v>
      </c>
      <c r="AH16" s="223">
        <v>0</v>
      </c>
      <c r="AI16" s="223">
        <v>0</v>
      </c>
      <c r="AJ16" s="223">
        <v>0</v>
      </c>
      <c r="AK16" s="223">
        <v>0</v>
      </c>
      <c r="AL16" s="223">
        <v>0</v>
      </c>
      <c r="AM16" s="223">
        <v>0</v>
      </c>
      <c r="AN16" s="227">
        <v>0</v>
      </c>
      <c r="AO16" s="292">
        <v>0</v>
      </c>
    </row>
    <row r="17" spans="1:41" ht="13.8" thickBot="1">
      <c r="A17" s="329" t="str">
        <f>+States!A16</f>
        <v>San</v>
      </c>
      <c r="B17" s="229">
        <f>+'Phytoplankton Model'!Y19</f>
        <v>0</v>
      </c>
      <c r="C17" s="230">
        <v>0</v>
      </c>
      <c r="D17" s="230">
        <v>0</v>
      </c>
      <c r="E17" s="230">
        <v>0</v>
      </c>
      <c r="F17" s="230">
        <v>0</v>
      </c>
      <c r="G17" s="230">
        <v>0</v>
      </c>
      <c r="H17" s="230">
        <v>0</v>
      </c>
      <c r="I17" s="230">
        <v>0</v>
      </c>
      <c r="J17" s="230">
        <v>0</v>
      </c>
      <c r="K17" s="230">
        <v>0</v>
      </c>
      <c r="L17" s="230">
        <v>0</v>
      </c>
      <c r="M17" s="230">
        <v>0</v>
      </c>
      <c r="N17" s="230">
        <v>0</v>
      </c>
      <c r="O17" s="230">
        <v>0</v>
      </c>
      <c r="P17" s="230">
        <v>0</v>
      </c>
      <c r="Q17" s="230">
        <v>0</v>
      </c>
      <c r="R17" s="230">
        <v>0</v>
      </c>
      <c r="S17" s="230">
        <v>0</v>
      </c>
      <c r="T17" s="230">
        <v>0</v>
      </c>
      <c r="U17" s="230">
        <v>0</v>
      </c>
      <c r="V17" s="231">
        <v>0</v>
      </c>
      <c r="W17" s="231">
        <v>0</v>
      </c>
      <c r="X17" s="229">
        <f>+'Microbial Model'!$IH16</f>
        <v>0</v>
      </c>
      <c r="Y17" s="230">
        <v>0</v>
      </c>
      <c r="Z17" s="230">
        <v>0</v>
      </c>
      <c r="AA17" s="230">
        <v>0</v>
      </c>
      <c r="AB17" s="230">
        <v>0</v>
      </c>
      <c r="AC17" s="230">
        <v>0</v>
      </c>
      <c r="AD17" s="230">
        <v>0</v>
      </c>
      <c r="AE17" s="230">
        <v>0</v>
      </c>
      <c r="AF17" s="230">
        <v>0</v>
      </c>
      <c r="AG17" s="230">
        <v>0</v>
      </c>
      <c r="AH17" s="230">
        <v>0</v>
      </c>
      <c r="AI17" s="230">
        <v>0</v>
      </c>
      <c r="AJ17" s="230">
        <v>0</v>
      </c>
      <c r="AK17" s="230">
        <v>0</v>
      </c>
      <c r="AL17" s="230">
        <v>0</v>
      </c>
      <c r="AM17" s="230">
        <v>0</v>
      </c>
      <c r="AN17" s="229">
        <v>0</v>
      </c>
      <c r="AO17" s="292">
        <v>0</v>
      </c>
    </row>
    <row r="18" spans="1:41">
      <c r="A18" s="327" t="str">
        <f>+States!A17</f>
        <v>Xcyb</v>
      </c>
      <c r="B18" s="227">
        <f>+'Phytoplankton Model'!Y22</f>
        <v>1</v>
      </c>
      <c r="C18" s="223">
        <f>+'Microbial Model'!$Z16</f>
        <v>0</v>
      </c>
      <c r="D18" s="223">
        <v>0</v>
      </c>
      <c r="E18" s="223">
        <v>0</v>
      </c>
      <c r="F18" s="223">
        <v>0</v>
      </c>
      <c r="G18" s="223">
        <v>0</v>
      </c>
      <c r="H18" s="223">
        <v>0</v>
      </c>
      <c r="I18" s="223">
        <v>0</v>
      </c>
      <c r="J18" s="223">
        <v>0</v>
      </c>
      <c r="K18" s="223">
        <v>0</v>
      </c>
      <c r="L18" s="223">
        <v>0</v>
      </c>
      <c r="M18" s="223">
        <v>0</v>
      </c>
      <c r="N18" s="223">
        <v>0</v>
      </c>
      <c r="O18" s="223">
        <v>0</v>
      </c>
      <c r="P18" s="223">
        <v>0</v>
      </c>
      <c r="Q18" s="223">
        <v>0</v>
      </c>
      <c r="R18" s="223">
        <v>0</v>
      </c>
      <c r="S18" s="223">
        <v>0</v>
      </c>
      <c r="T18" s="223">
        <v>0</v>
      </c>
      <c r="U18" s="223">
        <v>0</v>
      </c>
      <c r="V18" s="228">
        <v>0</v>
      </c>
      <c r="W18" s="228">
        <v>0</v>
      </c>
      <c r="X18" s="227">
        <v>-1</v>
      </c>
      <c r="Y18" s="223">
        <v>0</v>
      </c>
      <c r="Z18" s="223">
        <v>0</v>
      </c>
      <c r="AA18" s="223">
        <v>0</v>
      </c>
      <c r="AB18" s="223">
        <v>0</v>
      </c>
      <c r="AC18" s="223">
        <v>0</v>
      </c>
      <c r="AD18" s="223">
        <v>0</v>
      </c>
      <c r="AE18" s="223">
        <v>0</v>
      </c>
      <c r="AF18" s="223">
        <v>0</v>
      </c>
      <c r="AG18" s="223">
        <v>0</v>
      </c>
      <c r="AH18" s="223">
        <v>0</v>
      </c>
      <c r="AI18" s="223">
        <v>0</v>
      </c>
      <c r="AJ18" s="223">
        <v>0</v>
      </c>
      <c r="AK18" s="223">
        <v>0</v>
      </c>
      <c r="AL18" s="223">
        <v>0</v>
      </c>
      <c r="AM18" s="223">
        <v>0</v>
      </c>
      <c r="AN18" s="292">
        <v>0</v>
      </c>
      <c r="AO18" s="291">
        <v>0</v>
      </c>
    </row>
    <row r="19" spans="1:41">
      <c r="A19" s="328" t="str">
        <f>+States!A18</f>
        <v>Xfer</v>
      </c>
      <c r="B19" s="227">
        <v>0</v>
      </c>
      <c r="C19" s="223">
        <f>+'Microbial Model'!$Z$23</f>
        <v>0.6</v>
      </c>
      <c r="D19" s="223">
        <v>0</v>
      </c>
      <c r="E19" s="223">
        <v>0</v>
      </c>
      <c r="F19" s="223">
        <v>0</v>
      </c>
      <c r="G19" s="223">
        <v>0</v>
      </c>
      <c r="H19" s="223">
        <v>0</v>
      </c>
      <c r="I19" s="223">
        <v>0</v>
      </c>
      <c r="J19" s="223">
        <v>0</v>
      </c>
      <c r="K19" s="223">
        <v>0</v>
      </c>
      <c r="L19" s="223">
        <v>0</v>
      </c>
      <c r="M19" s="223">
        <v>0</v>
      </c>
      <c r="N19" s="223">
        <v>0</v>
      </c>
      <c r="O19" s="223">
        <v>0</v>
      </c>
      <c r="P19" s="223">
        <v>0</v>
      </c>
      <c r="Q19" s="223">
        <v>0</v>
      </c>
      <c r="R19" s="223">
        <v>0</v>
      </c>
      <c r="S19" s="223">
        <v>0</v>
      </c>
      <c r="T19" s="223">
        <v>0</v>
      </c>
      <c r="U19" s="223">
        <v>0</v>
      </c>
      <c r="V19" s="228">
        <v>0</v>
      </c>
      <c r="W19" s="228">
        <v>0</v>
      </c>
      <c r="X19" s="227">
        <v>0</v>
      </c>
      <c r="Y19" s="223">
        <v>-1</v>
      </c>
      <c r="Z19" s="223">
        <v>0</v>
      </c>
      <c r="AA19" s="223">
        <v>0</v>
      </c>
      <c r="AB19" s="223">
        <v>0</v>
      </c>
      <c r="AC19" s="223">
        <v>0</v>
      </c>
      <c r="AD19" s="223">
        <v>0</v>
      </c>
      <c r="AE19" s="223">
        <v>0</v>
      </c>
      <c r="AF19" s="223">
        <v>0</v>
      </c>
      <c r="AG19" s="223">
        <v>0</v>
      </c>
      <c r="AH19" s="223">
        <v>0</v>
      </c>
      <c r="AI19" s="223">
        <v>0</v>
      </c>
      <c r="AJ19" s="223">
        <v>0</v>
      </c>
      <c r="AK19" s="223">
        <v>0</v>
      </c>
      <c r="AL19" s="223">
        <v>0</v>
      </c>
      <c r="AM19" s="223">
        <v>0</v>
      </c>
      <c r="AN19" s="292">
        <v>0</v>
      </c>
      <c r="AO19" s="292">
        <v>0</v>
      </c>
    </row>
    <row r="20" spans="1:41">
      <c r="A20" s="328" t="str">
        <f>+States!A19</f>
        <v>Xhet</v>
      </c>
      <c r="B20" s="227">
        <v>0</v>
      </c>
      <c r="C20" s="223">
        <v>0</v>
      </c>
      <c r="D20" s="223">
        <f>+'Microbial Model'!$AK$23</f>
        <v>3.9066225636854091</v>
      </c>
      <c r="E20" s="223">
        <f>+'Microbial Model'!$AV$23</f>
        <v>0.92188810116047815</v>
      </c>
      <c r="F20" s="223">
        <v>0</v>
      </c>
      <c r="G20" s="223">
        <v>0</v>
      </c>
      <c r="H20" s="223">
        <v>0</v>
      </c>
      <c r="I20" s="223">
        <v>0</v>
      </c>
      <c r="J20" s="223">
        <v>0</v>
      </c>
      <c r="K20" s="223">
        <v>0</v>
      </c>
      <c r="L20" s="223">
        <v>0</v>
      </c>
      <c r="M20" s="223">
        <v>0</v>
      </c>
      <c r="N20" s="223">
        <v>0</v>
      </c>
      <c r="O20" s="223">
        <v>0</v>
      </c>
      <c r="P20" s="223">
        <v>0</v>
      </c>
      <c r="Q20" s="223">
        <v>0</v>
      </c>
      <c r="R20" s="223">
        <v>0</v>
      </c>
      <c r="S20" s="223">
        <v>0</v>
      </c>
      <c r="T20" s="223">
        <v>0</v>
      </c>
      <c r="U20" s="223">
        <v>0</v>
      </c>
      <c r="V20" s="228">
        <v>0</v>
      </c>
      <c r="W20" s="228">
        <v>0</v>
      </c>
      <c r="X20" s="227">
        <v>0</v>
      </c>
      <c r="Y20" s="223">
        <v>0</v>
      </c>
      <c r="Z20" s="223">
        <v>-1</v>
      </c>
      <c r="AA20" s="223">
        <v>0</v>
      </c>
      <c r="AB20" s="223">
        <v>0</v>
      </c>
      <c r="AC20" s="223">
        <v>0</v>
      </c>
      <c r="AD20" s="223">
        <v>0</v>
      </c>
      <c r="AE20" s="223">
        <v>0</v>
      </c>
      <c r="AF20" s="223">
        <v>0</v>
      </c>
      <c r="AG20" s="223">
        <v>0</v>
      </c>
      <c r="AH20" s="223">
        <v>0</v>
      </c>
      <c r="AI20" s="223">
        <v>0</v>
      </c>
      <c r="AJ20" s="223">
        <v>0</v>
      </c>
      <c r="AK20" s="223">
        <v>0</v>
      </c>
      <c r="AL20" s="223">
        <v>0</v>
      </c>
      <c r="AM20" s="223">
        <v>0</v>
      </c>
      <c r="AN20" s="292">
        <v>0</v>
      </c>
      <c r="AO20" s="292">
        <v>0</v>
      </c>
    </row>
    <row r="21" spans="1:41">
      <c r="A21" s="328" t="str">
        <f>+States!A20</f>
        <v>Xaob</v>
      </c>
      <c r="B21" s="227">
        <v>0</v>
      </c>
      <c r="C21" s="223">
        <v>0</v>
      </c>
      <c r="D21" s="223">
        <v>0</v>
      </c>
      <c r="E21" s="223">
        <v>0</v>
      </c>
      <c r="F21" s="223">
        <f>+'Microbial Model'!$BG$23</f>
        <v>7.2794774775357188E-2</v>
      </c>
      <c r="G21" s="223">
        <v>0</v>
      </c>
      <c r="H21" s="223">
        <v>0</v>
      </c>
      <c r="I21" s="223">
        <v>0</v>
      </c>
      <c r="J21" s="223">
        <v>0</v>
      </c>
      <c r="K21" s="223">
        <v>0</v>
      </c>
      <c r="L21" s="223">
        <v>0</v>
      </c>
      <c r="M21" s="223">
        <v>0</v>
      </c>
      <c r="N21" s="223">
        <v>0</v>
      </c>
      <c r="O21" s="223">
        <v>0</v>
      </c>
      <c r="P21" s="223">
        <v>0</v>
      </c>
      <c r="Q21" s="223">
        <v>0</v>
      </c>
      <c r="R21" s="223">
        <v>0</v>
      </c>
      <c r="S21" s="223">
        <v>0</v>
      </c>
      <c r="T21" s="223">
        <v>0</v>
      </c>
      <c r="U21" s="223">
        <v>0</v>
      </c>
      <c r="V21" s="228">
        <v>0</v>
      </c>
      <c r="W21" s="228">
        <v>0</v>
      </c>
      <c r="X21" s="227">
        <v>0</v>
      </c>
      <c r="Y21" s="223">
        <v>0</v>
      </c>
      <c r="Z21" s="223">
        <v>0</v>
      </c>
      <c r="AA21" s="223">
        <v>-1</v>
      </c>
      <c r="AB21" s="223">
        <v>0</v>
      </c>
      <c r="AC21" s="223">
        <v>0</v>
      </c>
      <c r="AD21" s="223">
        <v>0</v>
      </c>
      <c r="AE21" s="223">
        <v>0</v>
      </c>
      <c r="AF21" s="223">
        <v>0</v>
      </c>
      <c r="AG21" s="223">
        <v>0</v>
      </c>
      <c r="AH21" s="223">
        <v>0</v>
      </c>
      <c r="AI21" s="223">
        <v>0</v>
      </c>
      <c r="AJ21" s="223">
        <v>0</v>
      </c>
      <c r="AK21" s="223">
        <v>0</v>
      </c>
      <c r="AL21" s="223">
        <v>0</v>
      </c>
      <c r="AM21" s="223">
        <v>0</v>
      </c>
      <c r="AN21" s="292">
        <v>0</v>
      </c>
      <c r="AO21" s="292">
        <v>0</v>
      </c>
    </row>
    <row r="22" spans="1:41">
      <c r="A22" s="328" t="str">
        <f>+States!A21</f>
        <v>Xnob</v>
      </c>
      <c r="B22" s="227">
        <v>0</v>
      </c>
      <c r="C22" s="223">
        <v>0</v>
      </c>
      <c r="D22" s="223">
        <v>0</v>
      </c>
      <c r="E22" s="223">
        <v>0</v>
      </c>
      <c r="F22" s="223">
        <v>0</v>
      </c>
      <c r="G22" s="223">
        <f>+'Microbial Model'!$BR$23</f>
        <v>2.1487798659852262E-2</v>
      </c>
      <c r="H22" s="223">
        <v>0</v>
      </c>
      <c r="I22" s="223">
        <v>0</v>
      </c>
      <c r="J22" s="223">
        <v>0</v>
      </c>
      <c r="K22" s="223">
        <v>0</v>
      </c>
      <c r="L22" s="223">
        <v>0</v>
      </c>
      <c r="M22" s="223">
        <v>0</v>
      </c>
      <c r="N22" s="223">
        <v>0</v>
      </c>
      <c r="O22" s="223">
        <v>0</v>
      </c>
      <c r="P22" s="223">
        <v>0</v>
      </c>
      <c r="Q22" s="223">
        <v>0</v>
      </c>
      <c r="R22" s="223">
        <v>0</v>
      </c>
      <c r="S22" s="223">
        <v>0</v>
      </c>
      <c r="T22" s="223">
        <v>0</v>
      </c>
      <c r="U22" s="223">
        <v>0</v>
      </c>
      <c r="V22" s="228">
        <v>0</v>
      </c>
      <c r="W22" s="228">
        <v>0</v>
      </c>
      <c r="X22" s="227">
        <v>0</v>
      </c>
      <c r="Y22" s="223">
        <v>0</v>
      </c>
      <c r="Z22" s="223">
        <v>0</v>
      </c>
      <c r="AA22" s="223">
        <v>0</v>
      </c>
      <c r="AB22" s="223">
        <v>-1</v>
      </c>
      <c r="AC22" s="223">
        <v>0</v>
      </c>
      <c r="AD22" s="223">
        <v>0</v>
      </c>
      <c r="AE22" s="223">
        <v>0</v>
      </c>
      <c r="AF22" s="223">
        <v>0</v>
      </c>
      <c r="AG22" s="223">
        <v>0</v>
      </c>
      <c r="AH22" s="223">
        <v>0</v>
      </c>
      <c r="AI22" s="223">
        <v>0</v>
      </c>
      <c r="AJ22" s="223">
        <v>0</v>
      </c>
      <c r="AK22" s="223">
        <v>0</v>
      </c>
      <c r="AL22" s="223">
        <v>0</v>
      </c>
      <c r="AM22" s="223">
        <v>0</v>
      </c>
      <c r="AN22" s="292">
        <v>0</v>
      </c>
      <c r="AO22" s="292">
        <v>0</v>
      </c>
    </row>
    <row r="23" spans="1:41">
      <c r="A23" s="328" t="str">
        <f>+States!A22</f>
        <v>Xdn</v>
      </c>
      <c r="B23" s="227">
        <v>0</v>
      </c>
      <c r="C23" s="223">
        <v>0</v>
      </c>
      <c r="D23" s="223">
        <v>0</v>
      </c>
      <c r="E23" s="223">
        <v>0</v>
      </c>
      <c r="F23" s="223">
        <v>0</v>
      </c>
      <c r="G23" s="223">
        <v>0</v>
      </c>
      <c r="H23" s="223">
        <f>+'Microbial Model'!$CC$23</f>
        <v>3.4965684855321348</v>
      </c>
      <c r="I23" s="223">
        <f>+'Microbial Model'!$CC$23</f>
        <v>3.4965684855321348</v>
      </c>
      <c r="J23" s="223">
        <f>+'Microbial Model'!$CY$23</f>
        <v>0.2047502069520403</v>
      </c>
      <c r="K23" s="223">
        <v>0</v>
      </c>
      <c r="L23" s="223">
        <v>0</v>
      </c>
      <c r="M23" s="223">
        <v>0</v>
      </c>
      <c r="N23" s="223">
        <v>0</v>
      </c>
      <c r="O23" s="223">
        <v>0</v>
      </c>
      <c r="P23" s="223">
        <v>0</v>
      </c>
      <c r="Q23" s="223">
        <v>0</v>
      </c>
      <c r="R23" s="223">
        <v>0</v>
      </c>
      <c r="S23" s="223">
        <v>0</v>
      </c>
      <c r="T23" s="223">
        <v>0</v>
      </c>
      <c r="U23" s="223">
        <v>0</v>
      </c>
      <c r="V23" s="228">
        <v>0</v>
      </c>
      <c r="W23" s="228">
        <v>0</v>
      </c>
      <c r="X23" s="227">
        <v>0</v>
      </c>
      <c r="Y23" s="223">
        <v>0</v>
      </c>
      <c r="Z23" s="223">
        <v>0</v>
      </c>
      <c r="AA23" s="223">
        <v>0</v>
      </c>
      <c r="AB23" s="223">
        <v>0</v>
      </c>
      <c r="AC23" s="223">
        <v>-1</v>
      </c>
      <c r="AD23" s="223">
        <v>0</v>
      </c>
      <c r="AE23" s="223">
        <v>0</v>
      </c>
      <c r="AF23" s="223">
        <v>0</v>
      </c>
      <c r="AG23" s="223">
        <v>0</v>
      </c>
      <c r="AH23" s="223">
        <v>0</v>
      </c>
      <c r="AI23" s="223">
        <v>0</v>
      </c>
      <c r="AJ23" s="223">
        <v>0</v>
      </c>
      <c r="AK23" s="223">
        <v>0</v>
      </c>
      <c r="AL23" s="223">
        <v>0</v>
      </c>
      <c r="AM23" s="223">
        <v>0</v>
      </c>
      <c r="AN23" s="292">
        <v>0</v>
      </c>
      <c r="AO23" s="292">
        <v>0</v>
      </c>
    </row>
    <row r="24" spans="1:41">
      <c r="A24" s="328" t="str">
        <f>+States!A23</f>
        <v>Xsrd</v>
      </c>
      <c r="B24" s="227">
        <v>0</v>
      </c>
      <c r="C24" s="223">
        <v>0</v>
      </c>
      <c r="D24" s="223">
        <v>0</v>
      </c>
      <c r="E24" s="223">
        <v>0</v>
      </c>
      <c r="F24" s="223">
        <v>0</v>
      </c>
      <c r="G24" s="223">
        <v>0</v>
      </c>
      <c r="H24" s="223">
        <v>0</v>
      </c>
      <c r="I24" s="223">
        <v>0</v>
      </c>
      <c r="J24" s="223">
        <v>0</v>
      </c>
      <c r="K24" s="223">
        <f>+'Microbial Model'!$DJ$23</f>
        <v>7.9483361717050116E-2</v>
      </c>
      <c r="L24" s="223">
        <f>+'Microbial Model'!$DU$23</f>
        <v>1.9870840429262529E-2</v>
      </c>
      <c r="M24" s="223">
        <v>0</v>
      </c>
      <c r="N24" s="223">
        <v>0</v>
      </c>
      <c r="O24" s="223">
        <v>0</v>
      </c>
      <c r="P24" s="223">
        <v>0</v>
      </c>
      <c r="Q24" s="223">
        <v>0</v>
      </c>
      <c r="R24" s="223">
        <v>0</v>
      </c>
      <c r="S24" s="223">
        <v>0</v>
      </c>
      <c r="T24" s="223">
        <v>0</v>
      </c>
      <c r="U24" s="223">
        <v>0</v>
      </c>
      <c r="V24" s="228">
        <v>0</v>
      </c>
      <c r="W24" s="228">
        <v>0</v>
      </c>
      <c r="X24" s="227">
        <v>0</v>
      </c>
      <c r="Y24" s="223">
        <v>0</v>
      </c>
      <c r="Z24" s="223">
        <v>0</v>
      </c>
      <c r="AA24" s="223">
        <v>0</v>
      </c>
      <c r="AB24" s="223">
        <v>0</v>
      </c>
      <c r="AC24" s="223">
        <v>0</v>
      </c>
      <c r="AD24" s="223">
        <v>-1</v>
      </c>
      <c r="AE24" s="223">
        <v>0</v>
      </c>
      <c r="AF24" s="223">
        <v>0</v>
      </c>
      <c r="AG24" s="223">
        <v>0</v>
      </c>
      <c r="AH24" s="223">
        <v>0</v>
      </c>
      <c r="AI24" s="223">
        <v>0</v>
      </c>
      <c r="AJ24" s="223">
        <v>0</v>
      </c>
      <c r="AK24" s="223">
        <v>0</v>
      </c>
      <c r="AL24" s="223">
        <v>0</v>
      </c>
      <c r="AM24" s="223">
        <v>0</v>
      </c>
      <c r="AN24" s="292">
        <v>0</v>
      </c>
      <c r="AO24" s="292">
        <v>0</v>
      </c>
    </row>
    <row r="25" spans="1:41">
      <c r="A25" s="328" t="str">
        <f>+States!A24</f>
        <v>Xsox</v>
      </c>
      <c r="B25" s="227">
        <v>0</v>
      </c>
      <c r="C25" s="223">
        <v>0</v>
      </c>
      <c r="D25" s="223">
        <v>0</v>
      </c>
      <c r="E25" s="223">
        <v>0</v>
      </c>
      <c r="F25" s="223">
        <v>0</v>
      </c>
      <c r="G25" s="223">
        <v>0</v>
      </c>
      <c r="H25" s="223">
        <v>0</v>
      </c>
      <c r="I25" s="223">
        <v>0</v>
      </c>
      <c r="J25" s="223">
        <v>0</v>
      </c>
      <c r="K25" s="223">
        <v>0</v>
      </c>
      <c r="L25" s="223">
        <v>0</v>
      </c>
      <c r="M25" s="223">
        <f>+'Microbial Model'!$EF$23</f>
        <v>0.56331509802276736</v>
      </c>
      <c r="N25" s="223">
        <v>0</v>
      </c>
      <c r="O25" s="223">
        <v>0</v>
      </c>
      <c r="P25" s="223">
        <v>0</v>
      </c>
      <c r="Q25" s="223">
        <v>0</v>
      </c>
      <c r="R25" s="223">
        <v>0</v>
      </c>
      <c r="S25" s="223">
        <v>0</v>
      </c>
      <c r="T25" s="223">
        <v>0</v>
      </c>
      <c r="U25" s="223">
        <v>0</v>
      </c>
      <c r="V25" s="228">
        <v>0</v>
      </c>
      <c r="W25" s="228">
        <v>0</v>
      </c>
      <c r="X25" s="227">
        <v>0</v>
      </c>
      <c r="Y25" s="223">
        <v>0</v>
      </c>
      <c r="Z25" s="223">
        <v>0</v>
      </c>
      <c r="AA25" s="223">
        <v>0</v>
      </c>
      <c r="AB25" s="223">
        <v>0</v>
      </c>
      <c r="AC25" s="223">
        <v>0</v>
      </c>
      <c r="AD25" s="223">
        <v>0</v>
      </c>
      <c r="AE25" s="223">
        <v>-1</v>
      </c>
      <c r="AF25" s="223">
        <v>0</v>
      </c>
      <c r="AG25" s="223">
        <v>0</v>
      </c>
      <c r="AH25" s="223">
        <v>0</v>
      </c>
      <c r="AI25" s="223">
        <v>0</v>
      </c>
      <c r="AJ25" s="223">
        <v>0</v>
      </c>
      <c r="AK25" s="223">
        <v>0</v>
      </c>
      <c r="AL25" s="223">
        <v>0</v>
      </c>
      <c r="AM25" s="223">
        <v>0</v>
      </c>
      <c r="AN25" s="292">
        <v>0</v>
      </c>
      <c r="AO25" s="292">
        <v>0</v>
      </c>
    </row>
    <row r="26" spans="1:41">
      <c r="A26" s="328" t="str">
        <f>+States!A25</f>
        <v>Xson</v>
      </c>
      <c r="B26" s="227">
        <v>0</v>
      </c>
      <c r="C26" s="223">
        <v>0</v>
      </c>
      <c r="D26" s="223">
        <v>0</v>
      </c>
      <c r="E26" s="223">
        <v>0</v>
      </c>
      <c r="F26" s="223">
        <v>0</v>
      </c>
      <c r="G26" s="223">
        <v>0</v>
      </c>
      <c r="H26" s="223">
        <v>0</v>
      </c>
      <c r="I26" s="223">
        <v>0</v>
      </c>
      <c r="J26" s="223">
        <v>0</v>
      </c>
      <c r="K26" s="223">
        <v>0</v>
      </c>
      <c r="L26" s="223">
        <v>0</v>
      </c>
      <c r="M26" s="223">
        <v>0</v>
      </c>
      <c r="N26" s="223">
        <f>+'Microbial Model'!$EQ$23</f>
        <v>0.50056602170578135</v>
      </c>
      <c r="O26" s="223">
        <v>0</v>
      </c>
      <c r="P26" s="223">
        <v>0</v>
      </c>
      <c r="Q26" s="223">
        <v>0</v>
      </c>
      <c r="R26" s="223">
        <v>0</v>
      </c>
      <c r="S26" s="223">
        <v>0</v>
      </c>
      <c r="T26" s="223">
        <v>0</v>
      </c>
      <c r="U26" s="223">
        <v>0</v>
      </c>
      <c r="V26" s="228">
        <v>0</v>
      </c>
      <c r="W26" s="228">
        <v>0</v>
      </c>
      <c r="X26" s="227">
        <v>0</v>
      </c>
      <c r="Y26" s="223">
        <v>0</v>
      </c>
      <c r="Z26" s="223">
        <v>0</v>
      </c>
      <c r="AA26" s="223">
        <v>0</v>
      </c>
      <c r="AB26" s="223">
        <v>0</v>
      </c>
      <c r="AC26" s="223">
        <v>0</v>
      </c>
      <c r="AD26" s="223">
        <v>0</v>
      </c>
      <c r="AE26" s="223">
        <v>0</v>
      </c>
      <c r="AF26" s="223">
        <v>-1</v>
      </c>
      <c r="AG26" s="223">
        <v>0</v>
      </c>
      <c r="AH26" s="223">
        <v>0</v>
      </c>
      <c r="AI26" s="223">
        <v>0</v>
      </c>
      <c r="AJ26" s="223">
        <v>0</v>
      </c>
      <c r="AK26" s="223">
        <v>0</v>
      </c>
      <c r="AL26" s="223">
        <v>0</v>
      </c>
      <c r="AM26" s="223">
        <v>0</v>
      </c>
      <c r="AN26" s="292">
        <v>0</v>
      </c>
      <c r="AO26" s="292">
        <v>0</v>
      </c>
    </row>
    <row r="27" spans="1:41">
      <c r="A27" s="328" t="str">
        <f>+States!A26</f>
        <v>Xfeox</v>
      </c>
      <c r="B27" s="227">
        <v>0</v>
      </c>
      <c r="C27" s="223">
        <v>0</v>
      </c>
      <c r="D27" s="223">
        <v>0</v>
      </c>
      <c r="E27" s="223">
        <v>0</v>
      </c>
      <c r="F27" s="223">
        <v>0</v>
      </c>
      <c r="G27" s="223">
        <v>0</v>
      </c>
      <c r="H27" s="223">
        <v>0</v>
      </c>
      <c r="I27" s="223">
        <v>0</v>
      </c>
      <c r="J27" s="223">
        <v>0</v>
      </c>
      <c r="K27" s="223">
        <v>0</v>
      </c>
      <c r="L27" s="223">
        <v>0</v>
      </c>
      <c r="M27" s="223">
        <v>0</v>
      </c>
      <c r="N27" s="223">
        <v>0</v>
      </c>
      <c r="O27" s="223">
        <f>+'Microbial Model'!$FB$23</f>
        <v>2.425552887084995E-2</v>
      </c>
      <c r="P27" s="223">
        <v>0</v>
      </c>
      <c r="Q27" s="223">
        <v>0</v>
      </c>
      <c r="R27" s="223">
        <v>0</v>
      </c>
      <c r="S27" s="223">
        <v>0</v>
      </c>
      <c r="T27" s="223">
        <v>0</v>
      </c>
      <c r="U27" s="223">
        <v>0</v>
      </c>
      <c r="V27" s="228">
        <v>0</v>
      </c>
      <c r="W27" s="228">
        <v>0</v>
      </c>
      <c r="X27" s="227">
        <v>0</v>
      </c>
      <c r="Y27" s="223">
        <v>0</v>
      </c>
      <c r="Z27" s="223">
        <v>0</v>
      </c>
      <c r="AA27" s="223">
        <v>0</v>
      </c>
      <c r="AB27" s="223">
        <v>0</v>
      </c>
      <c r="AC27" s="223">
        <v>0</v>
      </c>
      <c r="AD27" s="223">
        <v>0</v>
      </c>
      <c r="AE27" s="223">
        <v>0</v>
      </c>
      <c r="AF27" s="223">
        <v>0</v>
      </c>
      <c r="AG27" s="223">
        <v>-1</v>
      </c>
      <c r="AH27" s="223">
        <v>0</v>
      </c>
      <c r="AI27" s="223">
        <v>0</v>
      </c>
      <c r="AJ27" s="223">
        <v>0</v>
      </c>
      <c r="AK27" s="223">
        <v>0</v>
      </c>
      <c r="AL27" s="223">
        <v>0</v>
      </c>
      <c r="AM27" s="223">
        <v>0</v>
      </c>
      <c r="AN27" s="292">
        <v>0</v>
      </c>
      <c r="AO27" s="292">
        <v>0</v>
      </c>
    </row>
    <row r="28" spans="1:41">
      <c r="A28" s="328" t="str">
        <f>+States!A27</f>
        <v>Xfeon</v>
      </c>
      <c r="B28" s="227">
        <v>0</v>
      </c>
      <c r="C28" s="223">
        <v>0</v>
      </c>
      <c r="D28" s="223">
        <v>0</v>
      </c>
      <c r="E28" s="223">
        <v>0</v>
      </c>
      <c r="F28" s="223">
        <v>0</v>
      </c>
      <c r="G28" s="223">
        <v>0</v>
      </c>
      <c r="H28" s="223">
        <v>0</v>
      </c>
      <c r="I28" s="223">
        <v>0</v>
      </c>
      <c r="J28" s="223">
        <v>0</v>
      </c>
      <c r="K28" s="223">
        <v>0</v>
      </c>
      <c r="L28" s="223">
        <v>0</v>
      </c>
      <c r="M28" s="223">
        <v>0</v>
      </c>
      <c r="N28" s="223">
        <v>0</v>
      </c>
      <c r="O28" s="223">
        <v>0</v>
      </c>
      <c r="P28" s="223">
        <f>+'Microbial Model'!$FM$23</f>
        <v>1.0518091962642126E-2</v>
      </c>
      <c r="Q28" s="223">
        <v>0</v>
      </c>
      <c r="R28" s="223">
        <v>0</v>
      </c>
      <c r="S28" s="223">
        <v>0</v>
      </c>
      <c r="T28" s="223">
        <v>0</v>
      </c>
      <c r="U28" s="223">
        <v>0</v>
      </c>
      <c r="V28" s="228">
        <v>0</v>
      </c>
      <c r="W28" s="228">
        <v>0</v>
      </c>
      <c r="X28" s="227">
        <v>0</v>
      </c>
      <c r="Y28" s="223">
        <v>0</v>
      </c>
      <c r="Z28" s="223">
        <v>0</v>
      </c>
      <c r="AA28" s="223">
        <v>0</v>
      </c>
      <c r="AB28" s="223">
        <v>0</v>
      </c>
      <c r="AC28" s="223">
        <v>0</v>
      </c>
      <c r="AD28" s="223">
        <v>0</v>
      </c>
      <c r="AE28" s="223">
        <v>0</v>
      </c>
      <c r="AF28" s="223">
        <v>0</v>
      </c>
      <c r="AG28" s="223">
        <v>0</v>
      </c>
      <c r="AH28" s="223">
        <v>-1</v>
      </c>
      <c r="AI28" s="223">
        <v>0</v>
      </c>
      <c r="AJ28" s="223">
        <v>0</v>
      </c>
      <c r="AK28" s="223">
        <v>0</v>
      </c>
      <c r="AL28" s="223">
        <v>0</v>
      </c>
      <c r="AM28" s="223">
        <v>0</v>
      </c>
      <c r="AN28" s="292">
        <v>0</v>
      </c>
      <c r="AO28" s="292">
        <v>0</v>
      </c>
    </row>
    <row r="29" spans="1:41">
      <c r="A29" s="328" t="str">
        <f>+States!A28</f>
        <v>Xferd</v>
      </c>
      <c r="B29" s="227">
        <v>0</v>
      </c>
      <c r="C29" s="223">
        <v>0</v>
      </c>
      <c r="D29" s="223">
        <v>0</v>
      </c>
      <c r="E29" s="223">
        <v>0</v>
      </c>
      <c r="F29" s="223">
        <v>0</v>
      </c>
      <c r="G29" s="223">
        <v>0</v>
      </c>
      <c r="H29" s="223">
        <v>0</v>
      </c>
      <c r="I29" s="223">
        <v>0</v>
      </c>
      <c r="J29" s="223">
        <v>0</v>
      </c>
      <c r="K29" s="223">
        <v>0</v>
      </c>
      <c r="L29" s="223">
        <v>0</v>
      </c>
      <c r="M29" s="223">
        <v>0</v>
      </c>
      <c r="N29" s="223">
        <v>0</v>
      </c>
      <c r="O29" s="223">
        <v>0</v>
      </c>
      <c r="P29" s="223">
        <v>0</v>
      </c>
      <c r="Q29" s="223">
        <f>+'Microbial Model'!$FX$23</f>
        <v>0.83219436785499201</v>
      </c>
      <c r="R29" s="223">
        <f>+'Microbial Model'!$GI23</f>
        <v>0.208048591963748</v>
      </c>
      <c r="S29" s="223">
        <v>0</v>
      </c>
      <c r="T29" s="223">
        <v>0</v>
      </c>
      <c r="U29" s="223">
        <v>0</v>
      </c>
      <c r="V29" s="228">
        <v>0</v>
      </c>
      <c r="W29" s="228">
        <v>0</v>
      </c>
      <c r="X29" s="227">
        <v>0</v>
      </c>
      <c r="Y29" s="223">
        <v>0</v>
      </c>
      <c r="Z29" s="223">
        <v>0</v>
      </c>
      <c r="AA29" s="223">
        <v>0</v>
      </c>
      <c r="AB29" s="223">
        <v>0</v>
      </c>
      <c r="AC29" s="223">
        <v>0</v>
      </c>
      <c r="AD29" s="223">
        <v>0</v>
      </c>
      <c r="AE29" s="223">
        <v>0</v>
      </c>
      <c r="AF29" s="223">
        <v>0</v>
      </c>
      <c r="AG29" s="223">
        <v>0</v>
      </c>
      <c r="AH29" s="223">
        <v>0</v>
      </c>
      <c r="AI29" s="223">
        <v>-1</v>
      </c>
      <c r="AJ29" s="223">
        <v>0</v>
      </c>
      <c r="AK29" s="223">
        <v>0</v>
      </c>
      <c r="AL29" s="223">
        <v>0</v>
      </c>
      <c r="AM29" s="223">
        <v>0</v>
      </c>
      <c r="AN29" s="292">
        <v>0</v>
      </c>
      <c r="AO29" s="292">
        <v>0</v>
      </c>
    </row>
    <row r="30" spans="1:41">
      <c r="A30" s="328" t="str">
        <f>+States!A29</f>
        <v>Xacm</v>
      </c>
      <c r="B30" s="227">
        <v>0</v>
      </c>
      <c r="C30" s="223">
        <v>0</v>
      </c>
      <c r="D30" s="223">
        <v>0</v>
      </c>
      <c r="E30" s="223">
        <v>0</v>
      </c>
      <c r="F30" s="223">
        <v>0</v>
      </c>
      <c r="G30" s="223">
        <v>0</v>
      </c>
      <c r="H30" s="223">
        <v>0</v>
      </c>
      <c r="I30" s="223">
        <v>0</v>
      </c>
      <c r="J30" s="223">
        <v>0</v>
      </c>
      <c r="K30" s="223">
        <v>0</v>
      </c>
      <c r="L30" s="223">
        <v>0</v>
      </c>
      <c r="M30" s="223">
        <v>0</v>
      </c>
      <c r="N30" s="223">
        <v>0</v>
      </c>
      <c r="O30" s="223">
        <v>0</v>
      </c>
      <c r="P30" s="223">
        <v>0</v>
      </c>
      <c r="Q30" s="223">
        <v>0</v>
      </c>
      <c r="R30" s="223">
        <v>0</v>
      </c>
      <c r="S30" s="223">
        <f>+'Microbial Model'!$GT$23</f>
        <v>0.1</v>
      </c>
      <c r="T30" s="223">
        <v>0</v>
      </c>
      <c r="U30" s="223">
        <v>0</v>
      </c>
      <c r="V30" s="228">
        <v>0</v>
      </c>
      <c r="W30" s="228">
        <v>0</v>
      </c>
      <c r="X30" s="227">
        <v>0</v>
      </c>
      <c r="Y30" s="223">
        <v>0</v>
      </c>
      <c r="Z30" s="223">
        <v>0</v>
      </c>
      <c r="AA30" s="223">
        <v>0</v>
      </c>
      <c r="AB30" s="223">
        <v>0</v>
      </c>
      <c r="AC30" s="223">
        <v>0</v>
      </c>
      <c r="AD30" s="223">
        <v>0</v>
      </c>
      <c r="AE30" s="223">
        <v>0</v>
      </c>
      <c r="AF30" s="223">
        <v>0</v>
      </c>
      <c r="AG30" s="223">
        <v>0</v>
      </c>
      <c r="AH30" s="223">
        <v>0</v>
      </c>
      <c r="AI30" s="223">
        <v>0</v>
      </c>
      <c r="AJ30" s="223">
        <v>-1</v>
      </c>
      <c r="AK30" s="223">
        <v>0</v>
      </c>
      <c r="AL30" s="223">
        <v>0</v>
      </c>
      <c r="AM30" s="223">
        <v>0</v>
      </c>
      <c r="AN30" s="292">
        <v>0</v>
      </c>
      <c r="AO30" s="292">
        <v>0</v>
      </c>
    </row>
    <row r="31" spans="1:41">
      <c r="A31" s="328" t="str">
        <f>+States!A30</f>
        <v>Xh2m</v>
      </c>
      <c r="B31" s="227">
        <v>0</v>
      </c>
      <c r="C31" s="223">
        <v>0</v>
      </c>
      <c r="D31" s="223">
        <v>0</v>
      </c>
      <c r="E31" s="223">
        <v>0</v>
      </c>
      <c r="F31" s="223">
        <v>0</v>
      </c>
      <c r="G31" s="223">
        <v>0</v>
      </c>
      <c r="H31" s="223">
        <v>0</v>
      </c>
      <c r="I31" s="223">
        <v>0</v>
      </c>
      <c r="J31" s="223">
        <v>0</v>
      </c>
      <c r="K31" s="223">
        <v>0</v>
      </c>
      <c r="L31" s="223">
        <v>0</v>
      </c>
      <c r="M31" s="223">
        <v>0</v>
      </c>
      <c r="N31" s="223">
        <v>0</v>
      </c>
      <c r="O31" s="223">
        <v>0</v>
      </c>
      <c r="P31" s="223">
        <v>0</v>
      </c>
      <c r="Q31" s="223">
        <v>0</v>
      </c>
      <c r="R31" s="223">
        <v>0</v>
      </c>
      <c r="S31" s="223">
        <v>0</v>
      </c>
      <c r="T31" s="223">
        <f>+'Microbial Model'!$HE$23</f>
        <v>0.03</v>
      </c>
      <c r="U31" s="223">
        <v>0</v>
      </c>
      <c r="V31" s="228">
        <v>0</v>
      </c>
      <c r="W31" s="228">
        <v>0</v>
      </c>
      <c r="X31" s="227">
        <v>0</v>
      </c>
      <c r="Y31" s="223">
        <v>0</v>
      </c>
      <c r="Z31" s="223">
        <v>0</v>
      </c>
      <c r="AA31" s="223">
        <v>0</v>
      </c>
      <c r="AB31" s="223">
        <v>0</v>
      </c>
      <c r="AC31" s="223">
        <v>0</v>
      </c>
      <c r="AD31" s="223">
        <v>0</v>
      </c>
      <c r="AE31" s="223">
        <v>0</v>
      </c>
      <c r="AF31" s="223">
        <v>0</v>
      </c>
      <c r="AG31" s="223">
        <v>0</v>
      </c>
      <c r="AH31" s="223">
        <v>0</v>
      </c>
      <c r="AI31" s="223">
        <v>0</v>
      </c>
      <c r="AJ31" s="223">
        <v>0</v>
      </c>
      <c r="AK31" s="223">
        <v>-1</v>
      </c>
      <c r="AL31" s="223">
        <v>0</v>
      </c>
      <c r="AM31" s="223">
        <v>0</v>
      </c>
      <c r="AN31" s="292">
        <v>0</v>
      </c>
      <c r="AO31" s="292">
        <v>0</v>
      </c>
    </row>
    <row r="32" spans="1:41">
      <c r="A32" s="328" t="str">
        <f>+States!A31</f>
        <v>Xmto</v>
      </c>
      <c r="B32" s="227">
        <v>0</v>
      </c>
      <c r="C32" s="223">
        <v>0</v>
      </c>
      <c r="D32" s="223">
        <v>0</v>
      </c>
      <c r="E32" s="223">
        <v>0</v>
      </c>
      <c r="F32" s="223">
        <v>0</v>
      </c>
      <c r="G32" s="223">
        <v>0</v>
      </c>
      <c r="H32" s="223">
        <v>0</v>
      </c>
      <c r="I32" s="223">
        <v>0</v>
      </c>
      <c r="J32" s="223">
        <v>0</v>
      </c>
      <c r="K32" s="223">
        <v>0</v>
      </c>
      <c r="L32" s="223">
        <v>0</v>
      </c>
      <c r="M32" s="223">
        <v>0</v>
      </c>
      <c r="N32" s="223">
        <v>0</v>
      </c>
      <c r="O32" s="223">
        <v>0</v>
      </c>
      <c r="P32" s="223">
        <v>0</v>
      </c>
      <c r="Q32" s="223">
        <v>0</v>
      </c>
      <c r="R32" s="223">
        <v>0</v>
      </c>
      <c r="S32" s="223">
        <v>0</v>
      </c>
      <c r="T32" s="223">
        <v>0</v>
      </c>
      <c r="U32" s="223">
        <f>+'Microbial Model'!$HP$23</f>
        <v>0.53688765590979193</v>
      </c>
      <c r="V32" s="228">
        <v>0</v>
      </c>
      <c r="W32" s="228">
        <v>0</v>
      </c>
      <c r="X32" s="227">
        <v>0</v>
      </c>
      <c r="Y32" s="223">
        <v>0</v>
      </c>
      <c r="Z32" s="223">
        <v>0</v>
      </c>
      <c r="AA32" s="223">
        <v>0</v>
      </c>
      <c r="AB32" s="223">
        <v>0</v>
      </c>
      <c r="AC32" s="223">
        <v>0</v>
      </c>
      <c r="AD32" s="223">
        <v>0</v>
      </c>
      <c r="AE32" s="223">
        <v>0</v>
      </c>
      <c r="AF32" s="223">
        <v>0</v>
      </c>
      <c r="AG32" s="223">
        <v>0</v>
      </c>
      <c r="AH32" s="223">
        <v>0</v>
      </c>
      <c r="AI32" s="223">
        <v>0</v>
      </c>
      <c r="AJ32" s="223">
        <v>0</v>
      </c>
      <c r="AK32" s="223">
        <v>0</v>
      </c>
      <c r="AL32" s="223">
        <v>-1</v>
      </c>
      <c r="AM32" s="223">
        <v>0</v>
      </c>
      <c r="AN32" s="292">
        <v>0</v>
      </c>
      <c r="AO32" s="292">
        <v>0</v>
      </c>
    </row>
    <row r="33" spans="1:41">
      <c r="A33" s="328" t="str">
        <f>+States!A32</f>
        <v>Xmts</v>
      </c>
      <c r="B33" s="227">
        <v>0</v>
      </c>
      <c r="C33" s="223">
        <v>0</v>
      </c>
      <c r="D33" s="223">
        <v>0</v>
      </c>
      <c r="E33" s="223">
        <v>0</v>
      </c>
      <c r="F33" s="223">
        <v>0</v>
      </c>
      <c r="G33" s="223">
        <v>0</v>
      </c>
      <c r="H33" s="223">
        <v>0</v>
      </c>
      <c r="I33" s="223">
        <v>0</v>
      </c>
      <c r="J33" s="223">
        <v>0</v>
      </c>
      <c r="K33" s="223">
        <v>0</v>
      </c>
      <c r="L33" s="223">
        <v>0</v>
      </c>
      <c r="M33" s="223">
        <v>0</v>
      </c>
      <c r="N33" s="223">
        <v>0</v>
      </c>
      <c r="O33" s="223">
        <v>0</v>
      </c>
      <c r="P33" s="223">
        <v>0</v>
      </c>
      <c r="Q33" s="223">
        <v>0</v>
      </c>
      <c r="R33" s="223">
        <v>0</v>
      </c>
      <c r="S33" s="223">
        <v>0</v>
      </c>
      <c r="T33" s="223">
        <v>0</v>
      </c>
      <c r="U33" s="223">
        <v>0</v>
      </c>
      <c r="V33" s="228">
        <f>+'Microbial Model'!$IA$23</f>
        <v>2.5193025794556893E-2</v>
      </c>
      <c r="W33" s="228">
        <v>0</v>
      </c>
      <c r="X33" s="227">
        <v>0</v>
      </c>
      <c r="Y33" s="223">
        <v>0</v>
      </c>
      <c r="Z33" s="223">
        <v>0</v>
      </c>
      <c r="AA33" s="223">
        <v>0</v>
      </c>
      <c r="AB33" s="223">
        <v>0</v>
      </c>
      <c r="AC33" s="223">
        <v>0</v>
      </c>
      <c r="AD33" s="223">
        <v>0</v>
      </c>
      <c r="AE33" s="223">
        <v>0</v>
      </c>
      <c r="AF33" s="223">
        <v>0</v>
      </c>
      <c r="AG33" s="223">
        <v>0</v>
      </c>
      <c r="AH33" s="223">
        <v>0</v>
      </c>
      <c r="AI33" s="223">
        <v>0</v>
      </c>
      <c r="AJ33" s="223">
        <v>0</v>
      </c>
      <c r="AK33" s="223">
        <v>0</v>
      </c>
      <c r="AL33" s="223">
        <v>0</v>
      </c>
      <c r="AM33" s="223">
        <v>-1</v>
      </c>
      <c r="AN33" s="292">
        <v>0</v>
      </c>
      <c r="AO33" s="292">
        <v>0</v>
      </c>
    </row>
    <row r="34" spans="1:41">
      <c r="A34" s="328" t="str">
        <f>+States!A33</f>
        <v>Xd</v>
      </c>
      <c r="B34" s="227">
        <v>0</v>
      </c>
      <c r="C34" s="223">
        <v>0</v>
      </c>
      <c r="D34" s="223">
        <v>0</v>
      </c>
      <c r="E34" s="223">
        <v>0</v>
      </c>
      <c r="F34" s="223">
        <v>0</v>
      </c>
      <c r="G34" s="223">
        <v>0</v>
      </c>
      <c r="H34" s="223">
        <v>0</v>
      </c>
      <c r="I34" s="223">
        <v>0</v>
      </c>
      <c r="J34" s="223">
        <v>0</v>
      </c>
      <c r="K34" s="223">
        <v>0</v>
      </c>
      <c r="L34" s="223">
        <v>0</v>
      </c>
      <c r="M34" s="223">
        <v>0</v>
      </c>
      <c r="N34" s="223">
        <v>0</v>
      </c>
      <c r="O34" s="223">
        <v>0</v>
      </c>
      <c r="P34" s="223">
        <v>0</v>
      </c>
      <c r="Q34" s="223">
        <v>0</v>
      </c>
      <c r="R34" s="223">
        <v>0</v>
      </c>
      <c r="S34" s="223">
        <v>0</v>
      </c>
      <c r="T34" s="223">
        <v>0</v>
      </c>
      <c r="U34" s="223">
        <v>0</v>
      </c>
      <c r="V34" s="228">
        <v>0</v>
      </c>
      <c r="W34" s="228">
        <v>0</v>
      </c>
      <c r="X34" s="227">
        <f>+'Microbial Model'!$IH$23</f>
        <v>0.76500000000000001</v>
      </c>
      <c r="Y34" s="223">
        <v>1</v>
      </c>
      <c r="Z34" s="223">
        <v>1</v>
      </c>
      <c r="AA34" s="223">
        <v>1</v>
      </c>
      <c r="AB34" s="223">
        <v>1</v>
      </c>
      <c r="AC34" s="223">
        <v>1</v>
      </c>
      <c r="AD34" s="223">
        <v>1</v>
      </c>
      <c r="AE34" s="223">
        <v>1</v>
      </c>
      <c r="AF34" s="223">
        <v>1</v>
      </c>
      <c r="AG34" s="223">
        <v>1</v>
      </c>
      <c r="AH34" s="223">
        <v>1</v>
      </c>
      <c r="AI34" s="223">
        <v>1</v>
      </c>
      <c r="AJ34" s="223">
        <v>1</v>
      </c>
      <c r="AK34" s="223">
        <v>1</v>
      </c>
      <c r="AL34" s="223">
        <v>1</v>
      </c>
      <c r="AM34" s="223">
        <v>1</v>
      </c>
      <c r="AN34" s="292">
        <v>-1</v>
      </c>
      <c r="AO34" s="292">
        <v>0</v>
      </c>
    </row>
    <row r="35" spans="1:41">
      <c r="A35" s="328" t="str">
        <f>+States!A34</f>
        <v>Xfeoh</v>
      </c>
      <c r="B35" s="227">
        <v>0</v>
      </c>
      <c r="C35" s="223">
        <f>+'Microbial Model'!$Z18</f>
        <v>0</v>
      </c>
      <c r="D35" s="223">
        <f>+'Microbial Model'!$AK18</f>
        <v>0</v>
      </c>
      <c r="E35" s="223">
        <f>+'Microbial Model'!$AV18</f>
        <v>0</v>
      </c>
      <c r="F35" s="223">
        <f>+'Microbial Model'!$BG18</f>
        <v>0</v>
      </c>
      <c r="G35" s="223">
        <f>+'Microbial Model'!$BR18</f>
        <v>0</v>
      </c>
      <c r="H35" s="223">
        <f>+'Microbial Model'!$CC18</f>
        <v>0</v>
      </c>
      <c r="I35" s="223">
        <f>+'Microbial Model'!$CN18</f>
        <v>0</v>
      </c>
      <c r="J35" s="223">
        <f>+'Microbial Model'!$CN18</f>
        <v>0</v>
      </c>
      <c r="K35" s="223">
        <f>+'Microbial Model'!$DJ18</f>
        <v>0</v>
      </c>
      <c r="L35" s="223">
        <f>+'Microbial Model'!$DJ18</f>
        <v>0</v>
      </c>
      <c r="M35" s="223">
        <f>+'Microbial Model'!$EF18</f>
        <v>0</v>
      </c>
      <c r="N35" s="223">
        <f>+'Microbial Model'!$EQ18</f>
        <v>0</v>
      </c>
      <c r="O35" s="223">
        <v>0</v>
      </c>
      <c r="P35" s="223">
        <v>0</v>
      </c>
      <c r="Q35" s="223">
        <v>0</v>
      </c>
      <c r="R35" s="223">
        <v>0</v>
      </c>
      <c r="S35" s="223">
        <f>+'Microbial Model'!$GT18</f>
        <v>0</v>
      </c>
      <c r="T35" s="223">
        <f>+'Microbial Model'!$HE18</f>
        <v>0</v>
      </c>
      <c r="U35" s="223">
        <f>+'Microbial Model'!$HP18</f>
        <v>0</v>
      </c>
      <c r="V35" s="228">
        <f>+'Microbial Model'!$IA18</f>
        <v>0</v>
      </c>
      <c r="W35" s="228">
        <v>1</v>
      </c>
      <c r="X35" s="227">
        <v>0</v>
      </c>
      <c r="Y35" s="223">
        <v>0</v>
      </c>
      <c r="Z35" s="223">
        <v>0</v>
      </c>
      <c r="AA35" s="223">
        <v>0</v>
      </c>
      <c r="AB35" s="223">
        <v>0</v>
      </c>
      <c r="AC35" s="223">
        <v>0</v>
      </c>
      <c r="AD35" s="223">
        <v>0</v>
      </c>
      <c r="AE35" s="223">
        <v>0</v>
      </c>
      <c r="AF35" s="223">
        <v>0</v>
      </c>
      <c r="AG35" s="223">
        <v>0</v>
      </c>
      <c r="AH35" s="223">
        <v>0</v>
      </c>
      <c r="AI35" s="223">
        <v>0</v>
      </c>
      <c r="AJ35" s="223">
        <v>0</v>
      </c>
      <c r="AK35" s="223">
        <v>0</v>
      </c>
      <c r="AL35" s="223">
        <v>0</v>
      </c>
      <c r="AM35" s="223">
        <v>0</v>
      </c>
      <c r="AN35" s="292">
        <f>+(1-$AN$36)*'Microbial Model'!$IF18</f>
        <v>0</v>
      </c>
      <c r="AO35" s="292">
        <v>0</v>
      </c>
    </row>
    <row r="36" spans="1:41" ht="13.8" thickBot="1">
      <c r="A36" s="329" t="str">
        <f>+States!A35</f>
        <v>Xi</v>
      </c>
      <c r="B36" s="229">
        <v>0</v>
      </c>
      <c r="C36" s="230">
        <v>0</v>
      </c>
      <c r="D36" s="230">
        <v>0</v>
      </c>
      <c r="E36" s="230">
        <v>0</v>
      </c>
      <c r="F36" s="230">
        <v>0</v>
      </c>
      <c r="G36" s="230">
        <v>0</v>
      </c>
      <c r="H36" s="230">
        <v>0</v>
      </c>
      <c r="I36" s="230">
        <v>0</v>
      </c>
      <c r="J36" s="230">
        <v>0</v>
      </c>
      <c r="K36" s="230">
        <v>0</v>
      </c>
      <c r="L36" s="230">
        <v>0</v>
      </c>
      <c r="M36" s="230">
        <v>0</v>
      </c>
      <c r="N36" s="230">
        <v>0</v>
      </c>
      <c r="O36" s="230">
        <v>0</v>
      </c>
      <c r="P36" s="230">
        <v>0</v>
      </c>
      <c r="Q36" s="230">
        <v>0</v>
      </c>
      <c r="R36" s="230">
        <v>0</v>
      </c>
      <c r="S36" s="230">
        <v>0</v>
      </c>
      <c r="T36" s="230">
        <v>0</v>
      </c>
      <c r="U36" s="230">
        <v>0</v>
      </c>
      <c r="V36" s="231">
        <v>0</v>
      </c>
      <c r="W36" s="231">
        <v>0</v>
      </c>
      <c r="X36" s="229">
        <v>0</v>
      </c>
      <c r="Y36" s="230">
        <v>0</v>
      </c>
      <c r="Z36" s="230">
        <v>0</v>
      </c>
      <c r="AA36" s="230">
        <v>0</v>
      </c>
      <c r="AB36" s="230">
        <v>0</v>
      </c>
      <c r="AC36" s="230">
        <v>0</v>
      </c>
      <c r="AD36" s="230">
        <v>0</v>
      </c>
      <c r="AE36" s="230">
        <v>0</v>
      </c>
      <c r="AF36" s="230">
        <v>0</v>
      </c>
      <c r="AG36" s="230">
        <v>0</v>
      </c>
      <c r="AH36" s="230">
        <v>0</v>
      </c>
      <c r="AI36" s="230">
        <v>0</v>
      </c>
      <c r="AJ36" s="230">
        <v>0</v>
      </c>
      <c r="AK36" s="230">
        <v>0</v>
      </c>
      <c r="AL36" s="230">
        <v>0</v>
      </c>
      <c r="AM36" s="230">
        <v>0</v>
      </c>
      <c r="AN36" s="293">
        <f>+'Microbial Model'!$IF$27</f>
        <v>0.23499999999999999</v>
      </c>
      <c r="AO36" s="292">
        <v>0</v>
      </c>
    </row>
    <row r="37" spans="1:41">
      <c r="A37" s="327" t="str">
        <f>+States!A36</f>
        <v>Gch4</v>
      </c>
      <c r="B37" s="224">
        <v>0</v>
      </c>
      <c r="C37" s="225">
        <v>0</v>
      </c>
      <c r="D37" s="225">
        <v>0</v>
      </c>
      <c r="E37" s="225">
        <v>0</v>
      </c>
      <c r="F37" s="225">
        <v>0</v>
      </c>
      <c r="G37" s="225">
        <v>0</v>
      </c>
      <c r="H37" s="225">
        <v>0</v>
      </c>
      <c r="I37" s="225">
        <v>0</v>
      </c>
      <c r="J37" s="225">
        <v>0</v>
      </c>
      <c r="K37" s="225">
        <v>0</v>
      </c>
      <c r="L37" s="225">
        <v>0</v>
      </c>
      <c r="M37" s="225">
        <v>0</v>
      </c>
      <c r="N37" s="225">
        <v>0</v>
      </c>
      <c r="O37" s="225">
        <v>0</v>
      </c>
      <c r="P37" s="225">
        <v>0</v>
      </c>
      <c r="Q37" s="225">
        <v>0</v>
      </c>
      <c r="R37" s="225">
        <v>0</v>
      </c>
      <c r="S37" s="225">
        <v>0</v>
      </c>
      <c r="T37" s="225">
        <v>0</v>
      </c>
      <c r="U37" s="225">
        <v>0</v>
      </c>
      <c r="V37" s="226">
        <v>0</v>
      </c>
      <c r="W37" s="226">
        <v>0</v>
      </c>
      <c r="X37" s="224">
        <v>0</v>
      </c>
      <c r="Y37" s="225">
        <v>0</v>
      </c>
      <c r="Z37" s="225">
        <v>0</v>
      </c>
      <c r="AA37" s="225">
        <v>0</v>
      </c>
      <c r="AB37" s="225">
        <v>0</v>
      </c>
      <c r="AC37" s="225">
        <v>0</v>
      </c>
      <c r="AD37" s="225">
        <v>0</v>
      </c>
      <c r="AE37" s="225">
        <v>0</v>
      </c>
      <c r="AF37" s="225">
        <v>0</v>
      </c>
      <c r="AG37" s="225">
        <v>0</v>
      </c>
      <c r="AH37" s="225">
        <v>0</v>
      </c>
      <c r="AI37" s="225">
        <v>0</v>
      </c>
      <c r="AJ37" s="225">
        <v>0</v>
      </c>
      <c r="AK37" s="225">
        <v>0</v>
      </c>
      <c r="AL37" s="225">
        <v>0</v>
      </c>
      <c r="AM37" s="225">
        <v>0</v>
      </c>
      <c r="AN37" s="291">
        <v>0</v>
      </c>
      <c r="AO37" s="291">
        <v>0</v>
      </c>
    </row>
    <row r="38" spans="1:41">
      <c r="A38" s="328" t="str">
        <f>+States!A37</f>
        <v>Gco2</v>
      </c>
      <c r="B38" s="227">
        <v>0</v>
      </c>
      <c r="C38" s="223">
        <v>0</v>
      </c>
      <c r="D38" s="223">
        <v>0</v>
      </c>
      <c r="E38" s="223">
        <v>0</v>
      </c>
      <c r="F38" s="223">
        <v>0</v>
      </c>
      <c r="G38" s="223">
        <v>0</v>
      </c>
      <c r="H38" s="223">
        <v>0</v>
      </c>
      <c r="I38" s="223">
        <v>0</v>
      </c>
      <c r="J38" s="223">
        <v>0</v>
      </c>
      <c r="K38" s="223">
        <v>0</v>
      </c>
      <c r="L38" s="223">
        <v>0</v>
      </c>
      <c r="M38" s="223">
        <v>0</v>
      </c>
      <c r="N38" s="223">
        <v>0</v>
      </c>
      <c r="O38" s="223">
        <v>0</v>
      </c>
      <c r="P38" s="223">
        <v>0</v>
      </c>
      <c r="Q38" s="223">
        <v>0</v>
      </c>
      <c r="R38" s="223">
        <v>0</v>
      </c>
      <c r="S38" s="223">
        <v>0</v>
      </c>
      <c r="T38" s="223">
        <v>0</v>
      </c>
      <c r="U38" s="223">
        <v>0</v>
      </c>
      <c r="V38" s="228">
        <v>0</v>
      </c>
      <c r="W38" s="228">
        <v>0</v>
      </c>
      <c r="X38" s="227">
        <v>0</v>
      </c>
      <c r="Y38" s="223">
        <v>0</v>
      </c>
      <c r="Z38" s="223">
        <v>0</v>
      </c>
      <c r="AA38" s="223">
        <v>0</v>
      </c>
      <c r="AB38" s="223">
        <v>0</v>
      </c>
      <c r="AC38" s="223">
        <v>0</v>
      </c>
      <c r="AD38" s="223">
        <v>0</v>
      </c>
      <c r="AE38" s="223">
        <v>0</v>
      </c>
      <c r="AF38" s="223">
        <v>0</v>
      </c>
      <c r="AG38" s="223">
        <v>0</v>
      </c>
      <c r="AH38" s="223">
        <v>0</v>
      </c>
      <c r="AI38" s="223">
        <v>0</v>
      </c>
      <c r="AJ38" s="223">
        <v>0</v>
      </c>
      <c r="AK38" s="223">
        <v>0</v>
      </c>
      <c r="AL38" s="223">
        <v>0</v>
      </c>
      <c r="AM38" s="223">
        <v>0</v>
      </c>
      <c r="AN38" s="292">
        <v>0</v>
      </c>
      <c r="AO38" s="292">
        <v>0</v>
      </c>
    </row>
    <row r="39" spans="1:41">
      <c r="A39" s="328" t="str">
        <f>+States!A38</f>
        <v>Gh2</v>
      </c>
      <c r="B39" s="227">
        <v>0</v>
      </c>
      <c r="C39" s="223">
        <v>0</v>
      </c>
      <c r="D39" s="223">
        <v>0</v>
      </c>
      <c r="E39" s="223">
        <v>0</v>
      </c>
      <c r="F39" s="223">
        <v>0</v>
      </c>
      <c r="G39" s="223">
        <v>0</v>
      </c>
      <c r="H39" s="223">
        <v>0</v>
      </c>
      <c r="I39" s="223">
        <v>0</v>
      </c>
      <c r="J39" s="223">
        <v>0</v>
      </c>
      <c r="K39" s="223">
        <v>0</v>
      </c>
      <c r="L39" s="223">
        <v>0</v>
      </c>
      <c r="M39" s="223">
        <v>0</v>
      </c>
      <c r="N39" s="223">
        <v>0</v>
      </c>
      <c r="O39" s="223">
        <v>0</v>
      </c>
      <c r="P39" s="223">
        <v>0</v>
      </c>
      <c r="Q39" s="223">
        <v>0</v>
      </c>
      <c r="R39" s="223">
        <v>0</v>
      </c>
      <c r="S39" s="223">
        <v>0</v>
      </c>
      <c r="T39" s="223">
        <v>0</v>
      </c>
      <c r="U39" s="223">
        <v>0</v>
      </c>
      <c r="V39" s="228">
        <v>0</v>
      </c>
      <c r="W39" s="228">
        <v>0</v>
      </c>
      <c r="X39" s="227">
        <v>0</v>
      </c>
      <c r="Y39" s="223">
        <v>0</v>
      </c>
      <c r="Z39" s="223">
        <v>0</v>
      </c>
      <c r="AA39" s="223">
        <v>0</v>
      </c>
      <c r="AB39" s="223">
        <v>0</v>
      </c>
      <c r="AC39" s="223">
        <v>0</v>
      </c>
      <c r="AD39" s="223">
        <v>0</v>
      </c>
      <c r="AE39" s="223">
        <v>0</v>
      </c>
      <c r="AF39" s="223">
        <v>0</v>
      </c>
      <c r="AG39" s="223">
        <v>0</v>
      </c>
      <c r="AH39" s="223">
        <v>0</v>
      </c>
      <c r="AI39" s="223">
        <v>0</v>
      </c>
      <c r="AJ39" s="223">
        <v>0</v>
      </c>
      <c r="AK39" s="223">
        <v>0</v>
      </c>
      <c r="AL39" s="223">
        <v>0</v>
      </c>
      <c r="AM39" s="223">
        <v>0</v>
      </c>
      <c r="AN39" s="292">
        <v>0</v>
      </c>
      <c r="AO39" s="292">
        <v>0</v>
      </c>
    </row>
    <row r="40" spans="1:41">
      <c r="A40" s="328" t="str">
        <f>+States!A39</f>
        <v>Gn2</v>
      </c>
      <c r="B40" s="227">
        <v>0</v>
      </c>
      <c r="C40" s="223">
        <v>0</v>
      </c>
      <c r="D40" s="223">
        <v>0</v>
      </c>
      <c r="E40" s="223">
        <v>0</v>
      </c>
      <c r="F40" s="223">
        <v>0</v>
      </c>
      <c r="G40" s="223">
        <v>0</v>
      </c>
      <c r="H40" s="223">
        <v>0</v>
      </c>
      <c r="I40" s="223">
        <v>0</v>
      </c>
      <c r="J40" s="223">
        <v>0</v>
      </c>
      <c r="K40" s="223">
        <v>0</v>
      </c>
      <c r="L40" s="223">
        <v>0</v>
      </c>
      <c r="M40" s="223">
        <v>0</v>
      </c>
      <c r="N40" s="223">
        <v>0</v>
      </c>
      <c r="O40" s="223">
        <v>0</v>
      </c>
      <c r="P40" s="223">
        <v>0</v>
      </c>
      <c r="Q40" s="223">
        <v>0</v>
      </c>
      <c r="R40" s="223">
        <v>0</v>
      </c>
      <c r="S40" s="223">
        <v>0</v>
      </c>
      <c r="T40" s="223">
        <v>0</v>
      </c>
      <c r="U40" s="223">
        <v>0</v>
      </c>
      <c r="V40" s="228">
        <v>0</v>
      </c>
      <c r="W40" s="228">
        <v>0</v>
      </c>
      <c r="X40" s="227">
        <v>0</v>
      </c>
      <c r="Y40" s="223">
        <v>0</v>
      </c>
      <c r="Z40" s="223">
        <v>0</v>
      </c>
      <c r="AA40" s="223">
        <v>0</v>
      </c>
      <c r="AB40" s="223">
        <v>0</v>
      </c>
      <c r="AC40" s="223">
        <v>0</v>
      </c>
      <c r="AD40" s="223">
        <v>0</v>
      </c>
      <c r="AE40" s="223">
        <v>0</v>
      </c>
      <c r="AF40" s="223">
        <v>0</v>
      </c>
      <c r="AG40" s="223">
        <v>0</v>
      </c>
      <c r="AH40" s="223">
        <v>0</v>
      </c>
      <c r="AI40" s="223">
        <v>0</v>
      </c>
      <c r="AJ40" s="223">
        <v>0</v>
      </c>
      <c r="AK40" s="223">
        <v>0</v>
      </c>
      <c r="AL40" s="223">
        <v>0</v>
      </c>
      <c r="AM40" s="223">
        <v>0</v>
      </c>
      <c r="AN40" s="292">
        <v>0</v>
      </c>
      <c r="AO40" s="292">
        <v>0</v>
      </c>
    </row>
    <row r="41" spans="1:41">
      <c r="A41" s="328" t="str">
        <f>+States!A40</f>
        <v>Gsh2</v>
      </c>
      <c r="B41" s="227">
        <v>0</v>
      </c>
      <c r="C41" s="223">
        <v>0</v>
      </c>
      <c r="D41" s="223">
        <v>0</v>
      </c>
      <c r="E41" s="223">
        <v>0</v>
      </c>
      <c r="F41" s="223">
        <v>0</v>
      </c>
      <c r="G41" s="223">
        <v>0</v>
      </c>
      <c r="H41" s="223">
        <v>0</v>
      </c>
      <c r="I41" s="223">
        <v>0</v>
      </c>
      <c r="J41" s="223">
        <v>0</v>
      </c>
      <c r="K41" s="223">
        <v>0</v>
      </c>
      <c r="L41" s="223">
        <v>0</v>
      </c>
      <c r="M41" s="223">
        <v>0</v>
      </c>
      <c r="N41" s="223">
        <v>0</v>
      </c>
      <c r="O41" s="223">
        <v>0</v>
      </c>
      <c r="P41" s="223">
        <v>0</v>
      </c>
      <c r="Q41" s="223">
        <v>0</v>
      </c>
      <c r="R41" s="223">
        <v>0</v>
      </c>
      <c r="S41" s="223">
        <v>0</v>
      </c>
      <c r="T41" s="223">
        <v>0</v>
      </c>
      <c r="U41" s="223">
        <v>0</v>
      </c>
      <c r="V41" s="228">
        <v>0</v>
      </c>
      <c r="W41" s="228">
        <v>0</v>
      </c>
      <c r="X41" s="227">
        <v>0</v>
      </c>
      <c r="Y41" s="223">
        <v>0</v>
      </c>
      <c r="Z41" s="223">
        <v>0</v>
      </c>
      <c r="AA41" s="223">
        <v>0</v>
      </c>
      <c r="AB41" s="223">
        <v>0</v>
      </c>
      <c r="AC41" s="223">
        <v>0</v>
      </c>
      <c r="AD41" s="223">
        <v>0</v>
      </c>
      <c r="AE41" s="223">
        <v>0</v>
      </c>
      <c r="AF41" s="223">
        <v>0</v>
      </c>
      <c r="AG41" s="223">
        <v>0</v>
      </c>
      <c r="AH41" s="223">
        <v>0</v>
      </c>
      <c r="AI41" s="223">
        <v>0</v>
      </c>
      <c r="AJ41" s="223">
        <v>0</v>
      </c>
      <c r="AK41" s="223">
        <v>0</v>
      </c>
      <c r="AL41" s="223">
        <v>0</v>
      </c>
      <c r="AM41" s="223">
        <v>0</v>
      </c>
      <c r="AN41" s="292">
        <v>0</v>
      </c>
      <c r="AO41" s="292">
        <v>0</v>
      </c>
    </row>
    <row r="42" spans="1:41" ht="13.8" thickBot="1">
      <c r="A42" s="329" t="str">
        <f>+States!A41</f>
        <v>Go2</v>
      </c>
      <c r="B42" s="229">
        <v>0</v>
      </c>
      <c r="C42" s="230">
        <v>0</v>
      </c>
      <c r="D42" s="230">
        <v>0</v>
      </c>
      <c r="E42" s="230">
        <v>0</v>
      </c>
      <c r="F42" s="230">
        <v>0</v>
      </c>
      <c r="G42" s="230">
        <v>0</v>
      </c>
      <c r="H42" s="230">
        <v>0</v>
      </c>
      <c r="I42" s="230">
        <v>0</v>
      </c>
      <c r="J42" s="230">
        <v>0</v>
      </c>
      <c r="K42" s="230">
        <v>0</v>
      </c>
      <c r="L42" s="230">
        <v>0</v>
      </c>
      <c r="M42" s="230">
        <v>0</v>
      </c>
      <c r="N42" s="230">
        <v>0</v>
      </c>
      <c r="O42" s="230">
        <v>0</v>
      </c>
      <c r="P42" s="230">
        <v>0</v>
      </c>
      <c r="Q42" s="230">
        <v>0</v>
      </c>
      <c r="R42" s="230">
        <v>0</v>
      </c>
      <c r="S42" s="230">
        <v>0</v>
      </c>
      <c r="T42" s="230">
        <v>0</v>
      </c>
      <c r="U42" s="230">
        <v>0</v>
      </c>
      <c r="V42" s="231">
        <v>0</v>
      </c>
      <c r="W42" s="231">
        <v>0</v>
      </c>
      <c r="X42" s="229">
        <v>0</v>
      </c>
      <c r="Y42" s="230">
        <v>0</v>
      </c>
      <c r="Z42" s="230">
        <v>0</v>
      </c>
      <c r="AA42" s="230">
        <v>0</v>
      </c>
      <c r="AB42" s="230">
        <v>0</v>
      </c>
      <c r="AC42" s="230">
        <v>0</v>
      </c>
      <c r="AD42" s="230">
        <v>0</v>
      </c>
      <c r="AE42" s="230">
        <v>0</v>
      </c>
      <c r="AF42" s="230">
        <v>0</v>
      </c>
      <c r="AG42" s="230">
        <v>0</v>
      </c>
      <c r="AH42" s="230">
        <v>0</v>
      </c>
      <c r="AI42" s="230">
        <v>0</v>
      </c>
      <c r="AJ42" s="230">
        <v>0</v>
      </c>
      <c r="AK42" s="230">
        <v>0</v>
      </c>
      <c r="AL42" s="230">
        <v>0</v>
      </c>
      <c r="AM42" s="230">
        <v>0</v>
      </c>
      <c r="AN42" s="293">
        <v>0</v>
      </c>
      <c r="AO42" s="292">
        <v>0</v>
      </c>
    </row>
    <row r="43" spans="1:41" ht="13.8" thickBot="1">
      <c r="A43" s="329" t="s">
        <v>119</v>
      </c>
      <c r="B43" s="229">
        <f>+'Phytoplankton Model'!Y20</f>
        <v>-0.60000000000000009</v>
      </c>
      <c r="C43" s="230">
        <f>+'Microbial Model'!Z20</f>
        <v>-1.5</v>
      </c>
      <c r="D43" s="230">
        <f>+'Microbial Model'!AK20</f>
        <v>3.6560264617887546</v>
      </c>
      <c r="E43" s="230">
        <f>+'Microbial Model'!$AV17</f>
        <v>-1.0320174937814977</v>
      </c>
      <c r="F43" s="230">
        <f>+'Microbial Model'!$BG20</f>
        <v>0.94176418017971419</v>
      </c>
      <c r="G43" s="230">
        <f>+'Microbial Model'!$BR20</f>
        <v>-1.7190238927881817E-2</v>
      </c>
      <c r="H43" s="230">
        <f>+'Microbial Model'!$CC20</f>
        <v>3.5747354899656543</v>
      </c>
      <c r="I43" s="230">
        <f>+'Microbial Model'!$CN20</f>
        <v>1.6697788576247379</v>
      </c>
      <c r="J43" s="230">
        <f>+'Microbial Model'!$CY20</f>
        <v>1.2040950041390408</v>
      </c>
      <c r="K43" s="230">
        <f>+'Microbial Model'!$DJ20</f>
        <v>1.9523099829697699</v>
      </c>
      <c r="L43" s="230">
        <f>+'Microbial Model'!$DU20</f>
        <v>1.007948336171705</v>
      </c>
      <c r="M43" s="230">
        <f>+'Microbial Model'!$EF20</f>
        <v>-0.33798905881366048</v>
      </c>
      <c r="N43" s="230">
        <f>+'Microbial Model'!$EQ20</f>
        <v>0.1092188900460223</v>
      </c>
      <c r="O43" s="230">
        <f>+'Microbial Model'!$FB20</f>
        <v>0.50485110577417003</v>
      </c>
      <c r="P43" s="230">
        <f>+'Microbial Model'!$FM20</f>
        <v>0.60021036183925291</v>
      </c>
      <c r="Q43" s="230">
        <f>+'Microbial Model'!$FX20</f>
        <v>-0.75170844821751193</v>
      </c>
      <c r="R43" s="230">
        <f>+'Microbial Model'!$GI20</f>
        <v>0.104024295981874</v>
      </c>
      <c r="S43" s="230">
        <f>+'Microbial Model'!$GT20</f>
        <v>4.4999999999999998E-2</v>
      </c>
      <c r="T43" s="230">
        <f>+'Microbial Model'!$HE20</f>
        <v>0.51349999999999996</v>
      </c>
      <c r="U43" s="230">
        <f>+'Microbial Model'!$HP20</f>
        <v>1.6778674064541246</v>
      </c>
      <c r="V43" s="231">
        <f>+'Microbial Model'!$IA20</f>
        <v>1.9848841845232661</v>
      </c>
      <c r="W43" s="231">
        <f>+'Microbial Model'!ID20</f>
        <v>-2</v>
      </c>
      <c r="X43" s="229">
        <f>+'Microbial Model'!$IH20</f>
        <v>-0.11749999999999999</v>
      </c>
      <c r="Y43" s="230">
        <v>0</v>
      </c>
      <c r="Z43" s="230">
        <v>0</v>
      </c>
      <c r="AA43" s="230">
        <v>0</v>
      </c>
      <c r="AB43" s="230">
        <v>0</v>
      </c>
      <c r="AC43" s="230">
        <v>0</v>
      </c>
      <c r="AD43" s="230">
        <v>0</v>
      </c>
      <c r="AE43" s="230">
        <v>0</v>
      </c>
      <c r="AF43" s="230">
        <v>0</v>
      </c>
      <c r="AG43" s="230">
        <v>0</v>
      </c>
      <c r="AH43" s="230">
        <v>0</v>
      </c>
      <c r="AI43" s="230">
        <v>0</v>
      </c>
      <c r="AJ43" s="230">
        <v>0</v>
      </c>
      <c r="AK43" s="230">
        <v>0</v>
      </c>
      <c r="AL43" s="230">
        <v>0</v>
      </c>
      <c r="AM43" s="230">
        <v>0</v>
      </c>
      <c r="AN43" s="293">
        <f>+'Microbial Model'!IF20</f>
        <v>-0.5</v>
      </c>
      <c r="AO43" s="291">
        <v>0</v>
      </c>
    </row>
    <row r="44" spans="1:41" ht="13.8" thickBot="1">
      <c r="A44" s="329" t="s">
        <v>123</v>
      </c>
      <c r="B44" s="227">
        <f>+'Phytoplankton Model'!Y21</f>
        <v>0.15300000000000047</v>
      </c>
      <c r="C44" s="223">
        <f>+'Microbial Model'!Z21</f>
        <v>1.92</v>
      </c>
      <c r="D44" s="223">
        <f>+'Microbial Model'!AK21</f>
        <v>0.78132451273708181</v>
      </c>
      <c r="E44" s="223">
        <f>+'Microbial Model'!$AV18</f>
        <v>0</v>
      </c>
      <c r="F44" s="223">
        <f>+'Microbial Model'!$BG21</f>
        <v>1.9854410450449287</v>
      </c>
      <c r="G44" s="223">
        <f>+'Microbial Model'!$BR21</f>
        <v>-4.2975597319704368E-3</v>
      </c>
      <c r="H44" s="223">
        <f>+'Microbial Model'!$CC21</f>
        <v>-1.4432942538891511</v>
      </c>
      <c r="I44" s="223">
        <f>+'Microbial Model'!$CN21</f>
        <v>-1.8137592053041656</v>
      </c>
      <c r="J44" s="223">
        <f>+'Microbial Model'!$CY21</f>
        <v>-0.46961507036369399</v>
      </c>
      <c r="K44" s="223">
        <f>+'Microbial Model'!$DJ21</f>
        <v>-1.9423745627551385</v>
      </c>
      <c r="L44" s="223">
        <f>+'Microbial Model'!$DU21</f>
        <v>-0.2554644811180472</v>
      </c>
      <c r="M44" s="223">
        <f>+'Microbial Model'!$EF21</f>
        <v>1.1126630196045539</v>
      </c>
      <c r="N44" s="223">
        <f>+'Microbial Model'!$EQ21</f>
        <v>-0.11945661916245111</v>
      </c>
      <c r="O44" s="223">
        <f>+'Microbial Model'!$FB21</f>
        <v>-1.016978870209595</v>
      </c>
      <c r="P44" s="223">
        <f>+'Microbial Model'!$FM21</f>
        <v>-1.2035761512672984</v>
      </c>
      <c r="Q44" s="223">
        <f>+'Microbial Model'!$FX21</f>
        <v>3.6712225285800315</v>
      </c>
      <c r="R44" s="223">
        <f>+'Microbial Model'!$GI21</f>
        <v>1.895975704018126</v>
      </c>
      <c r="S44" s="223">
        <f>+'Microbial Model'!$GT21</f>
        <v>-0.97999999999999987</v>
      </c>
      <c r="T44" s="223">
        <f>+'Microbial Model'!$HE21</f>
        <v>6.0000000000000053E-3</v>
      </c>
      <c r="U44" s="223">
        <f>+'Microbial Model'!$HP21</f>
        <v>0.10737753118195847</v>
      </c>
      <c r="V44" s="228">
        <f>+'Microbial Model'!$IA21</f>
        <v>-0.9817350562989462</v>
      </c>
      <c r="W44" s="228">
        <f>+'Microbial Model'!ID21</f>
        <v>3</v>
      </c>
      <c r="X44" s="227">
        <f>+'Microbial Model'!$IH21</f>
        <v>0</v>
      </c>
      <c r="Y44" s="223">
        <v>0</v>
      </c>
      <c r="Z44" s="223">
        <v>0</v>
      </c>
      <c r="AA44" s="223">
        <v>0</v>
      </c>
      <c r="AB44" s="223">
        <v>0</v>
      </c>
      <c r="AC44" s="223">
        <v>0</v>
      </c>
      <c r="AD44" s="223">
        <v>0</v>
      </c>
      <c r="AE44" s="223">
        <v>0</v>
      </c>
      <c r="AF44" s="223">
        <v>0</v>
      </c>
      <c r="AG44" s="223">
        <v>0</v>
      </c>
      <c r="AH44" s="223">
        <v>0</v>
      </c>
      <c r="AI44" s="223">
        <v>0</v>
      </c>
      <c r="AJ44" s="223">
        <v>0</v>
      </c>
      <c r="AK44" s="223">
        <v>0</v>
      </c>
      <c r="AL44" s="223">
        <v>0</v>
      </c>
      <c r="AM44" s="223">
        <v>0</v>
      </c>
      <c r="AN44" s="292">
        <f>+'Microbial Model'!IF21</f>
        <v>-0.153</v>
      </c>
      <c r="AO44" s="291">
        <v>0</v>
      </c>
    </row>
    <row r="45" spans="1:41" ht="16.2" thickBot="1">
      <c r="A45" s="391" t="s">
        <v>760</v>
      </c>
      <c r="B45" s="394">
        <f>+'Phytoplankton Model'!$Y$34</f>
        <v>490.67160999999999</v>
      </c>
      <c r="C45" s="395">
        <f>+'Microbial Model'!$Z$34</f>
        <v>-92.160999999999831</v>
      </c>
      <c r="D45" s="395">
        <f>+'Microbial Model'!$AK$34</f>
        <v>-253.11326475726401</v>
      </c>
      <c r="E45" s="395">
        <f>+'Microbial Model'!$AV$34</f>
        <v>-492.43143331452183</v>
      </c>
      <c r="F45" s="395">
        <f>+'Microbial Model'!$BG$34</f>
        <v>-2410.8271641773867</v>
      </c>
      <c r="G45" s="395">
        <f>+'Microbial Model'!$BR$34</f>
        <v>-3507.9867557178045</v>
      </c>
      <c r="H45" s="395">
        <f>+'Microbial Model'!$CC$34</f>
        <v>-277.58408570674067</v>
      </c>
      <c r="I45" s="395">
        <f>+'Microbial Model'!$CN$34</f>
        <v>-545.53728233219022</v>
      </c>
      <c r="J45" s="395">
        <f>+'Microbial Model'!$CY34</f>
        <v>-1163.1896504680749</v>
      </c>
      <c r="K45" s="395">
        <f>+'Microbial Model'!$DJ$34</f>
        <v>-1432.9807450208837</v>
      </c>
      <c r="L45" s="395">
        <f>+'Microbial Model'!$DU$34</f>
        <v>-3279.2657278534389</v>
      </c>
      <c r="M45" s="395">
        <f>+'Microbial Model'!$EF$34</f>
        <v>-907.12265781787175</v>
      </c>
      <c r="N45" s="395">
        <f>+'Microbial Model'!$EQ$34</f>
        <v>-995.52992431654536</v>
      </c>
      <c r="O45" s="395">
        <f>+'Microbial Model'!$FB$34</f>
        <v>-1895.1000660836762</v>
      </c>
      <c r="P45" s="395">
        <f>+'Microbial Model'!$FM$34</f>
        <v>-4254.304673050372</v>
      </c>
      <c r="Q45" s="395">
        <f>+'Microbial Model'!$FX$34</f>
        <v>-336.85034398924836</v>
      </c>
      <c r="R45" s="395">
        <f>+'Microbial Model'!$GI$34</f>
        <v>-768.76250912740272</v>
      </c>
      <c r="S45" s="395">
        <f>+'Microbial Model'!$GT$34</f>
        <v>-466.34699999999975</v>
      </c>
      <c r="T45" s="395">
        <f>+'Microbial Model'!$HE$34</f>
        <v>-1564.4470000000001</v>
      </c>
      <c r="U45" s="395">
        <f>+'Microbial Model'!$HP$34</f>
        <v>-1105.1132627317793</v>
      </c>
      <c r="V45" s="396">
        <f>+'Microbial Model'!$IA$34</f>
        <v>-2669.2590436941464</v>
      </c>
      <c r="W45" s="393">
        <f>+'Microbial Model'!ID29</f>
        <v>-303.2123053102917</v>
      </c>
      <c r="X45" s="392">
        <f>+'Microbial Model'!IH29</f>
        <v>6.7507570517638058</v>
      </c>
      <c r="Y45" s="392">
        <v>0</v>
      </c>
      <c r="Z45" s="392">
        <v>0</v>
      </c>
      <c r="AA45" s="392">
        <v>0</v>
      </c>
      <c r="AB45" s="392">
        <v>0</v>
      </c>
      <c r="AC45" s="392">
        <v>0</v>
      </c>
      <c r="AD45" s="392">
        <v>0</v>
      </c>
      <c r="AE45" s="392">
        <v>0</v>
      </c>
      <c r="AF45" s="392">
        <v>0</v>
      </c>
      <c r="AG45" s="392">
        <v>0</v>
      </c>
      <c r="AH45" s="392">
        <v>0</v>
      </c>
      <c r="AI45" s="392">
        <v>0</v>
      </c>
      <c r="AJ45" s="392">
        <v>0</v>
      </c>
      <c r="AK45" s="392">
        <v>0</v>
      </c>
      <c r="AL45" s="392">
        <v>0</v>
      </c>
      <c r="AM45" s="392">
        <v>0</v>
      </c>
      <c r="AN45" s="393">
        <f>+'Microbial Model'!IF29</f>
        <v>20.945077987550363</v>
      </c>
      <c r="AO45" s="397">
        <v>0</v>
      </c>
    </row>
  </sheetData>
  <conditionalFormatting sqref="B2:AN4 B6:AN44 B5:D5 F5:AN5">
    <cfRule type="cellIs" dxfId="46" priority="8" stopIfTrue="1" operator="lessThan">
      <formula>-0.0001</formula>
    </cfRule>
    <cfRule type="cellIs" dxfId="45" priority="9" stopIfTrue="1" operator="greaterThan">
      <formula>0.0001</formula>
    </cfRule>
  </conditionalFormatting>
  <conditionalFormatting sqref="E5">
    <cfRule type="cellIs" dxfId="44" priority="6" stopIfTrue="1" operator="lessThan">
      <formula>-0.0001</formula>
    </cfRule>
    <cfRule type="cellIs" dxfId="43" priority="7" stopIfTrue="1" operator="greaterThan">
      <formula>0.0001</formula>
    </cfRule>
  </conditionalFormatting>
  <conditionalFormatting sqref="B45:AN45">
    <cfRule type="cellIs" dxfId="42" priority="3" stopIfTrue="1" operator="lessThanOrEqual">
      <formula>-0.00001</formula>
    </cfRule>
    <cfRule type="cellIs" dxfId="41" priority="4" stopIfTrue="1" operator="greaterThan">
      <formula>0.00001</formula>
    </cfRule>
    <cfRule type="cellIs" dxfId="40" priority="5" stopIfTrue="1" operator="between">
      <formula>-0.00001</formula>
      <formula>0.00001</formula>
    </cfRule>
  </conditionalFormatting>
  <conditionalFormatting sqref="AO2:AO10">
    <cfRule type="cellIs" dxfId="39" priority="2" stopIfTrue="1" operator="notEqual">
      <formula>0</formula>
    </cfRule>
  </conditionalFormatting>
  <conditionalFormatting sqref="AO11:AO45">
    <cfRule type="cellIs" dxfId="38" priority="1" stopIfTrue="1" operator="notEqual">
      <formula>0</formula>
    </cfRule>
  </conditionalFormatting>
  <pageMargins left="0.75" right="0.75" top="1" bottom="1"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
  <sheetViews>
    <sheetView workbookViewId="0">
      <selection activeCell="K14" sqref="K14"/>
    </sheetView>
  </sheetViews>
  <sheetFormatPr defaultColWidth="11.44140625" defaultRowHeight="13.2"/>
  <cols>
    <col min="1" max="1" width="6.33203125" style="242" bestFit="1" customWidth="1"/>
    <col min="2" max="23" width="7.33203125" style="242" customWidth="1"/>
    <col min="24" max="24" width="7.44140625" style="242" customWidth="1"/>
    <col min="25" max="16384" width="11.44140625" style="242"/>
  </cols>
  <sheetData>
    <row r="1" spans="1:24">
      <c r="A1" s="268" t="s">
        <v>346</v>
      </c>
      <c r="B1" s="269">
        <v>0.5</v>
      </c>
      <c r="C1" s="274">
        <f>+B1+($W$1-$B$1)/21</f>
        <v>1.5</v>
      </c>
      <c r="D1" s="274">
        <f t="shared" ref="D1:V1" si="0">+C1+($W$1-$B$1)/21</f>
        <v>2.5</v>
      </c>
      <c r="E1" s="274">
        <f t="shared" si="0"/>
        <v>3.5</v>
      </c>
      <c r="F1" s="274">
        <f t="shared" si="0"/>
        <v>4.5</v>
      </c>
      <c r="G1" s="274">
        <f t="shared" si="0"/>
        <v>5.5</v>
      </c>
      <c r="H1" s="274">
        <f t="shared" si="0"/>
        <v>6.5</v>
      </c>
      <c r="I1" s="274">
        <f t="shared" si="0"/>
        <v>7.5</v>
      </c>
      <c r="J1" s="274">
        <f t="shared" si="0"/>
        <v>8.5</v>
      </c>
      <c r="K1" s="274">
        <f t="shared" si="0"/>
        <v>9.5</v>
      </c>
      <c r="L1" s="274">
        <f t="shared" si="0"/>
        <v>10.5</v>
      </c>
      <c r="M1" s="274">
        <f t="shared" si="0"/>
        <v>11.5</v>
      </c>
      <c r="N1" s="274">
        <f t="shared" si="0"/>
        <v>12.5</v>
      </c>
      <c r="O1" s="274">
        <f t="shared" si="0"/>
        <v>13.5</v>
      </c>
      <c r="P1" s="274">
        <f t="shared" si="0"/>
        <v>14.5</v>
      </c>
      <c r="Q1" s="274">
        <f t="shared" si="0"/>
        <v>15.5</v>
      </c>
      <c r="R1" s="274">
        <f t="shared" si="0"/>
        <v>16.5</v>
      </c>
      <c r="S1" s="274">
        <f t="shared" si="0"/>
        <v>17.5</v>
      </c>
      <c r="T1" s="274">
        <f t="shared" si="0"/>
        <v>18.5</v>
      </c>
      <c r="U1" s="274">
        <f t="shared" si="0"/>
        <v>19.5</v>
      </c>
      <c r="V1" s="274">
        <f t="shared" si="0"/>
        <v>20.5</v>
      </c>
      <c r="W1" s="269">
        <v>21.5</v>
      </c>
      <c r="X1" s="242" t="s">
        <v>679</v>
      </c>
    </row>
    <row r="2" spans="1:24">
      <c r="A2" s="268" t="s">
        <v>562</v>
      </c>
      <c r="B2" s="269">
        <v>0.04</v>
      </c>
      <c r="C2" s="274">
        <f t="shared" ref="C2:W2" si="1">+AVERAGE(B1:C1)</f>
        <v>1</v>
      </c>
      <c r="D2" s="274">
        <f t="shared" si="1"/>
        <v>2</v>
      </c>
      <c r="E2" s="274">
        <f t="shared" si="1"/>
        <v>3</v>
      </c>
      <c r="F2" s="274">
        <f t="shared" si="1"/>
        <v>4</v>
      </c>
      <c r="G2" s="274">
        <f t="shared" si="1"/>
        <v>5</v>
      </c>
      <c r="H2" s="274">
        <f t="shared" si="1"/>
        <v>6</v>
      </c>
      <c r="I2" s="274">
        <f t="shared" si="1"/>
        <v>7</v>
      </c>
      <c r="J2" s="274">
        <f t="shared" si="1"/>
        <v>8</v>
      </c>
      <c r="K2" s="274">
        <f t="shared" si="1"/>
        <v>9</v>
      </c>
      <c r="L2" s="274">
        <f t="shared" si="1"/>
        <v>10</v>
      </c>
      <c r="M2" s="274">
        <f t="shared" si="1"/>
        <v>11</v>
      </c>
      <c r="N2" s="274">
        <f t="shared" si="1"/>
        <v>12</v>
      </c>
      <c r="O2" s="274">
        <f t="shared" si="1"/>
        <v>13</v>
      </c>
      <c r="P2" s="274">
        <f t="shared" si="1"/>
        <v>14</v>
      </c>
      <c r="Q2" s="274">
        <f t="shared" si="1"/>
        <v>15</v>
      </c>
      <c r="R2" s="274">
        <f t="shared" si="1"/>
        <v>16</v>
      </c>
      <c r="S2" s="274">
        <f t="shared" si="1"/>
        <v>17</v>
      </c>
      <c r="T2" s="274">
        <f t="shared" si="1"/>
        <v>18</v>
      </c>
      <c r="U2" s="274">
        <f t="shared" si="1"/>
        <v>19</v>
      </c>
      <c r="V2" s="274">
        <f t="shared" si="1"/>
        <v>20</v>
      </c>
      <c r="W2" s="274">
        <f t="shared" si="1"/>
        <v>21</v>
      </c>
      <c r="X2" s="242" t="s">
        <v>679</v>
      </c>
    </row>
    <row r="3" spans="1:24">
      <c r="A3" s="268" t="s">
        <v>818</v>
      </c>
      <c r="B3" s="274">
        <f>+(B$1-0)/$W$1</f>
        <v>2.3255813953488372E-2</v>
      </c>
      <c r="C3" s="274">
        <f>+(C$1-B$1)/$W$1</f>
        <v>4.6511627906976744E-2</v>
      </c>
      <c r="D3" s="274">
        <f t="shared" ref="D3:W3" si="2">+(D$1-C$1)/$W$1</f>
        <v>4.6511627906976744E-2</v>
      </c>
      <c r="E3" s="274">
        <f t="shared" si="2"/>
        <v>4.6511627906976744E-2</v>
      </c>
      <c r="F3" s="274">
        <f t="shared" si="2"/>
        <v>4.6511627906976744E-2</v>
      </c>
      <c r="G3" s="274">
        <f t="shared" si="2"/>
        <v>4.6511627906976744E-2</v>
      </c>
      <c r="H3" s="274">
        <f t="shared" si="2"/>
        <v>4.6511627906976744E-2</v>
      </c>
      <c r="I3" s="274">
        <f t="shared" si="2"/>
        <v>4.6511627906976744E-2</v>
      </c>
      <c r="J3" s="274">
        <f t="shared" si="2"/>
        <v>4.6511627906976744E-2</v>
      </c>
      <c r="K3" s="274">
        <f t="shared" si="2"/>
        <v>4.6511627906976744E-2</v>
      </c>
      <c r="L3" s="274">
        <f t="shared" si="2"/>
        <v>4.6511627906976744E-2</v>
      </c>
      <c r="M3" s="274">
        <f t="shared" si="2"/>
        <v>4.6511627906976744E-2</v>
      </c>
      <c r="N3" s="274">
        <f t="shared" si="2"/>
        <v>4.6511627906976744E-2</v>
      </c>
      <c r="O3" s="274">
        <f t="shared" si="2"/>
        <v>4.6511627906976744E-2</v>
      </c>
      <c r="P3" s="274">
        <f t="shared" si="2"/>
        <v>4.6511627906976744E-2</v>
      </c>
      <c r="Q3" s="274">
        <f t="shared" si="2"/>
        <v>4.6511627906976744E-2</v>
      </c>
      <c r="R3" s="274">
        <f t="shared" si="2"/>
        <v>4.6511627906976744E-2</v>
      </c>
      <c r="S3" s="274">
        <f t="shared" si="2"/>
        <v>4.6511627906976744E-2</v>
      </c>
      <c r="T3" s="274">
        <f t="shared" si="2"/>
        <v>4.6511627906976744E-2</v>
      </c>
      <c r="U3" s="274">
        <f t="shared" si="2"/>
        <v>4.6511627906976744E-2</v>
      </c>
      <c r="V3" s="274">
        <f t="shared" si="2"/>
        <v>4.6511627906976744E-2</v>
      </c>
      <c r="W3" s="274">
        <f t="shared" si="2"/>
        <v>4.6511627906976744E-2</v>
      </c>
      <c r="X3" s="242" t="s">
        <v>819</v>
      </c>
    </row>
    <row r="4" spans="1:24" s="199" customFormat="1">
      <c r="A4" s="377" t="s">
        <v>816</v>
      </c>
      <c r="B4" s="380">
        <v>1</v>
      </c>
      <c r="C4" s="380">
        <v>1</v>
      </c>
      <c r="D4" s="380">
        <v>1</v>
      </c>
      <c r="E4" s="380">
        <v>1</v>
      </c>
      <c r="F4" s="380">
        <v>1</v>
      </c>
      <c r="G4" s="380">
        <v>1</v>
      </c>
      <c r="H4" s="380">
        <v>1</v>
      </c>
      <c r="I4" s="380">
        <v>1</v>
      </c>
      <c r="J4" s="380">
        <v>1</v>
      </c>
      <c r="K4" s="380">
        <v>1</v>
      </c>
      <c r="L4" s="380">
        <v>1</v>
      </c>
      <c r="M4" s="380">
        <v>1</v>
      </c>
      <c r="N4" s="380">
        <v>1</v>
      </c>
      <c r="O4" s="380">
        <v>1</v>
      </c>
      <c r="P4" s="380">
        <v>1</v>
      </c>
      <c r="Q4" s="380">
        <v>1</v>
      </c>
      <c r="R4" s="380">
        <v>1</v>
      </c>
      <c r="S4" s="380">
        <v>1</v>
      </c>
      <c r="T4" s="380">
        <v>1</v>
      </c>
      <c r="U4" s="380">
        <v>1</v>
      </c>
      <c r="V4" s="380">
        <v>1</v>
      </c>
      <c r="W4" s="380">
        <v>1</v>
      </c>
      <c r="X4" s="379" t="s">
        <v>353</v>
      </c>
    </row>
    <row r="5" spans="1:24">
      <c r="A5" s="268" t="s">
        <v>206</v>
      </c>
      <c r="B5" s="440">
        <v>297.61501472473117</v>
      </c>
      <c r="C5" s="440">
        <v>295.83999999999997</v>
      </c>
      <c r="D5" s="440">
        <v>295.15781249999998</v>
      </c>
      <c r="E5" s="440">
        <v>294.7050402451336</v>
      </c>
      <c r="F5" s="440">
        <v>293.46017695869079</v>
      </c>
      <c r="G5" s="440">
        <v>291.41561259670175</v>
      </c>
      <c r="H5" s="440">
        <v>284.95340198548939</v>
      </c>
      <c r="I5" s="440">
        <v>282.30176096547774</v>
      </c>
      <c r="J5" s="440">
        <v>280.3268644572828</v>
      </c>
      <c r="K5" s="440">
        <v>279.59379129290579</v>
      </c>
      <c r="L5" s="440">
        <v>279.18497558590951</v>
      </c>
      <c r="M5" s="440">
        <v>278.73364135742185</v>
      </c>
      <c r="N5" s="440">
        <v>278.37933012008665</v>
      </c>
      <c r="O5" s="440">
        <v>278.09870849609371</v>
      </c>
      <c r="P5" s="440">
        <v>277.9599999976827</v>
      </c>
      <c r="Q5" s="440">
        <v>277.76937499996995</v>
      </c>
      <c r="R5" s="440">
        <v>277.52499999970195</v>
      </c>
      <c r="S5" s="440">
        <v>277.38999759674067</v>
      </c>
      <c r="T5" s="440">
        <v>277.32</v>
      </c>
      <c r="U5" s="440">
        <v>277.29000000000002</v>
      </c>
      <c r="V5" s="440">
        <v>277.26</v>
      </c>
      <c r="W5" s="440">
        <v>277.26</v>
      </c>
      <c r="X5" s="242" t="s">
        <v>207</v>
      </c>
    </row>
    <row r="6" spans="1:24">
      <c r="A6" s="268" t="s">
        <v>6</v>
      </c>
      <c r="B6" s="242">
        <f>+OperatParam!$B$3 +B2*9.814*0.01</f>
        <v>1.0171756000000001</v>
      </c>
      <c r="C6" s="242">
        <f>+OperatParam!$B$3 +C2*9.814*0.01</f>
        <v>1.1113900000000001</v>
      </c>
      <c r="D6" s="242">
        <f>+OperatParam!$B$3 +D2*9.814*0.01</f>
        <v>1.20953</v>
      </c>
      <c r="E6" s="242">
        <f>+OperatParam!$B$3 +E2*9.814*0.01</f>
        <v>1.3076699999999999</v>
      </c>
      <c r="F6" s="242">
        <f>+OperatParam!$B$3 +F2*9.814*0.01</f>
        <v>1.40581</v>
      </c>
      <c r="G6" s="242">
        <f>+OperatParam!$B$3 +G2*9.814*0.01</f>
        <v>1.5039500000000001</v>
      </c>
      <c r="H6" s="242">
        <f>+OperatParam!$B$3 +H2*9.814*0.01</f>
        <v>1.60209</v>
      </c>
      <c r="I6" s="242">
        <f>+OperatParam!$B$3 +I2*9.814*0.01</f>
        <v>1.7002299999999999</v>
      </c>
      <c r="J6" s="242">
        <f>+OperatParam!$B$3 +J2*9.814*0.01</f>
        <v>1.79837</v>
      </c>
      <c r="K6" s="242">
        <f>+OperatParam!$B$3 +K2*9.814*0.01</f>
        <v>1.8965099999999999</v>
      </c>
      <c r="L6" s="242">
        <f>+OperatParam!$B$3 +L2*9.814*0.01</f>
        <v>1.99465</v>
      </c>
      <c r="M6" s="242">
        <f>+OperatParam!$B$3 +M2*9.814*0.01</f>
        <v>2.0927899999999999</v>
      </c>
      <c r="N6" s="242">
        <f>+OperatParam!$B$3 +N2*9.814*0.01</f>
        <v>2.1909299999999998</v>
      </c>
      <c r="O6" s="242">
        <f>+OperatParam!$B$3 +O2*9.814*0.01</f>
        <v>2.2890699999999997</v>
      </c>
      <c r="P6" s="242">
        <f>+OperatParam!$B$3 +P2*9.814*0.01</f>
        <v>2.3872100000000001</v>
      </c>
      <c r="Q6" s="242">
        <f>+OperatParam!$B$3 +Q2*9.814*0.01</f>
        <v>2.4853500000000004</v>
      </c>
      <c r="R6" s="242">
        <f>+OperatParam!$B$3 +R2*9.814*0.01</f>
        <v>2.5834900000000003</v>
      </c>
      <c r="S6" s="242">
        <f>+OperatParam!$B$3 +S2*9.814*0.01</f>
        <v>2.6816300000000002</v>
      </c>
      <c r="T6" s="242">
        <f>+OperatParam!$B$3 +T2*9.814*0.01</f>
        <v>2.7797700000000001</v>
      </c>
      <c r="U6" s="242">
        <f>+OperatParam!$B$3 +U2*9.814*0.01</f>
        <v>2.87791</v>
      </c>
      <c r="V6" s="242">
        <f>+OperatParam!$B$3 +V2*9.814*0.01</f>
        <v>2.9760499999999999</v>
      </c>
      <c r="W6" s="242">
        <f>+OperatParam!$B$3 +W2*9.814*0.01</f>
        <v>3.0741899999999998</v>
      </c>
      <c r="X6" s="242" t="s">
        <v>352</v>
      </c>
    </row>
    <row r="7" spans="1:24">
      <c r="A7" s="268" t="s">
        <v>564</v>
      </c>
      <c r="B7" s="242">
        <f>+EXP(-KinetParam!$B$115*PhysParam!B$2)</f>
        <v>0.96078943915232318</v>
      </c>
      <c r="C7" s="242">
        <f>+EXP(-KinetParam!$B$115*PhysParam!C$2)</f>
        <v>0.36787944117144233</v>
      </c>
      <c r="D7" s="242">
        <f>+EXP(-KinetParam!$B$115*PhysParam!D$2)</f>
        <v>0.1353352832366127</v>
      </c>
      <c r="E7" s="242">
        <f>+EXP(-KinetParam!$B$115*PhysParam!E$2)</f>
        <v>4.9787068367863944E-2</v>
      </c>
      <c r="F7" s="242">
        <f>+EXP(-KinetParam!$B$115*PhysParam!F$2)</f>
        <v>1.8315638888734179E-2</v>
      </c>
      <c r="G7" s="242">
        <f>+EXP(-KinetParam!$B$115*PhysParam!G$2)</f>
        <v>6.737946999085467E-3</v>
      </c>
      <c r="H7" s="242">
        <f>+EXP(-KinetParam!$B$115*PhysParam!H$2)</f>
        <v>2.4787521766663585E-3</v>
      </c>
      <c r="I7" s="242">
        <f>+EXP(-KinetParam!$B$115*PhysParam!I$2)</f>
        <v>9.1188196555451624E-4</v>
      </c>
      <c r="J7" s="242">
        <f>+EXP(-KinetParam!$B$115*PhysParam!J$2)</f>
        <v>3.3546262790251185E-4</v>
      </c>
      <c r="K7" s="242">
        <f>+EXP(-KinetParam!$B$115*PhysParam!K$2)</f>
        <v>1.2340980408667956E-4</v>
      </c>
      <c r="L7" s="242">
        <f>+EXP(-KinetParam!$B$115*PhysParam!L$2)</f>
        <v>4.5399929762484854E-5</v>
      </c>
      <c r="M7" s="242">
        <f>+EXP(-KinetParam!$B$115*PhysParam!M$2)</f>
        <v>1.6701700790245659E-5</v>
      </c>
      <c r="N7" s="242">
        <f>+EXP(-KinetParam!$B$115*PhysParam!N$2)</f>
        <v>6.1442123533282098E-6</v>
      </c>
      <c r="O7" s="242">
        <f>+EXP(-KinetParam!$B$115*PhysParam!O$2)</f>
        <v>2.2603294069810542E-6</v>
      </c>
      <c r="P7" s="242">
        <f>+EXP(-KinetParam!$B$115*PhysParam!P$2)</f>
        <v>8.3152871910356788E-7</v>
      </c>
      <c r="Q7" s="242">
        <f>+EXP(-KinetParam!$B$115*PhysParam!Q$2)</f>
        <v>3.0590232050182579E-7</v>
      </c>
      <c r="R7" s="242">
        <f>+EXP(-KinetParam!$B$115*PhysParam!R$2)</f>
        <v>1.1253517471925912E-7</v>
      </c>
      <c r="S7" s="242">
        <f>+EXP(-KinetParam!$B$115*PhysParam!S$2)</f>
        <v>4.1399377187851668E-8</v>
      </c>
      <c r="T7" s="242">
        <f>+EXP(-KinetParam!$B$115*PhysParam!T$2)</f>
        <v>1.5229979744712629E-8</v>
      </c>
      <c r="U7" s="242">
        <f>+EXP(-KinetParam!$B$115*PhysParam!U$2)</f>
        <v>5.6027964375372678E-9</v>
      </c>
      <c r="V7" s="242">
        <f>+EXP(-KinetParam!$B$115*PhysParam!V$2)</f>
        <v>2.0611536224385579E-9</v>
      </c>
      <c r="W7" s="242">
        <f>+EXP(-KinetParam!$B$115*PhysParam!W$2)</f>
        <v>7.5825604279119066E-10</v>
      </c>
      <c r="X7" s="242" t="s">
        <v>722</v>
      </c>
    </row>
    <row r="8" spans="1:24">
      <c r="A8" s="268" t="s">
        <v>563</v>
      </c>
      <c r="B8" s="269">
        <v>5</v>
      </c>
      <c r="C8" s="269">
        <v>5</v>
      </c>
      <c r="D8" s="269">
        <v>5</v>
      </c>
      <c r="E8" s="269">
        <v>5</v>
      </c>
      <c r="F8" s="269">
        <v>5</v>
      </c>
      <c r="G8" s="269">
        <v>5</v>
      </c>
      <c r="H8" s="269">
        <v>5</v>
      </c>
      <c r="I8" s="269">
        <v>1</v>
      </c>
      <c r="J8" s="269">
        <v>1</v>
      </c>
      <c r="K8" s="269">
        <v>1</v>
      </c>
      <c r="L8" s="269">
        <v>1</v>
      </c>
      <c r="M8" s="269">
        <v>1</v>
      </c>
      <c r="N8" s="269">
        <v>1</v>
      </c>
      <c r="O8" s="269">
        <v>1</v>
      </c>
      <c r="P8" s="269">
        <v>1</v>
      </c>
      <c r="Q8" s="269">
        <v>1</v>
      </c>
      <c r="R8" s="269">
        <v>1</v>
      </c>
      <c r="S8" s="269">
        <v>1</v>
      </c>
      <c r="T8" s="269">
        <v>1</v>
      </c>
      <c r="U8" s="269">
        <v>1</v>
      </c>
      <c r="V8" s="269">
        <v>1</v>
      </c>
      <c r="W8" s="269">
        <v>1</v>
      </c>
      <c r="X8" s="242" t="s">
        <v>353</v>
      </c>
    </row>
    <row r="9" spans="1:24">
      <c r="A9" s="268" t="s">
        <v>699</v>
      </c>
      <c r="B9" s="296">
        <f>+KinetParam!$B$116*1.024^(PhysParam!B$5-293.15)</f>
        <v>0.92642061812784993</v>
      </c>
      <c r="C9" s="296">
        <f>+KinetParam!$B$116*1.024^(PhysParam!C$5-293.15)</f>
        <v>0.88823040887423677</v>
      </c>
      <c r="D9" s="296">
        <f>+KinetParam!$B$116*1.024^(PhysParam!D$5-293.15)</f>
        <v>0.87397525315526436</v>
      </c>
      <c r="E9" s="296">
        <f>+KinetParam!$B$116*1.024^(PhysParam!E$5-293.15)</f>
        <v>0.86464055356095992</v>
      </c>
      <c r="F9" s="296">
        <f>+KinetParam!$B$116*1.024^(PhysParam!F$5-293.15)</f>
        <v>0.83948620357514647</v>
      </c>
      <c r="G9" s="296">
        <f>+KinetParam!$B$116*1.024^(PhysParam!G$5-293.15)</f>
        <v>0.7997507184505328</v>
      </c>
      <c r="H9" s="296">
        <f>+KinetParam!$B$116*1.024^(PhysParam!H$5-293.15)</f>
        <v>0.68611063292314989</v>
      </c>
      <c r="I9" s="296">
        <f>+KinetParam!$B$116*1.024^(PhysParam!I$5-293.15)</f>
        <v>0.6442914413240487</v>
      </c>
      <c r="J9" s="296">
        <f>+KinetParam!$B$116*1.024^(PhysParam!J$5-293.15)</f>
        <v>0.61481012897949061</v>
      </c>
      <c r="K9" s="296">
        <f>+KinetParam!$B$116*1.024^(PhysParam!K$5-293.15)</f>
        <v>0.60421345484029798</v>
      </c>
      <c r="L9" s="296">
        <f>+KinetParam!$B$116*1.024^(PhysParam!L$5-293.15)</f>
        <v>0.59838349773167077</v>
      </c>
      <c r="M9" s="296">
        <f>+KinetParam!$B$116*1.024^(PhysParam!M$5-293.15)</f>
        <v>0.59201251136116328</v>
      </c>
      <c r="N9" s="296">
        <f>+KinetParam!$B$116*1.024^(PhysParam!N$5-293.15)</f>
        <v>0.58705865420777925</v>
      </c>
      <c r="O9" s="296">
        <f>+KinetParam!$B$116*1.024^(PhysParam!O$5-293.15)</f>
        <v>0.58316453430483772</v>
      </c>
      <c r="P9" s="296">
        <f>+KinetParam!$B$116*1.024^(PhysParam!P$5-293.15)</f>
        <v>0.58124925943834904</v>
      </c>
      <c r="Q9" s="296">
        <f>+KinetParam!$B$116*1.024^(PhysParam!Q$5-293.15)</f>
        <v>0.57862738430593841</v>
      </c>
      <c r="R9" s="296">
        <f>+KinetParam!$B$116*1.024^(PhysParam!R$5-293.15)</f>
        <v>0.57528351784295784</v>
      </c>
      <c r="S9" s="296">
        <f>+KinetParam!$B$116*1.024^(PhysParam!S$5-293.15)</f>
        <v>0.57344452753070718</v>
      </c>
      <c r="T9" s="296">
        <f>+KinetParam!$B$116*1.024^(PhysParam!T$5-293.15)</f>
        <v>0.57249334209710834</v>
      </c>
      <c r="U9" s="296">
        <f>+KinetParam!$B$116*1.024^(PhysParam!U$5-293.15)</f>
        <v>0.57208616036075066</v>
      </c>
      <c r="V9" s="296">
        <f>+KinetParam!$B$116*1.024^(PhysParam!V$5-293.15)</f>
        <v>0.57167926822944837</v>
      </c>
      <c r="W9" s="296">
        <f>+KinetParam!$B$116*1.024^(PhysParam!W$5-293.15)</f>
        <v>0.57167926822944837</v>
      </c>
      <c r="X9" s="297" t="s">
        <v>363</v>
      </c>
    </row>
    <row r="10" spans="1:24" ht="15.6">
      <c r="A10" s="268" t="s">
        <v>691</v>
      </c>
      <c r="B10" s="439">
        <v>1000</v>
      </c>
      <c r="C10" s="439">
        <v>1000</v>
      </c>
      <c r="D10" s="439">
        <v>1000</v>
      </c>
      <c r="E10" s="439">
        <v>1000</v>
      </c>
      <c r="F10" s="439">
        <v>1000</v>
      </c>
      <c r="G10" s="439">
        <v>1000</v>
      </c>
      <c r="H10" s="439">
        <v>1000</v>
      </c>
      <c r="I10" s="439">
        <v>1000</v>
      </c>
      <c r="J10" s="439">
        <v>1000</v>
      </c>
      <c r="K10" s="439">
        <v>1000</v>
      </c>
      <c r="L10" s="439">
        <v>1000</v>
      </c>
      <c r="M10" s="439">
        <v>1000</v>
      </c>
      <c r="N10" s="439">
        <v>1000</v>
      </c>
      <c r="O10" s="439">
        <v>1000</v>
      </c>
      <c r="P10" s="439">
        <v>1000</v>
      </c>
      <c r="Q10" s="439">
        <v>1000</v>
      </c>
      <c r="R10" s="439">
        <v>1000</v>
      </c>
      <c r="S10" s="439">
        <v>1000</v>
      </c>
      <c r="T10" s="439">
        <v>1000</v>
      </c>
      <c r="U10" s="439">
        <v>1000</v>
      </c>
      <c r="V10" s="439">
        <v>1000</v>
      </c>
      <c r="W10" s="439">
        <v>1000</v>
      </c>
      <c r="X10" s="242" t="s">
        <v>721</v>
      </c>
    </row>
  </sheetData>
  <phoneticPr fontId="61" type="noConversion"/>
  <pageMargins left="0.75" right="0.75" top="1" bottom="1"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4"/>
  <sheetViews>
    <sheetView zoomScale="85" zoomScaleNormal="85" workbookViewId="0">
      <selection activeCell="M56" sqref="M56"/>
    </sheetView>
  </sheetViews>
  <sheetFormatPr defaultColWidth="11.44140625" defaultRowHeight="13.2"/>
  <cols>
    <col min="1" max="1" width="11.44140625" style="252"/>
    <col min="2" max="2" width="12.5546875" style="207" bestFit="1" customWidth="1"/>
    <col min="3" max="3" width="12.44140625" style="207" bestFit="1" customWidth="1"/>
    <col min="4" max="4" width="13.109375" style="207" bestFit="1" customWidth="1"/>
    <col min="5" max="5" width="14" style="207" bestFit="1" customWidth="1"/>
    <col min="6" max="6" width="13.5546875" style="207" bestFit="1" customWidth="1"/>
    <col min="7" max="7" width="4.5546875" style="207" customWidth="1"/>
    <col min="8" max="16384" width="11.44140625" style="207"/>
  </cols>
  <sheetData>
    <row r="1" spans="1:7">
      <c r="A1" s="253" t="str">
        <f>+CONCATENATE("G",+ReactMatrix!A2)</f>
        <v>GSglu</v>
      </c>
      <c r="B1" s="232">
        <v>0</v>
      </c>
      <c r="C1" s="232">
        <v>0</v>
      </c>
      <c r="D1" s="232">
        <v>0</v>
      </c>
      <c r="E1" s="232">
        <v>0</v>
      </c>
      <c r="F1" s="233">
        <v>0</v>
      </c>
      <c r="G1" s="234" t="s">
        <v>502</v>
      </c>
    </row>
    <row r="2" spans="1:7">
      <c r="A2" s="253" t="str">
        <f>+CONCATENATE("G",+ReactMatrix!A3)</f>
        <v>GSac</v>
      </c>
      <c r="B2" s="232">
        <v>0</v>
      </c>
      <c r="C2" s="232">
        <f>+SpeciesDatabase!$D$6</f>
        <v>-396.6</v>
      </c>
      <c r="D2" s="232">
        <f>+SpeciesDatabase!$D$5</f>
        <v>-369.41</v>
      </c>
      <c r="E2" s="232">
        <v>0</v>
      </c>
      <c r="F2" s="233">
        <v>0</v>
      </c>
      <c r="G2" s="234" t="s">
        <v>502</v>
      </c>
    </row>
    <row r="3" spans="1:7">
      <c r="A3" s="253" t="str">
        <f>+CONCATENATE("G",+ReactMatrix!A4)</f>
        <v>GSch4</v>
      </c>
      <c r="B3" s="232">
        <v>0</v>
      </c>
      <c r="C3" s="232">
        <v>0</v>
      </c>
      <c r="D3" s="232">
        <v>0</v>
      </c>
      <c r="E3" s="232">
        <v>0</v>
      </c>
      <c r="F3" s="233">
        <v>0</v>
      </c>
      <c r="G3" s="234" t="s">
        <v>502</v>
      </c>
    </row>
    <row r="4" spans="1:7">
      <c r="A4" s="253" t="str">
        <f>+CONCATENATE("G",+ReactMatrix!A5)</f>
        <v>GSic</v>
      </c>
      <c r="B4" s="232">
        <f>+SpeciesDatabase!$D$30</f>
        <v>-386</v>
      </c>
      <c r="C4" s="371">
        <f>+SpeciesDatabase!D33</f>
        <v>-623.20000000000005</v>
      </c>
      <c r="D4" s="232">
        <f>+SpeciesDatabase!$D$34</f>
        <v>-586.9</v>
      </c>
      <c r="E4" s="232">
        <f>+SpeciesDatabase!$D$32</f>
        <v>-527.9</v>
      </c>
      <c r="F4" s="233">
        <v>0</v>
      </c>
      <c r="G4" s="234" t="s">
        <v>502</v>
      </c>
    </row>
    <row r="5" spans="1:7">
      <c r="A5" s="253" t="str">
        <f>+CONCATENATE("G",+ReactMatrix!A6)</f>
        <v>GSh2</v>
      </c>
      <c r="B5" s="232">
        <v>0</v>
      </c>
      <c r="C5" s="232">
        <v>0</v>
      </c>
      <c r="D5" s="232">
        <v>0</v>
      </c>
      <c r="E5" s="232">
        <v>0</v>
      </c>
      <c r="F5" s="233">
        <v>0</v>
      </c>
      <c r="G5" s="234" t="s">
        <v>502</v>
      </c>
    </row>
    <row r="6" spans="1:7">
      <c r="A6" s="253" t="str">
        <f>+CONCATENATE("G",+ReactMatrix!A7)</f>
        <v>GSamn</v>
      </c>
      <c r="B6" s="232">
        <v>0</v>
      </c>
      <c r="C6" s="232">
        <f>+SpeciesDatabase!$D$17</f>
        <v>-79.37</v>
      </c>
      <c r="D6" s="232">
        <f>+SpeciesDatabase!$D$15</f>
        <v>-26.6</v>
      </c>
      <c r="E6" s="232">
        <v>0</v>
      </c>
      <c r="F6" s="233">
        <v>0</v>
      </c>
      <c r="G6" s="234" t="s">
        <v>502</v>
      </c>
    </row>
    <row r="7" spans="1:7">
      <c r="A7" s="253" t="str">
        <f>+CONCATENATE("G",+ReactMatrix!A8)</f>
        <v>GSno2</v>
      </c>
      <c r="B7" s="232">
        <v>0</v>
      </c>
      <c r="C7" s="232">
        <f>+SpeciesDatabase!$D$71</f>
        <v>-50.6</v>
      </c>
      <c r="D7" s="232">
        <f>+SpeciesDatabase!$D$70</f>
        <v>-32.200000000000003</v>
      </c>
      <c r="E7" s="232">
        <v>0</v>
      </c>
      <c r="F7" s="233">
        <v>0</v>
      </c>
      <c r="G7" s="234" t="s">
        <v>502</v>
      </c>
    </row>
    <row r="8" spans="1:7">
      <c r="A8" s="253" t="str">
        <f>+CONCATENATE("G",+ReactMatrix!A9)</f>
        <v>GSno3</v>
      </c>
      <c r="B8" s="232">
        <v>0</v>
      </c>
      <c r="C8" s="232">
        <v>0</v>
      </c>
      <c r="D8" s="232">
        <v>0</v>
      </c>
      <c r="E8" s="232">
        <v>0</v>
      </c>
      <c r="F8" s="233">
        <v>0</v>
      </c>
      <c r="G8" s="234" t="s">
        <v>502</v>
      </c>
    </row>
    <row r="9" spans="1:7">
      <c r="A9" s="253" t="str">
        <f>+CONCATENATE("G",+ReactMatrix!A10)</f>
        <v>GSn2</v>
      </c>
      <c r="B9" s="232">
        <v>0</v>
      </c>
      <c r="C9" s="232">
        <v>0</v>
      </c>
      <c r="D9" s="232">
        <v>0</v>
      </c>
      <c r="E9" s="232">
        <v>0</v>
      </c>
      <c r="F9" s="233">
        <v>0</v>
      </c>
      <c r="G9" s="234" t="s">
        <v>502</v>
      </c>
    </row>
    <row r="10" spans="1:7">
      <c r="A10" s="253" t="str">
        <f>+CONCATENATE("G",+ReactMatrix!A11)</f>
        <v>GSh2s</v>
      </c>
      <c r="B10" s="232">
        <v>0</v>
      </c>
      <c r="C10" s="232">
        <f>+SpeciesDatabase!$D$93</f>
        <v>-27.9</v>
      </c>
      <c r="D10" s="232">
        <f>+SpeciesDatabase!$D$92</f>
        <v>12.1</v>
      </c>
      <c r="E10" s="232">
        <v>0</v>
      </c>
      <c r="F10" s="233">
        <v>0</v>
      </c>
      <c r="G10" s="234" t="s">
        <v>502</v>
      </c>
    </row>
    <row r="11" spans="1:7">
      <c r="A11" s="253" t="str">
        <f>+CONCATENATE("G",+ReactMatrix!A12)</f>
        <v>GSso4</v>
      </c>
      <c r="B11" s="232">
        <v>0</v>
      </c>
      <c r="C11" s="232">
        <f>+SpeciesDatabase!$D$96</f>
        <v>-755.9</v>
      </c>
      <c r="D11" s="232">
        <f>+SpeciesDatabase!$D$95</f>
        <v>-744.6</v>
      </c>
      <c r="E11" s="232">
        <v>0</v>
      </c>
      <c r="F11" s="233">
        <v>0</v>
      </c>
      <c r="G11" s="234" t="s">
        <v>502</v>
      </c>
    </row>
    <row r="12" spans="1:7">
      <c r="A12" s="253" t="str">
        <f>+CONCATENATE("G",+ReactMatrix!A13)</f>
        <v>GSfe2</v>
      </c>
      <c r="B12" s="232">
        <v>0</v>
      </c>
      <c r="C12" s="232">
        <v>0</v>
      </c>
      <c r="D12" s="232">
        <v>0</v>
      </c>
      <c r="E12" s="232">
        <v>0</v>
      </c>
      <c r="F12" s="233">
        <v>0</v>
      </c>
      <c r="G12" s="234" t="s">
        <v>502</v>
      </c>
    </row>
    <row r="13" spans="1:7">
      <c r="A13" s="253" t="str">
        <f>+CONCATENATE("G",+ReactMatrix!A14)</f>
        <v>GSfe3</v>
      </c>
      <c r="B13" s="232">
        <v>0</v>
      </c>
      <c r="C13" s="232">
        <v>0</v>
      </c>
      <c r="D13" s="232">
        <v>0</v>
      </c>
      <c r="E13" s="232">
        <v>0</v>
      </c>
      <c r="F13" s="233">
        <v>0</v>
      </c>
      <c r="G13" s="234" t="s">
        <v>502</v>
      </c>
    </row>
    <row r="14" spans="1:7">
      <c r="A14" s="253" t="str">
        <f>+CONCATENATE("G",+ReactMatrix!A15)</f>
        <v>GSo2</v>
      </c>
      <c r="B14" s="232">
        <v>0</v>
      </c>
      <c r="C14" s="232">
        <v>0</v>
      </c>
      <c r="D14" s="232">
        <v>0</v>
      </c>
      <c r="E14" s="232">
        <v>0</v>
      </c>
      <c r="F14" s="233">
        <v>0</v>
      </c>
      <c r="G14" s="234" t="s">
        <v>502</v>
      </c>
    </row>
    <row r="15" spans="1:7">
      <c r="A15" s="253" t="str">
        <f>+CONCATENATE("G",+ReactMatrix!A16)</f>
        <v>GScat</v>
      </c>
      <c r="B15" s="232">
        <v>0</v>
      </c>
      <c r="C15" s="232">
        <v>0</v>
      </c>
      <c r="D15" s="232">
        <v>0</v>
      </c>
      <c r="E15" s="232">
        <v>0</v>
      </c>
      <c r="F15" s="233">
        <v>0</v>
      </c>
      <c r="G15" s="234" t="s">
        <v>502</v>
      </c>
    </row>
    <row r="16" spans="1:7">
      <c r="A16" s="253" t="str">
        <f>+CONCATENATE("G",+ReactMatrix!A17)</f>
        <v>GSan</v>
      </c>
      <c r="B16" s="232">
        <v>0</v>
      </c>
      <c r="C16" s="232">
        <v>0</v>
      </c>
      <c r="D16" s="232">
        <v>0</v>
      </c>
      <c r="E16" s="232">
        <v>0</v>
      </c>
      <c r="F16" s="233">
        <v>0</v>
      </c>
      <c r="G16" s="234" t="s">
        <v>502</v>
      </c>
    </row>
    <row r="17" spans="1:7">
      <c r="A17" s="254" t="str">
        <f>+CONCATENATE("G",+ReactMatrix!A18)</f>
        <v>GXcyb</v>
      </c>
      <c r="B17" s="235">
        <v>0</v>
      </c>
      <c r="C17" s="236">
        <v>0</v>
      </c>
      <c r="D17" s="235">
        <v>0</v>
      </c>
      <c r="E17" s="235">
        <v>0</v>
      </c>
      <c r="F17" s="237">
        <v>0</v>
      </c>
      <c r="G17" s="238" t="s">
        <v>503</v>
      </c>
    </row>
    <row r="18" spans="1:7">
      <c r="A18" s="254" t="str">
        <f>+CONCATENATE("G",+ReactMatrix!A19)</f>
        <v>GXfer</v>
      </c>
      <c r="B18" s="235">
        <v>0</v>
      </c>
      <c r="C18" s="236">
        <v>0</v>
      </c>
      <c r="D18" s="235">
        <v>0</v>
      </c>
      <c r="E18" s="235">
        <v>0</v>
      </c>
      <c r="F18" s="237">
        <v>0</v>
      </c>
      <c r="G18" s="238" t="s">
        <v>503</v>
      </c>
    </row>
    <row r="19" spans="1:7">
      <c r="A19" s="254" t="str">
        <f>+CONCATENATE("G",+ReactMatrix!A20)</f>
        <v>GXhet</v>
      </c>
      <c r="B19" s="235">
        <v>0</v>
      </c>
      <c r="C19" s="236">
        <v>0</v>
      </c>
      <c r="D19" s="235">
        <v>0</v>
      </c>
      <c r="E19" s="235">
        <v>0</v>
      </c>
      <c r="F19" s="237">
        <v>0</v>
      </c>
      <c r="G19" s="238" t="s">
        <v>503</v>
      </c>
    </row>
    <row r="20" spans="1:7">
      <c r="A20" s="254" t="str">
        <f>+CONCATENATE("G",+ReactMatrix!A21)</f>
        <v>GXaob</v>
      </c>
      <c r="B20" s="235">
        <v>0</v>
      </c>
      <c r="C20" s="236">
        <v>0</v>
      </c>
      <c r="D20" s="235">
        <v>0</v>
      </c>
      <c r="E20" s="235">
        <v>0</v>
      </c>
      <c r="F20" s="237">
        <v>0</v>
      </c>
      <c r="G20" s="238" t="s">
        <v>503</v>
      </c>
    </row>
    <row r="21" spans="1:7">
      <c r="A21" s="254" t="str">
        <f>+CONCATENATE("G",+ReactMatrix!A22)</f>
        <v>GXnob</v>
      </c>
      <c r="B21" s="235">
        <v>0</v>
      </c>
      <c r="C21" s="236">
        <v>0</v>
      </c>
      <c r="D21" s="235">
        <v>0</v>
      </c>
      <c r="E21" s="235">
        <v>0</v>
      </c>
      <c r="F21" s="237">
        <v>0</v>
      </c>
      <c r="G21" s="238" t="s">
        <v>503</v>
      </c>
    </row>
    <row r="22" spans="1:7">
      <c r="A22" s="254" t="str">
        <f>+CONCATENATE("G",+ReactMatrix!A23)</f>
        <v>GXdn</v>
      </c>
      <c r="B22" s="235">
        <v>0</v>
      </c>
      <c r="C22" s="236">
        <v>0</v>
      </c>
      <c r="D22" s="235">
        <v>0</v>
      </c>
      <c r="E22" s="235">
        <v>0</v>
      </c>
      <c r="F22" s="237">
        <v>0</v>
      </c>
      <c r="G22" s="238" t="s">
        <v>503</v>
      </c>
    </row>
    <row r="23" spans="1:7">
      <c r="A23" s="254" t="str">
        <f>+CONCATENATE("G",+ReactMatrix!A24)</f>
        <v>GXsrd</v>
      </c>
      <c r="B23" s="235">
        <v>0</v>
      </c>
      <c r="C23" s="236">
        <v>0</v>
      </c>
      <c r="D23" s="235">
        <v>0</v>
      </c>
      <c r="E23" s="235">
        <v>0</v>
      </c>
      <c r="F23" s="237">
        <v>0</v>
      </c>
      <c r="G23" s="238" t="s">
        <v>503</v>
      </c>
    </row>
    <row r="24" spans="1:7">
      <c r="A24" s="254" t="str">
        <f>+CONCATENATE("G",+ReactMatrix!A25)</f>
        <v>GXsox</v>
      </c>
      <c r="B24" s="235">
        <v>0</v>
      </c>
      <c r="C24" s="236">
        <v>0</v>
      </c>
      <c r="D24" s="235">
        <v>0</v>
      </c>
      <c r="E24" s="235">
        <v>0</v>
      </c>
      <c r="F24" s="237">
        <v>0</v>
      </c>
      <c r="G24" s="238" t="s">
        <v>503</v>
      </c>
    </row>
    <row r="25" spans="1:7">
      <c r="A25" s="254" t="str">
        <f>+CONCATENATE("G",+ReactMatrix!A26)</f>
        <v>GXson</v>
      </c>
      <c r="B25" s="235">
        <v>0</v>
      </c>
      <c r="C25" s="236">
        <v>0</v>
      </c>
      <c r="D25" s="235">
        <v>0</v>
      </c>
      <c r="E25" s="235">
        <v>0</v>
      </c>
      <c r="F25" s="237">
        <v>0</v>
      </c>
      <c r="G25" s="238" t="s">
        <v>503</v>
      </c>
    </row>
    <row r="26" spans="1:7">
      <c r="A26" s="254" t="str">
        <f>+CONCATENATE("G",+ReactMatrix!A27)</f>
        <v>GXfeox</v>
      </c>
      <c r="B26" s="235">
        <v>0</v>
      </c>
      <c r="C26" s="236">
        <v>0</v>
      </c>
      <c r="D26" s="235">
        <v>0</v>
      </c>
      <c r="E26" s="235">
        <v>0</v>
      </c>
      <c r="F26" s="237">
        <v>0</v>
      </c>
      <c r="G26" s="238" t="s">
        <v>503</v>
      </c>
    </row>
    <row r="27" spans="1:7">
      <c r="A27" s="254" t="str">
        <f>+CONCATENATE("G",+ReactMatrix!A28)</f>
        <v>GXfeon</v>
      </c>
      <c r="B27" s="235">
        <v>0</v>
      </c>
      <c r="C27" s="236">
        <v>0</v>
      </c>
      <c r="D27" s="235">
        <v>0</v>
      </c>
      <c r="E27" s="235">
        <v>0</v>
      </c>
      <c r="F27" s="237">
        <v>0</v>
      </c>
      <c r="G27" s="238" t="s">
        <v>503</v>
      </c>
    </row>
    <row r="28" spans="1:7">
      <c r="A28" s="254" t="str">
        <f>+CONCATENATE("G",+ReactMatrix!A29)</f>
        <v>GXferd</v>
      </c>
      <c r="B28" s="235">
        <v>0</v>
      </c>
      <c r="C28" s="236">
        <v>0</v>
      </c>
      <c r="D28" s="235">
        <v>0</v>
      </c>
      <c r="E28" s="235">
        <v>0</v>
      </c>
      <c r="F28" s="237">
        <v>0</v>
      </c>
      <c r="G28" s="238" t="s">
        <v>503</v>
      </c>
    </row>
    <row r="29" spans="1:7">
      <c r="A29" s="254" t="str">
        <f>+CONCATENATE("G",+ReactMatrix!A30)</f>
        <v>GXacm</v>
      </c>
      <c r="B29" s="235">
        <v>0</v>
      </c>
      <c r="C29" s="236">
        <v>0</v>
      </c>
      <c r="D29" s="235">
        <v>0</v>
      </c>
      <c r="E29" s="235">
        <v>0</v>
      </c>
      <c r="F29" s="237">
        <v>0</v>
      </c>
      <c r="G29" s="238" t="s">
        <v>503</v>
      </c>
    </row>
    <row r="30" spans="1:7">
      <c r="A30" s="254" t="str">
        <f>+CONCATENATE("G",+ReactMatrix!A31)</f>
        <v>GXh2m</v>
      </c>
      <c r="B30" s="235">
        <v>0</v>
      </c>
      <c r="C30" s="236">
        <v>0</v>
      </c>
      <c r="D30" s="235">
        <v>0</v>
      </c>
      <c r="E30" s="235">
        <v>0</v>
      </c>
      <c r="F30" s="237">
        <v>0</v>
      </c>
      <c r="G30" s="238" t="s">
        <v>503</v>
      </c>
    </row>
    <row r="31" spans="1:7">
      <c r="A31" s="254" t="str">
        <f>+CONCATENATE("G",+ReactMatrix!A32)</f>
        <v>GXmto</v>
      </c>
      <c r="B31" s="235">
        <v>0</v>
      </c>
      <c r="C31" s="236">
        <v>0</v>
      </c>
      <c r="D31" s="235">
        <v>0</v>
      </c>
      <c r="E31" s="235">
        <v>0</v>
      </c>
      <c r="F31" s="237">
        <v>0</v>
      </c>
      <c r="G31" s="238" t="s">
        <v>503</v>
      </c>
    </row>
    <row r="32" spans="1:7">
      <c r="A32" s="254" t="str">
        <f>+CONCATENATE("G",+ReactMatrix!A33)</f>
        <v>GXmts</v>
      </c>
      <c r="B32" s="235">
        <v>0</v>
      </c>
      <c r="C32" s="236">
        <v>0</v>
      </c>
      <c r="D32" s="235">
        <v>0</v>
      </c>
      <c r="E32" s="235">
        <v>0</v>
      </c>
      <c r="F32" s="237">
        <v>0</v>
      </c>
      <c r="G32" s="238" t="s">
        <v>503</v>
      </c>
    </row>
    <row r="33" spans="1:7">
      <c r="A33" s="254" t="str">
        <f>+CONCATENATE("G",+ReactMatrix!A34)</f>
        <v>GXd</v>
      </c>
      <c r="B33" s="235">
        <v>0</v>
      </c>
      <c r="C33" s="236">
        <v>0</v>
      </c>
      <c r="D33" s="235">
        <v>0</v>
      </c>
      <c r="E33" s="235">
        <v>0</v>
      </c>
      <c r="F33" s="237">
        <v>0</v>
      </c>
      <c r="G33" s="238" t="s">
        <v>503</v>
      </c>
    </row>
    <row r="34" spans="1:7">
      <c r="A34" s="254" t="str">
        <f>+CONCATENATE("G",+ReactMatrix!A35)</f>
        <v>GXfeoh</v>
      </c>
      <c r="B34" s="235">
        <v>0</v>
      </c>
      <c r="C34" s="236">
        <v>0</v>
      </c>
      <c r="D34" s="235">
        <v>0</v>
      </c>
      <c r="E34" s="235">
        <v>0</v>
      </c>
      <c r="F34" s="237">
        <v>0</v>
      </c>
      <c r="G34" s="238" t="s">
        <v>503</v>
      </c>
    </row>
    <row r="35" spans="1:7">
      <c r="A35" s="254" t="str">
        <f>+CONCATENATE("G",+ReactMatrix!A36)</f>
        <v>GXi</v>
      </c>
      <c r="B35" s="235">
        <v>0</v>
      </c>
      <c r="C35" s="236">
        <v>0</v>
      </c>
      <c r="D35" s="235">
        <v>0</v>
      </c>
      <c r="E35" s="235">
        <v>0</v>
      </c>
      <c r="F35" s="237">
        <v>0</v>
      </c>
      <c r="G35" s="238" t="s">
        <v>503</v>
      </c>
    </row>
    <row r="36" spans="1:7">
      <c r="A36" s="405" t="str">
        <f>+CONCATENATE("G",+ReactMatrix!A37)</f>
        <v>GGch4</v>
      </c>
      <c r="B36" s="406">
        <v>0</v>
      </c>
      <c r="C36" s="406">
        <f>+SpeciesDatabase!D60</f>
        <v>-50.8</v>
      </c>
      <c r="D36" s="406">
        <v>0</v>
      </c>
      <c r="E36" s="407">
        <v>0</v>
      </c>
      <c r="F36" s="406">
        <v>0</v>
      </c>
      <c r="G36" s="409" t="s">
        <v>825</v>
      </c>
    </row>
    <row r="37" spans="1:7">
      <c r="A37" s="405" t="str">
        <f>+CONCATENATE("G",+ReactMatrix!A38)</f>
        <v>GGco2</v>
      </c>
      <c r="B37" s="406">
        <v>0</v>
      </c>
      <c r="C37" s="406">
        <f>+SpeciesDatabase!D31</f>
        <v>-394.4</v>
      </c>
      <c r="D37" s="406">
        <v>0</v>
      </c>
      <c r="E37" s="408">
        <v>0</v>
      </c>
      <c r="F37" s="406">
        <v>0</v>
      </c>
      <c r="G37" s="409" t="s">
        <v>825</v>
      </c>
    </row>
    <row r="38" spans="1:7">
      <c r="A38" s="405" t="str">
        <f>+CONCATENATE("G",+ReactMatrix!A39)</f>
        <v>GGh2</v>
      </c>
      <c r="B38" s="407">
        <v>0</v>
      </c>
      <c r="C38" s="407">
        <f>+SpeciesDatabase!D52</f>
        <v>0</v>
      </c>
      <c r="D38" s="407">
        <v>0</v>
      </c>
      <c r="E38" s="408">
        <v>0</v>
      </c>
      <c r="F38" s="407">
        <v>0</v>
      </c>
      <c r="G38" s="409" t="s">
        <v>825</v>
      </c>
    </row>
    <row r="39" spans="1:7">
      <c r="A39" s="405" t="str">
        <f>+CONCATENATE("G",+ReactMatrix!A40)</f>
        <v>GGn2</v>
      </c>
      <c r="B39" s="406">
        <v>0</v>
      </c>
      <c r="C39" s="406">
        <v>0</v>
      </c>
      <c r="D39" s="406">
        <v>0</v>
      </c>
      <c r="E39" s="407">
        <v>0</v>
      </c>
      <c r="F39" s="406">
        <v>0</v>
      </c>
      <c r="G39" s="409" t="s">
        <v>825</v>
      </c>
    </row>
    <row r="40" spans="1:7">
      <c r="A40" s="405" t="str">
        <f>+CONCATENATE("G",+ReactMatrix!A41)</f>
        <v>GGsh2</v>
      </c>
      <c r="B40" s="406">
        <v>0</v>
      </c>
      <c r="C40" s="406">
        <f>+SpeciesDatabase!D94</f>
        <v>-33.6</v>
      </c>
      <c r="D40" s="406">
        <v>0</v>
      </c>
      <c r="E40" s="408">
        <v>0</v>
      </c>
      <c r="F40" s="406">
        <v>0</v>
      </c>
      <c r="G40" s="409" t="s">
        <v>825</v>
      </c>
    </row>
    <row r="41" spans="1:7">
      <c r="A41" s="405" t="str">
        <f>+CONCATENATE("G",+ReactMatrix!A42)</f>
        <v>GGo2</v>
      </c>
      <c r="B41" s="407">
        <v>0</v>
      </c>
      <c r="C41" s="407">
        <v>0</v>
      </c>
      <c r="D41" s="407">
        <v>0</v>
      </c>
      <c r="E41" s="408">
        <v>0</v>
      </c>
      <c r="F41" s="407">
        <v>0</v>
      </c>
      <c r="G41" s="409" t="s">
        <v>825</v>
      </c>
    </row>
    <row r="42" spans="1:7" ht="13.8" thickBot="1">
      <c r="A42" s="255" t="str">
        <f>+CONCATENATE("G",+ReactMatrix!A43)</f>
        <v>GH2O</v>
      </c>
      <c r="B42" s="239">
        <v>0</v>
      </c>
      <c r="C42" s="239">
        <v>-237.18</v>
      </c>
      <c r="D42" s="239">
        <v>-157.30000000000001</v>
      </c>
      <c r="E42" s="239">
        <v>0</v>
      </c>
      <c r="F42" s="240">
        <v>0</v>
      </c>
      <c r="G42" s="241" t="s">
        <v>502</v>
      </c>
    </row>
    <row r="43" spans="1:7">
      <c r="A43" s="256" t="str">
        <f>+CONCATENATE("H",+ReactMatrix!A2)</f>
        <v>HSglu</v>
      </c>
      <c r="B43" s="232">
        <v>0</v>
      </c>
      <c r="C43" s="232">
        <v>0</v>
      </c>
      <c r="D43" s="232">
        <v>0</v>
      </c>
      <c r="E43" s="232">
        <v>0</v>
      </c>
      <c r="F43" s="233">
        <v>0</v>
      </c>
      <c r="G43" s="234" t="s">
        <v>504</v>
      </c>
    </row>
    <row r="44" spans="1:7">
      <c r="A44" s="256" t="str">
        <f>+CONCATENATE("H",+ReactMatrix!A3)</f>
        <v>HSac</v>
      </c>
      <c r="B44" s="232">
        <v>0</v>
      </c>
      <c r="C44" s="232">
        <f>+SpeciesDatabase!$E$6</f>
        <v>-485.8</v>
      </c>
      <c r="D44" s="232">
        <f>+SpeciesDatabase!$E$5</f>
        <v>-486</v>
      </c>
      <c r="E44" s="232">
        <v>0</v>
      </c>
      <c r="F44" s="233">
        <v>0</v>
      </c>
      <c r="G44" s="234" t="s">
        <v>504</v>
      </c>
    </row>
    <row r="45" spans="1:7">
      <c r="A45" s="256" t="str">
        <f>+CONCATENATE("H",+ReactMatrix!A4)</f>
        <v>HSch4</v>
      </c>
      <c r="B45" s="232">
        <v>0</v>
      </c>
      <c r="C45" s="232">
        <v>0</v>
      </c>
      <c r="D45" s="232">
        <v>0</v>
      </c>
      <c r="E45" s="232">
        <v>0</v>
      </c>
      <c r="F45" s="233">
        <v>0</v>
      </c>
      <c r="G45" s="234" t="s">
        <v>504</v>
      </c>
    </row>
    <row r="46" spans="1:7">
      <c r="A46" s="256" t="str">
        <f>+CONCATENATE("H",+ReactMatrix!A5)</f>
        <v>HSic</v>
      </c>
      <c r="B46" s="232">
        <f>+SpeciesDatabase!$E$30</f>
        <v>-413.8</v>
      </c>
      <c r="C46" s="232">
        <f>+SpeciesDatabase!$E$33</f>
        <v>-699.6</v>
      </c>
      <c r="D46" s="232">
        <f>+SpeciesDatabase!$E$34</f>
        <v>-692</v>
      </c>
      <c r="E46" s="232">
        <f>+SpeciesDatabase!$E$32</f>
        <v>-677.1</v>
      </c>
      <c r="F46" s="233">
        <v>0</v>
      </c>
      <c r="G46" s="234" t="s">
        <v>504</v>
      </c>
    </row>
    <row r="47" spans="1:7">
      <c r="A47" s="256" t="str">
        <f>+CONCATENATE("H",+ReactMatrix!A6)</f>
        <v>HSh2</v>
      </c>
      <c r="B47" s="232">
        <v>0</v>
      </c>
      <c r="C47" s="232">
        <v>0</v>
      </c>
      <c r="D47" s="232">
        <v>0</v>
      </c>
      <c r="E47" s="232">
        <v>0</v>
      </c>
      <c r="F47" s="233">
        <v>0</v>
      </c>
      <c r="G47" s="234" t="s">
        <v>504</v>
      </c>
    </row>
    <row r="48" spans="1:7">
      <c r="A48" s="256" t="str">
        <f>+CONCATENATE("H",+ReactMatrix!A7)</f>
        <v>HSamn</v>
      </c>
      <c r="B48" s="232">
        <v>0</v>
      </c>
      <c r="C48" s="232">
        <f>+SpeciesDatabase!$E$17</f>
        <v>-133.30000000000001</v>
      </c>
      <c r="D48" s="232">
        <f>+SpeciesDatabase!$E$15</f>
        <v>-80.3</v>
      </c>
      <c r="E48" s="232">
        <v>0</v>
      </c>
      <c r="F48" s="233">
        <v>0</v>
      </c>
      <c r="G48" s="234" t="s">
        <v>504</v>
      </c>
    </row>
    <row r="49" spans="1:7">
      <c r="A49" s="256" t="str">
        <f>+CONCATENATE("H",+ReactMatrix!A8)</f>
        <v>HSno2</v>
      </c>
      <c r="B49" s="232">
        <v>0</v>
      </c>
      <c r="C49" s="232">
        <f>+SpeciesDatabase!$E$71</f>
        <v>-119.2</v>
      </c>
      <c r="D49" s="232">
        <f>+SpeciesDatabase!$E$70</f>
        <v>-104.6</v>
      </c>
      <c r="E49" s="232">
        <v>0</v>
      </c>
      <c r="F49" s="233">
        <v>0</v>
      </c>
      <c r="G49" s="234" t="s">
        <v>504</v>
      </c>
    </row>
    <row r="50" spans="1:7">
      <c r="A50" s="256" t="str">
        <f>+CONCATENATE("H",+ReactMatrix!A9)</f>
        <v>HSno3</v>
      </c>
      <c r="B50" s="232">
        <v>0</v>
      </c>
      <c r="C50" s="232">
        <v>0</v>
      </c>
      <c r="D50" s="232">
        <v>0</v>
      </c>
      <c r="E50" s="232">
        <v>0</v>
      </c>
      <c r="F50" s="233">
        <v>0</v>
      </c>
      <c r="G50" s="234" t="s">
        <v>504</v>
      </c>
    </row>
    <row r="51" spans="1:7">
      <c r="A51" s="256" t="str">
        <f>+CONCATENATE("H",+ReactMatrix!A10)</f>
        <v>HSn2</v>
      </c>
      <c r="B51" s="232">
        <v>0</v>
      </c>
      <c r="C51" s="232">
        <v>0</v>
      </c>
      <c r="D51" s="232">
        <v>0</v>
      </c>
      <c r="E51" s="232">
        <v>0</v>
      </c>
      <c r="F51" s="233">
        <v>0</v>
      </c>
      <c r="G51" s="234" t="s">
        <v>504</v>
      </c>
    </row>
    <row r="52" spans="1:7">
      <c r="A52" s="256" t="str">
        <f>+CONCATENATE("H",+ReactMatrix!A11)</f>
        <v>HSh2s</v>
      </c>
      <c r="B52" s="232">
        <v>0</v>
      </c>
      <c r="C52" s="232">
        <f>+SpeciesDatabase!$E$93</f>
        <v>-39.700000000000003</v>
      </c>
      <c r="D52" s="232">
        <f>+SpeciesDatabase!$E$92</f>
        <v>-17.600000000000001</v>
      </c>
      <c r="E52" s="232">
        <v>0</v>
      </c>
      <c r="F52" s="233">
        <v>0</v>
      </c>
      <c r="G52" s="234" t="s">
        <v>504</v>
      </c>
    </row>
    <row r="53" spans="1:7">
      <c r="A53" s="256" t="str">
        <f>+CONCATENATE("H",+ReactMatrix!A12)</f>
        <v>HSso4</v>
      </c>
      <c r="B53" s="232">
        <v>0</v>
      </c>
      <c r="C53" s="232">
        <f>+SpeciesDatabase!$E$96</f>
        <v>-887.3</v>
      </c>
      <c r="D53" s="232">
        <f>+SpeciesDatabase!$E$95</f>
        <v>-909.6</v>
      </c>
      <c r="E53" s="232">
        <v>0</v>
      </c>
      <c r="F53" s="233">
        <v>0</v>
      </c>
      <c r="G53" s="234" t="s">
        <v>504</v>
      </c>
    </row>
    <row r="54" spans="1:7">
      <c r="A54" s="256" t="str">
        <f>+CONCATENATE("H",+ReactMatrix!A13)</f>
        <v>HSfe2</v>
      </c>
      <c r="B54" s="232">
        <v>0</v>
      </c>
      <c r="C54" s="232">
        <v>0</v>
      </c>
      <c r="D54" s="232">
        <v>0</v>
      </c>
      <c r="E54" s="232">
        <v>0</v>
      </c>
      <c r="F54" s="233">
        <v>0</v>
      </c>
      <c r="G54" s="234" t="s">
        <v>504</v>
      </c>
    </row>
    <row r="55" spans="1:7">
      <c r="A55" s="256" t="str">
        <f>+CONCATENATE("H",+ReactMatrix!A14)</f>
        <v>HSfe3</v>
      </c>
      <c r="B55" s="232">
        <v>0</v>
      </c>
      <c r="C55" s="232">
        <v>0</v>
      </c>
      <c r="D55" s="232">
        <v>0</v>
      </c>
      <c r="E55" s="232">
        <v>0</v>
      </c>
      <c r="F55" s="233">
        <v>0</v>
      </c>
      <c r="G55" s="234" t="s">
        <v>504</v>
      </c>
    </row>
    <row r="56" spans="1:7">
      <c r="A56" s="256" t="str">
        <f>+CONCATENATE("H",+ReactMatrix!A15)</f>
        <v>HSo2</v>
      </c>
      <c r="B56" s="232">
        <v>0</v>
      </c>
      <c r="C56" s="232">
        <v>0</v>
      </c>
      <c r="D56" s="232">
        <v>0</v>
      </c>
      <c r="E56" s="232">
        <v>0</v>
      </c>
      <c r="F56" s="233">
        <v>0</v>
      </c>
      <c r="G56" s="234" t="s">
        <v>504</v>
      </c>
    </row>
    <row r="57" spans="1:7">
      <c r="A57" s="256" t="str">
        <f>+CONCATENATE("H",+ReactMatrix!A16)</f>
        <v>HScat</v>
      </c>
      <c r="B57" s="232">
        <v>0</v>
      </c>
      <c r="C57" s="232">
        <v>0</v>
      </c>
      <c r="D57" s="232">
        <v>0</v>
      </c>
      <c r="E57" s="232">
        <v>0</v>
      </c>
      <c r="F57" s="233">
        <v>0</v>
      </c>
      <c r="G57" s="234" t="s">
        <v>504</v>
      </c>
    </row>
    <row r="58" spans="1:7">
      <c r="A58" s="256" t="str">
        <f>+CONCATENATE("H",+ReactMatrix!A17)</f>
        <v>HSan</v>
      </c>
      <c r="B58" s="232">
        <v>0</v>
      </c>
      <c r="C58" s="232">
        <v>0</v>
      </c>
      <c r="D58" s="232">
        <v>0</v>
      </c>
      <c r="E58" s="232">
        <v>0</v>
      </c>
      <c r="F58" s="233">
        <v>0</v>
      </c>
      <c r="G58" s="234" t="s">
        <v>504</v>
      </c>
    </row>
    <row r="59" spans="1:7">
      <c r="A59" s="273" t="str">
        <f>+CONCATENATE("H",+ReactMatrix!A18)</f>
        <v>HXcyb</v>
      </c>
      <c r="B59" s="235">
        <v>0</v>
      </c>
      <c r="C59" s="236">
        <v>0</v>
      </c>
      <c r="D59" s="235">
        <v>0</v>
      </c>
      <c r="E59" s="235">
        <v>0</v>
      </c>
      <c r="F59" s="237">
        <v>0</v>
      </c>
      <c r="G59" s="238" t="s">
        <v>505</v>
      </c>
    </row>
    <row r="60" spans="1:7">
      <c r="A60" s="273" t="str">
        <f>+CONCATENATE("H",+ReactMatrix!A19)</f>
        <v>HXfer</v>
      </c>
      <c r="B60" s="235">
        <v>0</v>
      </c>
      <c r="C60" s="236">
        <v>0</v>
      </c>
      <c r="D60" s="235">
        <v>0</v>
      </c>
      <c r="E60" s="235">
        <v>0</v>
      </c>
      <c r="F60" s="237">
        <v>0</v>
      </c>
      <c r="G60" s="238" t="s">
        <v>505</v>
      </c>
    </row>
    <row r="61" spans="1:7">
      <c r="A61" s="273" t="str">
        <f>+CONCATENATE("H",+ReactMatrix!A20)</f>
        <v>HXhet</v>
      </c>
      <c r="B61" s="235">
        <v>0</v>
      </c>
      <c r="C61" s="236">
        <v>0</v>
      </c>
      <c r="D61" s="235">
        <v>0</v>
      </c>
      <c r="E61" s="235">
        <v>0</v>
      </c>
      <c r="F61" s="237">
        <v>0</v>
      </c>
      <c r="G61" s="238" t="s">
        <v>505</v>
      </c>
    </row>
    <row r="62" spans="1:7">
      <c r="A62" s="273" t="str">
        <f>+CONCATENATE("H",+ReactMatrix!A21)</f>
        <v>HXaob</v>
      </c>
      <c r="B62" s="235">
        <v>0</v>
      </c>
      <c r="C62" s="236">
        <v>0</v>
      </c>
      <c r="D62" s="235">
        <v>0</v>
      </c>
      <c r="E62" s="235">
        <v>0</v>
      </c>
      <c r="F62" s="237">
        <v>0</v>
      </c>
      <c r="G62" s="238" t="s">
        <v>505</v>
      </c>
    </row>
    <row r="63" spans="1:7">
      <c r="A63" s="273" t="str">
        <f>+CONCATENATE("H",+ReactMatrix!A22)</f>
        <v>HXnob</v>
      </c>
      <c r="B63" s="235">
        <v>0</v>
      </c>
      <c r="C63" s="236">
        <v>0</v>
      </c>
      <c r="D63" s="235">
        <v>0</v>
      </c>
      <c r="E63" s="235">
        <v>0</v>
      </c>
      <c r="F63" s="237">
        <v>0</v>
      </c>
      <c r="G63" s="238" t="s">
        <v>505</v>
      </c>
    </row>
    <row r="64" spans="1:7">
      <c r="A64" s="273" t="str">
        <f>+CONCATENATE("H",+ReactMatrix!A23)</f>
        <v>HXdn</v>
      </c>
      <c r="B64" s="235">
        <v>0</v>
      </c>
      <c r="C64" s="236">
        <v>0</v>
      </c>
      <c r="D64" s="235">
        <v>0</v>
      </c>
      <c r="E64" s="235">
        <v>0</v>
      </c>
      <c r="F64" s="237">
        <v>0</v>
      </c>
      <c r="G64" s="238" t="s">
        <v>505</v>
      </c>
    </row>
    <row r="65" spans="1:7">
      <c r="A65" s="273" t="str">
        <f>+CONCATENATE("H",+ReactMatrix!A24)</f>
        <v>HXsrd</v>
      </c>
      <c r="B65" s="235">
        <v>0</v>
      </c>
      <c r="C65" s="236">
        <v>0</v>
      </c>
      <c r="D65" s="235">
        <v>0</v>
      </c>
      <c r="E65" s="235">
        <v>0</v>
      </c>
      <c r="F65" s="237">
        <v>0</v>
      </c>
      <c r="G65" s="238" t="s">
        <v>505</v>
      </c>
    </row>
    <row r="66" spans="1:7">
      <c r="A66" s="273" t="str">
        <f>+CONCATENATE("H",+ReactMatrix!A25)</f>
        <v>HXsox</v>
      </c>
      <c r="B66" s="235">
        <v>0</v>
      </c>
      <c r="C66" s="236">
        <v>0</v>
      </c>
      <c r="D66" s="235">
        <v>0</v>
      </c>
      <c r="E66" s="235">
        <v>0</v>
      </c>
      <c r="F66" s="237">
        <v>0</v>
      </c>
      <c r="G66" s="238" t="s">
        <v>505</v>
      </c>
    </row>
    <row r="67" spans="1:7">
      <c r="A67" s="273" t="str">
        <f>+CONCATENATE("H",+ReactMatrix!A26)</f>
        <v>HXson</v>
      </c>
      <c r="B67" s="235">
        <v>0</v>
      </c>
      <c r="C67" s="236">
        <v>0</v>
      </c>
      <c r="D67" s="235">
        <v>0</v>
      </c>
      <c r="E67" s="235">
        <v>0</v>
      </c>
      <c r="F67" s="237">
        <v>0</v>
      </c>
      <c r="G67" s="238" t="s">
        <v>505</v>
      </c>
    </row>
    <row r="68" spans="1:7">
      <c r="A68" s="273" t="str">
        <f>+CONCATENATE("H",+ReactMatrix!A27)</f>
        <v>HXfeox</v>
      </c>
      <c r="B68" s="235">
        <v>0</v>
      </c>
      <c r="C68" s="236">
        <v>0</v>
      </c>
      <c r="D68" s="235">
        <v>0</v>
      </c>
      <c r="E68" s="235">
        <v>0</v>
      </c>
      <c r="F68" s="237">
        <v>0</v>
      </c>
      <c r="G68" s="238" t="s">
        <v>505</v>
      </c>
    </row>
    <row r="69" spans="1:7">
      <c r="A69" s="273" t="str">
        <f>+CONCATENATE("H",+ReactMatrix!A28)</f>
        <v>HXfeon</v>
      </c>
      <c r="B69" s="235">
        <v>0</v>
      </c>
      <c r="C69" s="236">
        <v>0</v>
      </c>
      <c r="D69" s="235">
        <v>0</v>
      </c>
      <c r="E69" s="235">
        <v>0</v>
      </c>
      <c r="F69" s="237">
        <v>0</v>
      </c>
      <c r="G69" s="238" t="s">
        <v>505</v>
      </c>
    </row>
    <row r="70" spans="1:7">
      <c r="A70" s="273" t="str">
        <f>+CONCATENATE("H",+ReactMatrix!A29)</f>
        <v>HXferd</v>
      </c>
      <c r="B70" s="235">
        <v>0</v>
      </c>
      <c r="C70" s="236">
        <v>0</v>
      </c>
      <c r="D70" s="235">
        <v>0</v>
      </c>
      <c r="E70" s="235">
        <v>0</v>
      </c>
      <c r="F70" s="237">
        <v>0</v>
      </c>
      <c r="G70" s="238" t="s">
        <v>505</v>
      </c>
    </row>
    <row r="71" spans="1:7">
      <c r="A71" s="273" t="str">
        <f>+CONCATENATE("H",+ReactMatrix!A30)</f>
        <v>HXacm</v>
      </c>
      <c r="B71" s="235">
        <v>0</v>
      </c>
      <c r="C71" s="236">
        <v>0</v>
      </c>
      <c r="D71" s="235">
        <v>0</v>
      </c>
      <c r="E71" s="235">
        <v>0</v>
      </c>
      <c r="F71" s="237">
        <v>0</v>
      </c>
      <c r="G71" s="238" t="s">
        <v>505</v>
      </c>
    </row>
    <row r="72" spans="1:7">
      <c r="A72" s="273" t="str">
        <f>+CONCATENATE("H",+ReactMatrix!A31)</f>
        <v>HXh2m</v>
      </c>
      <c r="B72" s="235">
        <v>0</v>
      </c>
      <c r="C72" s="236">
        <v>0</v>
      </c>
      <c r="D72" s="235">
        <v>0</v>
      </c>
      <c r="E72" s="235">
        <v>0</v>
      </c>
      <c r="F72" s="237">
        <v>0</v>
      </c>
      <c r="G72" s="238" t="s">
        <v>505</v>
      </c>
    </row>
    <row r="73" spans="1:7">
      <c r="A73" s="273" t="str">
        <f>+CONCATENATE("H",+ReactMatrix!A32)</f>
        <v>HXmto</v>
      </c>
      <c r="B73" s="235">
        <v>0</v>
      </c>
      <c r="C73" s="236">
        <v>0</v>
      </c>
      <c r="D73" s="235">
        <v>0</v>
      </c>
      <c r="E73" s="235">
        <v>0</v>
      </c>
      <c r="F73" s="237">
        <v>0</v>
      </c>
      <c r="G73" s="238" t="s">
        <v>505</v>
      </c>
    </row>
    <row r="74" spans="1:7">
      <c r="A74" s="273" t="str">
        <f>+CONCATENATE("H",+ReactMatrix!A33)</f>
        <v>HXmts</v>
      </c>
      <c r="B74" s="235">
        <v>0</v>
      </c>
      <c r="C74" s="236">
        <v>0</v>
      </c>
      <c r="D74" s="235">
        <v>0</v>
      </c>
      <c r="E74" s="235">
        <v>0</v>
      </c>
      <c r="F74" s="237">
        <v>0</v>
      </c>
      <c r="G74" s="238" t="s">
        <v>505</v>
      </c>
    </row>
    <row r="75" spans="1:7">
      <c r="A75" s="273" t="str">
        <f>+CONCATENATE("H",+ReactMatrix!A34)</f>
        <v>HXd</v>
      </c>
      <c r="B75" s="235">
        <v>0</v>
      </c>
      <c r="C75" s="236">
        <v>0</v>
      </c>
      <c r="D75" s="235">
        <v>0</v>
      </c>
      <c r="E75" s="235">
        <v>0</v>
      </c>
      <c r="F75" s="237">
        <v>0</v>
      </c>
      <c r="G75" s="238" t="s">
        <v>505</v>
      </c>
    </row>
    <row r="76" spans="1:7">
      <c r="A76" s="273" t="str">
        <f>+CONCATENATE("H",+ReactMatrix!A35)</f>
        <v>HXfeoh</v>
      </c>
      <c r="B76" s="235">
        <v>0</v>
      </c>
      <c r="C76" s="236">
        <v>0</v>
      </c>
      <c r="D76" s="235">
        <v>0</v>
      </c>
      <c r="E76" s="235">
        <v>0</v>
      </c>
      <c r="F76" s="237">
        <v>0</v>
      </c>
      <c r="G76" s="238" t="s">
        <v>505</v>
      </c>
    </row>
    <row r="77" spans="1:7">
      <c r="A77" s="273" t="str">
        <f>+CONCATENATE("H",+ReactMatrix!A36)</f>
        <v>HXi</v>
      </c>
      <c r="B77" s="235">
        <v>0</v>
      </c>
      <c r="C77" s="236">
        <v>0</v>
      </c>
      <c r="D77" s="235">
        <v>0</v>
      </c>
      <c r="E77" s="235">
        <v>0</v>
      </c>
      <c r="F77" s="237">
        <v>0</v>
      </c>
      <c r="G77" s="238" t="s">
        <v>505</v>
      </c>
    </row>
    <row r="78" spans="1:7">
      <c r="A78" s="405" t="str">
        <f>+CONCATENATE("H",+ReactMatrix!A37)</f>
        <v>HGch4</v>
      </c>
      <c r="B78" s="406">
        <v>0</v>
      </c>
      <c r="C78" s="406">
        <f>+SpeciesDatabase!E60</f>
        <v>-74.8</v>
      </c>
      <c r="D78" s="406">
        <v>0</v>
      </c>
      <c r="E78" s="407">
        <v>0</v>
      </c>
      <c r="F78" s="406">
        <v>0</v>
      </c>
      <c r="G78" s="409" t="s">
        <v>826</v>
      </c>
    </row>
    <row r="79" spans="1:7">
      <c r="A79" s="405" t="str">
        <f>+CONCATENATE("H",+ReactMatrix!A38)</f>
        <v>HGco2</v>
      </c>
      <c r="B79" s="406">
        <v>0</v>
      </c>
      <c r="C79" s="406">
        <f>+SpeciesDatabase!E31</f>
        <v>-393.5</v>
      </c>
      <c r="D79" s="406">
        <v>0</v>
      </c>
      <c r="E79" s="408">
        <v>0</v>
      </c>
      <c r="F79" s="406">
        <v>0</v>
      </c>
      <c r="G79" s="409" t="s">
        <v>826</v>
      </c>
    </row>
    <row r="80" spans="1:7">
      <c r="A80" s="405" t="str">
        <f>+CONCATENATE("H",+ReactMatrix!A39)</f>
        <v>HGh2</v>
      </c>
      <c r="B80" s="407">
        <v>0</v>
      </c>
      <c r="C80" s="407">
        <v>0</v>
      </c>
      <c r="D80" s="407">
        <v>0</v>
      </c>
      <c r="E80" s="408">
        <v>0</v>
      </c>
      <c r="F80" s="407">
        <v>0</v>
      </c>
      <c r="G80" s="409" t="s">
        <v>826</v>
      </c>
    </row>
    <row r="81" spans="1:7">
      <c r="A81" s="405" t="str">
        <f>+CONCATENATE("H",+ReactMatrix!A40)</f>
        <v>HGn2</v>
      </c>
      <c r="B81" s="406">
        <v>0</v>
      </c>
      <c r="C81" s="406">
        <v>0</v>
      </c>
      <c r="D81" s="406">
        <v>0</v>
      </c>
      <c r="E81" s="407">
        <v>0</v>
      </c>
      <c r="F81" s="406">
        <v>0</v>
      </c>
      <c r="G81" s="409" t="s">
        <v>826</v>
      </c>
    </row>
    <row r="82" spans="1:7">
      <c r="A82" s="405" t="str">
        <f>+CONCATENATE("H",+ReactMatrix!A41)</f>
        <v>HGsh2</v>
      </c>
      <c r="B82" s="406">
        <v>0</v>
      </c>
      <c r="C82" s="406">
        <f>+SpeciesDatabase!E93</f>
        <v>-39.700000000000003</v>
      </c>
      <c r="D82" s="406">
        <v>0</v>
      </c>
      <c r="E82" s="408">
        <v>0</v>
      </c>
      <c r="F82" s="406">
        <v>0</v>
      </c>
      <c r="G82" s="409" t="s">
        <v>826</v>
      </c>
    </row>
    <row r="83" spans="1:7">
      <c r="A83" s="405" t="str">
        <f>+CONCATENATE("H",+ReactMatrix!A42)</f>
        <v>HGo2</v>
      </c>
      <c r="B83" s="407">
        <v>0</v>
      </c>
      <c r="C83" s="407">
        <v>0</v>
      </c>
      <c r="D83" s="407">
        <v>0</v>
      </c>
      <c r="E83" s="408">
        <v>0</v>
      </c>
      <c r="F83" s="407">
        <v>0</v>
      </c>
      <c r="G83" s="409" t="s">
        <v>826</v>
      </c>
    </row>
    <row r="84" spans="1:7" ht="13.8" thickBot="1">
      <c r="A84" s="257" t="str">
        <f>+CONCATENATE("H",+ReactMatrix!A43)</f>
        <v>HH2O</v>
      </c>
      <c r="B84" s="239">
        <v>-285.8</v>
      </c>
      <c r="C84" s="239">
        <v>-285.8</v>
      </c>
      <c r="D84" s="239">
        <v>-230</v>
      </c>
      <c r="E84" s="239">
        <v>0</v>
      </c>
      <c r="F84" s="240">
        <v>0</v>
      </c>
      <c r="G84" s="241" t="s">
        <v>504</v>
      </c>
    </row>
    <row r="85" spans="1:7">
      <c r="A85" s="253" t="str">
        <f>+CONCATENATE("ch",+ReactMatrix!A2)</f>
        <v>chSglu</v>
      </c>
      <c r="B85" s="232">
        <v>0</v>
      </c>
      <c r="C85" s="232">
        <v>0</v>
      </c>
      <c r="D85" s="232">
        <v>0</v>
      </c>
      <c r="E85" s="232">
        <v>0</v>
      </c>
      <c r="F85" s="233">
        <v>0</v>
      </c>
      <c r="G85" s="234" t="s">
        <v>506</v>
      </c>
    </row>
    <row r="86" spans="1:7">
      <c r="A86" s="253" t="str">
        <f>+CONCATENATE("ch",+ReactMatrix!A3)</f>
        <v>chSac</v>
      </c>
      <c r="B86" s="232">
        <v>0</v>
      </c>
      <c r="C86" s="232">
        <v>0</v>
      </c>
      <c r="D86" s="232">
        <v>-1</v>
      </c>
      <c r="E86" s="232">
        <v>0</v>
      </c>
      <c r="F86" s="233">
        <v>0</v>
      </c>
      <c r="G86" s="234" t="s">
        <v>506</v>
      </c>
    </row>
    <row r="87" spans="1:7">
      <c r="A87" s="253" t="str">
        <f>+CONCATENATE("ch",+ReactMatrix!A4)</f>
        <v>chSch4</v>
      </c>
      <c r="B87" s="232">
        <v>0</v>
      </c>
      <c r="C87" s="232">
        <v>0</v>
      </c>
      <c r="D87" s="232">
        <v>0</v>
      </c>
      <c r="E87" s="232">
        <v>0</v>
      </c>
      <c r="F87" s="233">
        <v>0</v>
      </c>
      <c r="G87" s="234" t="s">
        <v>506</v>
      </c>
    </row>
    <row r="88" spans="1:7">
      <c r="A88" s="253" t="str">
        <f>+CONCATENATE("ch",+ReactMatrix!A5)</f>
        <v>chSic</v>
      </c>
      <c r="B88" s="232">
        <v>0</v>
      </c>
      <c r="C88" s="232">
        <v>0</v>
      </c>
      <c r="D88" s="232">
        <v>-1</v>
      </c>
      <c r="E88" s="232">
        <v>-2</v>
      </c>
      <c r="F88" s="232">
        <v>0</v>
      </c>
      <c r="G88" s="234" t="s">
        <v>506</v>
      </c>
    </row>
    <row r="89" spans="1:7">
      <c r="A89" s="253" t="str">
        <f>+CONCATENATE("ch",+ReactMatrix!A6)</f>
        <v>chSh2</v>
      </c>
      <c r="B89" s="232">
        <v>0</v>
      </c>
      <c r="C89" s="232">
        <v>0</v>
      </c>
      <c r="D89" s="232">
        <v>0</v>
      </c>
      <c r="E89" s="232">
        <v>0</v>
      </c>
      <c r="F89" s="233">
        <v>0</v>
      </c>
      <c r="G89" s="234" t="s">
        <v>506</v>
      </c>
    </row>
    <row r="90" spans="1:7">
      <c r="A90" s="253" t="str">
        <f>+CONCATENATE("ch",+ReactMatrix!A7)</f>
        <v>chSamn</v>
      </c>
      <c r="B90" s="232">
        <v>0</v>
      </c>
      <c r="C90" s="232">
        <v>1</v>
      </c>
      <c r="D90" s="232">
        <v>0</v>
      </c>
      <c r="E90" s="232">
        <v>0</v>
      </c>
      <c r="F90" s="233">
        <v>0</v>
      </c>
      <c r="G90" s="234" t="s">
        <v>506</v>
      </c>
    </row>
    <row r="91" spans="1:7">
      <c r="A91" s="253" t="str">
        <f>+CONCATENATE("ch",+ReactMatrix!A8)</f>
        <v>chSno2</v>
      </c>
      <c r="B91" s="232">
        <v>0</v>
      </c>
      <c r="C91" s="232">
        <v>0</v>
      </c>
      <c r="D91" s="232">
        <v>-1</v>
      </c>
      <c r="E91" s="232">
        <v>0</v>
      </c>
      <c r="F91" s="233">
        <v>0</v>
      </c>
      <c r="G91" s="234" t="s">
        <v>506</v>
      </c>
    </row>
    <row r="92" spans="1:7">
      <c r="A92" s="253" t="str">
        <f>+CONCATENATE("ch",+ReactMatrix!A9)</f>
        <v>chSno3</v>
      </c>
      <c r="B92" s="232">
        <v>0</v>
      </c>
      <c r="C92" s="232">
        <v>-1</v>
      </c>
      <c r="D92" s="232">
        <v>0</v>
      </c>
      <c r="E92" s="232">
        <v>0</v>
      </c>
      <c r="F92" s="233">
        <v>0</v>
      </c>
      <c r="G92" s="234" t="s">
        <v>506</v>
      </c>
    </row>
    <row r="93" spans="1:7">
      <c r="A93" s="253" t="str">
        <f>+CONCATENATE("ch",+ReactMatrix!A10)</f>
        <v>chSn2</v>
      </c>
      <c r="B93" s="232">
        <v>0</v>
      </c>
      <c r="C93" s="232">
        <v>0</v>
      </c>
      <c r="D93" s="232">
        <v>0</v>
      </c>
      <c r="E93" s="232">
        <v>0</v>
      </c>
      <c r="F93" s="233">
        <v>0</v>
      </c>
      <c r="G93" s="234" t="s">
        <v>506</v>
      </c>
    </row>
    <row r="94" spans="1:7">
      <c r="A94" s="253" t="str">
        <f>+CONCATENATE("ch",+ReactMatrix!A11)</f>
        <v>chSh2s</v>
      </c>
      <c r="B94" s="232">
        <v>0</v>
      </c>
      <c r="C94" s="232">
        <v>0</v>
      </c>
      <c r="D94" s="232">
        <v>-1</v>
      </c>
      <c r="E94" s="232">
        <v>0</v>
      </c>
      <c r="F94" s="233">
        <v>0</v>
      </c>
      <c r="G94" s="234" t="s">
        <v>506</v>
      </c>
    </row>
    <row r="95" spans="1:7">
      <c r="A95" s="253" t="str">
        <f>+CONCATENATE("ch",+ReactMatrix!A12)</f>
        <v>chSso4</v>
      </c>
      <c r="B95" s="232">
        <v>0</v>
      </c>
      <c r="C95" s="232">
        <v>-1</v>
      </c>
      <c r="D95" s="232">
        <v>-2</v>
      </c>
      <c r="E95" s="232">
        <v>0</v>
      </c>
      <c r="F95" s="233">
        <v>0</v>
      </c>
      <c r="G95" s="234" t="s">
        <v>506</v>
      </c>
    </row>
    <row r="96" spans="1:7">
      <c r="A96" s="253" t="str">
        <f>+CONCATENATE("ch",+ReactMatrix!A13)</f>
        <v>chSfe2</v>
      </c>
      <c r="B96" s="232">
        <v>0</v>
      </c>
      <c r="C96" s="232">
        <v>2</v>
      </c>
      <c r="D96" s="232">
        <v>0</v>
      </c>
      <c r="E96" s="232">
        <v>0</v>
      </c>
      <c r="F96" s="233">
        <v>0</v>
      </c>
      <c r="G96" s="234" t="s">
        <v>506</v>
      </c>
    </row>
    <row r="97" spans="1:7">
      <c r="A97" s="253" t="str">
        <f>+CONCATENATE("ch",+ReactMatrix!A14)</f>
        <v>chSfe3</v>
      </c>
      <c r="B97" s="232">
        <v>0</v>
      </c>
      <c r="C97" s="232">
        <v>3</v>
      </c>
      <c r="D97" s="232">
        <v>0</v>
      </c>
      <c r="E97" s="232">
        <v>0</v>
      </c>
      <c r="F97" s="233">
        <v>0</v>
      </c>
      <c r="G97" s="234" t="s">
        <v>506</v>
      </c>
    </row>
    <row r="98" spans="1:7">
      <c r="A98" s="253" t="str">
        <f>+CONCATENATE("ch",+ReactMatrix!A15)</f>
        <v>chSo2</v>
      </c>
      <c r="B98" s="232">
        <v>0</v>
      </c>
      <c r="C98" s="232">
        <v>0</v>
      </c>
      <c r="D98" s="232">
        <v>0</v>
      </c>
      <c r="E98" s="232">
        <v>0</v>
      </c>
      <c r="F98" s="233">
        <v>0</v>
      </c>
      <c r="G98" s="234" t="s">
        <v>506</v>
      </c>
    </row>
    <row r="99" spans="1:7">
      <c r="A99" s="253" t="str">
        <f>+CONCATENATE("ch",+ReactMatrix!A16)</f>
        <v>chScat</v>
      </c>
      <c r="B99" s="232">
        <v>0</v>
      </c>
      <c r="C99" s="232">
        <v>1</v>
      </c>
      <c r="D99" s="232">
        <v>0</v>
      </c>
      <c r="E99" s="232">
        <v>0</v>
      </c>
      <c r="F99" s="233">
        <v>0</v>
      </c>
      <c r="G99" s="234" t="s">
        <v>506</v>
      </c>
    </row>
    <row r="100" spans="1:7">
      <c r="A100" s="253" t="str">
        <f>+CONCATENATE("ch",+ReactMatrix!A17)</f>
        <v>chSan</v>
      </c>
      <c r="B100" s="232">
        <v>0</v>
      </c>
      <c r="C100" s="232">
        <v>-1</v>
      </c>
      <c r="D100" s="232">
        <v>0</v>
      </c>
      <c r="E100" s="232">
        <v>0</v>
      </c>
      <c r="F100" s="233">
        <v>0</v>
      </c>
      <c r="G100" s="234" t="s">
        <v>506</v>
      </c>
    </row>
    <row r="101" spans="1:7" ht="13.8" thickBot="1">
      <c r="A101" s="258" t="str">
        <f>+CONCATENATE("ch",+ReactMatrix!A43)</f>
        <v>chH2O</v>
      </c>
      <c r="B101" s="244">
        <v>0</v>
      </c>
      <c r="C101" s="244">
        <v>0</v>
      </c>
      <c r="D101" s="244">
        <v>-1</v>
      </c>
      <c r="E101" s="244">
        <v>0</v>
      </c>
      <c r="F101" s="245">
        <v>0</v>
      </c>
      <c r="G101" s="246" t="s">
        <v>506</v>
      </c>
    </row>
    <row r="102" spans="1:7">
      <c r="A102" s="253" t="str">
        <f>+ReactMatrix!A2</f>
        <v>Sglu</v>
      </c>
      <c r="B102" s="247"/>
      <c r="C102" s="247" t="s">
        <v>372</v>
      </c>
      <c r="D102" s="248"/>
      <c r="E102" s="248"/>
      <c r="F102" s="249"/>
      <c r="G102" s="234" t="s">
        <v>507</v>
      </c>
    </row>
    <row r="103" spans="1:7">
      <c r="A103" s="253" t="str">
        <f>+ReactMatrix!A3</f>
        <v>Sac</v>
      </c>
      <c r="B103" s="248"/>
      <c r="C103" s="247" t="s">
        <v>542</v>
      </c>
      <c r="D103" s="248" t="s">
        <v>543</v>
      </c>
      <c r="E103" s="248"/>
      <c r="F103" s="249"/>
      <c r="G103" s="234" t="s">
        <v>507</v>
      </c>
    </row>
    <row r="104" spans="1:7">
      <c r="A104" s="253" t="str">
        <f>+ReactMatrix!A4</f>
        <v>Sch4</v>
      </c>
      <c r="B104" s="250"/>
      <c r="C104" s="250" t="s">
        <v>349</v>
      </c>
      <c r="D104" s="248"/>
      <c r="E104" s="248"/>
      <c r="F104" s="249"/>
      <c r="G104" s="234" t="s">
        <v>507</v>
      </c>
    </row>
    <row r="105" spans="1:7">
      <c r="A105" s="253" t="str">
        <f>+ReactMatrix!A5</f>
        <v>Sic</v>
      </c>
      <c r="B105" s="250" t="s">
        <v>537</v>
      </c>
      <c r="C105" s="250" t="s">
        <v>538</v>
      </c>
      <c r="D105" s="248" t="s">
        <v>539</v>
      </c>
      <c r="E105" s="248" t="s">
        <v>540</v>
      </c>
      <c r="F105" s="248"/>
      <c r="G105" s="234" t="s">
        <v>507</v>
      </c>
    </row>
    <row r="106" spans="1:7">
      <c r="A106" s="253" t="str">
        <f>+ReactMatrix!A6</f>
        <v>Sh2</v>
      </c>
      <c r="B106" s="247"/>
      <c r="C106" s="247" t="s">
        <v>348</v>
      </c>
      <c r="D106" s="248"/>
      <c r="E106" s="248"/>
      <c r="F106" s="249"/>
      <c r="G106" s="234" t="s">
        <v>507</v>
      </c>
    </row>
    <row r="107" spans="1:7">
      <c r="A107" s="253" t="str">
        <f>+ReactMatrix!A7</f>
        <v>Samn</v>
      </c>
      <c r="B107" s="247"/>
      <c r="C107" s="247" t="s">
        <v>544</v>
      </c>
      <c r="D107" s="248" t="s">
        <v>545</v>
      </c>
      <c r="E107" s="248"/>
      <c r="F107" s="249"/>
      <c r="G107" s="234" t="s">
        <v>507</v>
      </c>
    </row>
    <row r="108" spans="1:7">
      <c r="A108" s="253" t="str">
        <f>+ReactMatrix!A8</f>
        <v>Sno2</v>
      </c>
      <c r="B108" s="247"/>
      <c r="C108" s="247" t="s">
        <v>541</v>
      </c>
      <c r="D108" s="247" t="s">
        <v>548</v>
      </c>
      <c r="E108" s="248"/>
      <c r="F108" s="249"/>
      <c r="G108" s="234" t="s">
        <v>507</v>
      </c>
    </row>
    <row r="109" spans="1:7">
      <c r="A109" s="253" t="str">
        <f>+ReactMatrix!A9</f>
        <v>Sno3</v>
      </c>
      <c r="B109" s="247"/>
      <c r="C109" s="247" t="s">
        <v>549</v>
      </c>
      <c r="D109" s="247"/>
      <c r="E109" s="247"/>
      <c r="F109" s="233"/>
      <c r="G109" s="234" t="s">
        <v>507</v>
      </c>
    </row>
    <row r="110" spans="1:7">
      <c r="A110" s="253" t="str">
        <f>+ReactMatrix!A10</f>
        <v>Sn2</v>
      </c>
      <c r="B110" s="247"/>
      <c r="C110" s="247" t="s">
        <v>402</v>
      </c>
      <c r="D110" s="248"/>
      <c r="E110" s="248"/>
      <c r="F110" s="249"/>
      <c r="G110" s="234" t="s">
        <v>507</v>
      </c>
    </row>
    <row r="111" spans="1:7">
      <c r="A111" s="253" t="str">
        <f>+ReactMatrix!A11</f>
        <v>Sh2s</v>
      </c>
      <c r="B111" s="248"/>
      <c r="C111" s="247" t="s">
        <v>403</v>
      </c>
      <c r="D111" s="248" t="s">
        <v>550</v>
      </c>
      <c r="E111" s="248"/>
      <c r="F111" s="249"/>
      <c r="G111" s="234" t="s">
        <v>507</v>
      </c>
    </row>
    <row r="112" spans="1:7">
      <c r="A112" s="253" t="str">
        <f>+ReactMatrix!A12</f>
        <v>Sso4</v>
      </c>
      <c r="B112" s="250"/>
      <c r="C112" s="248" t="s">
        <v>569</v>
      </c>
      <c r="D112" s="250" t="s">
        <v>551</v>
      </c>
      <c r="E112" s="250"/>
      <c r="F112" s="249"/>
      <c r="G112" s="234" t="s">
        <v>507</v>
      </c>
    </row>
    <row r="113" spans="1:7">
      <c r="A113" s="253" t="str">
        <f>+ReactMatrix!A13</f>
        <v>Sfe2</v>
      </c>
      <c r="B113" s="250"/>
      <c r="C113" s="250" t="s">
        <v>376</v>
      </c>
      <c r="D113" s="250"/>
      <c r="E113" s="248"/>
      <c r="F113" s="248"/>
      <c r="G113" s="234" t="s">
        <v>507</v>
      </c>
    </row>
    <row r="114" spans="1:7">
      <c r="A114" s="253" t="str">
        <f>+ReactMatrix!A14</f>
        <v>Sfe3</v>
      </c>
      <c r="B114" s="250"/>
      <c r="C114" s="250" t="s">
        <v>761</v>
      </c>
      <c r="D114" s="250"/>
      <c r="E114" s="248"/>
      <c r="F114" s="248"/>
      <c r="G114" s="234" t="s">
        <v>507</v>
      </c>
    </row>
    <row r="115" spans="1:7">
      <c r="A115" s="253" t="str">
        <f>+ReactMatrix!A15</f>
        <v>So2</v>
      </c>
      <c r="B115" s="247"/>
      <c r="C115" s="247" t="s">
        <v>377</v>
      </c>
      <c r="D115" s="248"/>
      <c r="E115" s="248"/>
      <c r="F115" s="249"/>
      <c r="G115" s="234" t="s">
        <v>507</v>
      </c>
    </row>
    <row r="116" spans="1:7">
      <c r="A116" s="253" t="str">
        <f>+ReactMatrix!A16</f>
        <v>Scat</v>
      </c>
      <c r="B116" s="247"/>
      <c r="C116" s="247" t="s">
        <v>546</v>
      </c>
      <c r="D116" s="248"/>
      <c r="E116" s="248"/>
      <c r="F116" s="249"/>
      <c r="G116" s="234" t="s">
        <v>507</v>
      </c>
    </row>
    <row r="117" spans="1:7">
      <c r="A117" s="410" t="str">
        <f>+ReactMatrix!A17</f>
        <v>San</v>
      </c>
      <c r="B117" s="411"/>
      <c r="C117" s="411" t="s">
        <v>547</v>
      </c>
      <c r="D117" s="412"/>
      <c r="E117" s="412"/>
      <c r="F117" s="413"/>
      <c r="G117" s="414" t="s">
        <v>507</v>
      </c>
    </row>
    <row r="118" spans="1:7" ht="13.8" thickBot="1">
      <c r="A118" s="255" t="str">
        <f>+ReactMatrix!A43</f>
        <v>H2O</v>
      </c>
      <c r="B118" s="251" t="s">
        <v>508</v>
      </c>
      <c r="C118" s="251" t="s">
        <v>508</v>
      </c>
      <c r="D118" s="239" t="s">
        <v>509</v>
      </c>
      <c r="E118" s="239"/>
      <c r="F118" s="240"/>
      <c r="G118" s="241" t="s">
        <v>507</v>
      </c>
    </row>
    <row r="119" spans="1:7">
      <c r="A119" s="207"/>
    </row>
    <row r="120" spans="1:7">
      <c r="A120" s="207"/>
    </row>
    <row r="121" spans="1:7">
      <c r="A121" s="207"/>
    </row>
    <row r="122" spans="1:7">
      <c r="A122" s="207"/>
    </row>
    <row r="123" spans="1:7">
      <c r="A123" s="207"/>
    </row>
    <row r="124" spans="1:7">
      <c r="A124" s="207"/>
    </row>
    <row r="125" spans="1:7">
      <c r="A125" s="207"/>
    </row>
    <row r="126" spans="1:7">
      <c r="A126" s="207"/>
    </row>
    <row r="127" spans="1:7">
      <c r="A127" s="207"/>
    </row>
    <row r="128" spans="1:7">
      <c r="A128" s="207"/>
    </row>
    <row r="129" spans="1:1">
      <c r="A129" s="207"/>
    </row>
    <row r="130" spans="1:1">
      <c r="A130" s="207"/>
    </row>
    <row r="131" spans="1:1">
      <c r="A131" s="207"/>
    </row>
    <row r="132" spans="1:1">
      <c r="A132" s="207"/>
    </row>
    <row r="133" spans="1:1">
      <c r="A133" s="207"/>
    </row>
    <row r="134" spans="1:1">
      <c r="A134" s="207"/>
    </row>
  </sheetData>
  <phoneticPr fontId="3" type="noConversion"/>
  <conditionalFormatting sqref="B101:G101 G84 G42 B1:F35 B42:F77 B84:F100">
    <cfRule type="cellIs" dxfId="37" priority="8" stopIfTrue="1" operator="equal">
      <formula>0</formula>
    </cfRule>
  </conditionalFormatting>
  <conditionalFormatting sqref="B39:F41">
    <cfRule type="cellIs" dxfId="36" priority="6" stopIfTrue="1" operator="equal">
      <formula>0</formula>
    </cfRule>
  </conditionalFormatting>
  <conditionalFormatting sqref="B36:F38">
    <cfRule type="cellIs" dxfId="35" priority="5" stopIfTrue="1" operator="equal">
      <formula>0</formula>
    </cfRule>
  </conditionalFormatting>
  <conditionalFormatting sqref="B81:B83 D81:F83">
    <cfRule type="cellIs" dxfId="34" priority="4" stopIfTrue="1" operator="equal">
      <formula>0</formula>
    </cfRule>
  </conditionalFormatting>
  <conditionalFormatting sqref="B78:B80 D78:F80">
    <cfRule type="cellIs" dxfId="33" priority="3" stopIfTrue="1" operator="equal">
      <formula>0</formula>
    </cfRule>
  </conditionalFormatting>
  <conditionalFormatting sqref="C81:C83">
    <cfRule type="cellIs" dxfId="32" priority="2" stopIfTrue="1" operator="equal">
      <formula>0</formula>
    </cfRule>
  </conditionalFormatting>
  <conditionalFormatting sqref="C78:C80">
    <cfRule type="cellIs" dxfId="31" priority="1" stopIfTrue="1" operator="equal">
      <formula>0</formula>
    </cfRule>
  </conditionalFormatting>
  <pageMargins left="0.75" right="0.75" top="1" bottom="1" header="0" footer="0"/>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6"/>
  <dimension ref="A1:C138"/>
  <sheetViews>
    <sheetView topLeftCell="A73" workbookViewId="0">
      <selection activeCell="B94" sqref="B94"/>
    </sheetView>
  </sheetViews>
  <sheetFormatPr defaultColWidth="11.44140625" defaultRowHeight="13.2"/>
  <cols>
    <col min="1" max="1" width="11.44140625" style="186"/>
    <col min="2" max="2" width="12.44140625" style="187" bestFit="1" customWidth="1"/>
    <col min="3" max="3" width="12.6640625" style="187" bestFit="1" customWidth="1"/>
    <col min="4" max="16384" width="11.44140625" style="187"/>
  </cols>
  <sheetData>
    <row r="1" spans="1:3">
      <c r="A1" s="186" t="s">
        <v>620</v>
      </c>
      <c r="B1" s="324">
        <f>3.6/24</f>
        <v>0.15</v>
      </c>
      <c r="C1" s="267" t="s">
        <v>673</v>
      </c>
    </row>
    <row r="2" spans="1:3">
      <c r="A2" s="186" t="s">
        <v>621</v>
      </c>
      <c r="B2" s="198">
        <v>0.13333300000000001</v>
      </c>
      <c r="C2" s="267" t="s">
        <v>673</v>
      </c>
    </row>
    <row r="3" spans="1:3">
      <c r="A3" s="186" t="s">
        <v>622</v>
      </c>
      <c r="B3" s="187">
        <f>3/'Microbial Model'!$AD$24</f>
        <v>0.125</v>
      </c>
      <c r="C3" s="267" t="s">
        <v>673</v>
      </c>
    </row>
    <row r="4" spans="1:3">
      <c r="A4" s="186" t="s">
        <v>623</v>
      </c>
      <c r="B4" s="187">
        <f>3/'Microbial Model'!$AO$24</f>
        <v>0.375</v>
      </c>
      <c r="C4" s="267" t="s">
        <v>673</v>
      </c>
    </row>
    <row r="5" spans="1:3">
      <c r="A5" s="186" t="s">
        <v>624</v>
      </c>
      <c r="B5" s="187">
        <f>3/'Microbial Model'!$AZ$24</f>
        <v>0.5</v>
      </c>
      <c r="C5" s="267" t="s">
        <v>673</v>
      </c>
    </row>
    <row r="6" spans="1:3">
      <c r="A6" s="186" t="s">
        <v>625</v>
      </c>
      <c r="B6" s="187">
        <f>3/'Microbial Model'!$BK$24</f>
        <v>1.5</v>
      </c>
      <c r="C6" s="267" t="s">
        <v>673</v>
      </c>
    </row>
    <row r="7" spans="1:3">
      <c r="A7" s="186" t="s">
        <v>626</v>
      </c>
      <c r="B7" s="187">
        <f>3/'Microbial Model'!$BV$24</f>
        <v>0.125</v>
      </c>
      <c r="C7" s="267" t="s">
        <v>673</v>
      </c>
    </row>
    <row r="8" spans="1:3">
      <c r="A8" s="186" t="s">
        <v>627</v>
      </c>
      <c r="B8" s="187">
        <f>3/'Microbial Model'!$CG$24</f>
        <v>0.375</v>
      </c>
      <c r="C8" s="267" t="s">
        <v>673</v>
      </c>
    </row>
    <row r="9" spans="1:3">
      <c r="A9" s="186" t="s">
        <v>798</v>
      </c>
      <c r="B9" s="324">
        <v>3.0625</v>
      </c>
      <c r="C9" s="267" t="s">
        <v>673</v>
      </c>
    </row>
    <row r="10" spans="1:3">
      <c r="A10" s="186" t="s">
        <v>628</v>
      </c>
      <c r="B10" s="187">
        <f>3/'Microbial Model'!$DC$24</f>
        <v>0.375</v>
      </c>
      <c r="C10" s="267" t="s">
        <v>673</v>
      </c>
    </row>
    <row r="11" spans="1:3">
      <c r="A11" s="186" t="s">
        <v>799</v>
      </c>
      <c r="B11" s="324">
        <v>3.0625</v>
      </c>
      <c r="C11" s="267" t="s">
        <v>673</v>
      </c>
    </row>
    <row r="12" spans="1:3">
      <c r="A12" s="186" t="s">
        <v>629</v>
      </c>
      <c r="B12" s="187">
        <f>3/'Microbial Model'!$DY$24</f>
        <v>0.375</v>
      </c>
      <c r="C12" s="267" t="s">
        <v>673</v>
      </c>
    </row>
    <row r="13" spans="1:3">
      <c r="A13" s="186" t="s">
        <v>630</v>
      </c>
      <c r="B13" s="187">
        <f>3/'Microbial Model'!$EJ$24</f>
        <v>0.375</v>
      </c>
      <c r="C13" s="267" t="s">
        <v>673</v>
      </c>
    </row>
    <row r="14" spans="1:3">
      <c r="A14" s="186" t="s">
        <v>631</v>
      </c>
      <c r="B14" s="187">
        <f>3/'Microbial Model'!$EU$24</f>
        <v>3</v>
      </c>
      <c r="C14" s="267" t="s">
        <v>673</v>
      </c>
    </row>
    <row r="15" spans="1:3">
      <c r="A15" s="186" t="s">
        <v>632</v>
      </c>
      <c r="B15" s="187">
        <f>3/'Microbial Model'!$FF$24</f>
        <v>3</v>
      </c>
      <c r="C15" s="267" t="s">
        <v>673</v>
      </c>
    </row>
    <row r="16" spans="1:3">
      <c r="A16" s="186" t="s">
        <v>633</v>
      </c>
      <c r="B16" s="187">
        <f>3/'Microbial Model'!$FQ$24</f>
        <v>0.375</v>
      </c>
      <c r="C16" s="267" t="s">
        <v>673</v>
      </c>
    </row>
    <row r="17" spans="1:3">
      <c r="A17" s="186" t="s">
        <v>800</v>
      </c>
      <c r="B17" s="324">
        <v>3.0625</v>
      </c>
      <c r="C17" s="267" t="s">
        <v>673</v>
      </c>
    </row>
    <row r="18" spans="1:3">
      <c r="A18" s="186" t="s">
        <v>634</v>
      </c>
      <c r="B18" s="324">
        <v>0.17499999999999999</v>
      </c>
      <c r="C18" s="267" t="s">
        <v>673</v>
      </c>
    </row>
    <row r="19" spans="1:3">
      <c r="A19" s="186" t="s">
        <v>635</v>
      </c>
      <c r="B19" s="324">
        <v>3.0625</v>
      </c>
      <c r="C19" s="267" t="s">
        <v>673</v>
      </c>
    </row>
    <row r="20" spans="1:3">
      <c r="A20" s="186" t="s">
        <v>636</v>
      </c>
      <c r="B20" s="187">
        <f>3/'Microbial Model'!$HI$24</f>
        <v>0.375</v>
      </c>
      <c r="C20" s="267" t="s">
        <v>673</v>
      </c>
    </row>
    <row r="21" spans="1:3">
      <c r="A21" s="277" t="s">
        <v>637</v>
      </c>
      <c r="B21" s="280">
        <f>3/'Microbial Model'!$HT$24</f>
        <v>0.375</v>
      </c>
      <c r="C21" s="279" t="s">
        <v>673</v>
      </c>
    </row>
    <row r="22" spans="1:3">
      <c r="A22" s="186" t="s">
        <v>758</v>
      </c>
      <c r="B22" s="198">
        <f>0.075/14000</f>
        <v>5.357142857142857E-6</v>
      </c>
      <c r="C22" s="267" t="s">
        <v>674</v>
      </c>
    </row>
    <row r="23" spans="1:3">
      <c r="A23" s="186" t="s">
        <v>639</v>
      </c>
      <c r="B23" s="198">
        <v>1E-4</v>
      </c>
      <c r="C23" s="267" t="s">
        <v>674</v>
      </c>
    </row>
    <row r="24" spans="1:3">
      <c r="A24" s="186" t="s">
        <v>640</v>
      </c>
      <c r="B24" s="198">
        <v>1E-4</v>
      </c>
      <c r="C24" s="267" t="s">
        <v>674</v>
      </c>
    </row>
    <row r="25" spans="1:3">
      <c r="A25" s="186" t="s">
        <v>641</v>
      </c>
      <c r="B25" s="198">
        <v>1E-4</v>
      </c>
      <c r="C25" s="267" t="s">
        <v>674</v>
      </c>
    </row>
    <row r="26" spans="1:3">
      <c r="A26" s="186" t="s">
        <v>642</v>
      </c>
      <c r="B26" s="198">
        <v>1E-4</v>
      </c>
      <c r="C26" s="267" t="s">
        <v>674</v>
      </c>
    </row>
    <row r="27" spans="1:3">
      <c r="A27" s="186" t="s">
        <v>643</v>
      </c>
      <c r="B27" s="198">
        <v>1E-4</v>
      </c>
      <c r="C27" s="267" t="s">
        <v>674</v>
      </c>
    </row>
    <row r="28" spans="1:3">
      <c r="A28" s="186" t="s">
        <v>644</v>
      </c>
      <c r="B28" s="198">
        <v>1E-4</v>
      </c>
      <c r="C28" s="267" t="s">
        <v>674</v>
      </c>
    </row>
    <row r="29" spans="1:3">
      <c r="A29" s="186" t="s">
        <v>645</v>
      </c>
      <c r="B29" s="198">
        <v>1E-4</v>
      </c>
      <c r="C29" s="267" t="s">
        <v>674</v>
      </c>
    </row>
    <row r="30" spans="1:3">
      <c r="A30" s="186" t="s">
        <v>792</v>
      </c>
      <c r="B30" s="324">
        <v>4.3749999999999999E-7</v>
      </c>
      <c r="C30" s="267" t="s">
        <v>674</v>
      </c>
    </row>
    <row r="31" spans="1:3">
      <c r="A31" s="186" t="s">
        <v>646</v>
      </c>
      <c r="B31" s="198">
        <v>1E-4</v>
      </c>
      <c r="C31" s="267" t="s">
        <v>674</v>
      </c>
    </row>
    <row r="32" spans="1:3">
      <c r="A32" s="186" t="s">
        <v>793</v>
      </c>
      <c r="B32" s="324">
        <v>4.3749999999999999E-7</v>
      </c>
      <c r="C32" s="267" t="s">
        <v>674</v>
      </c>
    </row>
    <row r="33" spans="1:3">
      <c r="A33" s="186" t="s">
        <v>647</v>
      </c>
      <c r="B33" s="198">
        <v>1E-4</v>
      </c>
      <c r="C33" s="267" t="s">
        <v>674</v>
      </c>
    </row>
    <row r="34" spans="1:3">
      <c r="A34" s="186" t="s">
        <v>648</v>
      </c>
      <c r="B34" s="198">
        <v>1E-4</v>
      </c>
      <c r="C34" s="267" t="s">
        <v>674</v>
      </c>
    </row>
    <row r="35" spans="1:3">
      <c r="A35" s="186" t="s">
        <v>649</v>
      </c>
      <c r="B35" s="198">
        <v>1E-4</v>
      </c>
      <c r="C35" s="267" t="s">
        <v>674</v>
      </c>
    </row>
    <row r="36" spans="1:3">
      <c r="A36" s="186" t="s">
        <v>650</v>
      </c>
      <c r="B36" s="198">
        <v>1E-4</v>
      </c>
      <c r="C36" s="267" t="s">
        <v>674</v>
      </c>
    </row>
    <row r="37" spans="1:3">
      <c r="A37" s="186" t="s">
        <v>651</v>
      </c>
      <c r="B37" s="198">
        <v>1E-4</v>
      </c>
      <c r="C37" s="267" t="s">
        <v>674</v>
      </c>
    </row>
    <row r="38" spans="1:3">
      <c r="A38" s="186" t="s">
        <v>794</v>
      </c>
      <c r="B38" s="324">
        <v>4.3749999999999999E-7</v>
      </c>
      <c r="C38" s="267" t="s">
        <v>674</v>
      </c>
    </row>
    <row r="39" spans="1:3">
      <c r="A39" s="186" t="s">
        <v>652</v>
      </c>
      <c r="B39" s="324">
        <v>2.3437499999999999E-3</v>
      </c>
      <c r="C39" s="267" t="s">
        <v>674</v>
      </c>
    </row>
    <row r="40" spans="1:3">
      <c r="A40" s="186" t="s">
        <v>653</v>
      </c>
      <c r="B40" s="324">
        <v>4.3749999999999999E-7</v>
      </c>
      <c r="C40" s="267" t="s">
        <v>674</v>
      </c>
    </row>
    <row r="41" spans="1:3">
      <c r="A41" s="186" t="s">
        <v>654</v>
      </c>
      <c r="B41" s="198">
        <v>1E-4</v>
      </c>
      <c r="C41" s="267" t="s">
        <v>674</v>
      </c>
    </row>
    <row r="42" spans="1:3">
      <c r="A42" s="277" t="s">
        <v>655</v>
      </c>
      <c r="B42" s="278">
        <v>1E-4</v>
      </c>
      <c r="C42" s="279" t="s">
        <v>674</v>
      </c>
    </row>
    <row r="43" spans="1:3">
      <c r="A43" s="186" t="s">
        <v>759</v>
      </c>
      <c r="B43" s="198">
        <v>1E-4</v>
      </c>
      <c r="C43" s="267" t="s">
        <v>675</v>
      </c>
    </row>
    <row r="44" spans="1:3">
      <c r="A44" s="186" t="s">
        <v>656</v>
      </c>
      <c r="B44" s="198">
        <v>1E-4</v>
      </c>
      <c r="C44" s="267" t="s">
        <v>675</v>
      </c>
    </row>
    <row r="45" spans="1:3">
      <c r="A45" s="186" t="s">
        <v>657</v>
      </c>
      <c r="B45" s="198">
        <v>1E-4</v>
      </c>
      <c r="C45" s="267" t="s">
        <v>675</v>
      </c>
    </row>
    <row r="46" spans="1:3">
      <c r="A46" s="186" t="s">
        <v>658</v>
      </c>
      <c r="B46" s="198">
        <v>1E-4</v>
      </c>
      <c r="C46" s="267" t="s">
        <v>675</v>
      </c>
    </row>
    <row r="47" spans="1:3">
      <c r="A47" s="186" t="s">
        <v>659</v>
      </c>
      <c r="B47" s="198">
        <v>1E-4</v>
      </c>
      <c r="C47" s="267" t="s">
        <v>675</v>
      </c>
    </row>
    <row r="48" spans="1:3">
      <c r="A48" s="186" t="s">
        <v>660</v>
      </c>
      <c r="B48" s="198">
        <v>1E-4</v>
      </c>
      <c r="C48" s="267" t="s">
        <v>675</v>
      </c>
    </row>
    <row r="49" spans="1:3">
      <c r="A49" s="186" t="s">
        <v>661</v>
      </c>
      <c r="B49" s="198">
        <v>1E-4</v>
      </c>
      <c r="C49" s="267" t="s">
        <v>675</v>
      </c>
    </row>
    <row r="50" spans="1:3">
      <c r="A50" s="186" t="s">
        <v>662</v>
      </c>
      <c r="B50" s="198">
        <v>1E-4</v>
      </c>
      <c r="C50" s="267" t="s">
        <v>675</v>
      </c>
    </row>
    <row r="51" spans="1:3">
      <c r="A51" s="186" t="s">
        <v>795</v>
      </c>
      <c r="B51" s="198">
        <v>1E-4</v>
      </c>
      <c r="C51" s="267" t="s">
        <v>675</v>
      </c>
    </row>
    <row r="52" spans="1:3">
      <c r="A52" s="186" t="s">
        <v>663</v>
      </c>
      <c r="B52" s="198">
        <v>1E-4</v>
      </c>
      <c r="C52" s="267" t="s">
        <v>675</v>
      </c>
    </row>
    <row r="53" spans="1:3">
      <c r="A53" s="186" t="s">
        <v>796</v>
      </c>
      <c r="B53" s="198">
        <v>1E-4</v>
      </c>
      <c r="C53" s="267" t="s">
        <v>675</v>
      </c>
    </row>
    <row r="54" spans="1:3">
      <c r="A54" s="186" t="s">
        <v>664</v>
      </c>
      <c r="B54" s="198">
        <v>1E-4</v>
      </c>
      <c r="C54" s="267" t="s">
        <v>675</v>
      </c>
    </row>
    <row r="55" spans="1:3">
      <c r="A55" s="186" t="s">
        <v>665</v>
      </c>
      <c r="B55" s="198">
        <v>1E-4</v>
      </c>
      <c r="C55" s="267" t="s">
        <v>675</v>
      </c>
    </row>
    <row r="56" spans="1:3">
      <c r="A56" s="186" t="s">
        <v>666</v>
      </c>
      <c r="B56" s="198">
        <v>1E-4</v>
      </c>
      <c r="C56" s="267" t="s">
        <v>675</v>
      </c>
    </row>
    <row r="57" spans="1:3">
      <c r="A57" s="186" t="s">
        <v>667</v>
      </c>
      <c r="B57" s="198">
        <v>1E-4</v>
      </c>
      <c r="C57" s="267" t="s">
        <v>675</v>
      </c>
    </row>
    <row r="58" spans="1:3">
      <c r="A58" s="186" t="s">
        <v>668</v>
      </c>
      <c r="B58" s="198">
        <v>1E-4</v>
      </c>
      <c r="C58" s="267" t="s">
        <v>675</v>
      </c>
    </row>
    <row r="59" spans="1:3">
      <c r="A59" s="186" t="s">
        <v>797</v>
      </c>
      <c r="B59" s="198">
        <v>1E-4</v>
      </c>
      <c r="C59" s="267" t="s">
        <v>675</v>
      </c>
    </row>
    <row r="60" spans="1:3">
      <c r="A60" s="186" t="s">
        <v>669</v>
      </c>
      <c r="B60" s="198">
        <v>1E-4</v>
      </c>
      <c r="C60" s="267" t="s">
        <v>675</v>
      </c>
    </row>
    <row r="61" spans="1:3">
      <c r="A61" s="186" t="s">
        <v>670</v>
      </c>
      <c r="B61" s="198">
        <v>1E-4</v>
      </c>
      <c r="C61" s="267" t="s">
        <v>675</v>
      </c>
    </row>
    <row r="62" spans="1:3">
      <c r="A62" s="186" t="s">
        <v>671</v>
      </c>
      <c r="B62" s="198">
        <v>1E-4</v>
      </c>
      <c r="C62" s="267" t="s">
        <v>675</v>
      </c>
    </row>
    <row r="63" spans="1:3">
      <c r="A63" s="277" t="s">
        <v>672</v>
      </c>
      <c r="B63" s="278">
        <v>1E-4</v>
      </c>
      <c r="C63" s="279" t="s">
        <v>675</v>
      </c>
    </row>
    <row r="64" spans="1:3">
      <c r="A64" s="186" t="s">
        <v>684</v>
      </c>
      <c r="B64" s="198">
        <v>1E-4</v>
      </c>
      <c r="C64" s="267" t="s">
        <v>683</v>
      </c>
    </row>
    <row r="65" spans="1:3">
      <c r="A65" s="277" t="s">
        <v>747</v>
      </c>
      <c r="B65" s="341">
        <v>1E-4</v>
      </c>
      <c r="C65" s="279" t="s">
        <v>685</v>
      </c>
    </row>
    <row r="66" spans="1:3" ht="15.6">
      <c r="A66" s="186" t="s">
        <v>678</v>
      </c>
      <c r="B66" s="198">
        <f>0.015/24</f>
        <v>6.2500000000000001E-4</v>
      </c>
      <c r="C66" s="267" t="s">
        <v>676</v>
      </c>
    </row>
    <row r="67" spans="1:3" ht="15.6">
      <c r="A67" s="281" t="s">
        <v>638</v>
      </c>
      <c r="B67" s="278">
        <f>0.5/24</f>
        <v>2.0833333333333332E-2</v>
      </c>
      <c r="C67" s="279" t="s">
        <v>676</v>
      </c>
    </row>
    <row r="68" spans="1:3" ht="15.6">
      <c r="A68" s="197" t="s">
        <v>592</v>
      </c>
      <c r="B68" s="276">
        <f>3600*(DiffCalcs!D2-DiffCalcs!D3)/(DiffCalcs!B2-DiffCalcs!B3)</f>
        <v>1.3024800000000002E-4</v>
      </c>
      <c r="C68" s="267" t="s">
        <v>591</v>
      </c>
    </row>
    <row r="69" spans="1:3" ht="15.6">
      <c r="A69" s="197" t="s">
        <v>593</v>
      </c>
      <c r="B69" s="276">
        <f>(DiffCalcs!D4-DiffCalcs!D5)/(DiffCalcs!B4-DiffCalcs!B5)</f>
        <v>5.880600000000005E-8</v>
      </c>
      <c r="C69" s="267" t="s">
        <v>591</v>
      </c>
    </row>
    <row r="70" spans="1:3" ht="15.6">
      <c r="A70" s="186" t="s">
        <v>594</v>
      </c>
      <c r="B70" s="276">
        <f>(DiffCalcs!D6-DiffCalcs!D7)/(DiffCalcs!B6-DiffCalcs!B7)</f>
        <v>8.3999999999999985E-8</v>
      </c>
      <c r="C70" s="267" t="s">
        <v>591</v>
      </c>
    </row>
    <row r="71" spans="1:3" ht="15.6">
      <c r="A71" s="186" t="s">
        <v>595</v>
      </c>
      <c r="B71" s="276">
        <f>(DiffCalcs!D8-DiffCalcs!D9)/(DiffCalcs!B8-DiffCalcs!B9)</f>
        <v>6.3989999999999953E-8</v>
      </c>
      <c r="C71" s="267" t="s">
        <v>591</v>
      </c>
    </row>
    <row r="72" spans="1:3" ht="15.6">
      <c r="A72" s="186" t="s">
        <v>596</v>
      </c>
      <c r="B72" s="276">
        <f>(DiffCalcs!D10-DiffCalcs!D11)/(DiffCalcs!B10-DiffCalcs!B11)</f>
        <v>3.4560000000000024E-7</v>
      </c>
      <c r="C72" s="267" t="s">
        <v>591</v>
      </c>
    </row>
    <row r="73" spans="1:3" ht="15.6">
      <c r="A73" s="186" t="s">
        <v>743</v>
      </c>
      <c r="B73" s="276">
        <f>(DiffCalcs!D12-DiffCalcs!D13)/(DiffCalcs!B12-DiffCalcs!B13)</f>
        <v>1.05678E-7</v>
      </c>
      <c r="C73" s="267" t="s">
        <v>591</v>
      </c>
    </row>
    <row r="74" spans="1:3" ht="15.6">
      <c r="A74" s="186" t="s">
        <v>597</v>
      </c>
      <c r="B74" s="276">
        <f>(DiffCalcs!D14-DiffCalcs!D15)/(DiffCalcs!B14-DiffCalcs!B15)</f>
        <v>1.0324800000000011E-7</v>
      </c>
      <c r="C74" s="267" t="s">
        <v>591</v>
      </c>
    </row>
    <row r="75" spans="1:3" ht="15.6">
      <c r="A75" s="186" t="s">
        <v>598</v>
      </c>
      <c r="B75" s="276">
        <f>(DiffCalcs!D16-DiffCalcs!D17)/(DiffCalcs!B16-DiffCalcs!B17)</f>
        <v>1.0270800000000002E-7</v>
      </c>
      <c r="C75" s="267" t="s">
        <v>591</v>
      </c>
    </row>
    <row r="76" spans="1:3" ht="15.6">
      <c r="A76" s="186" t="s">
        <v>599</v>
      </c>
      <c r="B76" s="276">
        <f>(DiffCalcs!D18-DiffCalcs!D19)/(DiffCalcs!B18-DiffCalcs!B19)</f>
        <v>1.0799999999999999E-7</v>
      </c>
      <c r="C76" s="267" t="s">
        <v>591</v>
      </c>
    </row>
    <row r="77" spans="1:3" ht="15.6">
      <c r="A77" s="186" t="s">
        <v>712</v>
      </c>
      <c r="B77" s="276">
        <f>3600*(DiffCalcs!D20-DiffCalcs!D21)/(DiffCalcs!B20-DiffCalcs!B21)</f>
        <v>3.0044520000000006E-4</v>
      </c>
      <c r="C77" s="267" t="s">
        <v>591</v>
      </c>
    </row>
    <row r="78" spans="1:3" ht="15.6">
      <c r="A78" s="186" t="s">
        <v>600</v>
      </c>
      <c r="B78" s="276">
        <f>(DiffCalcs!D22-DiffCalcs!D23)/(DiffCalcs!B22-DiffCalcs!B23)</f>
        <v>5.7510000000000023E-8</v>
      </c>
      <c r="C78" s="267" t="s">
        <v>591</v>
      </c>
    </row>
    <row r="79" spans="1:3" ht="15.6">
      <c r="A79" s="186" t="s">
        <v>601</v>
      </c>
      <c r="B79" s="276">
        <f>(DiffCalcs!D24-DiffCalcs!D25)/(DiffCalcs!B24-DiffCalcs!B25)</f>
        <v>3.8825999999999993E-8</v>
      </c>
      <c r="C79" s="267" t="s">
        <v>591</v>
      </c>
    </row>
    <row r="80" spans="1:3" ht="15.6">
      <c r="A80" s="186" t="s">
        <v>764</v>
      </c>
      <c r="B80" s="276">
        <f>(DiffCalcs!D26-DiffCalcs!D27)/(DiffCalcs!B26-DiffCalcs!B27)</f>
        <v>3.2615999999999992E-8</v>
      </c>
      <c r="C80" s="267" t="s">
        <v>591</v>
      </c>
    </row>
    <row r="81" spans="1:3" ht="15.6">
      <c r="A81" s="186" t="s">
        <v>602</v>
      </c>
      <c r="B81" s="276">
        <f>(DiffCalcs!D28-DiffCalcs!D29)/(DiffCalcs!B28-DiffCalcs!B29)</f>
        <v>2.4479999999999992E-7</v>
      </c>
      <c r="C81" s="267" t="s">
        <v>591</v>
      </c>
    </row>
    <row r="82" spans="1:3" ht="15.6">
      <c r="A82" s="186" t="s">
        <v>603</v>
      </c>
      <c r="B82" s="276">
        <f>(DiffCalcs!D30-DiffCalcs!D31)/(DiffCalcs!B30-DiffCalcs!B31)</f>
        <v>7.2035999999999971E-8</v>
      </c>
      <c r="C82" s="267" t="s">
        <v>591</v>
      </c>
    </row>
    <row r="83" spans="1:3" ht="15.6">
      <c r="A83" s="186" t="s">
        <v>604</v>
      </c>
      <c r="B83" s="276">
        <f>(DiffCalcs!D32-DiffCalcs!D33)/(DiffCalcs!B32-DiffCalcs!B33)</f>
        <v>1.0972799999999999E-7</v>
      </c>
      <c r="C83" s="267" t="s">
        <v>591</v>
      </c>
    </row>
    <row r="84" spans="1:3" ht="15.6">
      <c r="A84" s="186" t="s">
        <v>605</v>
      </c>
      <c r="B84" s="276">
        <f>(DiffCalcs!D34-DiffCalcs!D35)/(DiffCalcs!B34-DiffCalcs!B35)</f>
        <v>5.2736960602032706E-12</v>
      </c>
      <c r="C84" s="267" t="s">
        <v>591</v>
      </c>
    </row>
    <row r="85" spans="1:3" ht="15.6">
      <c r="A85" s="197" t="s">
        <v>606</v>
      </c>
      <c r="B85" s="276">
        <f>3600*DiffCalcs!D2-B68*DiffCalcs!B2</f>
        <v>5.4269999999999995E-3</v>
      </c>
      <c r="C85" s="267" t="s">
        <v>677</v>
      </c>
    </row>
    <row r="86" spans="1:3" ht="15.6">
      <c r="A86" s="197" t="s">
        <v>607</v>
      </c>
      <c r="B86" s="276">
        <f>DiffCalcs!D4-B69*DiffCalcs!B4</f>
        <v>2.4502499999999991E-6</v>
      </c>
      <c r="C86" s="267" t="s">
        <v>677</v>
      </c>
    </row>
    <row r="87" spans="1:3" ht="15.6">
      <c r="A87" s="186" t="s">
        <v>608</v>
      </c>
      <c r="B87" s="276">
        <f>DiffCalcs!D6-B70*DiffCalcs!B6</f>
        <v>3.264E-6</v>
      </c>
      <c r="C87" s="267" t="s">
        <v>677</v>
      </c>
    </row>
    <row r="88" spans="1:3" ht="15.6">
      <c r="A88" s="186" t="s">
        <v>609</v>
      </c>
      <c r="B88" s="276">
        <f>DiffCalcs!D8-B71*DiffCalcs!B8</f>
        <v>2.6662500000000009E-6</v>
      </c>
      <c r="C88" s="267" t="s">
        <v>677</v>
      </c>
    </row>
    <row r="89" spans="1:3" ht="15.6">
      <c r="A89" s="186" t="s">
        <v>610</v>
      </c>
      <c r="B89" s="276">
        <f>DiffCalcs!D10-B72*DiffCalcs!B10</f>
        <v>9.5759999999999978E-6</v>
      </c>
      <c r="C89" s="267" t="s">
        <v>677</v>
      </c>
    </row>
    <row r="90" spans="1:3" ht="15.6">
      <c r="A90" s="186" t="s">
        <v>744</v>
      </c>
      <c r="B90" s="276">
        <f>DiffCalcs!D12-B73*DiffCalcs!B12</f>
        <v>4.4032500000000006E-6</v>
      </c>
      <c r="C90" s="267" t="s">
        <v>677</v>
      </c>
    </row>
    <row r="91" spans="1:3" ht="15.6">
      <c r="A91" s="186" t="s">
        <v>611</v>
      </c>
      <c r="B91" s="276">
        <f>DiffCalcs!D14-B74*DiffCalcs!B14</f>
        <v>4.3019999999999979E-6</v>
      </c>
      <c r="C91" s="267" t="s">
        <v>677</v>
      </c>
    </row>
    <row r="92" spans="1:3" ht="15.6">
      <c r="A92" s="186" t="s">
        <v>612</v>
      </c>
      <c r="B92" s="276">
        <f>DiffCalcs!D16-B75*DiffCalcs!B16</f>
        <v>4.2794999999999986E-6</v>
      </c>
      <c r="C92" s="267" t="s">
        <v>677</v>
      </c>
    </row>
    <row r="93" spans="1:3" ht="15.6">
      <c r="A93" s="186" t="s">
        <v>613</v>
      </c>
      <c r="B93" s="276">
        <f>DiffCalcs!D18-B76*DiffCalcs!B18</f>
        <v>4.500000000000001E-6</v>
      </c>
      <c r="C93" s="267" t="s">
        <v>677</v>
      </c>
    </row>
    <row r="94" spans="1:3" ht="15.6">
      <c r="A94" s="186" t="s">
        <v>713</v>
      </c>
      <c r="B94" s="276">
        <f>3600*DiffCalcs!D20-B77*DiffCalcs!B20</f>
        <v>1.251855E-2</v>
      </c>
      <c r="C94" s="267" t="s">
        <v>677</v>
      </c>
    </row>
    <row r="95" spans="1:3" ht="15.6">
      <c r="A95" s="186" t="s">
        <v>614</v>
      </c>
      <c r="B95" s="276">
        <f>DiffCalcs!D22-B78*DiffCalcs!B22</f>
        <v>2.3962499999999993E-6</v>
      </c>
      <c r="C95" s="267" t="s">
        <v>677</v>
      </c>
    </row>
    <row r="96" spans="1:3" ht="15.6">
      <c r="A96" s="186" t="s">
        <v>615</v>
      </c>
      <c r="B96" s="276">
        <f>DiffCalcs!D24-B79*DiffCalcs!B24</f>
        <v>1.6177500000000003E-6</v>
      </c>
      <c r="C96" s="267" t="s">
        <v>677</v>
      </c>
    </row>
    <row r="97" spans="1:3" ht="15.6">
      <c r="A97" s="186" t="s">
        <v>765</v>
      </c>
      <c r="B97" s="276">
        <f>DiffCalcs!D26-B80*DiffCalcs!B26</f>
        <v>1.359E-6</v>
      </c>
      <c r="C97" s="267" t="s">
        <v>677</v>
      </c>
    </row>
    <row r="98" spans="1:3" ht="15.6">
      <c r="A98" s="186" t="s">
        <v>616</v>
      </c>
      <c r="B98" s="276">
        <f>DiffCalcs!D28-B81*DiffCalcs!B28</f>
        <v>2.3400000000000013E-6</v>
      </c>
      <c r="C98" s="267" t="s">
        <v>677</v>
      </c>
    </row>
    <row r="99" spans="1:3" ht="15.6">
      <c r="A99" s="186" t="s">
        <v>617</v>
      </c>
      <c r="B99" s="276">
        <f>DiffCalcs!D30-B82*DiffCalcs!B30</f>
        <v>3.0015000000000008E-6</v>
      </c>
      <c r="C99" s="267" t="s">
        <v>677</v>
      </c>
    </row>
    <row r="100" spans="1:3" ht="15.6">
      <c r="A100" s="186" t="s">
        <v>618</v>
      </c>
      <c r="B100" s="276">
        <f>DiffCalcs!D32-B83*DiffCalcs!B32</f>
        <v>4.5719999999999996E-6</v>
      </c>
      <c r="C100" s="267" t="s">
        <v>677</v>
      </c>
    </row>
    <row r="101" spans="1:3" ht="15.6">
      <c r="A101" s="186" t="s">
        <v>619</v>
      </c>
      <c r="B101" s="276">
        <f>DiffCalcs!D34-B84*DiffCalcs!B34</f>
        <v>1.4397190244354904E-9</v>
      </c>
      <c r="C101" s="267" t="s">
        <v>677</v>
      </c>
    </row>
    <row r="102" spans="1:3">
      <c r="A102" s="186" t="s">
        <v>695</v>
      </c>
      <c r="B102" s="198">
        <v>1</v>
      </c>
      <c r="C102" s="267" t="s">
        <v>698</v>
      </c>
    </row>
    <row r="103" spans="1:3">
      <c r="A103" s="186" t="s">
        <v>696</v>
      </c>
      <c r="B103" s="198">
        <v>1</v>
      </c>
      <c r="C103" s="267" t="s">
        <v>698</v>
      </c>
    </row>
    <row r="104" spans="1:3">
      <c r="A104" s="186" t="s">
        <v>697</v>
      </c>
      <c r="B104" s="198">
        <v>1</v>
      </c>
      <c r="C104" s="267" t="s">
        <v>698</v>
      </c>
    </row>
    <row r="105" spans="1:3">
      <c r="A105" s="277" t="s">
        <v>716</v>
      </c>
      <c r="B105" s="298">
        <v>720</v>
      </c>
      <c r="C105" s="279" t="s">
        <v>698</v>
      </c>
    </row>
    <row r="106" spans="1:3">
      <c r="A106" s="186" t="s">
        <v>364</v>
      </c>
      <c r="B106" s="198">
        <v>4</v>
      </c>
      <c r="C106" s="187" t="s">
        <v>353</v>
      </c>
    </row>
    <row r="107" spans="1:3">
      <c r="A107" s="186" t="s">
        <v>806</v>
      </c>
      <c r="B107" s="198">
        <v>6</v>
      </c>
      <c r="C107" s="267" t="s">
        <v>353</v>
      </c>
    </row>
    <row r="108" spans="1:3">
      <c r="A108" s="186" t="s">
        <v>807</v>
      </c>
      <c r="B108" s="198">
        <v>8</v>
      </c>
      <c r="C108" s="267" t="s">
        <v>353</v>
      </c>
    </row>
    <row r="109" spans="1:3">
      <c r="A109" s="186" t="s">
        <v>365</v>
      </c>
      <c r="B109" s="198">
        <v>10</v>
      </c>
      <c r="C109" s="187" t="s">
        <v>353</v>
      </c>
    </row>
    <row r="110" spans="1:3">
      <c r="A110" s="186" t="s">
        <v>366</v>
      </c>
      <c r="B110" s="324">
        <v>6</v>
      </c>
      <c r="C110" s="187" t="s">
        <v>353</v>
      </c>
    </row>
    <row r="111" spans="1:3">
      <c r="A111" s="186" t="s">
        <v>367</v>
      </c>
      <c r="B111" s="324">
        <v>7</v>
      </c>
      <c r="C111" s="187" t="s">
        <v>353</v>
      </c>
    </row>
    <row r="112" spans="1:3">
      <c r="A112" s="186" t="s">
        <v>368</v>
      </c>
      <c r="B112" s="324">
        <v>5</v>
      </c>
      <c r="C112" s="187" t="s">
        <v>353</v>
      </c>
    </row>
    <row r="113" spans="1:3">
      <c r="A113" s="186" t="s">
        <v>369</v>
      </c>
      <c r="B113" s="324">
        <v>6</v>
      </c>
      <c r="C113" s="187" t="s">
        <v>353</v>
      </c>
    </row>
    <row r="114" spans="1:3">
      <c r="A114" s="277" t="s">
        <v>689</v>
      </c>
      <c r="B114" s="341">
        <v>1.8E-3</v>
      </c>
      <c r="C114" s="279" t="s">
        <v>690</v>
      </c>
    </row>
    <row r="115" spans="1:3">
      <c r="A115" s="193" t="s">
        <v>568</v>
      </c>
      <c r="B115" s="189">
        <v>1</v>
      </c>
      <c r="C115" s="192" t="s">
        <v>353</v>
      </c>
    </row>
    <row r="116" spans="1:3">
      <c r="A116" s="186" t="s">
        <v>723</v>
      </c>
      <c r="B116" s="196">
        <f>(20/24)</f>
        <v>0.83333333333333337</v>
      </c>
      <c r="C116" s="187" t="s">
        <v>363</v>
      </c>
    </row>
    <row r="117" spans="1:3">
      <c r="A117" s="186" t="s">
        <v>769</v>
      </c>
      <c r="B117" s="340">
        <v>3.4000000000000001E-6</v>
      </c>
      <c r="C117" s="267" t="s">
        <v>766</v>
      </c>
    </row>
    <row r="118" spans="1:3">
      <c r="A118" s="186" t="s">
        <v>767</v>
      </c>
      <c r="B118" s="198">
        <f>3*50*0.000001</f>
        <v>1.4999999999999999E-4</v>
      </c>
      <c r="C118" s="267" t="s">
        <v>768</v>
      </c>
    </row>
    <row r="119" spans="1:3">
      <c r="A119" s="186" t="s">
        <v>356</v>
      </c>
      <c r="B119" s="187">
        <v>1.1295126894334941E-3</v>
      </c>
      <c r="C119" s="187" t="s">
        <v>355</v>
      </c>
    </row>
    <row r="120" spans="1:3">
      <c r="A120" s="186" t="s">
        <v>357</v>
      </c>
      <c r="B120" s="187">
        <v>2.6378850878623194E-2</v>
      </c>
      <c r="C120" s="187" t="s">
        <v>355</v>
      </c>
    </row>
    <row r="121" spans="1:3">
      <c r="A121" s="186" t="s">
        <v>354</v>
      </c>
      <c r="B121" s="187">
        <v>7.9867434909104706E-4</v>
      </c>
      <c r="C121" s="187" t="s">
        <v>355</v>
      </c>
    </row>
    <row r="122" spans="1:3">
      <c r="A122" s="186" t="s">
        <v>682</v>
      </c>
      <c r="B122" s="187">
        <f>1/1400</f>
        <v>7.1428571428571429E-4</v>
      </c>
      <c r="C122" s="187" t="s">
        <v>355</v>
      </c>
    </row>
    <row r="123" spans="1:3">
      <c r="A123" s="186" t="s">
        <v>707</v>
      </c>
      <c r="B123" s="187">
        <v>6.4284867997240328E-2</v>
      </c>
      <c r="C123" s="187" t="s">
        <v>355</v>
      </c>
    </row>
    <row r="124" spans="1:3">
      <c r="A124" s="277" t="s">
        <v>704</v>
      </c>
      <c r="B124" s="280">
        <v>2.5000000000000001E-4</v>
      </c>
      <c r="C124" s="280" t="s">
        <v>355</v>
      </c>
    </row>
    <row r="125" spans="1:3">
      <c r="A125" s="188" t="s">
        <v>717</v>
      </c>
      <c r="B125" s="295">
        <v>3.0000000000000001E-3</v>
      </c>
      <c r="C125" s="294" t="s">
        <v>679</v>
      </c>
    </row>
    <row r="126" spans="1:3">
      <c r="A126" s="188" t="s">
        <v>719</v>
      </c>
      <c r="B126" s="190">
        <f>+PhysParam!$B$6*(1/6)*PI()*KinetParam!$B$125^3/(OperatParam!$B$2*PhysParam!$B$5/1000)</f>
        <v>5.8115698555048001E-7</v>
      </c>
      <c r="C126" s="294" t="s">
        <v>718</v>
      </c>
    </row>
    <row r="127" spans="1:3">
      <c r="A127" s="282" t="s">
        <v>681</v>
      </c>
      <c r="B127" s="283">
        <v>1</v>
      </c>
      <c r="C127" s="283" t="s">
        <v>353</v>
      </c>
    </row>
    <row r="128" spans="1:3" ht="15.6">
      <c r="A128" s="282" t="s">
        <v>680</v>
      </c>
      <c r="B128" s="283">
        <f>1/'Microbial Model'!F23</f>
        <v>4.065040650406504E-2</v>
      </c>
      <c r="C128" s="283" t="s">
        <v>688</v>
      </c>
    </row>
    <row r="129" spans="1:3">
      <c r="A129" s="282" t="s">
        <v>687</v>
      </c>
      <c r="B129" s="284">
        <v>9.9999999999999995E-7</v>
      </c>
      <c r="C129" s="283" t="s">
        <v>679</v>
      </c>
    </row>
    <row r="130" spans="1:3">
      <c r="A130" s="285" t="s">
        <v>686</v>
      </c>
      <c r="B130" s="286">
        <v>2.4999999999999999E-8</v>
      </c>
      <c r="C130" s="287" t="s">
        <v>679</v>
      </c>
    </row>
    <row r="133" spans="1:3">
      <c r="C133" s="204"/>
    </row>
    <row r="134" spans="1:3">
      <c r="C134" s="204"/>
    </row>
    <row r="135" spans="1:3">
      <c r="C135" s="204"/>
    </row>
    <row r="136" spans="1:3">
      <c r="C136" s="204"/>
    </row>
    <row r="137" spans="1:3">
      <c r="C137" s="204"/>
    </row>
    <row r="138" spans="1:3">
      <c r="C138" s="204"/>
    </row>
  </sheetData>
  <phoneticPr fontId="3" type="noConversion"/>
  <pageMargins left="0.75" right="0.75" top="1" bottom="1" header="0" footer="0"/>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OperatParam</vt:lpstr>
      <vt:lpstr>States</vt:lpstr>
      <vt:lpstr>AlgStates</vt:lpstr>
      <vt:lpstr>TranspMatrix</vt:lpstr>
      <vt:lpstr>ReactMatrix</vt:lpstr>
      <vt:lpstr>ReactMatrix_OldVersion</vt:lpstr>
      <vt:lpstr>PhysParam</vt:lpstr>
      <vt:lpstr>ThermoParam</vt:lpstr>
      <vt:lpstr>KinetParam</vt:lpstr>
      <vt:lpstr>Inflow</vt:lpstr>
      <vt:lpstr>Microbial Model</vt:lpstr>
      <vt:lpstr>Phytoplankton Model</vt:lpstr>
      <vt:lpstr>MicroModelComponents</vt:lpstr>
      <vt:lpstr>SpeciesDatabase</vt:lpstr>
      <vt:lpstr>DiffCalcs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Mauricio</cp:lastModifiedBy>
  <dcterms:created xsi:type="dcterms:W3CDTF">2008-02-06T12:16:03Z</dcterms:created>
  <dcterms:modified xsi:type="dcterms:W3CDTF">2020-02-16T07:42:12Z</dcterms:modified>
</cp:coreProperties>
</file>