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updateLinks="always"/>
  <xr:revisionPtr revIDLastSave="0" documentId="13_ncr:1_{BB40F651-4247-4FEA-BE0F-AEDEAB30D0AA}" xr6:coauthVersionLast="44" xr6:coauthVersionMax="45" xr10:uidLastSave="{00000000-0000-0000-0000-000000000000}"/>
  <bookViews>
    <workbookView minimized="1" xWindow="0" yWindow="3396" windowWidth="17280" windowHeight="8964" xr2:uid="{B1DDE01B-6290-4C58-94E8-4710908F5800}"/>
  </bookViews>
  <sheets>
    <sheet name="ProDegPaths" sheetId="12" r:id="rId1"/>
    <sheet name="SensAnalysis" sheetId="27" r:id="rId2"/>
    <sheet name="SpcDB" sheetId="13" r:id="rId3"/>
    <sheet name="calcEnthJoback" sheetId="25" r:id="rId4"/>
    <sheet name="EstimationSimulationTimes" sheetId="26" r:id="rId5"/>
  </sheets>
  <externalReferences>
    <externalReference r:id="rId6"/>
  </externalReferences>
  <definedNames>
    <definedName name="_xlnm._FilterDatabase" localSheetId="0" hidden="1">ProDegPaths!$A$24:$I$65</definedName>
    <definedName name="solver_adj" localSheetId="0" hidden="1">ProDegPaths!$M$25,ProDegPaths!$N$26:$N$28,ProDegPaths!$M$29,ProDegPaths!$N$30:$N$34,ProDegPaths!$M$43,ProDegPaths!$N$35:$N$41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ProDegPaths!$M$29</definedName>
    <definedName name="solver_lhs10" localSheetId="0" hidden="1">ProDegPaths!$N$30:$N$34</definedName>
    <definedName name="solver_lhs11" localSheetId="0" hidden="1">ProDegPaths!$N$35:$N$41</definedName>
    <definedName name="solver_lhs12" localSheetId="0" hidden="1">ProDegPaths!$N$35:$N$41</definedName>
    <definedName name="solver_lhs13" localSheetId="0" hidden="1">ProDegPaths!$N$26:$N$28</definedName>
    <definedName name="solver_lhs14" localSheetId="0" hidden="1">ProDegPaths!$N$26:$N$28</definedName>
    <definedName name="solver_lhs15" localSheetId="0" hidden="1">ProDegPaths!$W$71:$AS$71</definedName>
    <definedName name="solver_lhs16" localSheetId="0" hidden="1">ProDegPaths!$M$55</definedName>
    <definedName name="solver_lhs2" localSheetId="0" hidden="1">ProDegPaths!$M$29</definedName>
    <definedName name="solver_lhs3" localSheetId="0" hidden="1">ProDegPaths!$M$43</definedName>
    <definedName name="solver_lhs4" localSheetId="0" hidden="1">ProDegPaths!$M$43</definedName>
    <definedName name="solver_lhs5" localSheetId="0" hidden="1">ProDegPaths!$M$43</definedName>
    <definedName name="solver_lhs6" localSheetId="0" hidden="1">ProDegPaths!$M$43</definedName>
    <definedName name="solver_lhs7" localSheetId="0" hidden="1">ProDegPaths!$M$25</definedName>
    <definedName name="solver_lhs8" localSheetId="0" hidden="1">ProDegPaths!$M$25</definedName>
    <definedName name="solver_lhs9" localSheetId="0" hidden="1">ProDegPaths!$N$30:$N$34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15</definedName>
    <definedName name="solver_nwt" localSheetId="0" hidden="1">1</definedName>
    <definedName name="solver_opt" localSheetId="0" hidden="1">ProDegPaths!$AZ$71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1</definedName>
    <definedName name="solver_rel14" localSheetId="0" hidden="1">3</definedName>
    <definedName name="solver_rel15" localSheetId="0" hidden="1">1</definedName>
    <definedName name="solver_rel16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ProDegPaths!$H$77</definedName>
    <definedName name="solver_rhs10" localSheetId="0" hidden="1">ProDegPaths!$H$76</definedName>
    <definedName name="solver_rhs11" localSheetId="0" hidden="1">ProDegPaths!$H$77</definedName>
    <definedName name="solver_rhs12" localSheetId="0" hidden="1">ProDegPaths!$H$76</definedName>
    <definedName name="solver_rhs13" localSheetId="0" hidden="1">ProDegPaths!$H$77</definedName>
    <definedName name="solver_rhs14" localSheetId="0" hidden="1">ProDegPaths!$H$76</definedName>
    <definedName name="solver_rhs15" localSheetId="0" hidden="1">0</definedName>
    <definedName name="solver_rhs16" localSheetId="0" hidden="1">0.01</definedName>
    <definedName name="solver_rhs2" localSheetId="0" hidden="1">ProDegPaths!$H$76</definedName>
    <definedName name="solver_rhs3" localSheetId="0" hidden="1">ProDegPaths!$H$77</definedName>
    <definedName name="solver_rhs4" localSheetId="0" hidden="1">0.01</definedName>
    <definedName name="solver_rhs5" localSheetId="0" hidden="1">ProDegPaths!$H$76</definedName>
    <definedName name="solver_rhs6" localSheetId="0" hidden="1">0.000001</definedName>
    <definedName name="solver_rhs7" localSheetId="0" hidden="1">0.01</definedName>
    <definedName name="solver_rhs8" localSheetId="0" hidden="1">0.000001</definedName>
    <definedName name="solver_rhs9" localSheetId="0" hidden="1">ProDegPaths!$H$77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7" l="1"/>
  <c r="C8" i="27" s="1"/>
  <c r="C9" i="27" s="1"/>
  <c r="C10" i="27" s="1"/>
  <c r="C11" i="27" s="1"/>
  <c r="C12" i="27" s="1"/>
  <c r="Y12" i="27" l="1"/>
  <c r="W12" i="27"/>
  <c r="V12" i="27"/>
  <c r="T12" i="27"/>
  <c r="Y11" i="27"/>
  <c r="W11" i="27"/>
  <c r="V11" i="27"/>
  <c r="T11" i="27"/>
  <c r="Y10" i="27"/>
  <c r="W10" i="27"/>
  <c r="V10" i="27"/>
  <c r="T10" i="27"/>
  <c r="Y9" i="27"/>
  <c r="W9" i="27"/>
  <c r="V9" i="27"/>
  <c r="T9" i="27"/>
  <c r="Y8" i="27"/>
  <c r="W8" i="27"/>
  <c r="V8" i="27"/>
  <c r="T8" i="27"/>
  <c r="Y7" i="27"/>
  <c r="W7" i="27"/>
  <c r="V7" i="27"/>
  <c r="T7" i="27"/>
  <c r="E7" i="27"/>
  <c r="B7" i="27"/>
  <c r="B8" i="27" s="1"/>
  <c r="Y6" i="27"/>
  <c r="W6" i="27"/>
  <c r="V6" i="27"/>
  <c r="T6" i="27"/>
  <c r="S6" i="27"/>
  <c r="H6" i="27"/>
  <c r="H7" i="27" l="1"/>
  <c r="X12" i="27" s="1"/>
  <c r="B9" i="27"/>
  <c r="R8" i="27"/>
  <c r="R6" i="27"/>
  <c r="R12" i="27"/>
  <c r="S8" i="27"/>
  <c r="U7" i="27"/>
  <c r="X7" i="27"/>
  <c r="R7" i="27"/>
  <c r="S7" i="27"/>
  <c r="X10" i="27"/>
  <c r="E8" i="27"/>
  <c r="H8" i="27"/>
  <c r="X11" i="27"/>
  <c r="BU46" i="12"/>
  <c r="BU48" i="12"/>
  <c r="X6" i="27" l="1"/>
  <c r="X8" i="27"/>
  <c r="H9" i="27"/>
  <c r="X9" i="27" s="1"/>
  <c r="U12" i="27"/>
  <c r="U6" i="27"/>
  <c r="U11" i="27"/>
  <c r="U8" i="27"/>
  <c r="E9" i="27"/>
  <c r="S9" i="27"/>
  <c r="B10" i="27"/>
  <c r="R9" i="27"/>
  <c r="CK57" i="12"/>
  <c r="CJ57" i="12"/>
  <c r="CI57" i="12"/>
  <c r="CH57" i="12"/>
  <c r="CG57" i="12"/>
  <c r="CF57" i="12"/>
  <c r="CE57" i="12"/>
  <c r="CD57" i="12"/>
  <c r="CC57" i="12"/>
  <c r="CB57" i="12"/>
  <c r="CA57" i="12"/>
  <c r="BZ57" i="12"/>
  <c r="BY57" i="12"/>
  <c r="BX57" i="12"/>
  <c r="BV57" i="12"/>
  <c r="BU57" i="12"/>
  <c r="E57" i="12" s="1"/>
  <c r="BT57" i="12"/>
  <c r="BS57" i="12"/>
  <c r="BR57" i="12"/>
  <c r="BQ57" i="12"/>
  <c r="U9" i="27" l="1"/>
  <c r="E10" i="27"/>
  <c r="U10" i="27" s="1"/>
  <c r="S10" i="27"/>
  <c r="B11" i="27"/>
  <c r="R11" i="27" s="1"/>
  <c r="R10" i="27"/>
  <c r="I5" i="26"/>
  <c r="H5" i="26"/>
  <c r="L4" i="26"/>
  <c r="L6" i="26"/>
  <c r="L9" i="26"/>
  <c r="L10" i="26"/>
  <c r="L11" i="26"/>
  <c r="L12" i="26"/>
  <c r="L13" i="26"/>
  <c r="S12" i="27" l="1"/>
  <c r="S11" i="27"/>
  <c r="J5" i="26"/>
  <c r="L5" i="26" s="1"/>
  <c r="N4" i="26" s="1"/>
  <c r="R5" i="26" s="1"/>
  <c r="R6" i="26" s="1"/>
  <c r="R7" i="26" s="1"/>
  <c r="R10" i="26" s="1"/>
  <c r="AA13" i="25"/>
  <c r="AA7" i="25"/>
  <c r="AA6" i="25"/>
  <c r="AA5" i="25"/>
  <c r="AA4" i="25"/>
  <c r="AA3" i="25"/>
  <c r="Z13" i="25"/>
  <c r="Z7" i="25"/>
  <c r="Z6" i="25"/>
  <c r="Z5" i="25"/>
  <c r="Z4" i="25"/>
  <c r="Z3" i="25"/>
  <c r="G13" i="25"/>
  <c r="G12" i="25"/>
  <c r="G11" i="25"/>
  <c r="G10" i="25"/>
  <c r="G9" i="25"/>
  <c r="G8" i="25"/>
  <c r="G7" i="25"/>
  <c r="G6" i="25"/>
  <c r="G5" i="25"/>
  <c r="G4" i="25"/>
  <c r="G3" i="25"/>
  <c r="O22" i="25"/>
  <c r="K23" i="25" s="1"/>
  <c r="K25" i="25" s="1"/>
  <c r="E24" i="13" s="1"/>
  <c r="H13" i="25" l="1"/>
  <c r="H12" i="25" l="1"/>
  <c r="B12" i="25"/>
  <c r="H11" i="25"/>
  <c r="B11" i="25"/>
  <c r="H10" i="25"/>
  <c r="B10" i="25"/>
  <c r="H9" i="25"/>
  <c r="B9" i="25"/>
  <c r="K9" i="25" s="1"/>
  <c r="H8" i="25"/>
  <c r="B8" i="25"/>
  <c r="F8" i="25" s="1"/>
  <c r="H7" i="25"/>
  <c r="H6" i="25"/>
  <c r="H5" i="25"/>
  <c r="H4" i="25"/>
  <c r="H3" i="25"/>
  <c r="I3" i="25" s="1"/>
  <c r="B3" i="25"/>
  <c r="F3" i="25" s="1"/>
  <c r="I10" i="25" l="1"/>
  <c r="I4" i="25"/>
  <c r="I9" i="25"/>
  <c r="I6" i="25"/>
  <c r="I11" i="25"/>
  <c r="I7" i="25"/>
  <c r="I5" i="25"/>
  <c r="I8" i="25"/>
  <c r="I12" i="25"/>
  <c r="I13" i="25"/>
  <c r="J10" i="25"/>
  <c r="B23" i="25" s="1"/>
  <c r="E11" i="13" s="1"/>
  <c r="K10" i="25"/>
  <c r="C23" i="25" s="1"/>
  <c r="J11" i="25"/>
  <c r="B24" i="25" s="1"/>
  <c r="E93" i="13" s="1"/>
  <c r="K11" i="25"/>
  <c r="C24" i="25" s="1"/>
  <c r="K3" i="25"/>
  <c r="C17" i="25" s="1"/>
  <c r="K7" i="25"/>
  <c r="C21" i="25" s="1"/>
  <c r="K6" i="25"/>
  <c r="C20" i="25" s="1"/>
  <c r="K13" i="25"/>
  <c r="C25" i="25" s="1"/>
  <c r="K5" i="25"/>
  <c r="C19" i="25" s="1"/>
  <c r="K4" i="25"/>
  <c r="C18" i="25" s="1"/>
  <c r="J12" i="25"/>
  <c r="K12" i="25"/>
  <c r="J8" i="25"/>
  <c r="B22" i="25" s="1"/>
  <c r="E59" i="13" s="1"/>
  <c r="K8" i="25"/>
  <c r="C22" i="25" s="1"/>
  <c r="J13" i="25"/>
  <c r="B25" i="25" s="1"/>
  <c r="E200" i="13" s="1"/>
  <c r="C9" i="25"/>
  <c r="C11" i="25"/>
  <c r="J7" i="25"/>
  <c r="E199" i="13" s="1"/>
  <c r="J9" i="25"/>
  <c r="F10" i="25"/>
  <c r="F12" i="25"/>
  <c r="J3" i="25"/>
  <c r="B17" i="25" s="1"/>
  <c r="E84" i="13" s="1"/>
  <c r="J5" i="25"/>
  <c r="C8" i="25"/>
  <c r="C10" i="25"/>
  <c r="C12" i="25"/>
  <c r="J4" i="25"/>
  <c r="J6" i="25"/>
  <c r="E179" i="13" s="1"/>
  <c r="F9" i="25"/>
  <c r="F11" i="25"/>
  <c r="BU39" i="12" l="1"/>
  <c r="AA199" i="13"/>
  <c r="Z12" i="25"/>
  <c r="AA12" i="25"/>
  <c r="Z10" i="25"/>
  <c r="AA10" i="25"/>
  <c r="Z11" i="25"/>
  <c r="AA11" i="25"/>
  <c r="AA8" i="25"/>
  <c r="Z8" i="25"/>
  <c r="AA9" i="25"/>
  <c r="Z9" i="25"/>
  <c r="B21" i="25"/>
  <c r="E222" i="13" s="1"/>
  <c r="B18" i="25"/>
  <c r="E65" i="13" s="1"/>
  <c r="B20" i="25"/>
  <c r="E180" i="13" s="1"/>
  <c r="B19" i="25"/>
  <c r="E13" i="13" s="1"/>
  <c r="BV27" i="12"/>
  <c r="G180" i="13" l="1"/>
  <c r="BU27" i="12"/>
  <c r="BU37" i="12"/>
  <c r="Q61" i="12" l="1"/>
  <c r="CK54" i="12" l="1"/>
  <c r="CJ54" i="12"/>
  <c r="CI54" i="12"/>
  <c r="CH54" i="12"/>
  <c r="CG54" i="12"/>
  <c r="CF54" i="12"/>
  <c r="CE54" i="12"/>
  <c r="CD54" i="12"/>
  <c r="CC54" i="12"/>
  <c r="CB54" i="12"/>
  <c r="CA54" i="12"/>
  <c r="BZ54" i="12"/>
  <c r="BY54" i="12"/>
  <c r="BX54" i="12"/>
  <c r="CN54" i="12" s="1"/>
  <c r="BV54" i="12"/>
  <c r="BU54" i="12"/>
  <c r="E54" i="12" s="1"/>
  <c r="BT54" i="12"/>
  <c r="BS54" i="12"/>
  <c r="BR54" i="12"/>
  <c r="CK53" i="12"/>
  <c r="CJ53" i="12"/>
  <c r="CI53" i="12"/>
  <c r="CH53" i="12"/>
  <c r="CG53" i="12"/>
  <c r="CF53" i="12"/>
  <c r="CE53" i="12"/>
  <c r="CD53" i="12"/>
  <c r="CC53" i="12"/>
  <c r="CB53" i="12"/>
  <c r="CA53" i="12"/>
  <c r="BZ53" i="12"/>
  <c r="BY53" i="12"/>
  <c r="BX53" i="12"/>
  <c r="CN53" i="12" s="1"/>
  <c r="BV53" i="12"/>
  <c r="BU53" i="12"/>
  <c r="E53" i="12" s="1"/>
  <c r="BT53" i="12"/>
  <c r="BS53" i="12"/>
  <c r="BR53" i="12"/>
  <c r="BQ54" i="12"/>
  <c r="BQ53" i="12"/>
  <c r="X247" i="13"/>
  <c r="Y247" i="13" s="1"/>
  <c r="W247" i="13"/>
  <c r="V247" i="13"/>
  <c r="G247" i="13"/>
  <c r="X246" i="13"/>
  <c r="Y246" i="13" s="1"/>
  <c r="W246" i="13"/>
  <c r="V246" i="13"/>
  <c r="G246" i="13"/>
  <c r="X245" i="13"/>
  <c r="Y245" i="13" s="1"/>
  <c r="W245" i="13"/>
  <c r="V245" i="13"/>
  <c r="G245" i="13"/>
  <c r="X244" i="13"/>
  <c r="Y244" i="13" s="1"/>
  <c r="W244" i="13"/>
  <c r="V244" i="13"/>
  <c r="G244" i="13"/>
  <c r="X243" i="13"/>
  <c r="Y243" i="13" s="1"/>
  <c r="W243" i="13"/>
  <c r="V243" i="13"/>
  <c r="G243" i="13"/>
  <c r="X242" i="13"/>
  <c r="Y242" i="13" s="1"/>
  <c r="W242" i="13"/>
  <c r="V242" i="13"/>
  <c r="G242" i="13"/>
  <c r="X241" i="13"/>
  <c r="Y241" i="13" s="1"/>
  <c r="W241" i="13"/>
  <c r="V241" i="13"/>
  <c r="G241" i="13"/>
  <c r="X240" i="13"/>
  <c r="Y240" i="13" s="1"/>
  <c r="W240" i="13"/>
  <c r="V240" i="13"/>
  <c r="G240" i="13"/>
  <c r="X239" i="13"/>
  <c r="Y239" i="13" s="1"/>
  <c r="W239" i="13"/>
  <c r="V239" i="13"/>
  <c r="G239" i="13"/>
  <c r="X238" i="13"/>
  <c r="Y238" i="13" s="1"/>
  <c r="W238" i="13"/>
  <c r="V238" i="13"/>
  <c r="G238" i="13"/>
  <c r="X237" i="13"/>
  <c r="Y237" i="13" s="1"/>
  <c r="W237" i="13"/>
  <c r="V237" i="13"/>
  <c r="G237" i="13"/>
  <c r="X236" i="13"/>
  <c r="Y236" i="13" s="1"/>
  <c r="W236" i="13"/>
  <c r="V236" i="13"/>
  <c r="G236" i="13"/>
  <c r="X235" i="13"/>
  <c r="Y235" i="13" s="1"/>
  <c r="W235" i="13"/>
  <c r="V235" i="13"/>
  <c r="G235" i="13"/>
  <c r="L81" i="12" l="1"/>
  <c r="L82" i="12" s="1"/>
  <c r="L83" i="12" s="1"/>
  <c r="L84" i="12" s="1"/>
  <c r="L85" i="12" s="1"/>
  <c r="L86" i="12" s="1"/>
  <c r="B305" i="13" l="1"/>
  <c r="D302" i="13"/>
  <c r="Y62" i="13" l="1"/>
  <c r="X62" i="13"/>
  <c r="W62" i="13"/>
  <c r="CM54" i="12" s="1"/>
  <c r="V62" i="13"/>
  <c r="CL54" i="12" s="1"/>
  <c r="G62" i="13"/>
  <c r="BW54" i="12" s="1"/>
  <c r="Y61" i="13"/>
  <c r="X61" i="13"/>
  <c r="W61" i="13"/>
  <c r="CM53" i="12" s="1"/>
  <c r="V61" i="13"/>
  <c r="CL53" i="12" s="1"/>
  <c r="G61" i="13"/>
  <c r="BW53" i="12" s="1"/>
  <c r="AL20" i="12"/>
  <c r="AL73" i="12"/>
  <c r="AL74" i="12" l="1"/>
  <c r="AL75" i="12"/>
  <c r="CK67" i="12" l="1"/>
  <c r="CJ67" i="12"/>
  <c r="CI67" i="12"/>
  <c r="CH67" i="12"/>
  <c r="CG67" i="12"/>
  <c r="CF67" i="12"/>
  <c r="CE67" i="12"/>
  <c r="CD67" i="12"/>
  <c r="CC67" i="12"/>
  <c r="CB67" i="12"/>
  <c r="CA67" i="12"/>
  <c r="BZ67" i="12"/>
  <c r="BY67" i="12"/>
  <c r="BX67" i="12"/>
  <c r="CK66" i="12"/>
  <c r="CJ66" i="12"/>
  <c r="CI66" i="12"/>
  <c r="CH66" i="12"/>
  <c r="CG66" i="12"/>
  <c r="CF66" i="12"/>
  <c r="CE66" i="12"/>
  <c r="CD66" i="12"/>
  <c r="CC66" i="12"/>
  <c r="CB66" i="12"/>
  <c r="CA66" i="12"/>
  <c r="BZ66" i="12"/>
  <c r="BY66" i="12"/>
  <c r="BX66" i="12"/>
  <c r="CK65" i="12"/>
  <c r="F65" i="12" s="1"/>
  <c r="CJ65" i="12"/>
  <c r="CI65" i="12"/>
  <c r="CH65" i="12"/>
  <c r="CG65" i="12"/>
  <c r="CF65" i="12"/>
  <c r="CE65" i="12"/>
  <c r="CD65" i="12"/>
  <c r="CC65" i="12"/>
  <c r="CB65" i="12"/>
  <c r="CA65" i="12"/>
  <c r="BZ65" i="12"/>
  <c r="BY65" i="12"/>
  <c r="BX65" i="12"/>
  <c r="BV65" i="12"/>
  <c r="BU65" i="12"/>
  <c r="E65" i="12" s="1"/>
  <c r="BT65" i="12"/>
  <c r="BS65" i="12"/>
  <c r="BR65" i="12"/>
  <c r="D65" i="12" s="1"/>
  <c r="BQ65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V64" i="12"/>
  <c r="BU64" i="12"/>
  <c r="E64" i="12" s="1"/>
  <c r="BT64" i="12"/>
  <c r="BS64" i="12"/>
  <c r="BR64" i="12"/>
  <c r="D64" i="12" s="1"/>
  <c r="BQ64" i="12"/>
  <c r="CK63" i="12"/>
  <c r="F63" i="12" s="1"/>
  <c r="CJ63" i="12"/>
  <c r="CI63" i="12"/>
  <c r="CH63" i="12"/>
  <c r="CG63" i="12"/>
  <c r="CF63" i="12"/>
  <c r="CE63" i="12"/>
  <c r="CD63" i="12"/>
  <c r="CC63" i="12"/>
  <c r="CB63" i="12"/>
  <c r="CA63" i="12"/>
  <c r="BZ63" i="12"/>
  <c r="BY63" i="12"/>
  <c r="BX63" i="12"/>
  <c r="BV63" i="12"/>
  <c r="BU63" i="12"/>
  <c r="E63" i="12" s="1"/>
  <c r="BT63" i="12"/>
  <c r="BS63" i="12"/>
  <c r="BR63" i="12"/>
  <c r="D63" i="12" s="1"/>
  <c r="BQ63" i="12"/>
  <c r="CK62" i="12"/>
  <c r="F62" i="12" s="1"/>
  <c r="CJ62" i="12"/>
  <c r="CI62" i="12"/>
  <c r="CH62" i="12"/>
  <c r="CG62" i="12"/>
  <c r="CF62" i="12"/>
  <c r="CE62" i="12"/>
  <c r="CD62" i="12"/>
  <c r="CC62" i="12"/>
  <c r="CB62" i="12"/>
  <c r="CA62" i="12"/>
  <c r="BZ62" i="12"/>
  <c r="BY62" i="12"/>
  <c r="BX62" i="12"/>
  <c r="BV62" i="12"/>
  <c r="BU62" i="12"/>
  <c r="E62" i="12" s="1"/>
  <c r="BT62" i="12"/>
  <c r="BS62" i="12"/>
  <c r="BR62" i="12"/>
  <c r="D62" i="12" s="1"/>
  <c r="BQ62" i="12"/>
  <c r="CK61" i="12"/>
  <c r="F61" i="12" s="1"/>
  <c r="CJ61" i="12"/>
  <c r="CI61" i="12"/>
  <c r="CH61" i="12"/>
  <c r="CG61" i="12"/>
  <c r="CF61" i="12"/>
  <c r="CE61" i="12"/>
  <c r="CD61" i="12"/>
  <c r="CC61" i="12"/>
  <c r="CB61" i="12"/>
  <c r="CA61" i="12"/>
  <c r="BZ61" i="12"/>
  <c r="BY61" i="12"/>
  <c r="BX61" i="12"/>
  <c r="BV61" i="12"/>
  <c r="BU61" i="12"/>
  <c r="E61" i="12" s="1"/>
  <c r="BT61" i="12"/>
  <c r="BS61" i="12"/>
  <c r="BR61" i="12"/>
  <c r="D61" i="12" s="1"/>
  <c r="BQ61" i="12"/>
  <c r="CK60" i="12"/>
  <c r="F60" i="12" s="1"/>
  <c r="CJ60" i="12"/>
  <c r="CI60" i="12"/>
  <c r="CH60" i="12"/>
  <c r="CG60" i="12"/>
  <c r="CF60" i="12"/>
  <c r="CE60" i="12"/>
  <c r="CD60" i="12"/>
  <c r="CC60" i="12"/>
  <c r="CB60" i="12"/>
  <c r="CA60" i="12"/>
  <c r="BZ60" i="12"/>
  <c r="BY60" i="12"/>
  <c r="BX60" i="12"/>
  <c r="BV60" i="12"/>
  <c r="BU60" i="12"/>
  <c r="E60" i="12" s="1"/>
  <c r="BT60" i="12"/>
  <c r="BS60" i="12"/>
  <c r="BR60" i="12"/>
  <c r="D60" i="12" s="1"/>
  <c r="BQ60" i="12"/>
  <c r="CK59" i="12"/>
  <c r="F59" i="12" s="1"/>
  <c r="CJ59" i="12"/>
  <c r="CI59" i="12"/>
  <c r="CH59" i="12"/>
  <c r="CG59" i="12"/>
  <c r="CF59" i="12"/>
  <c r="CE59" i="12"/>
  <c r="CD59" i="12"/>
  <c r="CC59" i="12"/>
  <c r="CB59" i="12"/>
  <c r="CA59" i="12"/>
  <c r="BZ59" i="12"/>
  <c r="BY59" i="12"/>
  <c r="BX59" i="12"/>
  <c r="BV59" i="12"/>
  <c r="BU59" i="12"/>
  <c r="E59" i="12" s="1"/>
  <c r="BT59" i="12"/>
  <c r="BS59" i="12"/>
  <c r="BR59" i="12"/>
  <c r="D59" i="12" s="1"/>
  <c r="BQ59" i="12"/>
  <c r="CK58" i="12"/>
  <c r="F58" i="12" s="1"/>
  <c r="CJ58" i="12"/>
  <c r="CI58" i="12"/>
  <c r="CH58" i="12"/>
  <c r="CG58" i="12"/>
  <c r="CF58" i="12"/>
  <c r="CE58" i="12"/>
  <c r="CD58" i="12"/>
  <c r="CC58" i="12"/>
  <c r="CB58" i="12"/>
  <c r="CA58" i="12"/>
  <c r="BZ58" i="12"/>
  <c r="BY58" i="12"/>
  <c r="BX58" i="12"/>
  <c r="CN58" i="12" s="1"/>
  <c r="BV58" i="12"/>
  <c r="BU58" i="12"/>
  <c r="E58" i="12" s="1"/>
  <c r="BT58" i="12"/>
  <c r="BS58" i="12"/>
  <c r="BR58" i="12"/>
  <c r="D58" i="12" s="1"/>
  <c r="BQ58" i="12"/>
  <c r="F57" i="12"/>
  <c r="D57" i="12"/>
  <c r="CK56" i="12"/>
  <c r="F56" i="12" s="1"/>
  <c r="CJ56" i="12"/>
  <c r="CI56" i="12"/>
  <c r="CH56" i="12"/>
  <c r="CG56" i="12"/>
  <c r="CF56" i="12"/>
  <c r="CE56" i="12"/>
  <c r="CD56" i="12"/>
  <c r="CC56" i="12"/>
  <c r="CB56" i="12"/>
  <c r="CA56" i="12"/>
  <c r="BZ56" i="12"/>
  <c r="BY56" i="12"/>
  <c r="BX56" i="12"/>
  <c r="CN56" i="12" s="1"/>
  <c r="BV56" i="12"/>
  <c r="BU56" i="12"/>
  <c r="BT56" i="12"/>
  <c r="BS56" i="12"/>
  <c r="BR56" i="12"/>
  <c r="D56" i="12" s="1"/>
  <c r="BQ56" i="12"/>
  <c r="CK55" i="12"/>
  <c r="F55" i="12" s="1"/>
  <c r="CJ55" i="12"/>
  <c r="CI55" i="12"/>
  <c r="CH55" i="12"/>
  <c r="CG55" i="12"/>
  <c r="CF55" i="12"/>
  <c r="CE55" i="12"/>
  <c r="CD55" i="12"/>
  <c r="CC55" i="12"/>
  <c r="CB55" i="12"/>
  <c r="CA55" i="12"/>
  <c r="BZ55" i="12"/>
  <c r="BY55" i="12"/>
  <c r="BX55" i="12"/>
  <c r="BV55" i="12"/>
  <c r="BU55" i="12"/>
  <c r="BT55" i="12"/>
  <c r="BS55" i="12"/>
  <c r="BR55" i="12"/>
  <c r="D55" i="12" s="1"/>
  <c r="BQ55" i="12"/>
  <c r="F54" i="12"/>
  <c r="F53" i="12"/>
  <c r="CK52" i="12"/>
  <c r="F52" i="12" s="1"/>
  <c r="CJ52" i="12"/>
  <c r="CI52" i="12"/>
  <c r="CH52" i="12"/>
  <c r="CG52" i="12"/>
  <c r="CF52" i="12"/>
  <c r="CE52" i="12"/>
  <c r="CD52" i="12"/>
  <c r="CC52" i="12"/>
  <c r="CB52" i="12"/>
  <c r="CA52" i="12"/>
  <c r="BZ52" i="12"/>
  <c r="BY52" i="12"/>
  <c r="BX52" i="12"/>
  <c r="BV52" i="12"/>
  <c r="BU52" i="12"/>
  <c r="E52" i="12" s="1"/>
  <c r="BT52" i="12"/>
  <c r="BS52" i="12"/>
  <c r="BR52" i="12"/>
  <c r="D52" i="12" s="1"/>
  <c r="BQ52" i="12"/>
  <c r="CK51" i="12"/>
  <c r="F51" i="12" s="1"/>
  <c r="CJ51" i="12"/>
  <c r="CI51" i="12"/>
  <c r="CH51" i="12"/>
  <c r="CG51" i="12"/>
  <c r="CF51" i="12"/>
  <c r="CE51" i="12"/>
  <c r="CD51" i="12"/>
  <c r="CC51" i="12"/>
  <c r="CB51" i="12"/>
  <c r="CA51" i="12"/>
  <c r="BZ51" i="12"/>
  <c r="BY51" i="12"/>
  <c r="BX51" i="12"/>
  <c r="BV51" i="12"/>
  <c r="BU51" i="12"/>
  <c r="BT51" i="12"/>
  <c r="BS51" i="12"/>
  <c r="BR51" i="12"/>
  <c r="D51" i="12" s="1"/>
  <c r="BQ51" i="12"/>
  <c r="CK50" i="12"/>
  <c r="F50" i="12" s="1"/>
  <c r="CJ50" i="12"/>
  <c r="CI50" i="12"/>
  <c r="CH50" i="12"/>
  <c r="CG50" i="12"/>
  <c r="CF50" i="12"/>
  <c r="CE50" i="12"/>
  <c r="CD50" i="12"/>
  <c r="CC50" i="12"/>
  <c r="CB50" i="12"/>
  <c r="CA50" i="12"/>
  <c r="BZ50" i="12"/>
  <c r="BY50" i="12"/>
  <c r="BX50" i="12"/>
  <c r="BV50" i="12"/>
  <c r="BU50" i="12"/>
  <c r="E50" i="12" s="1"/>
  <c r="BT50" i="12"/>
  <c r="BS50" i="12"/>
  <c r="BR50" i="12"/>
  <c r="D50" i="12" s="1"/>
  <c r="BQ50" i="12"/>
  <c r="CK49" i="12"/>
  <c r="F49" i="12" s="1"/>
  <c r="CJ49" i="12"/>
  <c r="CI49" i="12"/>
  <c r="CH49" i="12"/>
  <c r="CG49" i="12"/>
  <c r="CF49" i="12"/>
  <c r="CE49" i="12"/>
  <c r="CD49" i="12"/>
  <c r="CC49" i="12"/>
  <c r="CB49" i="12"/>
  <c r="CA49" i="12"/>
  <c r="BZ49" i="12"/>
  <c r="BY49" i="12"/>
  <c r="BX49" i="12"/>
  <c r="CN49" i="12" s="1"/>
  <c r="I49" i="12" s="1"/>
  <c r="BV49" i="12"/>
  <c r="BU49" i="12"/>
  <c r="BT49" i="12"/>
  <c r="BS49" i="12"/>
  <c r="BR49" i="12"/>
  <c r="D49" i="12" s="1"/>
  <c r="BQ49" i="12"/>
  <c r="CK48" i="12"/>
  <c r="F48" i="12" s="1"/>
  <c r="CJ48" i="12"/>
  <c r="CI48" i="12"/>
  <c r="CH48" i="12"/>
  <c r="CG48" i="12"/>
  <c r="CF48" i="12"/>
  <c r="CE48" i="12"/>
  <c r="CD48" i="12"/>
  <c r="CC48" i="12"/>
  <c r="CB48" i="12"/>
  <c r="CA48" i="12"/>
  <c r="BZ48" i="12"/>
  <c r="BY48" i="12"/>
  <c r="BX48" i="12"/>
  <c r="CN48" i="12" s="1"/>
  <c r="I48" i="12" s="1"/>
  <c r="BV48" i="12"/>
  <c r="BT48" i="12"/>
  <c r="E48" i="12" s="1"/>
  <c r="BS48" i="12"/>
  <c r="BR48" i="12"/>
  <c r="D48" i="12" s="1"/>
  <c r="BQ48" i="12"/>
  <c r="CK47" i="12"/>
  <c r="F47" i="12" s="1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CN47" i="12" s="1"/>
  <c r="I47" i="12" s="1"/>
  <c r="BV47" i="12"/>
  <c r="BU47" i="12"/>
  <c r="BT47" i="12"/>
  <c r="BS47" i="12"/>
  <c r="BR47" i="12"/>
  <c r="D47" i="12" s="1"/>
  <c r="BQ47" i="12"/>
  <c r="CK46" i="12"/>
  <c r="F46" i="12" s="1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V46" i="12"/>
  <c r="BT46" i="12"/>
  <c r="E46" i="12" s="1"/>
  <c r="BS46" i="12"/>
  <c r="BR46" i="12"/>
  <c r="D46" i="12" s="1"/>
  <c r="BQ46" i="12"/>
  <c r="CK45" i="12"/>
  <c r="F45" i="12" s="1"/>
  <c r="CJ45" i="12"/>
  <c r="CI45" i="12"/>
  <c r="CH45" i="12"/>
  <c r="CG45" i="12"/>
  <c r="CF45" i="12"/>
  <c r="CE45" i="12"/>
  <c r="CD45" i="12"/>
  <c r="CC45" i="12"/>
  <c r="CB45" i="12"/>
  <c r="CA45" i="12"/>
  <c r="BZ45" i="12"/>
  <c r="BY45" i="12"/>
  <c r="BX45" i="12"/>
  <c r="CN45" i="12" s="1"/>
  <c r="I45" i="12" s="1"/>
  <c r="BV45" i="12"/>
  <c r="BU45" i="12"/>
  <c r="BT45" i="12"/>
  <c r="BS45" i="12"/>
  <c r="BR45" i="12"/>
  <c r="D45" i="12" s="1"/>
  <c r="BQ45" i="12"/>
  <c r="CK44" i="12"/>
  <c r="F44" i="12" s="1"/>
  <c r="CJ44" i="12"/>
  <c r="CI44" i="12"/>
  <c r="CH44" i="12"/>
  <c r="CG44" i="12"/>
  <c r="CF44" i="12"/>
  <c r="CE44" i="12"/>
  <c r="CD44" i="12"/>
  <c r="CC44" i="12"/>
  <c r="CB44" i="12"/>
  <c r="CA44" i="12"/>
  <c r="BZ44" i="12"/>
  <c r="BY44" i="12"/>
  <c r="BX44" i="12"/>
  <c r="CN44" i="12" s="1"/>
  <c r="I44" i="12" s="1"/>
  <c r="BV44" i="12"/>
  <c r="BU44" i="12"/>
  <c r="BT44" i="12"/>
  <c r="BS44" i="12"/>
  <c r="BR44" i="12"/>
  <c r="D44" i="12" s="1"/>
  <c r="BQ44" i="12"/>
  <c r="CK43" i="12"/>
  <c r="F43" i="12" s="1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V43" i="12"/>
  <c r="BU43" i="12"/>
  <c r="E43" i="12" s="1"/>
  <c r="BT43" i="12"/>
  <c r="BS43" i="12"/>
  <c r="BR43" i="12"/>
  <c r="D43" i="12" s="1"/>
  <c r="BQ43" i="12"/>
  <c r="CK42" i="12"/>
  <c r="F42" i="12" s="1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V42" i="12"/>
  <c r="BU42" i="12"/>
  <c r="BS42" i="12"/>
  <c r="BR42" i="12"/>
  <c r="D42" i="12" s="1"/>
  <c r="BQ42" i="12"/>
  <c r="CK41" i="12"/>
  <c r="F41" i="12" s="1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V41" i="12"/>
  <c r="BU41" i="12"/>
  <c r="BT41" i="12"/>
  <c r="BS41" i="12"/>
  <c r="BR41" i="12"/>
  <c r="D41" i="12" s="1"/>
  <c r="BQ41" i="12"/>
  <c r="CK40" i="12"/>
  <c r="F40" i="12" s="1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V40" i="12"/>
  <c r="BU40" i="12"/>
  <c r="BT40" i="12"/>
  <c r="BS40" i="12"/>
  <c r="BR40" i="12"/>
  <c r="D40" i="12" s="1"/>
  <c r="BQ40" i="12"/>
  <c r="CK39" i="12"/>
  <c r="F39" i="12" s="1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V39" i="12"/>
  <c r="BT39" i="12"/>
  <c r="BS39" i="12"/>
  <c r="BR39" i="12"/>
  <c r="D39" i="12" s="1"/>
  <c r="BQ39" i="12"/>
  <c r="CK38" i="12"/>
  <c r="F38" i="12" s="1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V38" i="12"/>
  <c r="BU38" i="12"/>
  <c r="BT38" i="12"/>
  <c r="BS38" i="12"/>
  <c r="BR38" i="12"/>
  <c r="D38" i="12" s="1"/>
  <c r="BQ38" i="12"/>
  <c r="CK37" i="12"/>
  <c r="F37" i="12" s="1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T37" i="12"/>
  <c r="E37" i="12" s="1"/>
  <c r="BS37" i="12"/>
  <c r="BR37" i="12"/>
  <c r="D37" i="12" s="1"/>
  <c r="BQ37" i="12"/>
  <c r="CK36" i="12"/>
  <c r="F36" i="12" s="1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V36" i="12"/>
  <c r="BU36" i="12"/>
  <c r="BT36" i="12"/>
  <c r="BS36" i="12"/>
  <c r="BR36" i="12"/>
  <c r="D36" i="12" s="1"/>
  <c r="BQ36" i="12"/>
  <c r="CK35" i="12"/>
  <c r="F35" i="12" s="1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V35" i="12"/>
  <c r="BU35" i="12"/>
  <c r="E35" i="12" s="1"/>
  <c r="BT35" i="12"/>
  <c r="BS35" i="12"/>
  <c r="BR35" i="12"/>
  <c r="D35" i="12" s="1"/>
  <c r="BQ35" i="12"/>
  <c r="CK34" i="12"/>
  <c r="F34" i="12" s="1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V34" i="12"/>
  <c r="BU34" i="12"/>
  <c r="BT34" i="12"/>
  <c r="BS34" i="12"/>
  <c r="BR34" i="12"/>
  <c r="D34" i="12" s="1"/>
  <c r="BQ34" i="12"/>
  <c r="CK33" i="12"/>
  <c r="F33" i="12" s="1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V33" i="12"/>
  <c r="BU33" i="12"/>
  <c r="E33" i="12" s="1"/>
  <c r="BT33" i="12"/>
  <c r="BS33" i="12"/>
  <c r="BR33" i="12"/>
  <c r="D33" i="12" s="1"/>
  <c r="BQ33" i="12"/>
  <c r="CK32" i="12"/>
  <c r="F32" i="12" s="1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V32" i="12"/>
  <c r="BU32" i="12"/>
  <c r="BT32" i="12"/>
  <c r="BS32" i="12"/>
  <c r="BR32" i="12"/>
  <c r="D32" i="12" s="1"/>
  <c r="BQ32" i="12"/>
  <c r="CK31" i="12"/>
  <c r="F31" i="12" s="1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V31" i="12"/>
  <c r="BU31" i="12"/>
  <c r="E31" i="12" s="1"/>
  <c r="BT31" i="12"/>
  <c r="BS31" i="12"/>
  <c r="BR31" i="12"/>
  <c r="D31" i="12" s="1"/>
  <c r="BQ31" i="12"/>
  <c r="CK30" i="12"/>
  <c r="F30" i="12" s="1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V30" i="12"/>
  <c r="BU30" i="12"/>
  <c r="BT30" i="12"/>
  <c r="BS30" i="12"/>
  <c r="BR30" i="12"/>
  <c r="D30" i="12" s="1"/>
  <c r="BQ30" i="12"/>
  <c r="CK29" i="12"/>
  <c r="F29" i="12" s="1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V29" i="12"/>
  <c r="BU29" i="12"/>
  <c r="E29" i="12" s="1"/>
  <c r="BT29" i="12"/>
  <c r="BS29" i="12"/>
  <c r="BR29" i="12"/>
  <c r="D29" i="12" s="1"/>
  <c r="BQ29" i="12"/>
  <c r="CK28" i="12"/>
  <c r="F28" i="12" s="1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V28" i="12"/>
  <c r="BU28" i="12"/>
  <c r="BT28" i="12"/>
  <c r="BS28" i="12"/>
  <c r="BR28" i="12"/>
  <c r="D28" i="12" s="1"/>
  <c r="BQ28" i="12"/>
  <c r="CK27" i="12"/>
  <c r="F27" i="12" s="1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T27" i="12"/>
  <c r="E27" i="12" s="1"/>
  <c r="BS27" i="12"/>
  <c r="BR27" i="12"/>
  <c r="D27" i="12" s="1"/>
  <c r="BQ27" i="12"/>
  <c r="CK26" i="12"/>
  <c r="F26" i="12" s="1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V26" i="12"/>
  <c r="BU26" i="12"/>
  <c r="BT26" i="12"/>
  <c r="BS26" i="12"/>
  <c r="BR26" i="12"/>
  <c r="D26" i="12" s="1"/>
  <c r="BQ26" i="12"/>
  <c r="CK25" i="12"/>
  <c r="F25" i="12" s="1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V25" i="12"/>
  <c r="BU25" i="12"/>
  <c r="BT25" i="12"/>
  <c r="BS25" i="12"/>
  <c r="BR25" i="12"/>
  <c r="D25" i="12" s="1"/>
  <c r="BQ25" i="12"/>
  <c r="CN24" i="12"/>
  <c r="I24" i="12" s="1"/>
  <c r="CM24" i="12"/>
  <c r="H24" i="12" s="1"/>
  <c r="CL24" i="12"/>
  <c r="G24" i="12" s="1"/>
  <c r="CK24" i="12"/>
  <c r="F24" i="12" s="1"/>
  <c r="CJ24" i="12"/>
  <c r="CI24" i="12"/>
  <c r="CH24" i="12"/>
  <c r="CG24" i="12"/>
  <c r="CF24" i="12"/>
  <c r="CD24" i="12"/>
  <c r="CC24" i="12"/>
  <c r="CB24" i="12"/>
  <c r="CA24" i="12"/>
  <c r="BZ24" i="12"/>
  <c r="BY24" i="12"/>
  <c r="BX24" i="12"/>
  <c r="BW24" i="12"/>
  <c r="BV24" i="12"/>
  <c r="BU24" i="12"/>
  <c r="BT24" i="12"/>
  <c r="E24" i="12" s="1"/>
  <c r="BS24" i="12"/>
  <c r="BR24" i="12"/>
  <c r="D24" i="12" s="1"/>
  <c r="BQ24" i="12"/>
  <c r="C297" i="13"/>
  <c r="D295" i="13"/>
  <c r="D297" i="13" s="1"/>
  <c r="C293" i="13"/>
  <c r="D291" i="13"/>
  <c r="D293" i="13" s="1"/>
  <c r="X272" i="13"/>
  <c r="Y272" i="13" s="1"/>
  <c r="W272" i="13"/>
  <c r="V272" i="13"/>
  <c r="G272" i="13"/>
  <c r="X271" i="13"/>
  <c r="Y271" i="13" s="1"/>
  <c r="W271" i="13"/>
  <c r="V271" i="13"/>
  <c r="G271" i="13"/>
  <c r="X270" i="13"/>
  <c r="Y270" i="13" s="1"/>
  <c r="W270" i="13"/>
  <c r="V270" i="13"/>
  <c r="G270" i="13"/>
  <c r="X269" i="13"/>
  <c r="Y269" i="13" s="1"/>
  <c r="W269" i="13"/>
  <c r="V269" i="13"/>
  <c r="G269" i="13"/>
  <c r="X268" i="13"/>
  <c r="Y268" i="13" s="1"/>
  <c r="W268" i="13"/>
  <c r="V268" i="13"/>
  <c r="G268" i="13"/>
  <c r="X267" i="13"/>
  <c r="Y267" i="13" s="1"/>
  <c r="W267" i="13"/>
  <c r="V267" i="13"/>
  <c r="G267" i="13"/>
  <c r="X266" i="13"/>
  <c r="Y266" i="13" s="1"/>
  <c r="W266" i="13"/>
  <c r="V266" i="13"/>
  <c r="G266" i="13"/>
  <c r="X265" i="13"/>
  <c r="Y265" i="13" s="1"/>
  <c r="W265" i="13"/>
  <c r="V265" i="13"/>
  <c r="G265" i="13"/>
  <c r="X264" i="13"/>
  <c r="Y264" i="13" s="1"/>
  <c r="W264" i="13"/>
  <c r="V264" i="13"/>
  <c r="G264" i="13"/>
  <c r="X263" i="13"/>
  <c r="Y263" i="13" s="1"/>
  <c r="W263" i="13"/>
  <c r="V263" i="13"/>
  <c r="G263" i="13"/>
  <c r="X262" i="13"/>
  <c r="Y262" i="13" s="1"/>
  <c r="W262" i="13"/>
  <c r="V262" i="13"/>
  <c r="G262" i="13"/>
  <c r="X261" i="13"/>
  <c r="Y261" i="13" s="1"/>
  <c r="W261" i="13"/>
  <c r="V261" i="13"/>
  <c r="G261" i="13"/>
  <c r="Y260" i="13"/>
  <c r="X260" i="13"/>
  <c r="W260" i="13"/>
  <c r="V260" i="13"/>
  <c r="G260" i="13"/>
  <c r="Y259" i="13"/>
  <c r="X259" i="13"/>
  <c r="W259" i="13"/>
  <c r="V259" i="13"/>
  <c r="G259" i="13"/>
  <c r="Y258" i="13"/>
  <c r="X258" i="13"/>
  <c r="W258" i="13"/>
  <c r="V258" i="13"/>
  <c r="G258" i="13"/>
  <c r="X257" i="13"/>
  <c r="Y257" i="13" s="1"/>
  <c r="W257" i="13"/>
  <c r="V257" i="13"/>
  <c r="G257" i="13"/>
  <c r="X256" i="13"/>
  <c r="Y256" i="13" s="1"/>
  <c r="W256" i="13"/>
  <c r="V256" i="13"/>
  <c r="G256" i="13"/>
  <c r="X255" i="13"/>
  <c r="Y255" i="13" s="1"/>
  <c r="W255" i="13"/>
  <c r="V255" i="13"/>
  <c r="G255" i="13"/>
  <c r="X254" i="13"/>
  <c r="Y254" i="13" s="1"/>
  <c r="W254" i="13"/>
  <c r="V254" i="13"/>
  <c r="G254" i="13"/>
  <c r="X253" i="13"/>
  <c r="Y253" i="13" s="1"/>
  <c r="W253" i="13"/>
  <c r="V253" i="13"/>
  <c r="G253" i="13"/>
  <c r="X252" i="13"/>
  <c r="Y252" i="13" s="1"/>
  <c r="W252" i="13"/>
  <c r="V252" i="13"/>
  <c r="G252" i="13"/>
  <c r="X251" i="13"/>
  <c r="Y251" i="13" s="1"/>
  <c r="W251" i="13"/>
  <c r="V251" i="13"/>
  <c r="G251" i="13"/>
  <c r="X250" i="13"/>
  <c r="Y250" i="13" s="1"/>
  <c r="W250" i="13"/>
  <c r="V250" i="13"/>
  <c r="G250" i="13"/>
  <c r="X249" i="13"/>
  <c r="Y249" i="13" s="1"/>
  <c r="W249" i="13"/>
  <c r="V249" i="13"/>
  <c r="G249" i="13"/>
  <c r="X248" i="13"/>
  <c r="Y248" i="13" s="1"/>
  <c r="W248" i="13"/>
  <c r="V248" i="13"/>
  <c r="G248" i="13"/>
  <c r="X234" i="13"/>
  <c r="Y234" i="13" s="1"/>
  <c r="W234" i="13"/>
  <c r="V234" i="13"/>
  <c r="G234" i="13"/>
  <c r="X233" i="13"/>
  <c r="Y233" i="13" s="1"/>
  <c r="W233" i="13"/>
  <c r="V233" i="13"/>
  <c r="G233" i="13"/>
  <c r="X232" i="13"/>
  <c r="Y232" i="13" s="1"/>
  <c r="W232" i="13"/>
  <c r="V232" i="13"/>
  <c r="G232" i="13"/>
  <c r="X231" i="13"/>
  <c r="Y231" i="13" s="1"/>
  <c r="W231" i="13"/>
  <c r="V231" i="13"/>
  <c r="G231" i="13"/>
  <c r="X230" i="13"/>
  <c r="Y230" i="13" s="1"/>
  <c r="W230" i="13"/>
  <c r="V230" i="13"/>
  <c r="G230" i="13"/>
  <c r="X229" i="13"/>
  <c r="Y229" i="13" s="1"/>
  <c r="W229" i="13"/>
  <c r="V229" i="13"/>
  <c r="G229" i="13"/>
  <c r="X228" i="13"/>
  <c r="Y228" i="13" s="1"/>
  <c r="W228" i="13"/>
  <c r="V228" i="13"/>
  <c r="G228" i="13"/>
  <c r="X227" i="13"/>
  <c r="Y227" i="13" s="1"/>
  <c r="W227" i="13"/>
  <c r="V227" i="13"/>
  <c r="G227" i="13"/>
  <c r="X226" i="13"/>
  <c r="Y226" i="13" s="1"/>
  <c r="W226" i="13"/>
  <c r="V226" i="13"/>
  <c r="G226" i="13"/>
  <c r="X225" i="13"/>
  <c r="Y225" i="13" s="1"/>
  <c r="W225" i="13"/>
  <c r="V225" i="13"/>
  <c r="G225" i="13"/>
  <c r="X224" i="13"/>
  <c r="Y224" i="13" s="1"/>
  <c r="W224" i="13"/>
  <c r="V224" i="13"/>
  <c r="G224" i="13"/>
  <c r="X223" i="13"/>
  <c r="Y223" i="13" s="1"/>
  <c r="W223" i="13"/>
  <c r="V223" i="13"/>
  <c r="G223" i="13"/>
  <c r="X222" i="13"/>
  <c r="Y222" i="13" s="1"/>
  <c r="W222" i="13"/>
  <c r="V222" i="13"/>
  <c r="G222" i="13"/>
  <c r="X221" i="13"/>
  <c r="Y221" i="13" s="1"/>
  <c r="W221" i="13"/>
  <c r="V221" i="13"/>
  <c r="G221" i="13"/>
  <c r="X220" i="13"/>
  <c r="Y220" i="13" s="1"/>
  <c r="W220" i="13"/>
  <c r="V220" i="13"/>
  <c r="G220" i="13"/>
  <c r="X219" i="13"/>
  <c r="Y219" i="13" s="1"/>
  <c r="W219" i="13"/>
  <c r="V219" i="13"/>
  <c r="G219" i="13"/>
  <c r="Y218" i="13"/>
  <c r="X218" i="13"/>
  <c r="W218" i="13"/>
  <c r="V218" i="13"/>
  <c r="G218" i="13"/>
  <c r="Y217" i="13"/>
  <c r="X217" i="13"/>
  <c r="W217" i="13"/>
  <c r="V217" i="13"/>
  <c r="G217" i="13"/>
  <c r="Y216" i="13"/>
  <c r="X216" i="13"/>
  <c r="W216" i="13"/>
  <c r="V216" i="13"/>
  <c r="G216" i="13"/>
  <c r="Y215" i="13"/>
  <c r="X215" i="13"/>
  <c r="W215" i="13"/>
  <c r="V215" i="13"/>
  <c r="G215" i="13"/>
  <c r="Y214" i="13"/>
  <c r="X214" i="13"/>
  <c r="W214" i="13"/>
  <c r="V214" i="13"/>
  <c r="G214" i="13"/>
  <c r="X213" i="13"/>
  <c r="Y213" i="13" s="1"/>
  <c r="W213" i="13"/>
  <c r="V213" i="13"/>
  <c r="G213" i="13"/>
  <c r="X212" i="13"/>
  <c r="Y212" i="13" s="1"/>
  <c r="W212" i="13"/>
  <c r="V212" i="13"/>
  <c r="G212" i="13"/>
  <c r="X211" i="13"/>
  <c r="Y211" i="13" s="1"/>
  <c r="W211" i="13"/>
  <c r="V211" i="13"/>
  <c r="G211" i="13"/>
  <c r="X210" i="13"/>
  <c r="Y210" i="13" s="1"/>
  <c r="W210" i="13"/>
  <c r="V210" i="13"/>
  <c r="G210" i="13"/>
  <c r="X209" i="13"/>
  <c r="Y209" i="13" s="1"/>
  <c r="W209" i="13"/>
  <c r="V209" i="13"/>
  <c r="G209" i="13"/>
  <c r="Y208" i="13"/>
  <c r="X208" i="13"/>
  <c r="W208" i="13"/>
  <c r="V208" i="13"/>
  <c r="G208" i="13"/>
  <c r="Y207" i="13"/>
  <c r="X207" i="13"/>
  <c r="W207" i="13"/>
  <c r="V207" i="13"/>
  <c r="G207" i="13"/>
  <c r="X206" i="13"/>
  <c r="Y206" i="13" s="1"/>
  <c r="W206" i="13"/>
  <c r="V206" i="13"/>
  <c r="G206" i="13"/>
  <c r="X205" i="13"/>
  <c r="Y205" i="13" s="1"/>
  <c r="W205" i="13"/>
  <c r="V205" i="13"/>
  <c r="G205" i="13"/>
  <c r="Y204" i="13"/>
  <c r="X204" i="13"/>
  <c r="W204" i="13"/>
  <c r="V204" i="13"/>
  <c r="G204" i="13"/>
  <c r="Y203" i="13"/>
  <c r="X203" i="13"/>
  <c r="W203" i="13"/>
  <c r="V203" i="13"/>
  <c r="G203" i="13"/>
  <c r="X202" i="13"/>
  <c r="Y202" i="13" s="1"/>
  <c r="W202" i="13"/>
  <c r="V202" i="13"/>
  <c r="G202" i="13"/>
  <c r="X201" i="13"/>
  <c r="Y201" i="13" s="1"/>
  <c r="W201" i="13"/>
  <c r="V201" i="13"/>
  <c r="G201" i="13"/>
  <c r="X200" i="13"/>
  <c r="Y200" i="13" s="1"/>
  <c r="W200" i="13"/>
  <c r="V200" i="13"/>
  <c r="G200" i="13"/>
  <c r="X199" i="13"/>
  <c r="Y199" i="13" s="1"/>
  <c r="W199" i="13"/>
  <c r="V199" i="13"/>
  <c r="G199" i="13"/>
  <c r="X198" i="13"/>
  <c r="Y198" i="13" s="1"/>
  <c r="W198" i="13"/>
  <c r="V198" i="13"/>
  <c r="G198" i="13"/>
  <c r="X197" i="13"/>
  <c r="Y197" i="13" s="1"/>
  <c r="W197" i="13"/>
  <c r="V197" i="13"/>
  <c r="G197" i="13"/>
  <c r="X196" i="13"/>
  <c r="Y196" i="13" s="1"/>
  <c r="W196" i="13"/>
  <c r="V196" i="13"/>
  <c r="G196" i="13"/>
  <c r="X195" i="13"/>
  <c r="Y195" i="13" s="1"/>
  <c r="W195" i="13"/>
  <c r="V195" i="13"/>
  <c r="G195" i="13"/>
  <c r="X194" i="13"/>
  <c r="Y194" i="13" s="1"/>
  <c r="W194" i="13"/>
  <c r="V194" i="13"/>
  <c r="G194" i="13"/>
  <c r="X193" i="13"/>
  <c r="Y193" i="13" s="1"/>
  <c r="W193" i="13"/>
  <c r="V193" i="13"/>
  <c r="G193" i="13"/>
  <c r="X192" i="13"/>
  <c r="Y192" i="13" s="1"/>
  <c r="W192" i="13"/>
  <c r="V192" i="13"/>
  <c r="G192" i="13"/>
  <c r="X191" i="13"/>
  <c r="Y191" i="13" s="1"/>
  <c r="W191" i="13"/>
  <c r="V191" i="13"/>
  <c r="G191" i="13"/>
  <c r="Y190" i="13"/>
  <c r="X190" i="13"/>
  <c r="W190" i="13"/>
  <c r="V190" i="13"/>
  <c r="G190" i="13"/>
  <c r="X189" i="13"/>
  <c r="Y189" i="13" s="1"/>
  <c r="W189" i="13"/>
  <c r="V189" i="13"/>
  <c r="G189" i="13"/>
  <c r="Y188" i="13"/>
  <c r="X188" i="13"/>
  <c r="W188" i="13"/>
  <c r="V188" i="13"/>
  <c r="G188" i="13"/>
  <c r="X187" i="13"/>
  <c r="Y187" i="13" s="1"/>
  <c r="W187" i="13"/>
  <c r="V187" i="13"/>
  <c r="G187" i="13"/>
  <c r="X186" i="13"/>
  <c r="Y186" i="13" s="1"/>
  <c r="W186" i="13"/>
  <c r="V186" i="13"/>
  <c r="G186" i="13"/>
  <c r="Y185" i="13"/>
  <c r="X185" i="13"/>
  <c r="W185" i="13"/>
  <c r="V185" i="13"/>
  <c r="G185" i="13"/>
  <c r="Y184" i="13"/>
  <c r="X184" i="13"/>
  <c r="W184" i="13"/>
  <c r="V184" i="13"/>
  <c r="G184" i="13"/>
  <c r="X183" i="13"/>
  <c r="Y183" i="13" s="1"/>
  <c r="W183" i="13"/>
  <c r="V183" i="13"/>
  <c r="G183" i="13"/>
  <c r="X182" i="13"/>
  <c r="Y182" i="13" s="1"/>
  <c r="W182" i="13"/>
  <c r="V182" i="13"/>
  <c r="G182" i="13"/>
  <c r="X181" i="13"/>
  <c r="Y181" i="13" s="1"/>
  <c r="W181" i="13"/>
  <c r="V181" i="13"/>
  <c r="G181" i="13"/>
  <c r="X180" i="13"/>
  <c r="Y180" i="13" s="1"/>
  <c r="W180" i="13"/>
  <c r="V180" i="13"/>
  <c r="X179" i="13"/>
  <c r="Y179" i="13" s="1"/>
  <c r="W179" i="13"/>
  <c r="V179" i="13"/>
  <c r="G179" i="13"/>
  <c r="BW38" i="12" s="1"/>
  <c r="X178" i="13"/>
  <c r="Y178" i="13" s="1"/>
  <c r="W178" i="13"/>
  <c r="V178" i="13"/>
  <c r="G178" i="13"/>
  <c r="X177" i="13"/>
  <c r="Y177" i="13" s="1"/>
  <c r="W177" i="13"/>
  <c r="V177" i="13"/>
  <c r="G177" i="13"/>
  <c r="Y176" i="13"/>
  <c r="X176" i="13"/>
  <c r="W176" i="13"/>
  <c r="V176" i="13"/>
  <c r="G176" i="13"/>
  <c r="X175" i="13"/>
  <c r="Y175" i="13" s="1"/>
  <c r="W175" i="13"/>
  <c r="V175" i="13"/>
  <c r="G175" i="13"/>
  <c r="X174" i="13"/>
  <c r="Y174" i="13" s="1"/>
  <c r="W174" i="13"/>
  <c r="V174" i="13"/>
  <c r="G174" i="13"/>
  <c r="X173" i="13"/>
  <c r="Y173" i="13" s="1"/>
  <c r="W173" i="13"/>
  <c r="V173" i="13"/>
  <c r="G173" i="13"/>
  <c r="X172" i="13"/>
  <c r="Y172" i="13" s="1"/>
  <c r="W172" i="13"/>
  <c r="V172" i="13"/>
  <c r="G172" i="13"/>
  <c r="X171" i="13"/>
  <c r="Y171" i="13" s="1"/>
  <c r="W171" i="13"/>
  <c r="V171" i="13"/>
  <c r="G171" i="13"/>
  <c r="X170" i="13"/>
  <c r="Y170" i="13" s="1"/>
  <c r="W170" i="13"/>
  <c r="V170" i="13"/>
  <c r="G170" i="13"/>
  <c r="X169" i="13"/>
  <c r="Y169" i="13" s="1"/>
  <c r="W169" i="13"/>
  <c r="V169" i="13"/>
  <c r="G169" i="13"/>
  <c r="X168" i="13"/>
  <c r="Y168" i="13" s="1"/>
  <c r="W168" i="13"/>
  <c r="V168" i="13"/>
  <c r="G168" i="13"/>
  <c r="Y167" i="13"/>
  <c r="X167" i="13"/>
  <c r="W167" i="13"/>
  <c r="V167" i="13"/>
  <c r="G167" i="13"/>
  <c r="Y166" i="13"/>
  <c r="X166" i="13"/>
  <c r="W166" i="13"/>
  <c r="V166" i="13"/>
  <c r="G166" i="13"/>
  <c r="X165" i="13"/>
  <c r="Y165" i="13" s="1"/>
  <c r="W165" i="13"/>
  <c r="V165" i="13"/>
  <c r="G165" i="13"/>
  <c r="X164" i="13"/>
  <c r="Y164" i="13" s="1"/>
  <c r="W164" i="13"/>
  <c r="V164" i="13"/>
  <c r="G164" i="13"/>
  <c r="X163" i="13"/>
  <c r="Y163" i="13" s="1"/>
  <c r="W163" i="13"/>
  <c r="V163" i="13"/>
  <c r="G163" i="13"/>
  <c r="X162" i="13"/>
  <c r="Y162" i="13" s="1"/>
  <c r="W162" i="13"/>
  <c r="V162" i="13"/>
  <c r="G162" i="13"/>
  <c r="Y161" i="13"/>
  <c r="X161" i="13"/>
  <c r="W161" i="13"/>
  <c r="V161" i="13"/>
  <c r="G161" i="13"/>
  <c r="X160" i="13"/>
  <c r="Y160" i="13" s="1"/>
  <c r="W160" i="13"/>
  <c r="V160" i="13"/>
  <c r="G160" i="13"/>
  <c r="X159" i="13"/>
  <c r="Y159" i="13" s="1"/>
  <c r="W159" i="13"/>
  <c r="V159" i="13"/>
  <c r="G159" i="13"/>
  <c r="X158" i="13"/>
  <c r="Y158" i="13" s="1"/>
  <c r="W158" i="13"/>
  <c r="V158" i="13"/>
  <c r="G158" i="13"/>
  <c r="X157" i="13"/>
  <c r="Y157" i="13" s="1"/>
  <c r="W157" i="13"/>
  <c r="V157" i="13"/>
  <c r="G157" i="13"/>
  <c r="X156" i="13"/>
  <c r="Y156" i="13" s="1"/>
  <c r="W156" i="13"/>
  <c r="V156" i="13"/>
  <c r="G156" i="13"/>
  <c r="X155" i="13"/>
  <c r="Y155" i="13" s="1"/>
  <c r="W155" i="13"/>
  <c r="V155" i="13"/>
  <c r="G155" i="13"/>
  <c r="Y154" i="13"/>
  <c r="X154" i="13"/>
  <c r="W154" i="13"/>
  <c r="V154" i="13"/>
  <c r="G154" i="13"/>
  <c r="X153" i="13"/>
  <c r="Y153" i="13" s="1"/>
  <c r="W153" i="13"/>
  <c r="V153" i="13"/>
  <c r="G153" i="13"/>
  <c r="Y152" i="13"/>
  <c r="X152" i="13"/>
  <c r="W152" i="13"/>
  <c r="V152" i="13"/>
  <c r="G152" i="13"/>
  <c r="B152" i="13"/>
  <c r="Y151" i="13"/>
  <c r="X151" i="13"/>
  <c r="W151" i="13"/>
  <c r="V151" i="13"/>
  <c r="G151" i="13"/>
  <c r="B151" i="13"/>
  <c r="Y150" i="13"/>
  <c r="X150" i="13"/>
  <c r="W150" i="13"/>
  <c r="V150" i="13"/>
  <c r="G150" i="13"/>
  <c r="Y149" i="13"/>
  <c r="X149" i="13"/>
  <c r="W149" i="13"/>
  <c r="V149" i="13"/>
  <c r="G149" i="13"/>
  <c r="X148" i="13"/>
  <c r="Y148" i="13" s="1"/>
  <c r="W148" i="13"/>
  <c r="V148" i="13"/>
  <c r="G148" i="13"/>
  <c r="X147" i="13"/>
  <c r="Y147" i="13" s="1"/>
  <c r="W147" i="13"/>
  <c r="V147" i="13"/>
  <c r="G147" i="13"/>
  <c r="X146" i="13"/>
  <c r="Y146" i="13" s="1"/>
  <c r="W146" i="13"/>
  <c r="V146" i="13"/>
  <c r="G146" i="13"/>
  <c r="X145" i="13"/>
  <c r="Y145" i="13" s="1"/>
  <c r="W145" i="13"/>
  <c r="V145" i="13"/>
  <c r="G145" i="13"/>
  <c r="X144" i="13"/>
  <c r="Y144" i="13" s="1"/>
  <c r="W144" i="13"/>
  <c r="V144" i="13"/>
  <c r="G144" i="13"/>
  <c r="X143" i="13"/>
  <c r="Y143" i="13" s="1"/>
  <c r="W143" i="13"/>
  <c r="V143" i="13"/>
  <c r="G143" i="13"/>
  <c r="X142" i="13"/>
  <c r="Y142" i="13" s="1"/>
  <c r="W142" i="13"/>
  <c r="V142" i="13"/>
  <c r="G142" i="13"/>
  <c r="X141" i="13"/>
  <c r="Y141" i="13" s="1"/>
  <c r="W141" i="13"/>
  <c r="V141" i="13"/>
  <c r="G141" i="13"/>
  <c r="Y140" i="13"/>
  <c r="X140" i="13"/>
  <c r="W140" i="13"/>
  <c r="V140" i="13"/>
  <c r="G140" i="13"/>
  <c r="Y139" i="13"/>
  <c r="X139" i="13"/>
  <c r="W139" i="13"/>
  <c r="V139" i="13"/>
  <c r="G139" i="13"/>
  <c r="X138" i="13"/>
  <c r="Y138" i="13" s="1"/>
  <c r="W138" i="13"/>
  <c r="V138" i="13"/>
  <c r="G138" i="13"/>
  <c r="X137" i="13"/>
  <c r="Y137" i="13" s="1"/>
  <c r="W137" i="13"/>
  <c r="V137" i="13"/>
  <c r="G137" i="13"/>
  <c r="X136" i="13"/>
  <c r="Y136" i="13" s="1"/>
  <c r="W136" i="13"/>
  <c r="V136" i="13"/>
  <c r="G136" i="13"/>
  <c r="X135" i="13"/>
  <c r="Y135" i="13" s="1"/>
  <c r="W135" i="13"/>
  <c r="V135" i="13"/>
  <c r="G135" i="13"/>
  <c r="X134" i="13"/>
  <c r="Y134" i="13" s="1"/>
  <c r="W134" i="13"/>
  <c r="V134" i="13"/>
  <c r="G134" i="13"/>
  <c r="X133" i="13"/>
  <c r="Y133" i="13" s="1"/>
  <c r="W133" i="13"/>
  <c r="V133" i="13"/>
  <c r="G133" i="13"/>
  <c r="X132" i="13"/>
  <c r="Y132" i="13" s="1"/>
  <c r="W132" i="13"/>
  <c r="V132" i="13"/>
  <c r="G132" i="13"/>
  <c r="X131" i="13"/>
  <c r="Y131" i="13" s="1"/>
  <c r="W131" i="13"/>
  <c r="V131" i="13"/>
  <c r="G131" i="13"/>
  <c r="X130" i="13"/>
  <c r="Y130" i="13" s="1"/>
  <c r="W130" i="13"/>
  <c r="V130" i="13"/>
  <c r="G130" i="13"/>
  <c r="X129" i="13"/>
  <c r="Y129" i="13" s="1"/>
  <c r="W129" i="13"/>
  <c r="V129" i="13"/>
  <c r="G129" i="13"/>
  <c r="X128" i="13"/>
  <c r="Y128" i="13" s="1"/>
  <c r="W128" i="13"/>
  <c r="V128" i="13"/>
  <c r="G128" i="13"/>
  <c r="X127" i="13"/>
  <c r="Y127" i="13" s="1"/>
  <c r="W127" i="13"/>
  <c r="V127" i="13"/>
  <c r="G127" i="13"/>
  <c r="X126" i="13"/>
  <c r="Y126" i="13" s="1"/>
  <c r="W126" i="13"/>
  <c r="V126" i="13"/>
  <c r="G126" i="13"/>
  <c r="X125" i="13"/>
  <c r="Y125" i="13" s="1"/>
  <c r="W125" i="13"/>
  <c r="V125" i="13"/>
  <c r="G125" i="13"/>
  <c r="X124" i="13"/>
  <c r="Y124" i="13" s="1"/>
  <c r="W124" i="13"/>
  <c r="V124" i="13"/>
  <c r="G124" i="13"/>
  <c r="X123" i="13"/>
  <c r="Y123" i="13" s="1"/>
  <c r="W123" i="13"/>
  <c r="V123" i="13"/>
  <c r="G123" i="13"/>
  <c r="X122" i="13"/>
  <c r="Y122" i="13" s="1"/>
  <c r="W122" i="13"/>
  <c r="V122" i="13"/>
  <c r="G122" i="13"/>
  <c r="X121" i="13"/>
  <c r="Y121" i="13" s="1"/>
  <c r="W121" i="13"/>
  <c r="V121" i="13"/>
  <c r="G121" i="13"/>
  <c r="X120" i="13"/>
  <c r="Y120" i="13" s="1"/>
  <c r="W120" i="13"/>
  <c r="V120" i="13"/>
  <c r="G120" i="13"/>
  <c r="X119" i="13"/>
  <c r="Y119" i="13" s="1"/>
  <c r="W119" i="13"/>
  <c r="V119" i="13"/>
  <c r="G119" i="13"/>
  <c r="X118" i="13"/>
  <c r="Y118" i="13" s="1"/>
  <c r="W118" i="13"/>
  <c r="V118" i="13"/>
  <c r="G118" i="13"/>
  <c r="X117" i="13"/>
  <c r="Y117" i="13" s="1"/>
  <c r="W117" i="13"/>
  <c r="V117" i="13"/>
  <c r="G117" i="13"/>
  <c r="X116" i="13"/>
  <c r="Y116" i="13" s="1"/>
  <c r="W116" i="13"/>
  <c r="V116" i="13"/>
  <c r="G116" i="13"/>
  <c r="Y115" i="13"/>
  <c r="X115" i="13"/>
  <c r="W115" i="13"/>
  <c r="V115" i="13"/>
  <c r="G115" i="13"/>
  <c r="BW56" i="12" s="1"/>
  <c r="Y114" i="13"/>
  <c r="X114" i="13"/>
  <c r="W114" i="13"/>
  <c r="V114" i="13"/>
  <c r="G114" i="13"/>
  <c r="Y113" i="13"/>
  <c r="X113" i="13"/>
  <c r="W113" i="13"/>
  <c r="V113" i="13"/>
  <c r="G113" i="13"/>
  <c r="Y112" i="13"/>
  <c r="X112" i="13"/>
  <c r="W112" i="13"/>
  <c r="V112" i="13"/>
  <c r="G112" i="13"/>
  <c r="Y111" i="13"/>
  <c r="X111" i="13"/>
  <c r="W111" i="13"/>
  <c r="V111" i="13"/>
  <c r="G111" i="13"/>
  <c r="Y110" i="13"/>
  <c r="X110" i="13"/>
  <c r="W110" i="13"/>
  <c r="V110" i="13"/>
  <c r="G110" i="13"/>
  <c r="Y109" i="13"/>
  <c r="X109" i="13"/>
  <c r="W109" i="13"/>
  <c r="V109" i="13"/>
  <c r="G109" i="13"/>
  <c r="Y108" i="13"/>
  <c r="X108" i="13"/>
  <c r="I53" i="12" s="1"/>
  <c r="W108" i="13"/>
  <c r="V108" i="13"/>
  <c r="G108" i="13"/>
  <c r="Y107" i="13"/>
  <c r="X107" i="13"/>
  <c r="W107" i="13"/>
  <c r="V107" i="13"/>
  <c r="G107" i="13"/>
  <c r="Y106" i="13"/>
  <c r="X106" i="13"/>
  <c r="W106" i="13"/>
  <c r="V106" i="13"/>
  <c r="G106" i="13"/>
  <c r="Y105" i="13"/>
  <c r="X105" i="13"/>
  <c r="W105" i="13"/>
  <c r="V105" i="13"/>
  <c r="G105" i="13"/>
  <c r="Y104" i="13"/>
  <c r="X104" i="13"/>
  <c r="W104" i="13"/>
  <c r="V104" i="13"/>
  <c r="G104" i="13"/>
  <c r="Y103" i="13"/>
  <c r="X103" i="13"/>
  <c r="W103" i="13"/>
  <c r="V103" i="13"/>
  <c r="D103" i="13"/>
  <c r="G103" i="13" s="1"/>
  <c r="Y102" i="13"/>
  <c r="X102" i="13"/>
  <c r="W102" i="13"/>
  <c r="V102" i="13"/>
  <c r="D102" i="13"/>
  <c r="G102" i="13" s="1"/>
  <c r="Y101" i="13"/>
  <c r="X101" i="13"/>
  <c r="W101" i="13"/>
  <c r="V101" i="13"/>
  <c r="G101" i="13"/>
  <c r="Y100" i="13"/>
  <c r="X100" i="13"/>
  <c r="W100" i="13"/>
  <c r="V100" i="13"/>
  <c r="G100" i="13"/>
  <c r="Y99" i="13"/>
  <c r="X99" i="13"/>
  <c r="W99" i="13"/>
  <c r="V99" i="13"/>
  <c r="G99" i="13"/>
  <c r="Y98" i="13"/>
  <c r="X98" i="13"/>
  <c r="W98" i="13"/>
  <c r="V98" i="13"/>
  <c r="G98" i="13"/>
  <c r="Y97" i="13"/>
  <c r="X97" i="13"/>
  <c r="W97" i="13"/>
  <c r="V97" i="13"/>
  <c r="G97" i="13"/>
  <c r="Y96" i="13"/>
  <c r="X96" i="13"/>
  <c r="W96" i="13"/>
  <c r="V96" i="13"/>
  <c r="G96" i="13"/>
  <c r="Y95" i="13"/>
  <c r="X95" i="13"/>
  <c r="W95" i="13"/>
  <c r="V95" i="13"/>
  <c r="G95" i="13"/>
  <c r="X94" i="13"/>
  <c r="W94" i="13"/>
  <c r="V94" i="13"/>
  <c r="G94" i="13"/>
  <c r="X93" i="13"/>
  <c r="Y93" i="13" s="1"/>
  <c r="W93" i="13"/>
  <c r="V93" i="13"/>
  <c r="G93" i="13"/>
  <c r="X92" i="13"/>
  <c r="Y92" i="13" s="1"/>
  <c r="W92" i="13"/>
  <c r="V92" i="13"/>
  <c r="G92" i="13"/>
  <c r="X91" i="13"/>
  <c r="Y91" i="13" s="1"/>
  <c r="W91" i="13"/>
  <c r="V91" i="13"/>
  <c r="G91" i="13"/>
  <c r="BW32" i="12" s="1"/>
  <c r="Y90" i="13"/>
  <c r="X90" i="13"/>
  <c r="W90" i="13"/>
  <c r="V90" i="13"/>
  <c r="G90" i="13"/>
  <c r="X89" i="13"/>
  <c r="Y89" i="13" s="1"/>
  <c r="W89" i="13"/>
  <c r="V89" i="13"/>
  <c r="G89" i="13"/>
  <c r="Y88" i="13"/>
  <c r="X88" i="13"/>
  <c r="W88" i="13"/>
  <c r="V88" i="13"/>
  <c r="G88" i="13"/>
  <c r="Y87" i="13"/>
  <c r="X87" i="13"/>
  <c r="W87" i="13"/>
  <c r="V87" i="13"/>
  <c r="G87" i="13"/>
  <c r="BW61" i="12" s="1"/>
  <c r="X86" i="13"/>
  <c r="Y86" i="13" s="1"/>
  <c r="W86" i="13"/>
  <c r="V86" i="13"/>
  <c r="G86" i="13"/>
  <c r="X85" i="13"/>
  <c r="Y85" i="13" s="1"/>
  <c r="W85" i="13"/>
  <c r="V85" i="13"/>
  <c r="G85" i="13"/>
  <c r="X84" i="13"/>
  <c r="Y84" i="13" s="1"/>
  <c r="W84" i="13"/>
  <c r="V84" i="13"/>
  <c r="G84" i="13"/>
  <c r="Y83" i="13"/>
  <c r="X83" i="13"/>
  <c r="W83" i="13"/>
  <c r="V83" i="13"/>
  <c r="G83" i="13"/>
  <c r="Y82" i="13"/>
  <c r="X82" i="13"/>
  <c r="W82" i="13"/>
  <c r="V82" i="13"/>
  <c r="G82" i="13"/>
  <c r="Y81" i="13"/>
  <c r="X81" i="13"/>
  <c r="W81" i="13"/>
  <c r="V81" i="13"/>
  <c r="G81" i="13"/>
  <c r="Y80" i="13"/>
  <c r="X80" i="13"/>
  <c r="W80" i="13"/>
  <c r="V80" i="13"/>
  <c r="G80" i="13"/>
  <c r="Y79" i="13"/>
  <c r="X79" i="13"/>
  <c r="W79" i="13"/>
  <c r="V79" i="13"/>
  <c r="G79" i="13"/>
  <c r="Y78" i="13"/>
  <c r="X78" i="13"/>
  <c r="W78" i="13"/>
  <c r="V78" i="13"/>
  <c r="G78" i="13"/>
  <c r="Y77" i="13"/>
  <c r="X77" i="13"/>
  <c r="W77" i="13"/>
  <c r="V77" i="13"/>
  <c r="G77" i="13"/>
  <c r="X76" i="13"/>
  <c r="Y76" i="13" s="1"/>
  <c r="W76" i="13"/>
  <c r="V76" i="13"/>
  <c r="G76" i="13"/>
  <c r="Y75" i="13"/>
  <c r="X75" i="13"/>
  <c r="W75" i="13"/>
  <c r="V75" i="13"/>
  <c r="G75" i="13"/>
  <c r="Y74" i="13"/>
  <c r="X74" i="13"/>
  <c r="W74" i="13"/>
  <c r="V74" i="13"/>
  <c r="G74" i="13"/>
  <c r="Y73" i="13"/>
  <c r="X73" i="13"/>
  <c r="W73" i="13"/>
  <c r="V73" i="13"/>
  <c r="G73" i="13"/>
  <c r="Y72" i="13"/>
  <c r="X72" i="13"/>
  <c r="W72" i="13"/>
  <c r="V72" i="13"/>
  <c r="G72" i="13"/>
  <c r="Y71" i="13"/>
  <c r="X71" i="13"/>
  <c r="W71" i="13"/>
  <c r="V71" i="13"/>
  <c r="G71" i="13"/>
  <c r="X70" i="13"/>
  <c r="Y70" i="13" s="1"/>
  <c r="W70" i="13"/>
  <c r="V70" i="13"/>
  <c r="G70" i="13"/>
  <c r="Y69" i="13"/>
  <c r="X69" i="13"/>
  <c r="W69" i="13"/>
  <c r="V69" i="13"/>
  <c r="G69" i="13"/>
  <c r="Y68" i="13"/>
  <c r="X68" i="13"/>
  <c r="W68" i="13"/>
  <c r="V68" i="13"/>
  <c r="G68" i="13"/>
  <c r="Y67" i="13"/>
  <c r="X67" i="13"/>
  <c r="W67" i="13"/>
  <c r="V67" i="13"/>
  <c r="G67" i="13"/>
  <c r="BW46" i="12" s="1"/>
  <c r="Y66" i="13"/>
  <c r="X66" i="13"/>
  <c r="W66" i="13"/>
  <c r="V66" i="13"/>
  <c r="G66" i="13"/>
  <c r="X65" i="13"/>
  <c r="Y65" i="13" s="1"/>
  <c r="W65" i="13"/>
  <c r="V65" i="13"/>
  <c r="G65" i="13"/>
  <c r="X64" i="13"/>
  <c r="Y64" i="13" s="1"/>
  <c r="W64" i="13"/>
  <c r="V64" i="13"/>
  <c r="G64" i="13"/>
  <c r="X63" i="13"/>
  <c r="Y63" i="13" s="1"/>
  <c r="W63" i="13"/>
  <c r="V63" i="13"/>
  <c r="G63" i="13"/>
  <c r="X60" i="13"/>
  <c r="Y60" i="13" s="1"/>
  <c r="W60" i="13"/>
  <c r="V60" i="13"/>
  <c r="G60" i="13"/>
  <c r="X59" i="13"/>
  <c r="Y59" i="13" s="1"/>
  <c r="W59" i="13"/>
  <c r="V59" i="13"/>
  <c r="G59" i="13"/>
  <c r="BW28" i="12" s="1"/>
  <c r="X58" i="13"/>
  <c r="Y58" i="13" s="1"/>
  <c r="W58" i="13"/>
  <c r="V58" i="13"/>
  <c r="G58" i="13"/>
  <c r="X57" i="13"/>
  <c r="Y57" i="13" s="1"/>
  <c r="W57" i="13"/>
  <c r="V57" i="13"/>
  <c r="G57" i="13"/>
  <c r="BW64" i="12" s="1"/>
  <c r="X56" i="13"/>
  <c r="Y56" i="13" s="1"/>
  <c r="W56" i="13"/>
  <c r="V56" i="13"/>
  <c r="G56" i="13"/>
  <c r="Y55" i="13"/>
  <c r="X55" i="13"/>
  <c r="W55" i="13"/>
  <c r="V55" i="13"/>
  <c r="G55" i="13"/>
  <c r="Y54" i="13"/>
  <c r="X54" i="13"/>
  <c r="W54" i="13"/>
  <c r="V54" i="13"/>
  <c r="G54" i="13"/>
  <c r="Y53" i="13"/>
  <c r="X53" i="13"/>
  <c r="W53" i="13"/>
  <c r="V53" i="13"/>
  <c r="G53" i="13"/>
  <c r="X52" i="13"/>
  <c r="Y52" i="13" s="1"/>
  <c r="W52" i="13"/>
  <c r="V52" i="13"/>
  <c r="G52" i="13"/>
  <c r="X51" i="13"/>
  <c r="Y51" i="13" s="1"/>
  <c r="W51" i="13"/>
  <c r="V51" i="13"/>
  <c r="G51" i="13"/>
  <c r="X50" i="13"/>
  <c r="Y50" i="13" s="1"/>
  <c r="W50" i="13"/>
  <c r="V50" i="13"/>
  <c r="G50" i="13"/>
  <c r="X49" i="13"/>
  <c r="Y49" i="13" s="1"/>
  <c r="W49" i="13"/>
  <c r="V49" i="13"/>
  <c r="G49" i="13"/>
  <c r="Y48" i="13"/>
  <c r="X48" i="13"/>
  <c r="W48" i="13"/>
  <c r="V48" i="13"/>
  <c r="G48" i="13"/>
  <c r="Y47" i="13"/>
  <c r="X47" i="13"/>
  <c r="W47" i="13"/>
  <c r="V47" i="13"/>
  <c r="G47" i="13"/>
  <c r="X46" i="13"/>
  <c r="Y46" i="13" s="1"/>
  <c r="W46" i="13"/>
  <c r="V46" i="13"/>
  <c r="G46" i="13"/>
  <c r="X45" i="13"/>
  <c r="Y45" i="13" s="1"/>
  <c r="W45" i="13"/>
  <c r="V45" i="13"/>
  <c r="G45" i="13"/>
  <c r="X44" i="13"/>
  <c r="Y44" i="13" s="1"/>
  <c r="W44" i="13"/>
  <c r="V44" i="13"/>
  <c r="G44" i="13"/>
  <c r="X43" i="13"/>
  <c r="Y43" i="13" s="1"/>
  <c r="W43" i="13"/>
  <c r="V43" i="13"/>
  <c r="G43" i="13"/>
  <c r="BW57" i="12" s="1"/>
  <c r="Y42" i="13"/>
  <c r="X42" i="13"/>
  <c r="W42" i="13"/>
  <c r="V42" i="13"/>
  <c r="G42" i="13"/>
  <c r="Y41" i="13"/>
  <c r="X41" i="13"/>
  <c r="W41" i="13"/>
  <c r="V41" i="13"/>
  <c r="G41" i="13"/>
  <c r="Y40" i="13"/>
  <c r="X40" i="13"/>
  <c r="W40" i="13"/>
  <c r="V40" i="13"/>
  <c r="G40" i="13"/>
  <c r="BW50" i="12" s="1"/>
  <c r="Y39" i="13"/>
  <c r="X39" i="13"/>
  <c r="W39" i="13"/>
  <c r="V39" i="13"/>
  <c r="G39" i="13"/>
  <c r="X38" i="13"/>
  <c r="Y38" i="13" s="1"/>
  <c r="W38" i="13"/>
  <c r="V38" i="13"/>
  <c r="G38" i="13"/>
  <c r="Y37" i="13"/>
  <c r="X37" i="13"/>
  <c r="W37" i="13"/>
  <c r="V37" i="13"/>
  <c r="G37" i="13"/>
  <c r="X36" i="13"/>
  <c r="Y36" i="13" s="1"/>
  <c r="W36" i="13"/>
  <c r="V36" i="13"/>
  <c r="G36" i="13"/>
  <c r="Y35" i="13"/>
  <c r="X35" i="13"/>
  <c r="W35" i="13"/>
  <c r="V35" i="13"/>
  <c r="G35" i="13"/>
  <c r="X34" i="13"/>
  <c r="Y34" i="13" s="1"/>
  <c r="W34" i="13"/>
  <c r="V34" i="13"/>
  <c r="G34" i="13"/>
  <c r="X33" i="13"/>
  <c r="Y33" i="13" s="1"/>
  <c r="W33" i="13"/>
  <c r="V33" i="13"/>
  <c r="G33" i="13"/>
  <c r="X32" i="13"/>
  <c r="Y32" i="13" s="1"/>
  <c r="W32" i="13"/>
  <c r="V32" i="13"/>
  <c r="G32" i="13"/>
  <c r="X31" i="13"/>
  <c r="Y31" i="13" s="1"/>
  <c r="W31" i="13"/>
  <c r="V31" i="13"/>
  <c r="G31" i="13"/>
  <c r="X30" i="13"/>
  <c r="Y30" i="13" s="1"/>
  <c r="W30" i="13"/>
  <c r="V30" i="13"/>
  <c r="G30" i="13"/>
  <c r="X29" i="13"/>
  <c r="Y29" i="13" s="1"/>
  <c r="W29" i="13"/>
  <c r="V29" i="13"/>
  <c r="G29" i="13"/>
  <c r="X28" i="13"/>
  <c r="Y28" i="13" s="1"/>
  <c r="W28" i="13"/>
  <c r="V28" i="13"/>
  <c r="G28" i="13"/>
  <c r="X27" i="13"/>
  <c r="Y27" i="13" s="1"/>
  <c r="W27" i="13"/>
  <c r="V27" i="13"/>
  <c r="G27" i="13"/>
  <c r="X26" i="13"/>
  <c r="Y26" i="13" s="1"/>
  <c r="W26" i="13"/>
  <c r="V26" i="13"/>
  <c r="G26" i="13"/>
  <c r="X25" i="13"/>
  <c r="Y25" i="13" s="1"/>
  <c r="W25" i="13"/>
  <c r="V25" i="13"/>
  <c r="G25" i="13"/>
  <c r="X24" i="13"/>
  <c r="Y24" i="13" s="1"/>
  <c r="W24" i="13"/>
  <c r="V24" i="13"/>
  <c r="G24" i="13"/>
  <c r="X23" i="13"/>
  <c r="Y23" i="13" s="1"/>
  <c r="W23" i="13"/>
  <c r="V23" i="13"/>
  <c r="CL33" i="12" s="1"/>
  <c r="G33" i="12" s="1"/>
  <c r="G23" i="13"/>
  <c r="X22" i="13"/>
  <c r="Y22" i="13" s="1"/>
  <c r="W22" i="13"/>
  <c r="V22" i="13"/>
  <c r="G22" i="13"/>
  <c r="X21" i="13"/>
  <c r="Y21" i="13" s="1"/>
  <c r="W21" i="13"/>
  <c r="V21" i="13"/>
  <c r="G21" i="13"/>
  <c r="X20" i="13"/>
  <c r="Y20" i="13" s="1"/>
  <c r="W20" i="13"/>
  <c r="V20" i="13"/>
  <c r="G20" i="13"/>
  <c r="Y19" i="13"/>
  <c r="X19" i="13"/>
  <c r="W19" i="13"/>
  <c r="V19" i="13"/>
  <c r="G19" i="13"/>
  <c r="Y18" i="13"/>
  <c r="X18" i="13"/>
  <c r="W18" i="13"/>
  <c r="V18" i="13"/>
  <c r="G18" i="13"/>
  <c r="Y17" i="13"/>
  <c r="X17" i="13"/>
  <c r="W17" i="13"/>
  <c r="V17" i="13"/>
  <c r="G17" i="13"/>
  <c r="Y16" i="13"/>
  <c r="X16" i="13"/>
  <c r="W16" i="13"/>
  <c r="V16" i="13"/>
  <c r="G16" i="13"/>
  <c r="Y15" i="13"/>
  <c r="X15" i="13"/>
  <c r="W15" i="13"/>
  <c r="V15" i="13"/>
  <c r="G15" i="13"/>
  <c r="Y14" i="13"/>
  <c r="X14" i="13"/>
  <c r="W14" i="13"/>
  <c r="V14" i="13"/>
  <c r="G14" i="13"/>
  <c r="X13" i="13"/>
  <c r="Y13" i="13" s="1"/>
  <c r="W13" i="13"/>
  <c r="V13" i="13"/>
  <c r="G13" i="13"/>
  <c r="X12" i="13"/>
  <c r="Y12" i="13" s="1"/>
  <c r="W12" i="13"/>
  <c r="V12" i="13"/>
  <c r="G12" i="13"/>
  <c r="X11" i="13"/>
  <c r="Y11" i="13" s="1"/>
  <c r="W11" i="13"/>
  <c r="V11" i="13"/>
  <c r="G11" i="13"/>
  <c r="BW42" i="12" s="1"/>
  <c r="D11" i="13"/>
  <c r="X10" i="13"/>
  <c r="Y10" i="13" s="1"/>
  <c r="W10" i="13"/>
  <c r="V10" i="13"/>
  <c r="G10" i="13"/>
  <c r="X9" i="13"/>
  <c r="Y9" i="13" s="1"/>
  <c r="W9" i="13"/>
  <c r="V9" i="13"/>
  <c r="G9" i="13"/>
  <c r="X8" i="13"/>
  <c r="Y8" i="13" s="1"/>
  <c r="W8" i="13"/>
  <c r="V8" i="13"/>
  <c r="G8" i="13"/>
  <c r="D8" i="13"/>
  <c r="X7" i="13"/>
  <c r="Y7" i="13" s="1"/>
  <c r="W7" i="13"/>
  <c r="V7" i="13"/>
  <c r="G7" i="13"/>
  <c r="X6" i="13"/>
  <c r="Y6" i="13" s="1"/>
  <c r="W6" i="13"/>
  <c r="V6" i="13"/>
  <c r="G6" i="13"/>
  <c r="X5" i="13"/>
  <c r="Y5" i="13" s="1"/>
  <c r="W5" i="13"/>
  <c r="V5" i="13"/>
  <c r="G5" i="13"/>
  <c r="BW63" i="12" s="1"/>
  <c r="X4" i="13"/>
  <c r="Y4" i="13" s="1"/>
  <c r="W4" i="13"/>
  <c r="V4" i="13"/>
  <c r="G4" i="13"/>
  <c r="X3" i="13"/>
  <c r="Y3" i="13" s="1"/>
  <c r="W3" i="13"/>
  <c r="V3" i="13"/>
  <c r="G3" i="13"/>
  <c r="A1" i="13"/>
  <c r="E126" i="12"/>
  <c r="E128" i="12" s="1"/>
  <c r="E120" i="12"/>
  <c r="E121" i="12" s="1"/>
  <c r="N80" i="12"/>
  <c r="P80" i="12" s="1"/>
  <c r="H69" i="12"/>
  <c r="CU64" i="12"/>
  <c r="F64" i="12"/>
  <c r="CU63" i="12"/>
  <c r="CU62" i="12"/>
  <c r="BD60" i="12"/>
  <c r="CU57" i="12"/>
  <c r="CR55" i="12"/>
  <c r="CQ55" i="12"/>
  <c r="CU43" i="12"/>
  <c r="CU35" i="12"/>
  <c r="CU34" i="12"/>
  <c r="CU33" i="12"/>
  <c r="CU32" i="12"/>
  <c r="CU29" i="12"/>
  <c r="CU25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E26" i="12" l="1"/>
  <c r="E45" i="12"/>
  <c r="E40" i="12"/>
  <c r="E47" i="12"/>
  <c r="E41" i="12"/>
  <c r="E55" i="12"/>
  <c r="E25" i="12"/>
  <c r="E44" i="12"/>
  <c r="E28" i="12"/>
  <c r="E30" i="12"/>
  <c r="E32" i="12"/>
  <c r="E34" i="12"/>
  <c r="E36" i="12"/>
  <c r="E38" i="12"/>
  <c r="E49" i="12"/>
  <c r="E51" i="12"/>
  <c r="E56" i="12"/>
  <c r="BL59" i="12"/>
  <c r="BL65" i="12" s="1"/>
  <c r="BJ59" i="12"/>
  <c r="BJ65" i="12" s="1"/>
  <c r="CN55" i="12"/>
  <c r="CN59" i="12"/>
  <c r="I59" i="12" s="1"/>
  <c r="CN62" i="12"/>
  <c r="CN64" i="12"/>
  <c r="I64" i="12" s="1"/>
  <c r="CN65" i="12"/>
  <c r="I65" i="12" s="1"/>
  <c r="CN51" i="12"/>
  <c r="I51" i="12" s="1"/>
  <c r="CN52" i="12"/>
  <c r="I52" i="12" s="1"/>
  <c r="CN57" i="12"/>
  <c r="I57" i="12" s="1"/>
  <c r="CN60" i="12"/>
  <c r="CN61" i="12"/>
  <c r="I61" i="12" s="1"/>
  <c r="CN63" i="12"/>
  <c r="I63" i="12" s="1"/>
  <c r="H70" i="12"/>
  <c r="AY47" i="12" a="1"/>
  <c r="AY47" i="12" s="1"/>
  <c r="AV54" i="12" a="1"/>
  <c r="AV54" i="12" s="1"/>
  <c r="AU50" i="12" a="1"/>
  <c r="AU50" i="12" s="1"/>
  <c r="AV53" i="12" a="1"/>
  <c r="AV53" i="12" s="1"/>
  <c r="AU49" i="12" a="1"/>
  <c r="AU49" i="12" s="1"/>
  <c r="AZ49" i="12" s="1" a="1"/>
  <c r="AZ49" i="12" s="1"/>
  <c r="AW52" i="12" a="1"/>
  <c r="AW52" i="12" s="1"/>
  <c r="AY48" i="12" a="1"/>
  <c r="AY48" i="12" s="1"/>
  <c r="AW51" i="12" a="1"/>
  <c r="AW51" i="12" s="1"/>
  <c r="AZ51" i="12" s="1" a="1"/>
  <c r="AZ51" i="12" s="1"/>
  <c r="W74" i="12"/>
  <c r="AE74" i="12"/>
  <c r="AN74" i="12"/>
  <c r="X75" i="12"/>
  <c r="AB74" i="12"/>
  <c r="AF75" i="12"/>
  <c r="AJ74" i="12"/>
  <c r="AO75" i="12"/>
  <c r="AS75" i="12"/>
  <c r="AW74" i="12"/>
  <c r="Y75" i="12"/>
  <c r="AC75" i="12"/>
  <c r="AG75" i="12"/>
  <c r="AK75" i="12"/>
  <c r="AP75" i="12"/>
  <c r="AT75" i="12"/>
  <c r="AX75" i="12"/>
  <c r="V75" i="12"/>
  <c r="Z75" i="12"/>
  <c r="AD75" i="12"/>
  <c r="AH75" i="12"/>
  <c r="AM75" i="12"/>
  <c r="AQ75" i="12"/>
  <c r="AU75" i="12"/>
  <c r="AY75" i="12"/>
  <c r="AZ57" i="12" a="1"/>
  <c r="AZ57" i="12" s="1"/>
  <c r="AZ41" i="12" a="1"/>
  <c r="AZ41" i="12" s="1"/>
  <c r="AZ37" i="12" a="1"/>
  <c r="AZ37" i="12" s="1"/>
  <c r="AZ33" i="12" a="1"/>
  <c r="AZ33" i="12" s="1"/>
  <c r="AZ29" i="12" a="1"/>
  <c r="AZ29" i="12" s="1"/>
  <c r="AZ25" i="12" a="1"/>
  <c r="AZ25" i="12" s="1"/>
  <c r="AZ56" i="12" a="1"/>
  <c r="AZ56" i="12" s="1"/>
  <c r="AZ40" i="12" a="1"/>
  <c r="AZ40" i="12" s="1"/>
  <c r="AZ36" i="12" a="1"/>
  <c r="AZ36" i="12" s="1"/>
  <c r="AZ32" i="12" a="1"/>
  <c r="AZ32" i="12" s="1"/>
  <c r="AZ28" i="12" a="1"/>
  <c r="AZ28" i="12" s="1"/>
  <c r="AZ55" i="12" a="1"/>
  <c r="AZ55" i="12" s="1"/>
  <c r="AZ43" i="12" a="1"/>
  <c r="AZ43" i="12" s="1"/>
  <c r="AZ39" i="12" a="1"/>
  <c r="AZ39" i="12" s="1"/>
  <c r="AZ35" i="12" a="1"/>
  <c r="AZ35" i="12" s="1"/>
  <c r="AZ31" i="12" a="1"/>
  <c r="AZ31" i="12" s="1"/>
  <c r="AZ27" i="12" a="1"/>
  <c r="AZ27" i="12" s="1"/>
  <c r="AZ58" i="12" a="1"/>
  <c r="AZ58" i="12" s="1"/>
  <c r="AZ42" i="12" a="1"/>
  <c r="AZ42" i="12" s="1"/>
  <c r="AZ38" i="12" a="1"/>
  <c r="AZ38" i="12" s="1"/>
  <c r="AZ34" i="12" a="1"/>
  <c r="AZ34" i="12" s="1"/>
  <c r="AZ30" i="12" a="1"/>
  <c r="AZ30" i="12" s="1"/>
  <c r="AZ26" i="12" a="1"/>
  <c r="AZ26" i="12" s="1"/>
  <c r="BW27" i="12"/>
  <c r="BW31" i="12"/>
  <c r="BW34" i="12"/>
  <c r="BW41" i="12"/>
  <c r="BW45" i="12"/>
  <c r="BW49" i="12"/>
  <c r="H53" i="12"/>
  <c r="H54" i="12"/>
  <c r="BW55" i="12"/>
  <c r="BW59" i="12"/>
  <c r="BW25" i="12"/>
  <c r="BW29" i="12"/>
  <c r="BW33" i="12"/>
  <c r="BW35" i="12"/>
  <c r="BW39" i="12"/>
  <c r="BT42" i="12"/>
  <c r="BW43" i="12"/>
  <c r="BW47" i="12"/>
  <c r="BW51" i="12"/>
  <c r="BW65" i="12"/>
  <c r="I54" i="12"/>
  <c r="BW60" i="12"/>
  <c r="BW26" i="12"/>
  <c r="BW30" i="12"/>
  <c r="CL34" i="12"/>
  <c r="G34" i="12" s="1"/>
  <c r="BW36" i="12"/>
  <c r="BW40" i="12"/>
  <c r="BW44" i="12"/>
  <c r="BW48" i="12"/>
  <c r="BW52" i="12"/>
  <c r="G53" i="12"/>
  <c r="G54" i="12"/>
  <c r="BW58" i="12"/>
  <c r="BW62" i="12"/>
  <c r="AL59" i="12"/>
  <c r="CN27" i="12"/>
  <c r="I27" i="12" s="1"/>
  <c r="CL50" i="12"/>
  <c r="G50" i="12" s="1"/>
  <c r="S25" i="12"/>
  <c r="O25" i="12"/>
  <c r="O57" i="12"/>
  <c r="O58" i="12"/>
  <c r="N58" i="12" s="1"/>
  <c r="O47" i="12"/>
  <c r="N47" i="12" s="1"/>
  <c r="CN26" i="12"/>
  <c r="I26" i="12" s="1"/>
  <c r="CM30" i="12"/>
  <c r="H30" i="12" s="1"/>
  <c r="O43" i="12"/>
  <c r="N43" i="12" s="1"/>
  <c r="CM58" i="12"/>
  <c r="H58" i="12" s="1"/>
  <c r="CL25" i="12"/>
  <c r="G25" i="12" s="1"/>
  <c r="CN28" i="12"/>
  <c r="I28" i="12" s="1"/>
  <c r="CN29" i="12"/>
  <c r="I29" i="12" s="1"/>
  <c r="CM32" i="12"/>
  <c r="H32" i="12" s="1"/>
  <c r="CM33" i="12"/>
  <c r="H33" i="12" s="1"/>
  <c r="CM34" i="12"/>
  <c r="H34" i="12" s="1"/>
  <c r="CM36" i="12"/>
  <c r="H36" i="12" s="1"/>
  <c r="CN37" i="12"/>
  <c r="I37" i="12" s="1"/>
  <c r="CL38" i="12"/>
  <c r="G38" i="12" s="1"/>
  <c r="CL39" i="12"/>
  <c r="G39" i="12" s="1"/>
  <c r="CN42" i="12"/>
  <c r="I42" i="12" s="1"/>
  <c r="CM45" i="12"/>
  <c r="H45" i="12" s="1"/>
  <c r="O45" i="12"/>
  <c r="N45" i="12" s="1"/>
  <c r="CL46" i="12"/>
  <c r="G46" i="12" s="1"/>
  <c r="CM48" i="12"/>
  <c r="H48" i="12" s="1"/>
  <c r="CL51" i="12"/>
  <c r="G51" i="12" s="1"/>
  <c r="CL52" i="12"/>
  <c r="G52" i="12" s="1"/>
  <c r="CL55" i="12"/>
  <c r="G55" i="12" s="1"/>
  <c r="CM56" i="12"/>
  <c r="H56" i="12" s="1"/>
  <c r="CL58" i="12"/>
  <c r="G58" i="12" s="1"/>
  <c r="CM59" i="12"/>
  <c r="H59" i="12" s="1"/>
  <c r="CM62" i="12"/>
  <c r="H62" i="12" s="1"/>
  <c r="O63" i="12"/>
  <c r="CL65" i="12"/>
  <c r="G65" i="12" s="1"/>
  <c r="CN41" i="12"/>
  <c r="I41" i="12" s="1"/>
  <c r="I58" i="12"/>
  <c r="CN35" i="12"/>
  <c r="I35" i="12" s="1"/>
  <c r="CN39" i="12"/>
  <c r="I39" i="12" s="1"/>
  <c r="CL43" i="12"/>
  <c r="G43" i="12" s="1"/>
  <c r="CM47" i="12"/>
  <c r="H47" i="12" s="1"/>
  <c r="CL57" i="12"/>
  <c r="G57" i="12" s="1"/>
  <c r="S48" i="12"/>
  <c r="AB75" i="12"/>
  <c r="V59" i="12"/>
  <c r="Z59" i="12"/>
  <c r="AD59" i="12"/>
  <c r="AB73" i="12"/>
  <c r="X74" i="12"/>
  <c r="AH59" i="12"/>
  <c r="AM59" i="12"/>
  <c r="AQ59" i="12"/>
  <c r="AW73" i="12"/>
  <c r="AS74" i="12"/>
  <c r="AW75" i="12"/>
  <c r="AJ73" i="12"/>
  <c r="AF74" i="12"/>
  <c r="AJ75" i="12"/>
  <c r="AO74" i="12"/>
  <c r="CM31" i="12"/>
  <c r="H31" i="12" s="1"/>
  <c r="CN34" i="12"/>
  <c r="I34" i="12" s="1"/>
  <c r="CM40" i="12"/>
  <c r="H40" i="12" s="1"/>
  <c r="CN43" i="12"/>
  <c r="I43" i="12" s="1"/>
  <c r="CM64" i="12"/>
  <c r="H64" i="12" s="1"/>
  <c r="X59" i="12"/>
  <c r="AF59" i="12"/>
  <c r="AO59" i="12"/>
  <c r="AS59" i="12"/>
  <c r="CM46" i="12"/>
  <c r="H46" i="12" s="1"/>
  <c r="CM55" i="12"/>
  <c r="H55" i="12" s="1"/>
  <c r="I56" i="12"/>
  <c r="AC59" i="12"/>
  <c r="AG59" i="12"/>
  <c r="AK59" i="12"/>
  <c r="AP59" i="12"/>
  <c r="AT59" i="12"/>
  <c r="CN38" i="12"/>
  <c r="I38" i="12" s="1"/>
  <c r="CL42" i="12"/>
  <c r="G42" i="12" s="1"/>
  <c r="CM35" i="12"/>
  <c r="H35" i="12" s="1"/>
  <c r="O42" i="12"/>
  <c r="N42" i="12" s="1"/>
  <c r="AZ61" i="12" a="1"/>
  <c r="AZ61" i="12" s="1"/>
  <c r="AZ62" i="12" a="1"/>
  <c r="AZ62" i="12" s="1"/>
  <c r="AZ64" i="12" a="1"/>
  <c r="AZ64" i="12" s="1"/>
  <c r="AZ63" i="12" a="1"/>
  <c r="AZ63" i="12" s="1"/>
  <c r="AZ65" i="12" a="1"/>
  <c r="AZ65" i="12" s="1"/>
  <c r="CL62" i="12"/>
  <c r="G62" i="12" s="1"/>
  <c r="AB60" i="12"/>
  <c r="AA75" i="12"/>
  <c r="AA73" i="12"/>
  <c r="AI75" i="12"/>
  <c r="AI73" i="12"/>
  <c r="AR75" i="12"/>
  <c r="AR73" i="12"/>
  <c r="AV75" i="12"/>
  <c r="AV73" i="12"/>
  <c r="AE75" i="12"/>
  <c r="CN30" i="12"/>
  <c r="I30" i="12" s="1"/>
  <c r="CN31" i="12"/>
  <c r="I31" i="12" s="1"/>
  <c r="AE59" i="12"/>
  <c r="AN59" i="12"/>
  <c r="CL26" i="12"/>
  <c r="G26" i="12" s="1"/>
  <c r="CL27" i="12"/>
  <c r="G27" i="12" s="1"/>
  <c r="CL28" i="12"/>
  <c r="G28" i="12" s="1"/>
  <c r="CL29" i="12"/>
  <c r="G29" i="12" s="1"/>
  <c r="CL37" i="12"/>
  <c r="G37" i="12" s="1"/>
  <c r="CM39" i="12"/>
  <c r="H39" i="12" s="1"/>
  <c r="CL41" i="12"/>
  <c r="G41" i="12" s="1"/>
  <c r="CM43" i="12"/>
  <c r="H43" i="12" s="1"/>
  <c r="CM44" i="12"/>
  <c r="H44" i="12" s="1"/>
  <c r="CN46" i="12"/>
  <c r="I46" i="12" s="1"/>
  <c r="CM49" i="12"/>
  <c r="H49" i="12" s="1"/>
  <c r="I55" i="12"/>
  <c r="BD59" i="12"/>
  <c r="CL59" i="12"/>
  <c r="G59" i="12" s="1"/>
  <c r="CL60" i="12"/>
  <c r="G60" i="12" s="1"/>
  <c r="CM60" i="12"/>
  <c r="H60" i="12" s="1"/>
  <c r="CM63" i="12"/>
  <c r="H63" i="12" s="1"/>
  <c r="CL63" i="12"/>
  <c r="G63" i="12" s="1"/>
  <c r="W73" i="12"/>
  <c r="AN73" i="12"/>
  <c r="AA74" i="12"/>
  <c r="AR74" i="12"/>
  <c r="AA59" i="12"/>
  <c r="AI59" i="12"/>
  <c r="AR59" i="12"/>
  <c r="CM25" i="12"/>
  <c r="H25" i="12" s="1"/>
  <c r="AJ59" i="12"/>
  <c r="CN25" i="12"/>
  <c r="I25" i="12" s="1"/>
  <c r="CM26" i="12"/>
  <c r="H26" i="12" s="1"/>
  <c r="CM27" i="12"/>
  <c r="H27" i="12" s="1"/>
  <c r="CM28" i="12"/>
  <c r="H28" i="12" s="1"/>
  <c r="CM29" i="12"/>
  <c r="H29" i="12" s="1"/>
  <c r="CL30" i="12"/>
  <c r="G30" i="12" s="1"/>
  <c r="CL31" i="12"/>
  <c r="G31" i="12" s="1"/>
  <c r="CL32" i="12"/>
  <c r="G32" i="12" s="1"/>
  <c r="CL35" i="12"/>
  <c r="G35" i="12" s="1"/>
  <c r="CL36" i="12"/>
  <c r="G36" i="12" s="1"/>
  <c r="CM38" i="12"/>
  <c r="H38" i="12" s="1"/>
  <c r="CL40" i="12"/>
  <c r="G40" i="12" s="1"/>
  <c r="CM42" i="12"/>
  <c r="H42" i="12" s="1"/>
  <c r="CL47" i="12"/>
  <c r="G47" i="12" s="1"/>
  <c r="CM50" i="12"/>
  <c r="H50" i="12" s="1"/>
  <c r="CM52" i="12"/>
  <c r="H52" i="12" s="1"/>
  <c r="CM57" i="12"/>
  <c r="H57" i="12" s="1"/>
  <c r="BH59" i="12"/>
  <c r="BH65" i="12" s="1"/>
  <c r="CM61" i="12"/>
  <c r="H61" i="12" s="1"/>
  <c r="W75" i="12"/>
  <c r="AN75" i="12"/>
  <c r="CN32" i="12"/>
  <c r="I32" i="12" s="1"/>
  <c r="CN33" i="12"/>
  <c r="I33" i="12" s="1"/>
  <c r="BF59" i="12"/>
  <c r="BF65" i="12" s="1"/>
  <c r="W59" i="12"/>
  <c r="BI59" i="12"/>
  <c r="BE59" i="12"/>
  <c r="BE65" i="12" s="1"/>
  <c r="BG59" i="12"/>
  <c r="BG65" i="12" s="1"/>
  <c r="Y59" i="12"/>
  <c r="CN36" i="12"/>
  <c r="I36" i="12" s="1"/>
  <c r="CM37" i="12"/>
  <c r="H37" i="12" s="1"/>
  <c r="CN40" i="12"/>
  <c r="I40" i="12" s="1"/>
  <c r="CM41" i="12"/>
  <c r="H41" i="12" s="1"/>
  <c r="CL44" i="12"/>
  <c r="G44" i="12" s="1"/>
  <c r="CL45" i="12"/>
  <c r="G45" i="12" s="1"/>
  <c r="CL48" i="12"/>
  <c r="G48" i="12" s="1"/>
  <c r="CL49" i="12"/>
  <c r="G49" i="12" s="1"/>
  <c r="CN50" i="12"/>
  <c r="I50" i="12" s="1"/>
  <c r="CM51" i="12"/>
  <c r="H51" i="12" s="1"/>
  <c r="CL56" i="12"/>
  <c r="G56" i="12" s="1"/>
  <c r="BK59" i="12"/>
  <c r="BK65" i="12" s="1"/>
  <c r="I60" i="12"/>
  <c r="CL61" i="12"/>
  <c r="G61" i="12" s="1"/>
  <c r="CL64" i="12"/>
  <c r="G64" i="12" s="1"/>
  <c r="AE73" i="12"/>
  <c r="AI74" i="12"/>
  <c r="AV74" i="12"/>
  <c r="I62" i="12"/>
  <c r="X73" i="12"/>
  <c r="AF73" i="12"/>
  <c r="AO73" i="12"/>
  <c r="AS73" i="12"/>
  <c r="CM65" i="12"/>
  <c r="H65" i="12" s="1"/>
  <c r="Y73" i="12"/>
  <c r="AC73" i="12"/>
  <c r="AG73" i="12"/>
  <c r="AK73" i="12"/>
  <c r="AP73" i="12"/>
  <c r="AT73" i="12"/>
  <c r="AX73" i="12"/>
  <c r="Y74" i="12"/>
  <c r="AC74" i="12"/>
  <c r="AG74" i="12"/>
  <c r="AK74" i="12"/>
  <c r="AP74" i="12"/>
  <c r="AT74" i="12"/>
  <c r="AX74" i="12"/>
  <c r="N81" i="12"/>
  <c r="V73" i="12"/>
  <c r="Z73" i="12"/>
  <c r="AD73" i="12"/>
  <c r="AH73" i="12"/>
  <c r="AM73" i="12"/>
  <c r="AQ73" i="12"/>
  <c r="AU73" i="12"/>
  <c r="AY73" i="12"/>
  <c r="V74" i="12"/>
  <c r="Z74" i="12"/>
  <c r="AD74" i="12"/>
  <c r="AH74" i="12"/>
  <c r="AM74" i="12"/>
  <c r="AQ74" i="12"/>
  <c r="AU74" i="12"/>
  <c r="AY74" i="12"/>
  <c r="O80" i="12"/>
  <c r="Q80" i="12"/>
  <c r="E130" i="12"/>
  <c r="E42" i="12" l="1"/>
  <c r="E39" i="12"/>
  <c r="BG76" i="12" s="1"/>
  <c r="BG72" i="12" s="1"/>
  <c r="S29" i="12"/>
  <c r="BH78" i="12"/>
  <c r="S30" i="12"/>
  <c r="S52" i="12"/>
  <c r="BL80" i="12"/>
  <c r="BL78" i="12"/>
  <c r="BL83" i="12"/>
  <c r="BL79" i="12"/>
  <c r="BL85" i="12"/>
  <c r="BL82" i="12"/>
  <c r="BL77" i="12"/>
  <c r="BL88" i="12"/>
  <c r="BL86" i="12"/>
  <c r="BL84" i="12"/>
  <c r="BL81" i="12"/>
  <c r="BL89" i="12"/>
  <c r="BL87" i="12"/>
  <c r="S26" i="12"/>
  <c r="S58" i="12"/>
  <c r="AZ48" i="12" a="1"/>
  <c r="AZ48" i="12" s="1"/>
  <c r="AZ52" i="12" a="1"/>
  <c r="AZ52" i="12" s="1"/>
  <c r="S40" i="12"/>
  <c r="S36" i="12"/>
  <c r="S44" i="12"/>
  <c r="S62" i="12"/>
  <c r="S31" i="12"/>
  <c r="N25" i="12"/>
  <c r="S64" i="12"/>
  <c r="O61" i="12"/>
  <c r="O28" i="12"/>
  <c r="N28" i="12" s="1"/>
  <c r="O38" i="12"/>
  <c r="N38" i="12" s="1"/>
  <c r="O50" i="12"/>
  <c r="N50" i="12" s="1"/>
  <c r="O41" i="12"/>
  <c r="N41" i="12" s="1"/>
  <c r="O27" i="12"/>
  <c r="N27" i="12" s="1"/>
  <c r="O51" i="12"/>
  <c r="N51" i="12" s="1"/>
  <c r="O33" i="12"/>
  <c r="N33" i="12" s="1"/>
  <c r="O56" i="12"/>
  <c r="N56" i="12" s="1"/>
  <c r="O62" i="12"/>
  <c r="O30" i="12"/>
  <c r="N30" i="12" s="1"/>
  <c r="O59" i="12"/>
  <c r="S63" i="12"/>
  <c r="O29" i="12"/>
  <c r="N29" i="12" s="1"/>
  <c r="O54" i="12"/>
  <c r="N54" i="12" s="1"/>
  <c r="O46" i="12"/>
  <c r="N46" i="12" s="1"/>
  <c r="O55" i="12"/>
  <c r="N55" i="12" s="1"/>
  <c r="O49" i="12"/>
  <c r="N49" i="12" s="1"/>
  <c r="O34" i="12"/>
  <c r="N34" i="12" s="1"/>
  <c r="O39" i="12"/>
  <c r="N39" i="12" s="1"/>
  <c r="O40" i="12"/>
  <c r="N40" i="12" s="1"/>
  <c r="O44" i="12"/>
  <c r="N44" i="12" s="1"/>
  <c r="O48" i="12"/>
  <c r="N48" i="12" s="1"/>
  <c r="S61" i="12"/>
  <c r="O31" i="12"/>
  <c r="N31" i="12" s="1"/>
  <c r="N63" i="12"/>
  <c r="O60" i="12"/>
  <c r="O52" i="12"/>
  <c r="N52" i="12" s="1"/>
  <c r="O37" i="12"/>
  <c r="N37" i="12" s="1"/>
  <c r="O35" i="12"/>
  <c r="N35" i="12" s="1"/>
  <c r="O64" i="12"/>
  <c r="O32" i="12"/>
  <c r="N32" i="12" s="1"/>
  <c r="O36" i="12"/>
  <c r="N36" i="12" s="1"/>
  <c r="O26" i="12"/>
  <c r="N26" i="12" s="1"/>
  <c r="O53" i="12"/>
  <c r="N53" i="12" s="1"/>
  <c r="AY44" i="12"/>
  <c r="AZ54" i="12" a="1"/>
  <c r="AZ54" i="12" s="1"/>
  <c r="AZ50" i="12" a="1"/>
  <c r="AZ50" i="12" s="1"/>
  <c r="AZ47" i="12" a="1"/>
  <c r="AZ47" i="12" s="1"/>
  <c r="AV45" i="12"/>
  <c r="AV46" i="12"/>
  <c r="AZ53" i="12" a="1"/>
  <c r="AZ53" i="12" s="1"/>
  <c r="AW44" i="12"/>
  <c r="AU46" i="12"/>
  <c r="AU45" i="12"/>
  <c r="AE77" i="12"/>
  <c r="AF79" i="12"/>
  <c r="AM83" i="12"/>
  <c r="Y83" i="12"/>
  <c r="AJ80" i="12"/>
  <c r="AA83" i="12"/>
  <c r="AB59" i="12"/>
  <c r="AB89" i="12" s="1"/>
  <c r="AT84" i="12"/>
  <c r="AG79" i="12"/>
  <c r="X80" i="12"/>
  <c r="AH79" i="12"/>
  <c r="AD87" i="12"/>
  <c r="AC79" i="12"/>
  <c r="AS80" i="12"/>
  <c r="Z77" i="12"/>
  <c r="AL84" i="12"/>
  <c r="AR79" i="12"/>
  <c r="AN77" i="12"/>
  <c r="AP84" i="12"/>
  <c r="AO87" i="12"/>
  <c r="AL78" i="12"/>
  <c r="AL89" i="12"/>
  <c r="AL80" i="12"/>
  <c r="AL86" i="12"/>
  <c r="AL85" i="12"/>
  <c r="AL88" i="12"/>
  <c r="AL82" i="12"/>
  <c r="AL81" i="12"/>
  <c r="AL77" i="12"/>
  <c r="S43" i="12"/>
  <c r="S54" i="12"/>
  <c r="AL87" i="12"/>
  <c r="AL79" i="12"/>
  <c r="S45" i="12"/>
  <c r="S28" i="12"/>
  <c r="S46" i="12"/>
  <c r="S56" i="12"/>
  <c r="S33" i="12"/>
  <c r="AL83" i="12"/>
  <c r="S47" i="12"/>
  <c r="S37" i="12"/>
  <c r="S60" i="12"/>
  <c r="S38" i="12"/>
  <c r="S41" i="12"/>
  <c r="S27" i="12"/>
  <c r="S59" i="12"/>
  <c r="S51" i="12"/>
  <c r="S65" i="12"/>
  <c r="S53" i="12"/>
  <c r="BJ82" i="12"/>
  <c r="S42" i="12"/>
  <c r="S35" i="12"/>
  <c r="S50" i="12"/>
  <c r="S34" i="12"/>
  <c r="S49" i="12"/>
  <c r="S32" i="12"/>
  <c r="S55" i="12"/>
  <c r="BG82" i="12"/>
  <c r="AE81" i="12"/>
  <c r="AP83" i="12"/>
  <c r="Z88" i="12"/>
  <c r="AH80" i="12"/>
  <c r="AH78" i="12"/>
  <c r="AH88" i="12"/>
  <c r="AQ78" i="12"/>
  <c r="AG86" i="12"/>
  <c r="AF89" i="12"/>
  <c r="AT86" i="12"/>
  <c r="AG80" i="12"/>
  <c r="AG84" i="12"/>
  <c r="Z79" i="12"/>
  <c r="AI85" i="12"/>
  <c r="AK83" i="12"/>
  <c r="AE86" i="12"/>
  <c r="AT78" i="12"/>
  <c r="AQ89" i="12"/>
  <c r="AF85" i="12"/>
  <c r="Z84" i="12"/>
  <c r="AT80" i="12"/>
  <c r="AQ86" i="12"/>
  <c r="AE78" i="12"/>
  <c r="AG81" i="12"/>
  <c r="AQ87" i="12"/>
  <c r="Z80" i="12"/>
  <c r="Z83" i="12"/>
  <c r="V86" i="12"/>
  <c r="AJ82" i="12"/>
  <c r="AE85" i="12"/>
  <c r="V78" i="12"/>
  <c r="AM77" i="12"/>
  <c r="V87" i="12"/>
  <c r="W86" i="12"/>
  <c r="AM79" i="12"/>
  <c r="AM82" i="12"/>
  <c r="AM88" i="12"/>
  <c r="AM81" i="12"/>
  <c r="V84" i="12"/>
  <c r="V80" i="12"/>
  <c r="V77" i="12"/>
  <c r="V83" i="12"/>
  <c r="V82" i="12"/>
  <c r="V89" i="12"/>
  <c r="AM85" i="12"/>
  <c r="V81" i="12"/>
  <c r="AM80" i="12"/>
  <c r="AH82" i="12"/>
  <c r="AO89" i="12"/>
  <c r="AH81" i="12"/>
  <c r="AH87" i="12"/>
  <c r="AH83" i="12"/>
  <c r="AK79" i="12"/>
  <c r="AH77" i="12"/>
  <c r="AH84" i="12"/>
  <c r="AJ86" i="12"/>
  <c r="AJ88" i="12"/>
  <c r="AH86" i="12"/>
  <c r="AH89" i="12"/>
  <c r="AH85" i="12"/>
  <c r="AO85" i="12"/>
  <c r="AE87" i="12"/>
  <c r="AK80" i="12"/>
  <c r="AP86" i="12"/>
  <c r="Z86" i="12"/>
  <c r="AE82" i="12"/>
  <c r="AP82" i="12"/>
  <c r="AS78" i="12"/>
  <c r="AI89" i="12"/>
  <c r="AJ89" i="12"/>
  <c r="AR88" i="12"/>
  <c r="AQ81" i="12"/>
  <c r="AE84" i="12"/>
  <c r="AS84" i="12"/>
  <c r="AC80" i="12"/>
  <c r="AQ83" i="12"/>
  <c r="AC78" i="12"/>
  <c r="Z82" i="12"/>
  <c r="Z78" i="12"/>
  <c r="AE89" i="12"/>
  <c r="AE88" i="12"/>
  <c r="AQ85" i="12"/>
  <c r="AJ85" i="12"/>
  <c r="Z87" i="12"/>
  <c r="AQ84" i="12"/>
  <c r="AE80" i="12"/>
  <c r="AE83" i="12"/>
  <c r="AE79" i="12"/>
  <c r="X86" i="12"/>
  <c r="AQ82" i="12"/>
  <c r="AS82" i="12"/>
  <c r="X89" i="12"/>
  <c r="AS89" i="12"/>
  <c r="AC88" i="12"/>
  <c r="Z85" i="12"/>
  <c r="AJ81" i="12"/>
  <c r="Z81" i="12"/>
  <c r="AQ77" i="12"/>
  <c r="AS77" i="12"/>
  <c r="AQ80" i="12"/>
  <c r="AS79" i="12"/>
  <c r="W77" i="12"/>
  <c r="AR86" i="12"/>
  <c r="AM86" i="12"/>
  <c r="Y82" i="12"/>
  <c r="AK78" i="12"/>
  <c r="AM78" i="12"/>
  <c r="AJ78" i="12"/>
  <c r="AM89" i="12"/>
  <c r="Z89" i="12"/>
  <c r="AK89" i="12"/>
  <c r="V88" i="12"/>
  <c r="AQ88" i="12"/>
  <c r="V85" i="12"/>
  <c r="X81" i="12"/>
  <c r="AS87" i="12"/>
  <c r="AM87" i="12"/>
  <c r="AM84" i="12"/>
  <c r="AP80" i="12"/>
  <c r="AO83" i="12"/>
  <c r="AP79" i="12"/>
  <c r="V79" i="12"/>
  <c r="AQ79" i="12"/>
  <c r="AC86" i="12"/>
  <c r="AI82" i="12"/>
  <c r="X88" i="12"/>
  <c r="AR85" i="12"/>
  <c r="X85" i="12"/>
  <c r="AC81" i="12"/>
  <c r="AC77" i="12"/>
  <c r="X87" i="12"/>
  <c r="X83" i="12"/>
  <c r="AN79" i="12"/>
  <c r="X79" i="12"/>
  <c r="AC89" i="12"/>
  <c r="AC85" i="12"/>
  <c r="X77" i="12"/>
  <c r="AC87" i="12"/>
  <c r="AC84" i="12"/>
  <c r="AC83" i="12"/>
  <c r="AC82" i="12"/>
  <c r="X82" i="12"/>
  <c r="X78" i="12"/>
  <c r="X84" i="12"/>
  <c r="AO86" i="12"/>
  <c r="AK82" i="12"/>
  <c r="AD82" i="12"/>
  <c r="AK85" i="12"/>
  <c r="AD85" i="12"/>
  <c r="AO81" i="12"/>
  <c r="AD77" i="12"/>
  <c r="AI87" i="12"/>
  <c r="AD84" i="12"/>
  <c r="AD80" i="12"/>
  <c r="AN80" i="12"/>
  <c r="AD83" i="12"/>
  <c r="AI86" i="12"/>
  <c r="AO82" i="12"/>
  <c r="AD78" i="12"/>
  <c r="AD89" i="12"/>
  <c r="AN89" i="12"/>
  <c r="AI88" i="12"/>
  <c r="AK88" i="12"/>
  <c r="AK87" i="12"/>
  <c r="AI84" i="12"/>
  <c r="AO84" i="12"/>
  <c r="AO80" i="12"/>
  <c r="AD79" i="12"/>
  <c r="AO79" i="12"/>
  <c r="AK86" i="12"/>
  <c r="AD86" i="12"/>
  <c r="AN82" i="12"/>
  <c r="AI78" i="12"/>
  <c r="AN78" i="12"/>
  <c r="AO78" i="12"/>
  <c r="AO88" i="12"/>
  <c r="AD88" i="12"/>
  <c r="AI81" i="12"/>
  <c r="AK81" i="12"/>
  <c r="AD81" i="12"/>
  <c r="AI77" i="12"/>
  <c r="AO77" i="12"/>
  <c r="AK77" i="12"/>
  <c r="AN87" i="12"/>
  <c r="AK84" i="12"/>
  <c r="W78" i="12"/>
  <c r="AZ60" i="12" a="1"/>
  <c r="AZ60" i="12" s="1"/>
  <c r="AA86" i="12"/>
  <c r="BG86" i="12"/>
  <c r="AT82" i="12"/>
  <c r="AN86" i="12"/>
  <c r="AS86" i="12"/>
  <c r="AG82" i="12"/>
  <c r="AF82" i="12"/>
  <c r="AA78" i="12"/>
  <c r="BE84" i="12"/>
  <c r="AP78" i="12"/>
  <c r="AF78" i="12"/>
  <c r="AA89" i="12"/>
  <c r="AR89" i="12"/>
  <c r="AG89" i="12"/>
  <c r="AT89" i="12"/>
  <c r="AA88" i="12"/>
  <c r="AP88" i="12"/>
  <c r="AT85" i="12"/>
  <c r="AS85" i="12"/>
  <c r="AF81" i="12"/>
  <c r="AG77" i="12"/>
  <c r="AG87" i="12"/>
  <c r="AT87" i="12"/>
  <c r="BJ87" i="12"/>
  <c r="AF84" i="12"/>
  <c r="BJ84" i="12"/>
  <c r="AF80" i="12"/>
  <c r="AA80" i="12"/>
  <c r="AG83" i="12"/>
  <c r="AS83" i="12"/>
  <c r="BD65" i="12"/>
  <c r="AF86" i="12"/>
  <c r="AR82" i="12"/>
  <c r="AR78" i="12"/>
  <c r="AP89" i="12"/>
  <c r="AT77" i="12"/>
  <c r="BH79" i="12"/>
  <c r="AN88" i="12"/>
  <c r="AS88" i="12"/>
  <c r="AG88" i="12"/>
  <c r="AT88" i="12"/>
  <c r="AP85" i="12"/>
  <c r="AN85" i="12"/>
  <c r="BG85" i="12"/>
  <c r="AN81" i="12"/>
  <c r="AP81" i="12"/>
  <c r="AS81" i="12"/>
  <c r="AA77" i="12"/>
  <c r="AP77" i="12"/>
  <c r="BJ77" i="12"/>
  <c r="AA87" i="12"/>
  <c r="AP87" i="12"/>
  <c r="AA84" i="12"/>
  <c r="BJ80" i="12"/>
  <c r="AI80" i="12"/>
  <c r="AT83" i="12"/>
  <c r="AT79" i="12"/>
  <c r="AA82" i="12"/>
  <c r="AG78" i="12"/>
  <c r="AF88" i="12"/>
  <c r="AG85" i="12"/>
  <c r="AA85" i="12"/>
  <c r="AT81" i="12"/>
  <c r="AA81" i="12"/>
  <c r="AF77" i="12"/>
  <c r="BG87" i="12"/>
  <c r="AF87" i="12"/>
  <c r="AF83" i="12"/>
  <c r="AB86" i="12"/>
  <c r="AB82" i="12"/>
  <c r="BE80" i="12"/>
  <c r="W80" i="12"/>
  <c r="BE83" i="12"/>
  <c r="BG83" i="12"/>
  <c r="BK83" i="12"/>
  <c r="BF83" i="12"/>
  <c r="BF86" i="12"/>
  <c r="BK82" i="12"/>
  <c r="BF82" i="12"/>
  <c r="BH82" i="12"/>
  <c r="BG78" i="12"/>
  <c r="BK78" i="12"/>
  <c r="BJ78" i="12"/>
  <c r="BF89" i="12"/>
  <c r="BG88" i="12"/>
  <c r="BF88" i="12"/>
  <c r="BF85" i="12"/>
  <c r="BK85" i="12"/>
  <c r="BH85" i="12"/>
  <c r="W81" i="12"/>
  <c r="BG81" i="12"/>
  <c r="BF81" i="12"/>
  <c r="BK77" i="12"/>
  <c r="AR87" i="12"/>
  <c r="BH87" i="12"/>
  <c r="Y87" i="12"/>
  <c r="BE87" i="12"/>
  <c r="AR84" i="12"/>
  <c r="AN84" i="12"/>
  <c r="AR80" i="12"/>
  <c r="BG80" i="12"/>
  <c r="AI83" i="12"/>
  <c r="AJ83" i="12"/>
  <c r="AN83" i="12"/>
  <c r="BJ83" i="12"/>
  <c r="Y79" i="12"/>
  <c r="AA79" i="12"/>
  <c r="BG79" i="12"/>
  <c r="AJ79" i="12"/>
  <c r="Y78" i="12"/>
  <c r="BF78" i="12"/>
  <c r="BK89" i="12"/>
  <c r="Y89" i="12"/>
  <c r="BE85" i="12"/>
  <c r="BE81" i="12"/>
  <c r="BE77" i="12"/>
  <c r="BK87" i="12"/>
  <c r="Y80" i="12"/>
  <c r="BI65" i="12"/>
  <c r="N82" i="12"/>
  <c r="BH86" i="12"/>
  <c r="BJ86" i="12"/>
  <c r="W82" i="12"/>
  <c r="BE82" i="12"/>
  <c r="W89" i="12"/>
  <c r="BJ88" i="12"/>
  <c r="BH81" i="12"/>
  <c r="AR81" i="12"/>
  <c r="BJ81" i="12"/>
  <c r="AJ77" i="12"/>
  <c r="BG77" i="12"/>
  <c r="W87" i="12"/>
  <c r="BG84" i="12"/>
  <c r="AJ84" i="12"/>
  <c r="BH84" i="12"/>
  <c r="BH80" i="12"/>
  <c r="BF80" i="12"/>
  <c r="BK80" i="12"/>
  <c r="AR83" i="12"/>
  <c r="W83" i="12"/>
  <c r="BE79" i="12"/>
  <c r="W79" i="12"/>
  <c r="AI79" i="12"/>
  <c r="BF79" i="12"/>
  <c r="AZ74" i="12"/>
  <c r="AZ75" i="12"/>
  <c r="AZ73" i="12"/>
  <c r="BE78" i="12"/>
  <c r="BH89" i="12"/>
  <c r="BE89" i="12"/>
  <c r="Y81" i="12"/>
  <c r="Q81" i="12"/>
  <c r="O81" i="12"/>
  <c r="P81" i="12"/>
  <c r="BK86" i="12"/>
  <c r="Y86" i="12"/>
  <c r="BE86" i="12"/>
  <c r="BJ89" i="12"/>
  <c r="BG89" i="12"/>
  <c r="W88" i="12"/>
  <c r="BK88" i="12"/>
  <c r="BH88" i="12"/>
  <c r="Y88" i="12"/>
  <c r="BE88" i="12"/>
  <c r="Y85" i="12"/>
  <c r="BJ85" i="12"/>
  <c r="W85" i="12"/>
  <c r="BK81" i="12"/>
  <c r="AR77" i="12"/>
  <c r="Y77" i="12"/>
  <c r="BF77" i="12"/>
  <c r="BH77" i="12"/>
  <c r="AJ87" i="12"/>
  <c r="BF87" i="12"/>
  <c r="W84" i="12"/>
  <c r="Y84" i="12"/>
  <c r="BK84" i="12"/>
  <c r="BF84" i="12"/>
  <c r="BH83" i="12"/>
  <c r="BK79" i="12"/>
  <c r="BJ79" i="12"/>
  <c r="BK74" i="12"/>
  <c r="AB77" i="12" l="1"/>
  <c r="AB87" i="12"/>
  <c r="AB83" i="12"/>
  <c r="S39" i="12"/>
  <c r="AE76" i="12"/>
  <c r="AE72" i="12" s="1"/>
  <c r="AH76" i="12"/>
  <c r="AH72" i="12" s="1"/>
  <c r="AC76" i="12"/>
  <c r="AC72" i="12" s="1"/>
  <c r="BF76" i="12"/>
  <c r="BF72" i="12" s="1"/>
  <c r="BI76" i="12"/>
  <c r="BI72" i="12" s="1"/>
  <c r="BD76" i="12"/>
  <c r="BD72" i="12" s="1"/>
  <c r="AN76" i="12"/>
  <c r="AN72" i="12" s="1"/>
  <c r="AQ76" i="12"/>
  <c r="AQ72" i="12" s="1"/>
  <c r="AD76" i="12"/>
  <c r="AD72" i="12" s="1"/>
  <c r="AG76" i="12"/>
  <c r="AG72" i="12" s="1"/>
  <c r="AB76" i="12"/>
  <c r="AB72" i="12" s="1"/>
  <c r="BE76" i="12"/>
  <c r="BE72" i="12" s="1"/>
  <c r="BH76" i="12"/>
  <c r="BH72" i="12" s="1"/>
  <c r="BH74" i="12" s="1"/>
  <c r="AM76" i="12"/>
  <c r="AM72" i="12" s="1"/>
  <c r="AP76" i="12"/>
  <c r="AP72" i="12" s="1"/>
  <c r="AK76" i="12"/>
  <c r="AK72" i="12" s="1"/>
  <c r="X76" i="12"/>
  <c r="X72" i="12" s="1"/>
  <c r="AA76" i="12"/>
  <c r="AA72" i="12" s="1"/>
  <c r="BL76" i="12"/>
  <c r="BL72" i="12" s="1"/>
  <c r="BL74" i="12" s="1"/>
  <c r="AL76" i="12"/>
  <c r="AL72" i="12" s="1"/>
  <c r="AO76" i="12"/>
  <c r="AO72" i="12" s="1"/>
  <c r="AJ76" i="12"/>
  <c r="AJ72" i="12" s="1"/>
  <c r="V76" i="12"/>
  <c r="V72" i="12" s="1"/>
  <c r="Z76" i="12"/>
  <c r="Z72" i="12" s="1"/>
  <c r="BK76" i="12"/>
  <c r="AS76" i="12"/>
  <c r="AS72" i="12" s="1"/>
  <c r="AF76" i="12"/>
  <c r="AF72" i="12" s="1"/>
  <c r="AI76" i="12"/>
  <c r="AI72" i="12" s="1"/>
  <c r="W76" i="12"/>
  <c r="W72" i="12" s="1"/>
  <c r="Y76" i="12"/>
  <c r="Y72" i="12" s="1"/>
  <c r="BJ76" i="12"/>
  <c r="BJ72" i="12" s="1"/>
  <c r="BJ74" i="12" s="1"/>
  <c r="AT76" i="12"/>
  <c r="AT72" i="12" s="1"/>
  <c r="AR76" i="12"/>
  <c r="AR72" i="12" s="1"/>
  <c r="BI82" i="12"/>
  <c r="BD88" i="12"/>
  <c r="BK75" i="12"/>
  <c r="AB79" i="12"/>
  <c r="AB81" i="12"/>
  <c r="AB80" i="12"/>
  <c r="AB78" i="12"/>
  <c r="BE74" i="12"/>
  <c r="BG74" i="12"/>
  <c r="BF74" i="12"/>
  <c r="AB85" i="12"/>
  <c r="AB84" i="12"/>
  <c r="AB88" i="12"/>
  <c r="N61" i="12"/>
  <c r="N62" i="12"/>
  <c r="N64" i="12"/>
  <c r="N59" i="12"/>
  <c r="AY59" i="12"/>
  <c r="AY87" i="12" s="1"/>
  <c r="AX45" i="12" a="1"/>
  <c r="AX45" i="12" s="1"/>
  <c r="AZ45" i="12" s="1" a="1"/>
  <c r="AZ45" i="12" s="1"/>
  <c r="AU59" i="12"/>
  <c r="AU83" i="12" s="1"/>
  <c r="AX46" i="12" a="1"/>
  <c r="AX46" i="12" s="1"/>
  <c r="AW59" i="12"/>
  <c r="AW76" i="12" s="1"/>
  <c r="AV59" i="12"/>
  <c r="AV76" i="12" s="1"/>
  <c r="BI79" i="12"/>
  <c r="BK73" i="12"/>
  <c r="BI84" i="12"/>
  <c r="BI89" i="12"/>
  <c r="BD80" i="12"/>
  <c r="BD81" i="12"/>
  <c r="BD89" i="12"/>
  <c r="BD77" i="12"/>
  <c r="BD87" i="12"/>
  <c r="BD85" i="12"/>
  <c r="BD83" i="12"/>
  <c r="BD84" i="12"/>
  <c r="BI87" i="12"/>
  <c r="BI85" i="12"/>
  <c r="BI77" i="12"/>
  <c r="BF75" i="12"/>
  <c r="BD79" i="12"/>
  <c r="BD78" i="12"/>
  <c r="BD82" i="12"/>
  <c r="BD86" i="12"/>
  <c r="N83" i="12"/>
  <c r="BE75" i="12"/>
  <c r="BG75" i="12"/>
  <c r="BI78" i="12"/>
  <c r="BI86" i="12"/>
  <c r="BI81" i="12"/>
  <c r="BI88" i="12"/>
  <c r="BI83" i="12"/>
  <c r="BI80" i="12"/>
  <c r="P82" i="12"/>
  <c r="O82" i="12"/>
  <c r="Q82" i="12"/>
  <c r="BL75" i="12" l="1"/>
  <c r="AY76" i="12"/>
  <c r="AY72" i="12" s="1"/>
  <c r="AU76" i="12"/>
  <c r="AU72" i="12" s="1"/>
  <c r="BJ75" i="12"/>
  <c r="BH75" i="12"/>
  <c r="BK72" i="12"/>
  <c r="N57" i="12"/>
  <c r="BD74" i="12"/>
  <c r="BI74" i="12"/>
  <c r="BD75" i="12"/>
  <c r="AY84" i="12"/>
  <c r="AY81" i="12"/>
  <c r="AV72" i="12"/>
  <c r="AY79" i="12"/>
  <c r="AY88" i="12"/>
  <c r="AW72" i="12"/>
  <c r="AY80" i="12"/>
  <c r="AY83" i="12"/>
  <c r="AY85" i="12"/>
  <c r="AY89" i="12"/>
  <c r="AY82" i="12"/>
  <c r="AY78" i="12"/>
  <c r="AY86" i="12"/>
  <c r="AY77" i="12"/>
  <c r="AU77" i="12"/>
  <c r="AU78" i="12"/>
  <c r="AU87" i="12"/>
  <c r="AU84" i="12"/>
  <c r="AU85" i="12"/>
  <c r="AU88" i="12"/>
  <c r="AU81" i="12"/>
  <c r="AV78" i="12"/>
  <c r="AV89" i="12"/>
  <c r="AV80" i="12"/>
  <c r="AV88" i="12"/>
  <c r="AV77" i="12"/>
  <c r="AV82" i="12"/>
  <c r="AV79" i="12"/>
  <c r="AV83" i="12"/>
  <c r="AV86" i="12"/>
  <c r="AV85" i="12"/>
  <c r="AV84" i="12"/>
  <c r="AV87" i="12"/>
  <c r="AV81" i="12"/>
  <c r="AU80" i="12"/>
  <c r="AU89" i="12"/>
  <c r="AX44" i="12"/>
  <c r="AW89" i="12"/>
  <c r="AW83" i="12"/>
  <c r="AW87" i="12"/>
  <c r="AW85" i="12"/>
  <c r="AW82" i="12"/>
  <c r="AW81" i="12"/>
  <c r="AW86" i="12"/>
  <c r="AW88" i="12"/>
  <c r="AW84" i="12"/>
  <c r="AW78" i="12"/>
  <c r="AW77" i="12"/>
  <c r="AW80" i="12"/>
  <c r="AW79" i="12"/>
  <c r="AU86" i="12"/>
  <c r="AZ46" i="12" a="1"/>
  <c r="AZ46" i="12" s="1"/>
  <c r="AU79" i="12"/>
  <c r="AU82" i="12"/>
  <c r="BI75" i="12"/>
  <c r="N84" i="12"/>
  <c r="P83" i="12"/>
  <c r="O83" i="12"/>
  <c r="Q83" i="12"/>
  <c r="S57" i="12" l="1"/>
  <c r="AX59" i="12"/>
  <c r="AX77" i="12" s="1"/>
  <c r="AZ44" i="12" a="1"/>
  <c r="AZ44" i="12" s="1"/>
  <c r="N85" i="12"/>
  <c r="P84" i="12"/>
  <c r="Q84" i="12"/>
  <c r="O84" i="12"/>
  <c r="AX76" i="12" l="1"/>
  <c r="AX72" i="12" s="1"/>
  <c r="BJ71" i="12"/>
  <c r="BJ73" i="12" s="1"/>
  <c r="AP71" i="12"/>
  <c r="AP69" i="12" s="1"/>
  <c r="AT71" i="12"/>
  <c r="AT69" i="12" s="1"/>
  <c r="AS71" i="12"/>
  <c r="AS69" i="12" s="1"/>
  <c r="AF71" i="12"/>
  <c r="AF69" i="12" s="1"/>
  <c r="BK71" i="12"/>
  <c r="AL71" i="12"/>
  <c r="AL69" i="12" s="1"/>
  <c r="W71" i="12"/>
  <c r="W69" i="12" s="1"/>
  <c r="BE71" i="12"/>
  <c r="BE73" i="12" s="1"/>
  <c r="Z71" i="12"/>
  <c r="Z69" i="12" s="1"/>
  <c r="AK71" i="12"/>
  <c r="AK69" i="12" s="1"/>
  <c r="AH71" i="12"/>
  <c r="AH69" i="12" s="1"/>
  <c r="BL71" i="12"/>
  <c r="BL73" i="12" s="1"/>
  <c r="AC71" i="12"/>
  <c r="AC69" i="12" s="1"/>
  <c r="AQ71" i="12"/>
  <c r="AQ69" i="12" s="1"/>
  <c r="AN71" i="12"/>
  <c r="AN69" i="12" s="1"/>
  <c r="AE71" i="12"/>
  <c r="AE69" i="12" s="1"/>
  <c r="BF71" i="12"/>
  <c r="BF73" i="12" s="1"/>
  <c r="BD71" i="12"/>
  <c r="BD73" i="12" s="1"/>
  <c r="BH71" i="12"/>
  <c r="BH73" i="12" s="1"/>
  <c r="AR71" i="12"/>
  <c r="AR69" i="12" s="1"/>
  <c r="AA71" i="12"/>
  <c r="AA69" i="12" s="1"/>
  <c r="BI71" i="12"/>
  <c r="BI73" i="12" s="1"/>
  <c r="AI71" i="12"/>
  <c r="AI69" i="12" s="1"/>
  <c r="AG71" i="12"/>
  <c r="AG69" i="12" s="1"/>
  <c r="V71" i="12"/>
  <c r="V69" i="12" s="1"/>
  <c r="AJ71" i="12"/>
  <c r="AJ69" i="12" s="1"/>
  <c r="BG71" i="12"/>
  <c r="BG73" i="12" s="1"/>
  <c r="AM71" i="12"/>
  <c r="AM69" i="12" s="1"/>
  <c r="AD71" i="12"/>
  <c r="AD69" i="12" s="1"/>
  <c r="X71" i="12"/>
  <c r="X69" i="12" s="1"/>
  <c r="AO71" i="12"/>
  <c r="AO69" i="12" s="1"/>
  <c r="AB71" i="12"/>
  <c r="AB69" i="12" s="1"/>
  <c r="Y71" i="12"/>
  <c r="Y69" i="12" s="1"/>
  <c r="AW71" i="12"/>
  <c r="AW69" i="12" s="1"/>
  <c r="AY71" i="12"/>
  <c r="AY69" i="12" s="1"/>
  <c r="AV71" i="12"/>
  <c r="AV69" i="12" s="1"/>
  <c r="AU71" i="12"/>
  <c r="AU69" i="12" s="1"/>
  <c r="AX89" i="12"/>
  <c r="AX71" i="12"/>
  <c r="AX69" i="12" s="1"/>
  <c r="AX78" i="12"/>
  <c r="AX80" i="12"/>
  <c r="AX86" i="12"/>
  <c r="AX82" i="12"/>
  <c r="AX83" i="12"/>
  <c r="AX88" i="12"/>
  <c r="AX87" i="12"/>
  <c r="AX81" i="12"/>
  <c r="AZ59" i="12" a="1"/>
  <c r="AZ59" i="12" s="1"/>
  <c r="AZ76" i="12" s="1"/>
  <c r="AX79" i="12"/>
  <c r="AX84" i="12"/>
  <c r="AX85" i="12"/>
  <c r="P85" i="12"/>
  <c r="O85" i="12"/>
  <c r="Q85" i="12"/>
  <c r="N86" i="12"/>
  <c r="AZ85" i="12" l="1"/>
  <c r="AZ72" i="12"/>
  <c r="AZ79" i="12"/>
  <c r="AZ78" i="12"/>
  <c r="AZ88" i="12"/>
  <c r="AZ77" i="12"/>
  <c r="AZ84" i="12"/>
  <c r="AZ86" i="12"/>
  <c r="AZ71" i="12"/>
  <c r="AZ69" i="12" s="1"/>
  <c r="AZ81" i="12"/>
  <c r="AZ82" i="12"/>
  <c r="AZ80" i="12"/>
  <c r="AZ87" i="12"/>
  <c r="AZ83" i="12"/>
  <c r="AZ89" i="12"/>
  <c r="Q86" i="12"/>
  <c r="P86" i="12"/>
  <c r="O86" i="12"/>
  <c r="M89" i="12" l="1"/>
  <c r="N89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4" authorId="0" shapeId="0" xr:uid="{88A69ABF-F215-4D42-976C-E8A014C898E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 must be identified here</t>
        </r>
      </text>
    </comment>
    <comment ref="AK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Electron Transport Flavoprotein assumed to be an FAD ? Prosthetic group is FAD. 
Are the energetics for the pair FAD/FADH2 to be considered -0.04 mV as opposed to the free coenzyme that is -0.22 mV???</t>
        </r>
      </text>
    </comment>
    <comment ref="AL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Electron Transport Flavoprotein assumed to be an FAD ? Prosthetic group is FAD. 
Are the energetics for the pair FAD/FADH2 to be considered -0.04 mV as opposed to the free coenzyme that is -0.22 mV???</t>
        </r>
      </text>
    </comment>
    <comment ref="AV2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Same as in the States, the reaction is the reoxidation of menaquinone. For facilitating purposes NOW (11/2) keep it as UQ</t>
        </r>
      </text>
    </comment>
    <comment ref="D5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Has values for Menaquinone. For simplicity of handling the code in MATLAB, is kept here as Ubiquinone.
Eventually this should be addressed in the MATLAB Code</t>
        </r>
      </text>
    </comment>
    <comment ref="AH5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Adjusted for CO2/HCO3 balance</t>
        </r>
      </text>
    </comment>
    <comment ref="H6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Davies Equation should be applicable up to 0.5 M
Ionic Strength of the Cell Expected to be between 0.1-0.4 M (Vojinovic et al. 2009)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2" authorId="0" shapeId="0" xr:uid="{00000000-0006-0000-1500-000001000000}">
      <text>
        <r>
          <rPr>
            <b/>
            <sz val="8"/>
            <color indexed="81"/>
            <rFont val="Tahoma"/>
            <family val="2"/>
          </rPr>
          <t>Special Group (remains unaltered)</t>
        </r>
      </text>
    </comment>
    <comment ref="R2" authorId="0" shapeId="0" xr:uid="{00000000-0006-0000-1500-000002000000}">
      <text>
        <r>
          <rPr>
            <b/>
            <sz val="8"/>
            <color indexed="81"/>
            <rFont val="Tahoma"/>
            <family val="2"/>
          </rPr>
          <t>Special Group (remains unaltered)
Reduced version</t>
        </r>
      </text>
    </comment>
    <comment ref="X2" authorId="0" shapeId="0" xr:uid="{00000000-0006-0000-1500-000003000000}">
      <text>
        <r>
          <rPr>
            <b/>
            <sz val="8"/>
            <color indexed="81"/>
            <rFont val="Tahoma"/>
            <family val="2"/>
          </rPr>
          <t>Only for information, check the nitrogen source!!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2" authorId="0" shapeId="0" xr:uid="{00000000-0006-0000-1500-000004000000}">
      <text>
        <r>
          <rPr>
            <sz val="9"/>
            <color indexed="81"/>
            <rFont val="Tahoma"/>
            <family val="2"/>
          </rPr>
          <t>Required dissipated Gibbs energy for the sysntheiss of one molCx according to Heijnen.</t>
        </r>
      </text>
    </comment>
    <comment ref="AA3" authorId="0" shapeId="0" xr:uid="{54A89462-B333-423B-B273-0AFE591CFA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= No correction of enthalpies
1 = correction with liquid-based enthalpies 
2 = Correction with gas-phase based enthalpies
All enthalpies corrections are based on the Joback method</t>
        </r>
      </text>
    </comment>
    <comment ref="D7" authorId="0" shapeId="0" xr:uid="{00000000-0006-0000-1500-000005000000}">
      <text>
        <r>
          <rPr>
            <b/>
            <sz val="8"/>
            <color indexed="81"/>
            <rFont val="Tahoma"/>
            <family val="2"/>
          </rPr>
          <t>Calculated by group contribution
from data of Stephanopoulos</t>
        </r>
      </text>
    </comment>
    <comment ref="D8" authorId="0" shapeId="0" xr:uid="{00000000-0006-0000-1500-000006000000}">
      <text>
        <r>
          <rPr>
            <b/>
            <sz val="8"/>
            <color indexed="81"/>
            <rFont val="Tahoma"/>
            <family val="2"/>
          </rPr>
          <t>Calculated from the pKa value (3.58) at 18 ºC</t>
        </r>
      </text>
    </comment>
    <comment ref="D9" authorId="0" shapeId="0" xr:uid="{00000000-0006-0000-15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D11" authorId="0" shapeId="0" xr:uid="{00000000-0006-0000-1500-000008000000}">
      <text>
        <r>
          <rPr>
            <b/>
            <sz val="8"/>
            <color indexed="81"/>
            <rFont val="Tahoma"/>
            <family val="2"/>
          </rPr>
          <t>Calculated by group contribution
from data of Stephanopoulos</t>
        </r>
      </text>
    </comment>
    <comment ref="E11" authorId="0" shapeId="0" xr:uid="{D21D9920-389F-4B2E-B356-4507E4C2DF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2" authorId="0" shapeId="0" xr:uid="{00000000-0006-0000-1500-000009000000}">
      <text>
        <r>
          <rPr>
            <sz val="8"/>
            <color indexed="81"/>
            <rFont val="Tahoma"/>
            <family val="2"/>
          </rPr>
          <t>Calculated from the Gibbs energy of hydrolysis of ATP formation of -13 kJ/mol (Thauer 1977)</t>
        </r>
      </text>
    </comment>
    <comment ref="E13" authorId="0" shapeId="0" xr:uid="{4F45C021-5045-4A65-ACD2-ECE5CCEA0D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4" authorId="0" shapeId="0" xr:uid="{00000000-0006-0000-1500-00000A000000}">
      <text>
        <r>
          <rPr>
            <b/>
            <sz val="8"/>
            <color indexed="81"/>
            <rFont val="Tahoma"/>
            <family val="2"/>
          </rPr>
          <t>Calculated from Thauer hydrolysis energy DG0' obs</t>
        </r>
      </text>
    </comment>
    <comment ref="D18" authorId="0" shapeId="0" xr:uid="{00000000-0006-0000-1500-00000B000000}">
      <text>
        <r>
          <rPr>
            <b/>
            <sz val="8"/>
            <color indexed="81"/>
            <rFont val="Tahoma"/>
            <family val="2"/>
          </rPr>
          <t>Calculated from Thauer ATP+AMP=2ADP DG=0</t>
        </r>
      </text>
    </comment>
    <comment ref="D22" authorId="0" shapeId="0" xr:uid="{00000000-0006-0000-1500-00000C000000}">
      <text>
        <r>
          <rPr>
            <b/>
            <sz val="9"/>
            <color indexed="81"/>
            <rFont val="Tahoma"/>
            <family val="2"/>
          </rPr>
          <t xml:space="preserve">Rebeca:
</t>
        </r>
        <r>
          <rPr>
            <sz val="9"/>
            <color indexed="81"/>
            <rFont val="Tahoma"/>
            <family val="2"/>
          </rPr>
          <t>Calculated from pKa
Updated value from pKa (Mauricio 24/8/17)</t>
        </r>
      </text>
    </comment>
    <comment ref="E24" authorId="0" shapeId="0" xr:uid="{EE176F5C-FAB2-4475-BFF9-DF3770AEF1B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9" authorId="0" shapeId="0" xr:uid="{00000000-0006-0000-1500-00000D000000}">
      <text>
        <r>
          <rPr>
            <b/>
            <sz val="8"/>
            <color indexed="81"/>
            <rFont val="Tahoma"/>
            <family val="2"/>
          </rPr>
          <t>Estimated assuming same hydrolysis DG than for acetyl-P</t>
        </r>
      </text>
    </comment>
    <comment ref="D33" authorId="0" shapeId="0" xr:uid="{00000000-0006-0000-15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Thauer (1977) and Hanselmann (1991). Obtained from Perry &amp; McCarty Book "environmental biotechnology"</t>
        </r>
      </text>
    </comment>
    <comment ref="D35" authorId="0" shapeId="0" xr:uid="{00000000-0006-0000-1500-00000F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39" authorId="0" shapeId="0" xr:uid="{00000000-0006-0000-1500-000010000000}">
      <text>
        <r>
          <rPr>
            <b/>
            <sz val="8"/>
            <color indexed="81"/>
            <rFont val="Tahoma"/>
            <family val="2"/>
          </rPr>
          <t>Ref</t>
        </r>
      </text>
    </comment>
    <comment ref="D41" authorId="0" shapeId="0" xr:uid="{00000000-0006-0000-1500-000011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42" authorId="0" shapeId="0" xr:uid="{00000000-0006-0000-1500-000012000000}">
      <text>
        <r>
          <rPr>
            <b/>
            <sz val="8"/>
            <color indexed="81"/>
            <rFont val="Tahoma"/>
            <family val="2"/>
          </rPr>
          <t>From potential difference Fd0x/Fdred E' -410mV</t>
        </r>
      </text>
    </comment>
    <comment ref="D58" authorId="0" shapeId="0" xr:uid="{00000000-0006-0000-1500-000013000000}">
      <text>
        <r>
          <rPr>
            <b/>
            <sz val="8"/>
            <color indexed="81"/>
            <rFont val="Tahoma"/>
            <family val="2"/>
          </rPr>
          <t>Calculated from pKa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9" authorId="0" shapeId="0" xr:uid="{00000000-0006-0000-1500-000014000000}">
      <text>
        <r>
          <rPr>
            <b/>
            <sz val="8"/>
            <color indexed="81"/>
            <rFont val="Tahoma"/>
            <family val="2"/>
          </rPr>
          <t>Calculated according data from Stephanopoulos</t>
        </r>
      </text>
    </comment>
    <comment ref="E59" authorId="0" shapeId="0" xr:uid="{346B5E8F-0712-466F-BBF3-4D815A33EFF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61" authorId="0" shapeId="0" xr:uid="{00000000-0006-0000-1500-000015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62" authorId="0" shapeId="0" xr:uid="{00000000-0006-0000-1500-000016000000}">
      <text>
        <r>
          <rPr>
            <b/>
            <sz val="8"/>
            <color indexed="81"/>
            <rFont val="Tahoma"/>
            <family val="2"/>
          </rPr>
          <t>From recalculating the balance of electrochemical potential. E01 = -80 mV (Thauer et al 2010)</t>
        </r>
      </text>
    </comment>
    <comment ref="D65" authorId="0" shapeId="0" xr:uid="{00000000-0006-0000-15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65" authorId="0" shapeId="0" xr:uid="{B903027C-2FF3-4933-82C0-BF27C6D91DB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66" authorId="0" shapeId="0" xr:uid="{00000000-0006-0000-1500-000018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68" authorId="0" shapeId="0" xr:uid="{00000000-0006-0000-1500-000019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69" authorId="0" shapeId="0" xr:uid="{00000000-0006-0000-1500-00001A000000}">
      <text>
        <r>
          <rPr>
            <b/>
            <sz val="8"/>
            <color indexed="81"/>
            <rFont val="Tahoma"/>
            <family val="2"/>
          </rPr>
          <t>Calculated to make the reaction
NAD+ + 2H+ + 2e- ---&gt;&gt; NADH + H+ with a Delta G of +30.7 kJ/mol</t>
        </r>
      </text>
    </comment>
    <comment ref="D83" authorId="0" shapeId="0" xr:uid="{00000000-0006-0000-1500-00001B000000}">
      <text>
        <r>
          <rPr>
            <b/>
            <sz val="8"/>
            <color indexed="81"/>
            <rFont val="Tahoma"/>
            <family val="2"/>
          </rPr>
          <t>Ref defined on them</t>
        </r>
      </text>
    </comment>
    <comment ref="D84" authorId="0" shapeId="0" xr:uid="{00000000-0006-0000-15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84" authorId="0" shapeId="0" xr:uid="{3350FDEF-9256-42B6-8905-BB651BA4D90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E86" authorId="0" shapeId="0" xr:uid="{00000000-0006-0000-1500-00001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Estimated from DHr from MINTEQ database</t>
        </r>
      </text>
    </comment>
    <comment ref="D88" authorId="0" shapeId="0" xr:uid="{00000000-0006-0000-1500-00001E000000}">
      <text>
        <r>
          <rPr>
            <b/>
            <sz val="8"/>
            <color indexed="81"/>
            <rFont val="Tahoma"/>
            <family val="2"/>
          </rPr>
          <t>Calculated from AG0' of hydrolysis from Thauer</t>
        </r>
      </text>
    </comment>
    <comment ref="D90" authorId="0" shapeId="0" xr:uid="{00000000-0006-0000-1500-00001F000000}">
      <text>
        <r>
          <rPr>
            <b/>
            <sz val="8"/>
            <color indexed="81"/>
            <rFont val="Tahoma"/>
            <family val="2"/>
          </rPr>
          <t>Ref defined on them</t>
        </r>
      </text>
    </comment>
    <comment ref="D93" authorId="0" shapeId="0" xr:uid="{00000000-0006-0000-1500-00002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93" authorId="0" shapeId="0" xr:uid="{C107ABCF-4268-4221-86B5-8359EBAB5E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08" authorId="0" shapeId="0" xr:uid="{00000000-0006-0000-1500-000021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109" authorId="0" shapeId="0" xr:uid="{00000000-0006-0000-1500-000022000000}">
      <text>
        <r>
          <rPr>
            <b/>
            <sz val="8"/>
            <color indexed="81"/>
            <rFont val="Tahoma"/>
            <family val="2"/>
          </rPr>
          <t>Calculated from Thauer'77: -60.6  (E' = +113 mV) 
Updated from Alberty reports -89.9 kJ/mol</t>
        </r>
      </text>
    </comment>
    <comment ref="E179" authorId="0" shapeId="0" xr:uid="{F93769EA-5340-463B-B225-8A178B140A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80" authorId="0" shapeId="0" xr:uid="{00000000-0006-0000-1500-00002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180" authorId="0" shapeId="0" xr:uid="{41BF3158-55CE-4F22-8E81-4EEE7DFAD3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99" authorId="0" shapeId="0" xr:uid="{00000000-0006-0000-1500-00002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199" authorId="0" shapeId="0" xr:uid="{3649A57D-9B63-4447-8A87-ADC2D391FB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00" authorId="0" shapeId="0" xr:uid="{00000000-0006-0000-1500-00002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200" authorId="0" shapeId="0" xr:uid="{DDB3D76D-AE27-4DD0-AFD6-2EE92114FC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07" authorId="0" shapeId="0" xr:uid="{00000000-0006-0000-1500-000026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208" authorId="0" shapeId="0" xr:uid="{00000000-0006-0000-1500-000027000000}">
      <text>
        <r>
          <rPr>
            <b/>
            <sz val="8"/>
            <color indexed="81"/>
            <rFont val="Tahoma"/>
            <family val="2"/>
          </rPr>
          <t>From potential difference UQ0x/UQred E' +100mV</t>
        </r>
      </text>
    </comment>
    <comment ref="D222" authorId="0" shapeId="0" xr:uid="{00000000-0006-0000-15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222" authorId="0" shapeId="0" xr:uid="{6D89EF9D-68BF-49D2-9E70-958C637217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B286" authorId="0" shapeId="0" xr:uid="{A5A7F72A-E360-4153-8877-C70BFEAC38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5" authorId="0" shapeId="0" xr:uid="{250F453A-0770-4E50-9B1E-601A4AEFAB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enthalpy of the activation of the CoA was calculated by coupling the two reactions mentioned in the paper</t>
        </r>
      </text>
    </comment>
  </commentList>
</comments>
</file>

<file path=xl/sharedStrings.xml><?xml version="1.0" encoding="utf-8"?>
<sst xmlns="http://schemas.openxmlformats.org/spreadsheetml/2006/main" count="1802" uniqueCount="963">
  <si>
    <t>Pro-</t>
  </si>
  <si>
    <t>Pro-CoA</t>
  </si>
  <si>
    <t>Acryl-CoA</t>
  </si>
  <si>
    <t>Lac-CoA</t>
  </si>
  <si>
    <t>Lac-</t>
  </si>
  <si>
    <t>mMalon-CoA</t>
  </si>
  <si>
    <t>Succ-CoA</t>
  </si>
  <si>
    <t>Ac-</t>
  </si>
  <si>
    <t>Pyr-</t>
  </si>
  <si>
    <t>Ac-CoA</t>
  </si>
  <si>
    <t>HydroxPro-CoA</t>
  </si>
  <si>
    <t>HydroxPro-</t>
  </si>
  <si>
    <t>Malon Semiald</t>
  </si>
  <si>
    <t>OxoPro-CoA</t>
  </si>
  <si>
    <t>Mal-CoA</t>
  </si>
  <si>
    <t>H2</t>
  </si>
  <si>
    <t>NAD+</t>
  </si>
  <si>
    <t>NADH</t>
  </si>
  <si>
    <t>NADP+</t>
  </si>
  <si>
    <t>NADPH</t>
  </si>
  <si>
    <t>FAD</t>
  </si>
  <si>
    <t>FADH2</t>
  </si>
  <si>
    <t>Fdox</t>
  </si>
  <si>
    <t>Fdred</t>
  </si>
  <si>
    <t>UQox</t>
  </si>
  <si>
    <t>UQred</t>
  </si>
  <si>
    <t>H2O</t>
  </si>
  <si>
    <t>CoA-SH</t>
  </si>
  <si>
    <t>H+</t>
  </si>
  <si>
    <t>X</t>
  </si>
  <si>
    <t>e-</t>
  </si>
  <si>
    <t>Acetyl-CoA -&gt; Acetate</t>
  </si>
  <si>
    <t>NADP+ -&gt; NADPH</t>
  </si>
  <si>
    <t>FAD -&gt; FADH2</t>
  </si>
  <si>
    <t>FAD + NADH -&gt; FADH2 + NAD+</t>
  </si>
  <si>
    <t>Fdox -&gt; Fdred</t>
  </si>
  <si>
    <t>UQox -&gt; UQred</t>
  </si>
  <si>
    <t>Fe</t>
  </si>
  <si>
    <t>NA</t>
  </si>
  <si>
    <t># Protons transloc</t>
  </si>
  <si>
    <t>Min</t>
  </si>
  <si>
    <t>Max</t>
  </si>
  <si>
    <t># ATP</t>
  </si>
  <si>
    <t>C-bal</t>
  </si>
  <si>
    <t>H-bal</t>
  </si>
  <si>
    <t>O-bal</t>
  </si>
  <si>
    <t>N-bal</t>
  </si>
  <si>
    <t>P-bal</t>
  </si>
  <si>
    <t>S-bal</t>
  </si>
  <si>
    <t>Cl-bal</t>
  </si>
  <si>
    <t>Fe-bal</t>
  </si>
  <si>
    <t>Ad-bal</t>
  </si>
  <si>
    <t>SpGr-bal</t>
  </si>
  <si>
    <t>CoA-bal</t>
  </si>
  <si>
    <t>Met-bal</t>
  </si>
  <si>
    <t>Chrg-bal</t>
  </si>
  <si>
    <t>ReacLabel</t>
  </si>
  <si>
    <t>Cp</t>
  </si>
  <si>
    <t>Fp</t>
  </si>
  <si>
    <t>eC</t>
  </si>
  <si>
    <t>Conc / P
[M] / bar</t>
  </si>
  <si>
    <t>γ</t>
  </si>
  <si>
    <t>D</t>
  </si>
  <si>
    <t>ai / P 
[ ] / bar</t>
  </si>
  <si>
    <t>eD ID</t>
  </si>
  <si>
    <t>NAD+ -&gt; NADH</t>
  </si>
  <si>
    <t>M Atom</t>
  </si>
  <si>
    <t>RefOxState</t>
  </si>
  <si>
    <t>M</t>
  </si>
  <si>
    <t>ε</t>
  </si>
  <si>
    <t>A</t>
  </si>
  <si>
    <t>V</t>
  </si>
  <si>
    <t>kJ/mol</t>
  </si>
  <si>
    <t>Cell concentrations</t>
  </si>
  <si>
    <t>RANGE OF MINIMUM QUANTUM OF ENERGY</t>
  </si>
  <si>
    <t>nH</t>
  </si>
  <si>
    <t>nATP/turn</t>
  </si>
  <si>
    <t>#ATP H+</t>
  </si>
  <si>
    <t>DG H+</t>
  </si>
  <si>
    <t>Range of Min Energy Conservation</t>
  </si>
  <si>
    <t>Cell volume</t>
  </si>
  <si>
    <t>um3</t>
  </si>
  <si>
    <t>Conv um3 to dm3</t>
  </si>
  <si>
    <t>dm3</t>
  </si>
  <si>
    <t>L</t>
  </si>
  <si>
    <t>Conc in cell</t>
  </si>
  <si>
    <t>mol/L</t>
  </si>
  <si>
    <t>molecules/mol</t>
  </si>
  <si>
    <t>Molec conc</t>
  </si>
  <si>
    <t>molecules/L</t>
  </si>
  <si>
    <t>Num of molec</t>
  </si>
  <si>
    <t>molecules</t>
  </si>
  <si>
    <t xml:space="preserve"> </t>
  </si>
  <si>
    <t>Name
(aquous phase unless other specified)</t>
  </si>
  <si>
    <t>Abbrev. Name</t>
  </si>
  <si>
    <t>Struct.</t>
  </si>
  <si>
    <r>
      <t>ΔGº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(kJ/mol)</t>
    </r>
  </si>
  <si>
    <r>
      <t>ΔHº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(kJ/mol)</t>
    </r>
  </si>
  <si>
    <r>
      <t>Sº</t>
    </r>
    <r>
      <rPr>
        <b/>
        <i/>
        <vertAlign val="subscript"/>
        <sz val="10"/>
        <color indexed="8"/>
        <rFont val="Arial"/>
        <family val="2"/>
      </rPr>
      <t xml:space="preserve">
</t>
    </r>
    <r>
      <rPr>
        <b/>
        <sz val="10"/>
        <color indexed="8"/>
        <rFont val="Arial"/>
        <family val="2"/>
      </rPr>
      <t>(J/mol K)</t>
    </r>
  </si>
  <si>
    <r>
      <t>ΔSº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 K)</t>
    </r>
  </si>
  <si>
    <t>C</t>
  </si>
  <si>
    <t>H</t>
  </si>
  <si>
    <t>O</t>
  </si>
  <si>
    <t>N</t>
  </si>
  <si>
    <t>P</t>
  </si>
  <si>
    <t>S</t>
  </si>
  <si>
    <t>Cl</t>
  </si>
  <si>
    <t>Ad-</t>
  </si>
  <si>
    <t>SpGrO</t>
  </si>
  <si>
    <t>SpGrR</t>
  </si>
  <si>
    <t>Met</t>
  </si>
  <si>
    <t>Charge</t>
  </si>
  <si>
    <t>Mmol
(g/mol)</t>
  </si>
  <si>
    <t>Electrons per mole</t>
  </si>
  <si>
    <t>Electrons available
per C-mole</t>
  </si>
  <si>
    <r>
      <t>Req ΔGº</t>
    </r>
    <r>
      <rPr>
        <b/>
        <i/>
        <vertAlign val="subscript"/>
        <sz val="10"/>
        <color indexed="8"/>
        <rFont val="Arial"/>
        <family val="2"/>
      </rPr>
      <t xml:space="preserve">diss
</t>
    </r>
    <r>
      <rPr>
        <b/>
        <sz val="10"/>
        <color indexed="8"/>
        <rFont val="Arial"/>
        <family val="2"/>
      </rPr>
      <t>(kJ/molCx)</t>
    </r>
  </si>
  <si>
    <t>3-Hydroxybutyryl CoA</t>
  </si>
  <si>
    <t>3HBu-CoA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</si>
  <si>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</si>
  <si>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Acetaldehyde</t>
  </si>
  <si>
    <t>Acetald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</si>
  <si>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</si>
  <si>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Acetate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</si>
  <si>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</si>
  <si>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Acetic acid</t>
  </si>
  <si>
    <t>AcH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</si>
  <si>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</si>
  <si>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Acetoacetate</t>
  </si>
  <si>
    <t>AcAc-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</si>
  <si>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</si>
  <si>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Acetoacetic acid</t>
  </si>
  <si>
    <t>AcAcH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</si>
  <si>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</si>
  <si>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Acetoacetyl CoA</t>
  </si>
  <si>
    <t>AcAc-CoA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</si>
  <si>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</si>
  <si>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Acetone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</si>
  <si>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</si>
  <si>
    <t>Acetyl CoA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</si>
  <si>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O-CoA</t>
    </r>
  </si>
  <si>
    <t>Acetyl-Phosphate</t>
  </si>
  <si>
    <t>Ac-P</t>
  </si>
  <si>
    <r>
      <t>Ac-P</t>
    </r>
    <r>
      <rPr>
        <vertAlign val="superscript"/>
        <sz val="10"/>
        <rFont val="Arial"/>
        <family val="2"/>
      </rPr>
      <t>2-</t>
    </r>
  </si>
  <si>
    <t>Acryloyl 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</si>
  <si>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</si>
  <si>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ADP</t>
  </si>
  <si>
    <r>
      <t>Ad-2Pi</t>
    </r>
    <r>
      <rPr>
        <vertAlign val="superscript"/>
        <sz val="10"/>
        <rFont val="Arial"/>
        <family val="2"/>
      </rPr>
      <t>3-</t>
    </r>
  </si>
  <si>
    <t>Amonia</t>
  </si>
  <si>
    <r>
      <t>NH</t>
    </r>
    <r>
      <rPr>
        <vertAlign val="subscript"/>
        <sz val="10"/>
        <rFont val="Arial"/>
        <family val="2"/>
      </rPr>
      <t>3</t>
    </r>
  </si>
  <si>
    <t>Amonia (gas)</t>
  </si>
  <si>
    <t>Amonium</t>
  </si>
  <si>
    <r>
      <t>NH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+</t>
    </r>
  </si>
  <si>
    <t>AMP</t>
  </si>
  <si>
    <r>
      <t>Ad-1Pi</t>
    </r>
    <r>
      <rPr>
        <vertAlign val="superscript"/>
        <sz val="10"/>
        <rFont val="Arial"/>
        <family val="2"/>
      </rPr>
      <t>3-</t>
    </r>
  </si>
  <si>
    <t>ATP</t>
  </si>
  <si>
    <r>
      <t>Ad-3Pi</t>
    </r>
    <r>
      <rPr>
        <vertAlign val="superscript"/>
        <sz val="10"/>
        <rFont val="Arial"/>
        <family val="2"/>
      </rPr>
      <t>4-</t>
    </r>
  </si>
  <si>
    <t>Biomass (NH4 source)</t>
  </si>
  <si>
    <r>
      <t>CH</t>
    </r>
    <r>
      <rPr>
        <vertAlign val="subscript"/>
        <sz val="10"/>
        <rFont val="Arial"/>
        <family val="2"/>
      </rPr>
      <t>1.8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0.5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0.2</t>
    </r>
  </si>
  <si>
    <t>Biomass (Phytoplankton)</t>
  </si>
  <si>
    <t>Xphyt</t>
  </si>
  <si>
    <r>
      <t>CH</t>
    </r>
    <r>
      <rPr>
        <vertAlign val="subscript"/>
        <sz val="10"/>
        <rFont val="Arial"/>
        <family val="2"/>
      </rPr>
      <t>1.66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0.5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0.15</t>
    </r>
  </si>
  <si>
    <t>Valeric acid</t>
  </si>
  <si>
    <t>VaH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</si>
  <si>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</si>
  <si>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Valerate</t>
  </si>
  <si>
    <t>Va-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</si>
  <si>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</si>
  <si>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Butyryl CoA</t>
  </si>
  <si>
    <t>Bu-CoA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</si>
  <si>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</si>
  <si>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Butyraldehyde</t>
  </si>
  <si>
    <t>ButAld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</si>
  <si>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</si>
  <si>
    <t>Butyraldehyde (gas)</t>
  </si>
  <si>
    <t>ButAld (g)</t>
  </si>
  <si>
    <t>Butyrate</t>
  </si>
  <si>
    <t>Bu-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</si>
  <si>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</si>
  <si>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Butyric acid</t>
  </si>
  <si>
    <t>BuH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</si>
  <si>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</si>
  <si>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Butyryl-Phosphate</t>
  </si>
  <si>
    <t>Bu-P</t>
  </si>
  <si>
    <r>
      <t>Bu-P</t>
    </r>
    <r>
      <rPr>
        <vertAlign val="superscript"/>
        <sz val="10"/>
        <rFont val="Arial"/>
        <family val="2"/>
      </rPr>
      <t>2-</t>
    </r>
  </si>
  <si>
    <t>Carbon Dioxide</t>
  </si>
  <si>
    <r>
      <t>CO</t>
    </r>
    <r>
      <rPr>
        <vertAlign val="subscript"/>
        <sz val="10"/>
        <rFont val="Arial"/>
        <family val="2"/>
      </rPr>
      <t>2</t>
    </r>
  </si>
  <si>
    <t>Carbon Dioxide (gas)</t>
  </si>
  <si>
    <t>CO2 (g)</t>
  </si>
  <si>
    <t>Carbonate</t>
  </si>
  <si>
    <r>
      <t>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2-</t>
    </r>
  </si>
  <si>
    <t>Carbonic acid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</si>
  <si>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0"/>
        <rFont val="Arial"/>
        <family val="2"/>
      </rPr>
      <t>3</t>
    </r>
  </si>
  <si>
    <t>Bicarbonate</t>
  </si>
  <si>
    <t>HCO3-</t>
  </si>
  <si>
    <r>
      <t>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</si>
  <si>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Coenzyme A</t>
  </si>
  <si>
    <t>Crotonyl CoA</t>
  </si>
  <si>
    <t>Crot-CoA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</si>
  <si>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</si>
  <si>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Electron</t>
  </si>
  <si>
    <r>
      <t>e</t>
    </r>
    <r>
      <rPr>
        <vertAlign val="superscript"/>
        <sz val="10"/>
        <rFont val="Arial"/>
        <family val="2"/>
      </rPr>
      <t>-</t>
    </r>
  </si>
  <si>
    <t>Ethanol</t>
  </si>
  <si>
    <t>EtOH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</si>
  <si>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</si>
  <si>
    <r>
      <t>FADH</t>
    </r>
    <r>
      <rPr>
        <vertAlign val="subscript"/>
        <sz val="10"/>
        <rFont val="Arial"/>
        <family val="2"/>
      </rPr>
      <t>2</t>
    </r>
  </si>
  <si>
    <t>Ferredoxin (ox)</t>
  </si>
  <si>
    <t>Ferredoxin (red)</t>
  </si>
  <si>
    <t>Formate</t>
  </si>
  <si>
    <t>For-</t>
  </si>
  <si>
    <r>
      <t>CHO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</si>
  <si>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Formic acid</t>
  </si>
  <si>
    <t>ForH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</si>
  <si>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0"/>
        <rFont val="Arial"/>
        <family val="2"/>
      </rPr>
      <t>2</t>
    </r>
  </si>
  <si>
    <t>Fumarate</t>
  </si>
  <si>
    <r>
      <t>Fum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</si>
  <si>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</si>
  <si>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Glucose</t>
  </si>
  <si>
    <t>Glu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</si>
  <si>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</si>
  <si>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GDP</t>
  </si>
  <si>
    <t>GT-2Pi</t>
  </si>
  <si>
    <t>GTP</t>
  </si>
  <si>
    <t>GT-3Pi</t>
  </si>
  <si>
    <t>Xylose</t>
  </si>
  <si>
    <t>Xyl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</si>
  <si>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</si>
  <si>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Glycerol</t>
  </si>
  <si>
    <t>Glyc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</si>
  <si>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</si>
  <si>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3-hydroxypropanal</t>
  </si>
  <si>
    <t>3-HPrnal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</si>
  <si>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</si>
  <si>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1,3-propanediol</t>
  </si>
  <si>
    <t>1,3-Prndiol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</si>
  <si>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</si>
  <si>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Hydrogen</t>
  </si>
  <si>
    <r>
      <t>H</t>
    </r>
    <r>
      <rPr>
        <vertAlign val="subscript"/>
        <sz val="10"/>
        <rFont val="Arial"/>
        <family val="2"/>
      </rPr>
      <t>2</t>
    </r>
  </si>
  <si>
    <t>Hydrogen (gas)</t>
  </si>
  <si>
    <t>H2 (g)</t>
  </si>
  <si>
    <t>Hydroxyl</t>
  </si>
  <si>
    <t>OH-</t>
  </si>
  <si>
    <t>Iso-Propanol</t>
  </si>
  <si>
    <t>iProOH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</si>
  <si>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</si>
  <si>
    <t>Lactate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</si>
  <si>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</si>
  <si>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Lactic acid</t>
  </si>
  <si>
    <t>LacH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</si>
  <si>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</si>
  <si>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Lactoyl 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</si>
  <si>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</si>
  <si>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Malate</t>
  </si>
  <si>
    <r>
      <t>Mal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</si>
  <si>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</si>
  <si>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Methane</t>
  </si>
  <si>
    <t>CH4</t>
  </si>
  <si>
    <r>
      <t>CH</t>
    </r>
    <r>
      <rPr>
        <vertAlign val="subscript"/>
        <sz val="10"/>
        <rFont val="Arial"/>
        <family val="2"/>
      </rPr>
      <t>4</t>
    </r>
  </si>
  <si>
    <t>Methane (gas)</t>
  </si>
  <si>
    <t>CH4 (g)</t>
  </si>
  <si>
    <t>Methylmalonyl 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</si>
  <si>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</si>
  <si>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r>
      <t>NAD</t>
    </r>
    <r>
      <rPr>
        <vertAlign val="superscript"/>
        <sz val="10"/>
        <rFont val="Arial"/>
        <family val="2"/>
      </rPr>
      <t>+</t>
    </r>
  </si>
  <si>
    <r>
      <t>NADP</t>
    </r>
    <r>
      <rPr>
        <vertAlign val="superscript"/>
        <sz val="10"/>
        <rFont val="Arial"/>
        <family val="2"/>
      </rPr>
      <t>+</t>
    </r>
  </si>
  <si>
    <t>n-Butanol</t>
  </si>
  <si>
    <t>nBuOH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</si>
  <si>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</si>
  <si>
    <t>Nitrogen (g)</t>
  </si>
  <si>
    <t>N2 (g)</t>
  </si>
  <si>
    <t>N2(g)</t>
  </si>
  <si>
    <t>Nitrate</t>
  </si>
  <si>
    <t>NO3-</t>
  </si>
  <si>
    <t>Nitric acid</t>
  </si>
  <si>
    <t>HNO3(aq)</t>
  </si>
  <si>
    <t>HNO3</t>
  </si>
  <si>
    <t>Nitrite</t>
  </si>
  <si>
    <t>NO2-</t>
  </si>
  <si>
    <t>Nitrous acid</t>
  </si>
  <si>
    <t>HNO2(aq)</t>
  </si>
  <si>
    <t>HNO2</t>
  </si>
  <si>
    <t>Oxaloacetate</t>
  </si>
  <si>
    <r>
      <t>OAA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</si>
  <si>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</si>
  <si>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Oxygen</t>
  </si>
  <si>
    <t>O2</t>
  </si>
  <si>
    <t>Oxygen (gas)</t>
  </si>
  <si>
    <t>O2(g)</t>
  </si>
  <si>
    <t>Phosphoric acid</t>
  </si>
  <si>
    <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0"/>
        <rFont val="Arial"/>
        <family val="2"/>
      </rPr>
      <t>4</t>
    </r>
  </si>
  <si>
    <t>Dihydrogenphosphate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</si>
  <si>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</si>
  <si>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Hydrogenphosphate</t>
  </si>
  <si>
    <t>Pi</t>
  </si>
  <si>
    <r>
      <t>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</si>
  <si>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Phosphate</t>
  </si>
  <si>
    <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</si>
  <si>
    <t>Potasium Ion</t>
  </si>
  <si>
    <t>K+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</si>
  <si>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O-CoA</t>
    </r>
  </si>
  <si>
    <t>Propionate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</si>
  <si>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</si>
  <si>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Propionic acid</t>
  </si>
  <si>
    <t>ProH</t>
  </si>
  <si>
    <t>Proton</t>
  </si>
  <si>
    <r>
      <t>H</t>
    </r>
    <r>
      <rPr>
        <vertAlign val="superscript"/>
        <sz val="10"/>
        <rFont val="Arial"/>
        <family val="2"/>
      </rPr>
      <t>+</t>
    </r>
  </si>
  <si>
    <t>Pyrophosphate</t>
  </si>
  <si>
    <t>PPi</t>
  </si>
  <si>
    <r>
      <t>P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vertAlign val="superscript"/>
        <sz val="10"/>
        <rFont val="Arial"/>
        <family val="2"/>
      </rPr>
      <t>4-</t>
    </r>
  </si>
  <si>
    <t>Pyruvate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</si>
  <si>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</si>
  <si>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Sodium Ion</t>
  </si>
  <si>
    <t>Na+</t>
  </si>
  <si>
    <t>Succinate</t>
  </si>
  <si>
    <r>
      <t>Succ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</si>
  <si>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</si>
  <si>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Succinic acid</t>
  </si>
  <si>
    <t>SucH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</si>
  <si>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</si>
  <si>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Succinyl CoA</t>
  </si>
  <si>
    <t>Sucrose</t>
  </si>
  <si>
    <t>Sucr</t>
  </si>
  <si>
    <r>
      <t>C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11</t>
    </r>
  </si>
  <si>
    <t>Sulfide</t>
  </si>
  <si>
    <r>
      <t>S</t>
    </r>
    <r>
      <rPr>
        <vertAlign val="superscript"/>
        <sz val="10"/>
        <rFont val="Arial"/>
        <family val="2"/>
      </rPr>
      <t>2-</t>
    </r>
  </si>
  <si>
    <t>Hydrogen Sulfide</t>
  </si>
  <si>
    <r>
      <t>HS</t>
    </r>
    <r>
      <rPr>
        <vertAlign val="superscript"/>
        <sz val="10"/>
        <rFont val="Arial"/>
        <family val="2"/>
      </rPr>
      <t>-</t>
    </r>
  </si>
  <si>
    <t>Dihydrogen Sulfide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</si>
  <si>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</si>
  <si>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Dihydrogen Sulfide (gas)</t>
  </si>
  <si>
    <t>Sulfate</t>
  </si>
  <si>
    <r>
      <t>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</si>
  <si>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Hydrogensulfate</t>
  </si>
  <si>
    <r>
      <t>HSO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</si>
  <si>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Sulfuric acid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</si>
  <si>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0"/>
        <rFont val="Arial"/>
        <family val="2"/>
      </rPr>
      <t>4</t>
    </r>
  </si>
  <si>
    <t>Chloric Acid</t>
  </si>
  <si>
    <t>HCl</t>
  </si>
  <si>
    <t>Chloride</t>
  </si>
  <si>
    <t>Cl-</t>
  </si>
  <si>
    <r>
      <t>Cl</t>
    </r>
    <r>
      <rPr>
        <vertAlign val="superscript"/>
        <sz val="10"/>
        <rFont val="Arial"/>
        <family val="2"/>
      </rPr>
      <t>-</t>
    </r>
  </si>
  <si>
    <t>Hypochlorite</t>
  </si>
  <si>
    <t>ClO-</t>
  </si>
  <si>
    <r>
      <t>ClO</t>
    </r>
    <r>
      <rPr>
        <vertAlign val="superscript"/>
        <sz val="10"/>
        <rFont val="Arial"/>
        <family val="2"/>
      </rPr>
      <t>-</t>
    </r>
  </si>
  <si>
    <t>Chlorite</t>
  </si>
  <si>
    <t>ClO2-</t>
  </si>
  <si>
    <r>
      <t>ClO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</si>
  <si>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Chlorate</t>
  </si>
  <si>
    <t>ClO3-</t>
  </si>
  <si>
    <r>
      <t>ClO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</si>
  <si>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Perchlorate</t>
  </si>
  <si>
    <t>ClO4-</t>
  </si>
  <si>
    <r>
      <t>ClO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</si>
  <si>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Ubiquinone (ox)</t>
  </si>
  <si>
    <t>Ubiquinone (red)</t>
  </si>
  <si>
    <t>Iron (s)</t>
  </si>
  <si>
    <t>Fe(s)</t>
  </si>
  <si>
    <t>Ferrous iron</t>
  </si>
  <si>
    <t>Fe2+</t>
  </si>
  <si>
    <t>Ferric iron</t>
  </si>
  <si>
    <t>Fe3+</t>
  </si>
  <si>
    <t>Iron trihydroxide (s)</t>
  </si>
  <si>
    <r>
      <t>Fe(OH)</t>
    </r>
    <r>
      <rPr>
        <vertAlign val="subscript"/>
        <sz val="10"/>
        <rFont val="Arial"/>
        <family val="2"/>
      </rPr>
      <t>3</t>
    </r>
  </si>
  <si>
    <t>Pyrite (s)</t>
  </si>
  <si>
    <t>FeS</t>
  </si>
  <si>
    <t>Water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</si>
  <si>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</si>
  <si>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cis-Aconitate</t>
  </si>
  <si>
    <t>Acon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</si>
  <si>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</si>
  <si>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Adenine</t>
  </si>
  <si>
    <t>Aden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</si>
  <si>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</si>
  <si>
    <t>Adenosine</t>
  </si>
  <si>
    <t>Adsin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</si>
  <si>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</si>
  <si>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Adenosine-5-Phosphosulfate</t>
  </si>
  <si>
    <t>Adns-5P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</si>
  <si>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PS</t>
    </r>
  </si>
  <si>
    <t>Alanine</t>
  </si>
  <si>
    <t>Ala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</si>
  <si>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</si>
  <si>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Arabinose</t>
  </si>
  <si>
    <t>Ara</t>
  </si>
  <si>
    <t>Arabinose-5-Phosphate</t>
  </si>
  <si>
    <t>Ara-5-P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</si>
  <si>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P</t>
    </r>
  </si>
  <si>
    <t>Asparagine-L</t>
  </si>
  <si>
    <t>Asn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</si>
  <si>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</si>
  <si>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Aspartate</t>
  </si>
  <si>
    <t>Asp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</si>
  <si>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</si>
  <si>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BPG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</si>
  <si>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0"/>
        <rFont val="Arial"/>
        <family val="2"/>
      </rPr>
      <t>2</t>
    </r>
  </si>
  <si>
    <t>Butanal</t>
  </si>
  <si>
    <t>But</t>
  </si>
  <si>
    <t>n-BuOH</t>
  </si>
  <si>
    <t>Cellobiose</t>
  </si>
  <si>
    <t>Cellob</t>
  </si>
  <si>
    <t>Citrate</t>
  </si>
  <si>
    <t>Cit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</si>
  <si>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</si>
  <si>
    <t>Isocitrate</t>
  </si>
  <si>
    <t>Isocit</t>
  </si>
  <si>
    <t>CoA-Glutathione</t>
  </si>
  <si>
    <t>CoA-Glut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</si>
  <si>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S-CoA</t>
    </r>
  </si>
  <si>
    <t>CO (aq)</t>
  </si>
  <si>
    <t>CO</t>
  </si>
  <si>
    <t>CO (g)</t>
  </si>
  <si>
    <t>Creatine</t>
  </si>
  <si>
    <t>Creat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</si>
  <si>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</si>
  <si>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Creatinine</t>
  </si>
  <si>
    <t>Cren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</si>
  <si>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</si>
  <si>
    <t>Cyclic-AMP</t>
  </si>
  <si>
    <t>Cyc-AMP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</si>
  <si>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</si>
  <si>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L-Cysteine</t>
  </si>
  <si>
    <t>Cys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</si>
  <si>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</si>
  <si>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L-Cystine</t>
  </si>
  <si>
    <t>Cyn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</si>
  <si>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</si>
  <si>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Cytochrome-c (ox)</t>
  </si>
  <si>
    <t>Cyt-c (ox)</t>
  </si>
  <si>
    <t>Cytochrome-c (red)</t>
  </si>
  <si>
    <t>Cyt-c (red)</t>
  </si>
  <si>
    <t>Deoxyadenosine</t>
  </si>
  <si>
    <t>DeoxAdsin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</si>
  <si>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</si>
  <si>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Deoxyribose</t>
  </si>
  <si>
    <t>DeoxRib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</si>
  <si>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</si>
  <si>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Deoxyribose-1-P</t>
  </si>
  <si>
    <t>DeoxRib-1-P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</si>
  <si>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</si>
  <si>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Deoxyribose-5-P</t>
  </si>
  <si>
    <t>DeoxRib-5-P</t>
  </si>
  <si>
    <t>Dihydroxyacetone</t>
  </si>
  <si>
    <t>DihydAcetn</t>
  </si>
  <si>
    <t>Dihydroxyacetonephosphate</t>
  </si>
  <si>
    <t>DihydAcetn-P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</si>
  <si>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</si>
  <si>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Ethane (Aq)</t>
  </si>
  <si>
    <t>Ethane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</si>
  <si>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</si>
  <si>
    <t>Ethylacetate</t>
  </si>
  <si>
    <t>EthylAc</t>
  </si>
  <si>
    <t>FAD enz (ox)</t>
  </si>
  <si>
    <t>FAD (enz)</t>
  </si>
  <si>
    <t>FAD enz (red)</t>
  </si>
  <si>
    <t>FADH2 (enz)</t>
  </si>
  <si>
    <t>FMN (ox)</t>
  </si>
  <si>
    <t>FMN</t>
  </si>
  <si>
    <t>FMN (red)</t>
  </si>
  <si>
    <t>FMNH2</t>
  </si>
  <si>
    <t>Fructose</t>
  </si>
  <si>
    <t>Fru</t>
  </si>
  <si>
    <t>Fructose-1,6-Phos</t>
  </si>
  <si>
    <t>Fru-1-6-P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</si>
  <si>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P</t>
    </r>
  </si>
  <si>
    <t>Fructose-6-Phos</t>
  </si>
  <si>
    <t>Fru-6-P</t>
  </si>
  <si>
    <t>Galactono-1-4-lactone</t>
  </si>
  <si>
    <t>Galac-1,4-Lact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</si>
  <si>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</si>
  <si>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Galactose</t>
  </si>
  <si>
    <t>Galac</t>
  </si>
  <si>
    <t>Galactose-1-Phosphate</t>
  </si>
  <si>
    <t>Galac-1-P</t>
  </si>
  <si>
    <t>Galactose-6-Phosphate</t>
  </si>
  <si>
    <t>Galac-6-P</t>
  </si>
  <si>
    <t>Gluconolactone</t>
  </si>
  <si>
    <t>GlucLac</t>
  </si>
  <si>
    <t>Gluconolactone-6-Phosphate</t>
  </si>
  <si>
    <t>GlucLac-6-P</t>
  </si>
  <si>
    <t>Glucose-1-Phosphate</t>
  </si>
  <si>
    <t>Glu-1-P</t>
  </si>
  <si>
    <t>Glucose-6-Phosphate</t>
  </si>
  <si>
    <t>Glu-6-P</t>
  </si>
  <si>
    <t>Glutamate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</si>
  <si>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</si>
  <si>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Glutamine</t>
  </si>
  <si>
    <t>Gln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</si>
  <si>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</si>
  <si>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Glutathione (ox)</t>
  </si>
  <si>
    <t>Gluth (ox)</t>
  </si>
  <si>
    <t>Glutathione (red)</t>
  </si>
  <si>
    <t>Gluth (red)</t>
  </si>
  <si>
    <t>Glyceraldehyde</t>
  </si>
  <si>
    <t>Glycald</t>
  </si>
  <si>
    <t>Glyceraldehyde-Phosphate</t>
  </si>
  <si>
    <t>Glycald-P</t>
  </si>
  <si>
    <t>Glycerate</t>
  </si>
  <si>
    <t>Gly-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</si>
  <si>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</si>
  <si>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Glycerol-3-Phosphate</t>
  </si>
  <si>
    <t>Glyc-3-P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</si>
  <si>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</si>
  <si>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Glycine</t>
  </si>
  <si>
    <t>Gly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</si>
  <si>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</si>
  <si>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Glycolate</t>
  </si>
  <si>
    <t>Glycol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</si>
  <si>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</si>
  <si>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Glycylglycine</t>
  </si>
  <si>
    <t>GlycylGly</t>
  </si>
  <si>
    <t>Glyoxylate</t>
  </si>
  <si>
    <t>Glyoxy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</si>
  <si>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</si>
  <si>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</si>
  <si>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Hydroxy-2-Oxoglutarate</t>
  </si>
  <si>
    <t>HydroxOxoglut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</si>
  <si>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</si>
  <si>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Hydroxyglutarate</t>
  </si>
  <si>
    <r>
      <t>HydroxGlutar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</si>
  <si>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</si>
  <si>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Hydroxypropionate</t>
  </si>
  <si>
    <t>Hydroxypropionyl-CoA</t>
  </si>
  <si>
    <t>Hydroxypyruvate</t>
  </si>
  <si>
    <t>HydroxPyr-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</si>
  <si>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</si>
  <si>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Hypoxanthine</t>
  </si>
  <si>
    <t>Hypoxant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</si>
  <si>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</si>
  <si>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Iditol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</si>
  <si>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</si>
  <si>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IDP</t>
  </si>
  <si>
    <t>IMP</t>
  </si>
  <si>
    <t>Indole</t>
  </si>
  <si>
    <t>Ind</t>
  </si>
  <si>
    <r>
      <t>C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</t>
    </r>
  </si>
  <si>
    <t>Inosine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</si>
  <si>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</si>
  <si>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Iodide ion</t>
  </si>
  <si>
    <t>I-</t>
  </si>
  <si>
    <t>Isomaltose</t>
  </si>
  <si>
    <t>Isomalt</t>
  </si>
  <si>
    <t>ITP</t>
  </si>
  <si>
    <t>4-Ketoglutaramate</t>
  </si>
  <si>
    <t>Ketoglum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</si>
  <si>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</si>
  <si>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Ketoglutarate</t>
  </si>
  <si>
    <t>Ketoglut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</si>
  <si>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</si>
  <si>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Lactose</t>
  </si>
  <si>
    <t>Lact</t>
  </si>
  <si>
    <t>Lactulose</t>
  </si>
  <si>
    <t>Lactul</t>
  </si>
  <si>
    <t>L-isoleucine</t>
  </si>
  <si>
    <t>IsoLeu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</si>
  <si>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</si>
  <si>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L-Leucine</t>
  </si>
  <si>
    <t>Leu</t>
  </si>
  <si>
    <t>Lyxose</t>
  </si>
  <si>
    <t>Lyx</t>
  </si>
  <si>
    <t>Maleate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</si>
  <si>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4 </t>
    </r>
    <r>
      <rPr>
        <vertAlign val="superscript"/>
        <sz val="10"/>
        <rFont val="Arial"/>
        <family val="2"/>
      </rPr>
      <t>2-</t>
    </r>
  </si>
  <si>
    <t>Malonate semialdehyde</t>
  </si>
  <si>
    <t>Malonyl-CoA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</si>
  <si>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</si>
  <si>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t>Maltose</t>
  </si>
  <si>
    <t>Malt</t>
  </si>
  <si>
    <t>Malyl-CoA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</si>
  <si>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-CoA</t>
    </r>
  </si>
  <si>
    <t>Mannitol-phosphate</t>
  </si>
  <si>
    <t>Mann-P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</si>
  <si>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P</t>
    </r>
  </si>
  <si>
    <t>D-Mannitol</t>
  </si>
  <si>
    <t>Mann</t>
  </si>
  <si>
    <t>Mannose</t>
  </si>
  <si>
    <t>Manns</t>
  </si>
  <si>
    <t>Mannose-6-Phosphate</t>
  </si>
  <si>
    <t>Manns-6-P</t>
  </si>
  <si>
    <t>Menaquinone (ox)</t>
  </si>
  <si>
    <t>MQred</t>
  </si>
  <si>
    <t>Menaquinone (red)</t>
  </si>
  <si>
    <t>MQox</t>
  </si>
  <si>
    <t>Methanol</t>
  </si>
  <si>
    <t>MeOH</t>
  </si>
  <si>
    <r>
      <t>CH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</si>
  <si>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L-Methionine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</si>
  <si>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</si>
  <si>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Methyl-2-Oxopentanoate</t>
  </si>
  <si>
    <t>Meth-OxoPent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</si>
  <si>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</si>
  <si>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Methylmalate</t>
  </si>
  <si>
    <r>
      <t>MethylMal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</si>
  <si>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5 </t>
    </r>
    <r>
      <rPr>
        <vertAlign val="superscript"/>
        <sz val="10"/>
        <rFont val="Arial"/>
        <family val="2"/>
      </rPr>
      <t>2-</t>
    </r>
  </si>
  <si>
    <t>Methylmaleate</t>
  </si>
  <si>
    <r>
      <t>MethylMalea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</si>
  <si>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 xml:space="preserve"> 2-</t>
    </r>
  </si>
  <si>
    <r>
      <t>N</t>
    </r>
    <r>
      <rPr>
        <vertAlign val="subscript"/>
        <sz val="10"/>
        <rFont val="Arial"/>
        <family val="2"/>
      </rPr>
      <t>2</t>
    </r>
  </si>
  <si>
    <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</si>
  <si>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Nicotinamideribonucleotide</t>
  </si>
  <si>
    <t>NO (aq)</t>
  </si>
  <si>
    <t>NO</t>
  </si>
  <si>
    <t>Oxalosuccinate</t>
  </si>
  <si>
    <r>
      <t>OxaloSucc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</si>
  <si>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7 </t>
    </r>
    <r>
      <rPr>
        <vertAlign val="superscript"/>
        <sz val="10"/>
        <rFont val="Arial"/>
        <family val="2"/>
      </rPr>
      <t>2-</t>
    </r>
  </si>
  <si>
    <t>Oxalyl-CoA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</si>
  <si>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</si>
  <si>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t>Oxoproline</t>
  </si>
  <si>
    <t>OxoPro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</si>
  <si>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</si>
  <si>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Oxopropionyl-CoA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</si>
  <si>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</si>
  <si>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Palmitate</t>
  </si>
  <si>
    <t>Palm</t>
  </si>
  <si>
    <r>
      <t>C</t>
    </r>
    <r>
      <rPr>
        <vertAlign val="subscript"/>
        <sz val="10"/>
        <rFont val="Arial"/>
        <family val="2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</si>
  <si>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Phosphoenolpyruvate</t>
  </si>
  <si>
    <t>PEP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</si>
  <si>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</si>
  <si>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L-Phenylalanine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</si>
  <si>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</si>
  <si>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2-Phosphoglycerate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</si>
  <si>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</si>
  <si>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3-Phosphoglycerate</t>
  </si>
  <si>
    <t>Phosphohydroxypyruvate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</si>
  <si>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</si>
  <si>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Phosphoserine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</si>
  <si>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</si>
  <si>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2-Propanol</t>
  </si>
  <si>
    <t>n-Propanol</t>
  </si>
  <si>
    <t>PRPP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</si>
  <si>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0"/>
        <rFont val="Arial"/>
        <family val="2"/>
      </rPr>
      <t>3</t>
    </r>
  </si>
  <si>
    <t>Vitamin A Aldehyde (Retinal)</t>
  </si>
  <si>
    <r>
      <t>C</t>
    </r>
    <r>
      <rPr>
        <vertAlign val="subscript"/>
        <sz val="10"/>
        <rFont val="Arial"/>
        <family val="2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28</t>
    </r>
    <r>
      <rPr>
        <sz val="11"/>
        <color theme="1"/>
        <rFont val="Calibri"/>
        <family val="2"/>
        <scheme val="minor"/>
      </rPr>
      <t>O</t>
    </r>
  </si>
  <si>
    <t>Vitamin A (Retinol)</t>
  </si>
  <si>
    <r>
      <t>C</t>
    </r>
    <r>
      <rPr>
        <vertAlign val="subscript"/>
        <sz val="10"/>
        <rFont val="Arial"/>
        <family val="2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30</t>
    </r>
    <r>
      <rPr>
        <sz val="11"/>
        <color theme="1"/>
        <rFont val="Calibri"/>
        <family val="2"/>
        <scheme val="minor"/>
      </rPr>
      <t>O</t>
    </r>
  </si>
  <si>
    <t>Ribitol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</si>
  <si>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</si>
  <si>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Ribose</t>
  </si>
  <si>
    <t>Ribose-1-Phos</t>
  </si>
  <si>
    <t>Ribose-5-Phos</t>
  </si>
  <si>
    <t>Ribulose</t>
  </si>
  <si>
    <t>Ribulose-5-Phosphate</t>
  </si>
  <si>
    <t>L-Serine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</si>
  <si>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</si>
  <si>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Sorbitol</t>
  </si>
  <si>
    <t>Sorbitol-6-Phosphate</t>
  </si>
  <si>
    <t>Sorbose</t>
  </si>
  <si>
    <t>Sulfite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</si>
  <si>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S</t>
    </r>
  </si>
  <si>
    <t>Thioredoxin (ox)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</si>
  <si>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</si>
  <si>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Thioredoxin (red)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</si>
  <si>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</si>
  <si>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Threonine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</si>
  <si>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</si>
  <si>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Transcinnamate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</si>
  <si>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</si>
  <si>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Trehalose</t>
  </si>
  <si>
    <t>L-Tryptophan</t>
  </si>
  <si>
    <r>
      <t>C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</si>
  <si>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L-Tyrosine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</si>
  <si>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</si>
  <si>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Urate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</si>
  <si>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</si>
  <si>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Urea</t>
  </si>
  <si>
    <r>
      <t>CH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</si>
  <si>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Uric acid</t>
  </si>
  <si>
    <t>L-Valine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</si>
  <si>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</si>
  <si>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Xylitol</t>
  </si>
  <si>
    <t>Xylulose</t>
  </si>
  <si>
    <t>Heijnen</t>
  </si>
  <si>
    <t>Rth</t>
  </si>
  <si>
    <t>kJ/mol·K</t>
  </si>
  <si>
    <t>Hanselmann</t>
  </si>
  <si>
    <t>T</t>
  </si>
  <si>
    <t>K</t>
  </si>
  <si>
    <t>Copies of van Gulik</t>
  </si>
  <si>
    <t>Stephanopoulos</t>
  </si>
  <si>
    <t>Others</t>
  </si>
  <si>
    <t>Thauer</t>
  </si>
  <si>
    <t>Estimated</t>
  </si>
  <si>
    <t>Alberty</t>
  </si>
  <si>
    <t>Updated from MINTEQ calculations</t>
  </si>
  <si>
    <t>Stoichiometry</t>
  </si>
  <si>
    <r>
      <t>ΔG</t>
    </r>
    <r>
      <rPr>
        <b/>
        <vertAlign val="superscript"/>
        <sz val="10"/>
        <rFont val="Arial"/>
        <family val="2"/>
      </rPr>
      <t>0</t>
    </r>
    <r>
      <rPr>
        <b/>
        <vertAlign val="subscript"/>
        <sz val="10"/>
        <rFont val="Arial"/>
        <family val="2"/>
      </rPr>
      <t>f</t>
    </r>
  </si>
  <si>
    <r>
      <t>ΔG</t>
    </r>
    <r>
      <rPr>
        <b/>
        <vertAlign val="superscript"/>
        <sz val="10"/>
        <rFont val="Arial"/>
        <family val="2"/>
      </rPr>
      <t>01</t>
    </r>
    <r>
      <rPr>
        <b/>
        <vertAlign val="subscript"/>
        <sz val="10"/>
        <rFont val="Arial"/>
        <family val="2"/>
      </rPr>
      <t>f</t>
    </r>
  </si>
  <si>
    <r>
      <t>ΔG</t>
    </r>
    <r>
      <rPr>
        <vertAlign val="subscript"/>
        <sz val="10"/>
        <rFont val="Arial"/>
        <family val="2"/>
      </rPr>
      <t>reax</t>
    </r>
  </si>
  <si>
    <t>ProTr (In)</t>
  </si>
  <si>
    <t>Pro -&gt; Pro-CoA</t>
  </si>
  <si>
    <t>Pro-CoA + OAA -&gt; mMalon-CoA + Pyr</t>
  </si>
  <si>
    <t>mMalon-CoA -&gt; Succ-CoA</t>
  </si>
  <si>
    <t>Succ-CoA -&gt; Succinate</t>
  </si>
  <si>
    <t>Succinate -&gt; Fumarate (Quinone)</t>
  </si>
  <si>
    <t>Fumarate -&gt; Malate</t>
  </si>
  <si>
    <t>Malate -&gt; OAA (FAD)</t>
  </si>
  <si>
    <t>Pyruvate -&gt; Acetyl-CoA</t>
  </si>
  <si>
    <t>AcTr (Out)</t>
  </si>
  <si>
    <t>FADH2 + NAD+ -&gt; FAD+ + NADH</t>
  </si>
  <si>
    <t>NADH -&gt; NAD + H2</t>
  </si>
  <si>
    <t>Pro + Lac-CoA -&gt; Lactate + Pro-CoA</t>
  </si>
  <si>
    <t>Acryloyl-CoA -&gt; Lactoyl-CoA</t>
  </si>
  <si>
    <t>Lactate -&gt; Pyruvate</t>
  </si>
  <si>
    <t>Acryloyl-CoA -&gt; 3-Hydroxypropionyl-CoA</t>
  </si>
  <si>
    <t>3-HyPro-Coa - 3 HyProate</t>
  </si>
  <si>
    <t>3-Hydroxypropanoate -&gt; Malonate semialdehyde</t>
  </si>
  <si>
    <t>Malonate semialdehyde -&gt; Acetyl-CoA</t>
  </si>
  <si>
    <t>NADPH -&gt; NADP+</t>
  </si>
  <si>
    <t>Pro- + AcCoA -&gt; Ac- + ProCoA</t>
  </si>
  <si>
    <t>Pro-CoA -&gt; mMalon-CoA</t>
  </si>
  <si>
    <t>OAA -&gt; Pyruvate</t>
  </si>
  <si>
    <t>Succinate -&gt; Fumarate (FAD)</t>
  </si>
  <si>
    <t>Malate -&gt; OAA (NAD)</t>
  </si>
  <si>
    <t>Full stoichiometry</t>
  </si>
  <si>
    <t>IN</t>
  </si>
  <si>
    <t>Y</t>
  </si>
  <si>
    <t>OUT</t>
  </si>
  <si>
    <t>Phase</t>
  </si>
  <si>
    <t>Permeable</t>
  </si>
  <si>
    <t>P1a</t>
  </si>
  <si>
    <t>P1b</t>
  </si>
  <si>
    <t>P1c</t>
  </si>
  <si>
    <t>P1d</t>
  </si>
  <si>
    <t>P2a</t>
  </si>
  <si>
    <t>P2b</t>
  </si>
  <si>
    <t>P2c</t>
  </si>
  <si>
    <t>P2d</t>
  </si>
  <si>
    <t>P3a</t>
  </si>
  <si>
    <t>P3b</t>
  </si>
  <si>
    <t>P3c</t>
  </si>
  <si>
    <t>P3d</t>
  </si>
  <si>
    <t>Pro-CoA -&gt; Acryloyl-CoA (FAD)</t>
  </si>
  <si>
    <t>Pro-CoA -&gt; Acryloyl-CoA (NAD)</t>
  </si>
  <si>
    <t>P4a</t>
  </si>
  <si>
    <t>P4b</t>
  </si>
  <si>
    <t>P5a</t>
  </si>
  <si>
    <t>P5b</t>
  </si>
  <si>
    <t>P6b</t>
  </si>
  <si>
    <t>P6a</t>
  </si>
  <si>
    <t>Menaquinol (ox)</t>
  </si>
  <si>
    <t>UQred + NAD+ -&gt; UQox + NADH2</t>
  </si>
  <si>
    <t>Fdred -&gt; Fdox</t>
  </si>
  <si>
    <t>CO2</t>
  </si>
  <si>
    <t>DG_ATP</t>
  </si>
  <si>
    <t>pH_in</t>
  </si>
  <si>
    <t>Menaquinone ox/red</t>
  </si>
  <si>
    <t>mV</t>
  </si>
  <si>
    <t>Ubiquinone ox/red</t>
  </si>
  <si>
    <t>(kJ/mol)</t>
  </si>
  <si>
    <t>"-"</t>
  </si>
  <si>
    <t>Equilibrator</t>
  </si>
  <si>
    <t>CoA_SH</t>
  </si>
  <si>
    <t>CompLabel</t>
  </si>
  <si>
    <t>c</t>
  </si>
  <si>
    <t>m</t>
  </si>
  <si>
    <t>eCox</t>
  </si>
  <si>
    <t>Lc</t>
  </si>
  <si>
    <t>StPlot</t>
  </si>
  <si>
    <t>p</t>
  </si>
  <si>
    <t>n</t>
  </si>
  <si>
    <t>F</t>
  </si>
  <si>
    <t>kC/mol-e</t>
  </si>
  <si>
    <t>R</t>
  </si>
  <si>
    <t>Methanofuran</t>
  </si>
  <si>
    <t>MFR</t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</si>
  <si>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15</t>
    </r>
  </si>
  <si>
    <t>Formyl methanofuran</t>
  </si>
  <si>
    <t>Formyl-MFR</t>
  </si>
  <si>
    <r>
      <t>C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</si>
  <si>
    <t>Tetrahydromethanopterin</t>
  </si>
  <si>
    <r>
      <t>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</si>
  <si>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</si>
  <si>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Formyl Tetrahydromethanopterin</t>
  </si>
  <si>
    <r>
      <t>Formyl-H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</si>
  <si>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</si>
  <si>
    <t>Methenyl Tetrahydromethanopterin</t>
  </si>
  <si>
    <r>
      <t>Methenyl-H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</si>
  <si>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</si>
  <si>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Methylene Tetrahydromethanopterin</t>
  </si>
  <si>
    <r>
      <t>Methylene-H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</si>
  <si>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</si>
  <si>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Methyl Tetrahydromethanopterin</t>
  </si>
  <si>
    <r>
      <t>Methyl-H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</si>
  <si>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</si>
  <si>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Coenzyme M</t>
  </si>
  <si>
    <t>CoM-SH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</si>
  <si>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</si>
  <si>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Methyl Coenzyme M</t>
  </si>
  <si>
    <t>Methyl-CoM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</si>
  <si>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</si>
  <si>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Coenzyme B</t>
  </si>
  <si>
    <t>CoB-SH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</si>
  <si>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PS</t>
    </r>
  </si>
  <si>
    <t>CoB-CoM heterodisulfide</t>
  </si>
  <si>
    <t>CoM-S-S-CoB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</si>
  <si>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PS</t>
    </r>
    <r>
      <rPr>
        <vertAlign val="subscript"/>
        <sz val="11"/>
        <color theme="1"/>
        <rFont val="Calibri"/>
        <family val="2"/>
        <scheme val="minor"/>
      </rPr>
      <t>3</t>
    </r>
  </si>
  <si>
    <t xml:space="preserve">F420 </t>
  </si>
  <si>
    <t>F420ox</t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</si>
  <si>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</si>
  <si>
    <t>F420H2</t>
  </si>
  <si>
    <t>F420red</t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</si>
  <si>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</si>
  <si>
    <t>MQox -&gt; MQred</t>
  </si>
  <si>
    <t>Pathway List</t>
  </si>
  <si>
    <t>Selected Pathway</t>
  </si>
  <si>
    <t>S-CoA</t>
  </si>
  <si>
    <t>Propionyl CoA</t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</si>
  <si>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(aq)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</si>
  <si>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(aq)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</si>
  <si>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(g)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</si>
  <si>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 (aq)</t>
    </r>
  </si>
  <si>
    <r>
      <t>NH</t>
    </r>
    <r>
      <rPr>
        <vertAlign val="subscript"/>
        <sz val="10"/>
        <rFont val="Arial"/>
        <family val="2"/>
      </rPr>
      <t xml:space="preserve">3 </t>
    </r>
    <r>
      <rPr>
        <sz val="10"/>
        <color theme="1"/>
        <rFont val="Arial"/>
        <family val="2"/>
      </rPr>
      <t>(aq)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</si>
  <si>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CO</t>
    </r>
    <r>
      <rPr>
        <vertAlign val="subscript"/>
        <sz val="10"/>
        <rFont val="Arial"/>
        <family val="2"/>
      </rPr>
      <t>3</t>
    </r>
  </si>
  <si>
    <r>
      <t>H</t>
    </r>
    <r>
      <rPr>
        <vertAlign val="subscript"/>
        <sz val="10"/>
        <rFont val="Arial"/>
        <family val="2"/>
      </rPr>
      <t>3</t>
    </r>
    <r>
      <rPr>
        <sz val="10"/>
        <color theme="1"/>
        <rFont val="Arial"/>
        <family val="2"/>
      </rPr>
      <t>PO</t>
    </r>
    <r>
      <rPr>
        <vertAlign val="subscript"/>
        <sz val="10"/>
        <rFont val="Arial"/>
        <family val="2"/>
      </rPr>
      <t>4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</si>
  <si>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</si>
  <si>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</si>
  <si>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S(g)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</si>
  <si>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</si>
  <si>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</t>
    </r>
  </si>
  <si>
    <t>H2 -&gt; 2 H+ + 2 e-</t>
  </si>
  <si>
    <t>AQUEOUS PHASE ENTHALPIES</t>
  </si>
  <si>
    <t>GAS PHASE ENTHALPIES (JOBACK METHOD GROUP CONTRIBUTION)</t>
  </si>
  <si>
    <t>Diff between aqueous and estimated gas phase</t>
  </si>
  <si>
    <t>&gt;CH-</t>
  </si>
  <si>
    <t>=CH2</t>
  </si>
  <si>
    <t>&gt;C&lt;</t>
  </si>
  <si>
    <t>=CH-</t>
  </si>
  <si>
    <t>=C&lt;</t>
  </si>
  <si>
    <t>=C=</t>
  </si>
  <si>
    <t>≡CH</t>
  </si>
  <si>
    <t>≡C-</t>
  </si>
  <si>
    <t>O=CH-</t>
  </si>
  <si>
    <t>&gt;C=O</t>
  </si>
  <si>
    <t>-OH</t>
  </si>
  <si>
    <t>-COOH</t>
  </si>
  <si>
    <t>Methylmalonic acid</t>
  </si>
  <si>
    <t>Acrylic acid</t>
  </si>
  <si>
    <t>3-Hydroxypropionic acid</t>
  </si>
  <si>
    <t>3-Oxopropionic acid</t>
  </si>
  <si>
    <t>Pyruvic acid</t>
  </si>
  <si>
    <t>Oxaloacetic acid</t>
  </si>
  <si>
    <t>ESTIMATION ENTHALPIES  OF COMPONENTS WITH -CoA</t>
  </si>
  <si>
    <t>Propionyl-CoA</t>
  </si>
  <si>
    <t>Methylmalonyl-CoA</t>
  </si>
  <si>
    <t>Acryloyl-CoA</t>
  </si>
  <si>
    <t>3-Hydroxpropionyl-CoA</t>
  </si>
  <si>
    <t>3-Oxopropionyl-CoA</t>
  </si>
  <si>
    <t>Lactoyl-CoA</t>
  </si>
  <si>
    <t>Acetyl-CoA</t>
  </si>
  <si>
    <t>Succinyl-CoA</t>
  </si>
  <si>
    <t>Oxaloacetic</t>
  </si>
  <si>
    <t>See calcEnthJoback</t>
  </si>
  <si>
    <t>Malonic acid</t>
  </si>
  <si>
    <t>&lt;--&gt;</t>
  </si>
  <si>
    <t>a)</t>
  </si>
  <si>
    <t>b)</t>
  </si>
  <si>
    <t>a)-b)</t>
  </si>
  <si>
    <t>CALCULATE CoA ENTHALPY (Enthalpies of the reactions obtained from Li et al 2011)</t>
  </si>
  <si>
    <r>
      <t>Succ</t>
    </r>
    <r>
      <rPr>
        <vertAlign val="superscript"/>
        <sz val="11"/>
        <color theme="1"/>
        <rFont val="Calibri"/>
        <family val="2"/>
        <scheme val="minor"/>
      </rPr>
      <t>2-</t>
    </r>
  </si>
  <si>
    <r>
      <t>2 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</si>
  <si>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HPO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2-</t>
    </r>
  </si>
  <si>
    <r>
      <t>GDP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</si>
  <si>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ADP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</si>
  <si>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GTP</t>
    </r>
    <r>
      <rPr>
        <vertAlign val="superscript"/>
        <sz val="11"/>
        <color theme="1"/>
        <rFont val="Calibri"/>
        <family val="2"/>
        <scheme val="minor"/>
      </rPr>
      <t>4-</t>
    </r>
  </si>
  <si>
    <r>
      <t>ATP</t>
    </r>
    <r>
      <rPr>
        <vertAlign val="superscript"/>
        <sz val="11"/>
        <color theme="1"/>
        <rFont val="Calibri"/>
        <family val="2"/>
        <scheme val="minor"/>
      </rPr>
      <t>4-</t>
    </r>
  </si>
  <si>
    <r>
      <t>H</t>
    </r>
    <r>
      <rPr>
        <vertAlign val="superscript"/>
        <sz val="11"/>
        <color theme="1"/>
        <rFont val="Calibri"/>
        <family val="2"/>
        <scheme val="minor"/>
      </rPr>
      <t>+</t>
    </r>
  </si>
  <si>
    <t>Estimated in aqueous by differences from gas enthalpies</t>
  </si>
  <si>
    <t>Estimated in aqueous by differences from calculated liquid enthalpies</t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</si>
  <si>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</si>
  <si>
    <r>
      <t>dΔH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  <r>
      <rPr>
        <b/>
        <sz val="11"/>
        <rFont val="Calibri"/>
        <family val="2"/>
        <scheme val="minor"/>
      </rPr>
      <t xml:space="preserve"> 
(Compared to Propionic Acid)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</si>
  <si>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f,gas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</si>
  <si>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vap</t>
    </r>
  </si>
  <si>
    <r>
      <t>dΔH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f,g</t>
    </r>
    <r>
      <rPr>
        <b/>
        <sz val="11"/>
        <rFont val="Calibri"/>
        <family val="2"/>
        <scheme val="minor"/>
      </rPr>
      <t xml:space="preserve"> 
(Compared to Propionic Acid)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</si>
  <si>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f,liq</t>
    </r>
    <r>
      <rPr>
        <b/>
        <sz val="11"/>
        <rFont val="Calibri"/>
        <family val="2"/>
        <scheme val="minor"/>
      </rPr>
      <t xml:space="preserve">  calculated</t>
    </r>
  </si>
  <si>
    <r>
      <t>CH</t>
    </r>
    <r>
      <rPr>
        <b/>
        <vertAlign val="sub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-</t>
    </r>
  </si>
  <si>
    <r>
      <t>-CH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</t>
    </r>
  </si>
  <si>
    <t xml:space="preserve">Difference of enthalpy to propionic acid between gas phase and aqueous phase </t>
  </si>
  <si>
    <t xml:space="preserve">Difference of enthalpy to propionic acid between liquid phase and aqueous phase </t>
  </si>
  <si>
    <t>FUNCTIONAL GROUP DESCRIPTORS</t>
  </si>
  <si>
    <t>Component</t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</si>
  <si>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f,est (liq-based)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</si>
  <si>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f,est (gas-based)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</si>
  <si>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R</t>
    </r>
  </si>
  <si>
    <r>
      <t>ΔH</t>
    </r>
    <r>
      <rPr>
        <i/>
        <vertAlign val="superscript"/>
        <sz val="11"/>
        <rFont val="Calibri"/>
        <family val="2"/>
        <scheme val="minor"/>
      </rPr>
      <t>0</t>
    </r>
    <r>
      <rPr>
        <i/>
        <vertAlign val="subscript"/>
        <sz val="11"/>
        <rFont val="Calibri"/>
        <family val="2"/>
        <scheme val="minor"/>
      </rPr>
      <t>f,aq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</si>
  <si>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</si>
  <si>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f,-CoA</t>
    </r>
  </si>
  <si>
    <t>EVALUATION SENSITIVITY ANALYSIS SCENARIOS</t>
  </si>
  <si>
    <t>Parameters</t>
  </si>
  <si>
    <t>Units</t>
  </si>
  <si>
    <t>Values</t>
  </si>
  <si>
    <t>Physiological Parameters</t>
  </si>
  <si>
    <r>
      <t>D</t>
    </r>
    <r>
      <rPr>
        <b/>
        <sz val="10"/>
        <color rgb="FF000000"/>
        <rFont val="Calibri"/>
        <family val="2"/>
      </rPr>
      <t>G</t>
    </r>
    <r>
      <rPr>
        <b/>
        <vertAlign val="subscript"/>
        <sz val="10"/>
        <color rgb="FF000000"/>
        <rFont val="Calibri"/>
        <family val="2"/>
      </rPr>
      <t>ATP</t>
    </r>
  </si>
  <si>
    <r>
      <t>H</t>
    </r>
    <r>
      <rPr>
        <b/>
        <vertAlign val="superscript"/>
        <sz val="10"/>
        <color rgb="FF000000"/>
        <rFont val="Calibri"/>
        <family val="2"/>
      </rPr>
      <t>+</t>
    </r>
    <r>
      <rPr>
        <b/>
        <sz val="10"/>
        <color rgb="FF000000"/>
        <rFont val="Calibri"/>
        <family val="2"/>
      </rPr>
      <t>/ATP</t>
    </r>
  </si>
  <si>
    <t>[]</t>
  </si>
  <si>
    <t>mM</t>
  </si>
  <si>
    <r>
      <t>pH</t>
    </r>
    <r>
      <rPr>
        <b/>
        <vertAlign val="subscript"/>
        <sz val="10"/>
        <color rgb="FF000000"/>
        <rFont val="Calibri"/>
        <family val="2"/>
      </rPr>
      <t>in</t>
    </r>
  </si>
  <si>
    <t>Environmental</t>
  </si>
  <si>
    <t>Conditions</t>
  </si>
  <si>
    <r>
      <t>H</t>
    </r>
    <r>
      <rPr>
        <b/>
        <vertAlign val="subscript"/>
        <sz val="10"/>
        <color rgb="FF000000"/>
        <rFont val="Calibri"/>
        <family val="2"/>
      </rPr>
      <t>2</t>
    </r>
  </si>
  <si>
    <t>Pa</t>
  </si>
  <si>
    <r>
      <t>CO</t>
    </r>
    <r>
      <rPr>
        <b/>
        <vertAlign val="subscript"/>
        <sz val="10"/>
        <color rgb="FF000000"/>
        <rFont val="Calibri"/>
        <family val="2"/>
      </rPr>
      <t>2</t>
    </r>
  </si>
  <si>
    <r>
      <t>T</t>
    </r>
    <r>
      <rPr>
        <sz val="8"/>
        <color theme="1"/>
        <rFont val="Times New Roman"/>
        <family val="1"/>
      </rPr>
      <t>  </t>
    </r>
  </si>
  <si>
    <r>
      <t>o</t>
    </r>
    <r>
      <rPr>
        <sz val="10"/>
        <color rgb="FF000000"/>
        <rFont val="Calibri"/>
        <family val="2"/>
      </rPr>
      <t>C</t>
    </r>
  </si>
  <si>
    <r>
      <t>pH</t>
    </r>
    <r>
      <rPr>
        <b/>
        <vertAlign val="subscript"/>
        <sz val="10"/>
        <color rgb="FF000000"/>
        <rFont val="Calibri"/>
        <family val="2"/>
      </rPr>
      <t>out</t>
    </r>
  </si>
  <si>
    <t>Num Vals</t>
  </si>
  <si>
    <t>Num of combinations</t>
  </si>
  <si>
    <t>Time of simulation per scenario (s)</t>
  </si>
  <si>
    <t>Time of total simulation (s)</t>
  </si>
  <si>
    <t>Time of total simulation (h)</t>
  </si>
  <si>
    <t>Time of total simulation (d)</t>
  </si>
  <si>
    <t>Num of cores per machine</t>
  </si>
  <si>
    <t>Sim time in 1 machine</t>
  </si>
  <si>
    <t>H2 + CO2 -&gt; HCOO-</t>
  </si>
  <si>
    <t>Use Joback Method to estimate enthalpies?</t>
  </si>
  <si>
    <t>refVal</t>
  </si>
  <si>
    <t>varNames</t>
  </si>
  <si>
    <t>Ratio_H_ATP</t>
  </si>
  <si>
    <t>pHout</t>
  </si>
  <si>
    <t>allCombinations</t>
  </si>
  <si>
    <t>evalCombination</t>
  </si>
  <si>
    <t>evalCombinationList</t>
  </si>
  <si>
    <t>sensitivity</t>
  </si>
  <si>
    <t>H2Range</t>
  </si>
  <si>
    <t>mol H+/mol ATP</t>
  </si>
  <si>
    <t>Auxiliary Formatting Checkup Matrix</t>
  </si>
  <si>
    <t>pH_out</t>
  </si>
  <si>
    <t>AVOGADRO'S NUMBER CALCULATIONS</t>
  </si>
  <si>
    <t>Solubility 
(mg/L)</t>
  </si>
  <si>
    <t>Solubility 
(M)</t>
  </si>
  <si>
    <t>Via methylmalonyl-CoA (linear) (FAD-FAD)</t>
  </si>
  <si>
    <t>Via methylmalonyl-CoA (linear) (UQ-NAD)</t>
  </si>
  <si>
    <t>Via methylmalonyl-CoA (linear) (FAD-NAD)</t>
  </si>
  <si>
    <t>Via methylmalonyl-CoA (cyclical 1) (UQ-FAD)</t>
  </si>
  <si>
    <t>Via methylmalonyl-CoA (cyclical 1) (FAD-FAD)</t>
  </si>
  <si>
    <t>Via methylmalonyl-CoA (cyclical 1) (UQ-NAD)</t>
  </si>
  <si>
    <t>Via methylmalonyl-CoA (cyclical 1) (FAD-NAD)</t>
  </si>
  <si>
    <t>Via methylmalonyl-CoA (cyclical 2) (UQ-FAD)</t>
  </si>
  <si>
    <t>Via methylmalonyl-CoA (cyclical 2) (FAD-FAD)</t>
  </si>
  <si>
    <t>Via methylmalonyl-CoA (cyclical 2) (UQ-NAD)</t>
  </si>
  <si>
    <t>Via methylmalonyl-CoA (cyclical 2) (FAD-NAD)</t>
  </si>
  <si>
    <t>Via lactate  (FAD)</t>
  </si>
  <si>
    <t>Via lactate  (NAD)</t>
  </si>
  <si>
    <t>Via hydroxypropionyl-CoA (linear) (FAD)</t>
  </si>
  <si>
    <t>Via hydroxypropionyl-CoA (linear) (NAD)</t>
  </si>
  <si>
    <t>Via hydroxypropionyl-CoA (cyclical) (FAD)</t>
  </si>
  <si>
    <t>Via hydroxypropionyl-CoA (cyclical) (NAD)</t>
  </si>
  <si>
    <t>DG (w/ ATP)</t>
  </si>
  <si>
    <t>Dp (V)</t>
  </si>
  <si>
    <r>
      <t>P</t>
    </r>
    <r>
      <rPr>
        <b/>
        <vertAlign val="subscript"/>
        <sz val="10"/>
        <rFont val="Calibri"/>
        <family val="2"/>
        <scheme val="minor"/>
      </rPr>
      <t>gas</t>
    </r>
    <r>
      <rPr>
        <b/>
        <vertAlign val="superscript"/>
        <sz val="10"/>
        <rFont val="Calibri"/>
        <family val="2"/>
        <scheme val="minor"/>
      </rPr>
      <t xml:space="preserve">eq
</t>
    </r>
    <r>
      <rPr>
        <b/>
        <sz val="10"/>
        <rFont val="Calibri"/>
        <family val="2"/>
        <scheme val="minor"/>
      </rPr>
      <t>(bar)</t>
    </r>
  </si>
  <si>
    <r>
      <t>Total Conc
[AH]+[A</t>
    </r>
    <r>
      <rPr>
        <b/>
        <vertAlign val="superscript"/>
        <sz val="10"/>
        <rFont val="Calibri"/>
        <family val="2"/>
        <scheme val="minor"/>
      </rPr>
      <t>-</t>
    </r>
    <r>
      <rPr>
        <b/>
        <sz val="10"/>
        <rFont val="Calibri"/>
        <family val="2"/>
        <scheme val="minor"/>
      </rPr>
      <t>] +[A</t>
    </r>
    <r>
      <rPr>
        <b/>
        <vertAlign val="superscript"/>
        <sz val="10"/>
        <rFont val="Calibri"/>
        <family val="2"/>
        <scheme val="minor"/>
      </rPr>
      <t>2-</t>
    </r>
    <r>
      <rPr>
        <b/>
        <sz val="10"/>
        <rFont val="Calibri"/>
        <family val="2"/>
        <scheme val="minor"/>
      </rPr>
      <t>] etc</t>
    </r>
  </si>
  <si>
    <r>
      <t>E</t>
    </r>
    <r>
      <rPr>
        <b/>
        <vertAlign val="subscript"/>
        <sz val="10"/>
        <rFont val="Calibri"/>
        <family val="2"/>
        <scheme val="minor"/>
      </rPr>
      <t xml:space="preserve">i </t>
    </r>
    <r>
      <rPr>
        <b/>
        <sz val="10"/>
        <rFont val="Calibri"/>
        <family val="2"/>
        <scheme val="minor"/>
      </rPr>
      <t>(V)</t>
    </r>
  </si>
  <si>
    <r>
      <t>pKaº</t>
    </r>
    <r>
      <rPr>
        <vertAlign val="subscript"/>
        <sz val="10"/>
        <rFont val="Calibri"/>
        <family val="2"/>
        <scheme val="minor"/>
      </rPr>
      <t>3</t>
    </r>
  </si>
  <si>
    <r>
      <t>pKaº</t>
    </r>
    <r>
      <rPr>
        <vertAlign val="subscript"/>
        <sz val="10"/>
        <rFont val="Calibri"/>
        <family val="2"/>
        <scheme val="minor"/>
      </rPr>
      <t>2</t>
    </r>
  </si>
  <si>
    <r>
      <t>pKaº</t>
    </r>
    <r>
      <rPr>
        <vertAlign val="subscript"/>
        <sz val="10"/>
        <rFont val="Calibri"/>
        <family val="2"/>
        <scheme val="minor"/>
      </rPr>
      <t>1</t>
    </r>
  </si>
  <si>
    <r>
      <t>Kaº</t>
    </r>
    <r>
      <rPr>
        <vertAlign val="subscript"/>
        <sz val="10"/>
        <rFont val="Calibri"/>
        <family val="2"/>
        <scheme val="minor"/>
      </rPr>
      <t>3</t>
    </r>
  </si>
  <si>
    <r>
      <t>Kaº</t>
    </r>
    <r>
      <rPr>
        <vertAlign val="subscript"/>
        <sz val="10"/>
        <rFont val="Calibri"/>
        <family val="2"/>
        <scheme val="minor"/>
      </rPr>
      <t>2</t>
    </r>
  </si>
  <si>
    <r>
      <t>Kaº</t>
    </r>
    <r>
      <rPr>
        <vertAlign val="subscript"/>
        <sz val="10"/>
        <rFont val="Calibri"/>
        <family val="2"/>
        <scheme val="minor"/>
      </rPr>
      <t>1</t>
    </r>
  </si>
  <si>
    <r>
      <t>I</t>
    </r>
    <r>
      <rPr>
        <b/>
        <vertAlign val="subscript"/>
        <sz val="10"/>
        <rFont val="Calibri"/>
        <family val="2"/>
        <scheme val="minor"/>
      </rPr>
      <t>C</t>
    </r>
  </si>
  <si>
    <r>
      <t>DG</t>
    </r>
    <r>
      <rPr>
        <b/>
        <vertAlign val="subscript"/>
        <sz val="10"/>
        <rFont val="Calibri"/>
        <family val="2"/>
        <scheme val="minor"/>
      </rPr>
      <t>ATP</t>
    </r>
  </si>
  <si>
    <t>ΔG</t>
  </si>
  <si>
    <r>
      <t>ΔG</t>
    </r>
    <r>
      <rPr>
        <b/>
        <vertAlign val="superscript"/>
        <sz val="10"/>
        <rFont val="Calibri"/>
        <family val="2"/>
        <scheme val="minor"/>
      </rPr>
      <t>01</t>
    </r>
  </si>
  <si>
    <t>ΔE</t>
  </si>
  <si>
    <r>
      <t>ΔE</t>
    </r>
    <r>
      <rPr>
        <b/>
        <vertAlign val="superscript"/>
        <sz val="10"/>
        <rFont val="Calibri"/>
        <family val="2"/>
        <scheme val="minor"/>
      </rPr>
      <t>01</t>
    </r>
  </si>
  <si>
    <r>
      <t>ΔE</t>
    </r>
    <r>
      <rPr>
        <b/>
        <vertAlign val="superscript"/>
        <sz val="10"/>
        <rFont val="Calibri"/>
        <family val="2"/>
        <scheme val="minor"/>
      </rPr>
      <t>0</t>
    </r>
  </si>
  <si>
    <r>
      <t>ΔG</t>
    </r>
    <r>
      <rPr>
        <b/>
        <vertAlign val="superscript"/>
        <sz val="10"/>
        <rFont val="Calibri"/>
        <family val="2"/>
        <scheme val="minor"/>
      </rPr>
      <t>0</t>
    </r>
  </si>
  <si>
    <r>
      <rPr>
        <b/>
        <sz val="10"/>
        <rFont val="Calibri"/>
        <family val="2"/>
      </rPr>
      <t>µ</t>
    </r>
    <r>
      <rPr>
        <b/>
        <vertAlign val="subscript"/>
        <sz val="10"/>
        <rFont val="Calibri"/>
        <family val="2"/>
        <scheme val="minor"/>
      </rPr>
      <t>i</t>
    </r>
    <r>
      <rPr>
        <b/>
        <sz val="10"/>
        <rFont val="Calibri"/>
        <family val="2"/>
        <scheme val="minor"/>
      </rPr>
      <t xml:space="preserve">
(kJ/mol)</t>
    </r>
  </si>
  <si>
    <t>Via methylmalonyl-CoA (linear) (UQ-FAD)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</si>
</sst>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E+00"/>
    <numFmt numFmtId="166" formatCode="0.0000"/>
    <numFmt numFmtId="167" formatCode="0.000"/>
    <numFmt numFmtId="168" formatCode="0E+00"/>
    <numFmt numFmtId="169" formatCode="0.000000"/>
    <numFmt numFmtId="170" formatCode="0.0000000000000"/>
    <numFmt numFmtId="171" formatCode="#/3"/>
  </numFmts>
  <fonts count="7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Calibri"/>
      <family val="2"/>
    </font>
    <font>
      <b/>
      <sz val="10"/>
      <name val="Symbol"/>
      <family val="1"/>
      <charset val="2"/>
    </font>
    <font>
      <b/>
      <i/>
      <sz val="10"/>
      <name val="Arial"/>
      <family val="2"/>
    </font>
    <font>
      <vertAlign val="subscript"/>
      <sz val="10"/>
      <name val="Arial"/>
      <family val="2"/>
    </font>
    <font>
      <sz val="10"/>
      <color indexed="23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i/>
      <vertAlign val="subscript"/>
      <sz val="10"/>
      <color indexed="8"/>
      <name val="Arial"/>
      <family val="2"/>
    </font>
    <font>
      <vertAlign val="superscript"/>
      <sz val="10"/>
      <name val="Arial"/>
      <family val="2"/>
    </font>
    <font>
      <b/>
      <sz val="11"/>
      <color rgb="FFFA7D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4"/>
      <name val="Arial"/>
      <family val="2"/>
    </font>
    <font>
      <sz val="10"/>
      <color rgb="FF7030A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color theme="4"/>
      <name val="Arial"/>
      <family val="2"/>
    </font>
    <font>
      <vertAlign val="subscript"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name val="Calibri"/>
      <family val="2"/>
      <scheme val="minor"/>
    </font>
    <font>
      <i/>
      <vertAlign val="superscript"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Symbol"/>
      <family val="1"/>
      <charset val="2"/>
    </font>
    <font>
      <b/>
      <vertAlign val="subscript"/>
      <sz val="10"/>
      <color rgb="FF000000"/>
      <name val="Calibri"/>
      <family val="2"/>
    </font>
    <font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0"/>
      <color theme="1"/>
      <name val="Calibri"/>
      <family val="2"/>
    </font>
    <font>
      <sz val="8"/>
      <color theme="1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10"/>
      <color indexed="23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indexed="62"/>
      <name val="Calibri"/>
      <family val="2"/>
      <scheme val="minor"/>
    </font>
    <font>
      <sz val="10"/>
      <color theme="6"/>
      <name val="Calibri"/>
      <family val="2"/>
      <scheme val="minor"/>
    </font>
    <font>
      <sz val="10"/>
      <color indexed="22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4">
    <xf numFmtId="0" fontId="0" fillId="0" borderId="0"/>
    <xf numFmtId="0" fontId="2" fillId="0" borderId="0"/>
    <xf numFmtId="0" fontId="16" fillId="0" borderId="0"/>
    <xf numFmtId="0" fontId="20" fillId="14" borderId="68" applyNumberFormat="0" applyAlignment="0" applyProtection="0"/>
  </cellStyleXfs>
  <cellXfs count="670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0" xfId="0" applyAlignment="1">
      <alignment horizontal="center" vertical="center"/>
    </xf>
    <xf numFmtId="164" fontId="0" fillId="0" borderId="0" xfId="0" applyNumberFormat="1"/>
    <xf numFmtId="0" fontId="2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" fillId="0" borderId="6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 wrapText="1"/>
    </xf>
    <xf numFmtId="0" fontId="17" fillId="16" borderId="67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164" fontId="10" fillId="0" borderId="33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67" fontId="2" fillId="0" borderId="33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4" fontId="25" fillId="0" borderId="33" xfId="0" applyNumberFormat="1" applyFont="1" applyBorder="1" applyAlignment="1">
      <alignment horizontal="center" vertical="center"/>
    </xf>
    <xf numFmtId="0" fontId="26" fillId="0" borderId="33" xfId="0" applyFont="1" applyBorder="1" applyAlignment="1">
      <alignment horizontal="center" vertical="center"/>
    </xf>
    <xf numFmtId="164" fontId="27" fillId="0" borderId="33" xfId="0" applyNumberFormat="1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164" fontId="27" fillId="0" borderId="33" xfId="2" applyNumberFormat="1" applyFont="1" applyBorder="1" applyAlignment="1">
      <alignment horizontal="center" vertical="center"/>
    </xf>
    <xf numFmtId="0" fontId="27" fillId="0" borderId="33" xfId="2" applyFont="1" applyBorder="1" applyAlignment="1">
      <alignment horizontal="center" vertical="center"/>
    </xf>
    <xf numFmtId="164" fontId="26" fillId="0" borderId="33" xfId="0" applyNumberFormat="1" applyFont="1" applyBorder="1" applyAlignment="1">
      <alignment horizontal="center" vertical="center"/>
    </xf>
    <xf numFmtId="164" fontId="26" fillId="0" borderId="27" xfId="0" applyNumberFormat="1" applyFont="1" applyBorder="1" applyAlignment="1">
      <alignment horizontal="center" vertical="center"/>
    </xf>
    <xf numFmtId="164" fontId="28" fillId="0" borderId="33" xfId="0" applyNumberFormat="1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0" fontId="2" fillId="17" borderId="25" xfId="0" applyFont="1" applyFill="1" applyBorder="1" applyAlignment="1">
      <alignment horizontal="center" vertical="center"/>
    </xf>
    <xf numFmtId="164" fontId="27" fillId="0" borderId="27" xfId="0" applyNumberFormat="1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164" fontId="13" fillId="0" borderId="33" xfId="0" applyNumberFormat="1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164" fontId="29" fillId="0" borderId="27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12" fillId="0" borderId="33" xfId="0" applyNumberFormat="1" applyFont="1" applyBorder="1" applyAlignment="1">
      <alignment horizontal="center" vertical="center"/>
    </xf>
    <xf numFmtId="164" fontId="25" fillId="0" borderId="27" xfId="0" applyNumberFormat="1" applyFont="1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 vertical="center"/>
    </xf>
    <xf numFmtId="164" fontId="13" fillId="0" borderId="27" xfId="0" applyNumberFormat="1" applyFont="1" applyBorder="1" applyAlignment="1">
      <alignment horizontal="center" vertical="center"/>
    </xf>
    <xf numFmtId="164" fontId="30" fillId="0" borderId="27" xfId="0" applyNumberFormat="1" applyFont="1" applyBorder="1" applyAlignment="1">
      <alignment horizontal="center" vertical="center"/>
    </xf>
    <xf numFmtId="164" fontId="30" fillId="0" borderId="33" xfId="0" applyNumberFormat="1" applyFont="1" applyBorder="1" applyAlignment="1">
      <alignment horizontal="center" vertical="center"/>
    </xf>
    <xf numFmtId="164" fontId="28" fillId="0" borderId="27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0" fontId="2" fillId="13" borderId="33" xfId="0" applyFont="1" applyFill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7" fillId="0" borderId="60" xfId="0" applyFont="1" applyBorder="1" applyAlignment="1">
      <alignment horizontal="center" vertical="center"/>
    </xf>
    <xf numFmtId="167" fontId="2" fillId="0" borderId="60" xfId="0" applyNumberFormat="1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167" fontId="2" fillId="0" borderId="25" xfId="0" applyNumberFormat="1" applyFont="1" applyBorder="1" applyAlignment="1">
      <alignment horizontal="center" vertical="center"/>
    </xf>
    <xf numFmtId="2" fontId="9" fillId="0" borderId="27" xfId="0" applyNumberFormat="1" applyFont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8" borderId="2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70" xfId="0" applyFont="1" applyBorder="1" applyAlignment="1">
      <alignment horizontal="center"/>
    </xf>
    <xf numFmtId="0" fontId="12" fillId="0" borderId="70" xfId="0" applyFont="1" applyBorder="1" applyAlignment="1">
      <alignment horizontal="center"/>
    </xf>
    <xf numFmtId="0" fontId="12" fillId="0" borderId="71" xfId="0" applyFont="1" applyBorder="1" applyAlignment="1">
      <alignment horizontal="center"/>
    </xf>
    <xf numFmtId="0" fontId="0" fillId="0" borderId="71" xfId="0" applyBorder="1" applyAlignment="1">
      <alignment horizontal="center" vertical="center"/>
    </xf>
    <xf numFmtId="0" fontId="12" fillId="0" borderId="72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7" fillId="0" borderId="63" xfId="0" applyFont="1" applyBorder="1" applyAlignment="1">
      <alignment horizontal="center"/>
    </xf>
    <xf numFmtId="0" fontId="12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0" fillId="0" borderId="64" xfId="0" applyBorder="1" applyAlignment="1">
      <alignment horizontal="center" vertical="center"/>
    </xf>
    <xf numFmtId="0" fontId="12" fillId="0" borderId="65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7" borderId="7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6" fillId="0" borderId="0" xfId="2"/>
    <xf numFmtId="0" fontId="2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17" borderId="25" xfId="0" applyFill="1" applyBorder="1" applyAlignment="1">
      <alignment horizontal="left" vertical="center"/>
    </xf>
    <xf numFmtId="0" fontId="2" fillId="18" borderId="33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164" fontId="31" fillId="0" borderId="27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49" fontId="0" fillId="0" borderId="0" xfId="0" applyNumberFormat="1" applyAlignment="1">
      <alignment vertical="center" wrapText="1"/>
    </xf>
    <xf numFmtId="0" fontId="33" fillId="0" borderId="0" xfId="1" applyFont="1" applyAlignment="1">
      <alignment horizontal="center" vertical="center"/>
    </xf>
    <xf numFmtId="0" fontId="34" fillId="0" borderId="0" xfId="0" applyFont="1" applyBorder="1" applyAlignment="1">
      <alignment horizontal="center"/>
    </xf>
    <xf numFmtId="0" fontId="34" fillId="0" borderId="0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164" fontId="31" fillId="0" borderId="60" xfId="0" applyNumberFormat="1" applyFont="1" applyBorder="1" applyAlignment="1">
      <alignment horizontal="center" vertical="center"/>
    </xf>
    <xf numFmtId="0" fontId="31" fillId="0" borderId="60" xfId="0" applyFont="1" applyBorder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31" fillId="0" borderId="53" xfId="0" applyFont="1" applyBorder="1" applyAlignment="1">
      <alignment horizontal="center" vertical="center"/>
    </xf>
    <xf numFmtId="167" fontId="2" fillId="0" borderId="53" xfId="0" applyNumberFormat="1" applyFont="1" applyBorder="1" applyAlignment="1">
      <alignment horizontal="center" vertical="center"/>
    </xf>
    <xf numFmtId="164" fontId="9" fillId="0" borderId="60" xfId="0" applyNumberFormat="1" applyFont="1" applyBorder="1" applyAlignment="1">
      <alignment horizontal="center" vertical="center"/>
    </xf>
    <xf numFmtId="0" fontId="0" fillId="0" borderId="0" xfId="0"/>
    <xf numFmtId="0" fontId="36" fillId="15" borderId="0" xfId="0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34" fillId="0" borderId="0" xfId="0" applyFont="1" applyBorder="1"/>
    <xf numFmtId="0" fontId="24" fillId="0" borderId="0" xfId="0" applyFont="1" applyBorder="1" applyAlignment="1">
      <alignment horizontal="center" vertical="center"/>
    </xf>
    <xf numFmtId="0" fontId="38" fillId="0" borderId="1" xfId="1" applyFont="1" applyBorder="1" applyAlignment="1">
      <alignment horizontal="center" vertical="center"/>
    </xf>
    <xf numFmtId="0" fontId="38" fillId="0" borderId="3" xfId="1" applyFont="1" applyBorder="1" applyAlignment="1">
      <alignment horizontal="center" vertical="center" wrapText="1"/>
    </xf>
    <xf numFmtId="0" fontId="38" fillId="0" borderId="13" xfId="1" applyFont="1" applyBorder="1" applyAlignment="1">
      <alignment horizontal="center" vertical="center"/>
    </xf>
    <xf numFmtId="0" fontId="38" fillId="0" borderId="13" xfId="1" applyFont="1" applyBorder="1" applyAlignment="1">
      <alignment horizontal="center" vertical="center" wrapText="1"/>
    </xf>
    <xf numFmtId="0" fontId="38" fillId="0" borderId="14" xfId="1" applyFont="1" applyBorder="1" applyAlignment="1">
      <alignment horizontal="center" vertical="center" wrapText="1"/>
    </xf>
    <xf numFmtId="0" fontId="38" fillId="15" borderId="13" xfId="1" applyFont="1" applyFill="1" applyBorder="1" applyAlignment="1">
      <alignment horizontal="center" vertical="center" wrapText="1"/>
    </xf>
    <xf numFmtId="49" fontId="38" fillId="0" borderId="1" xfId="1" applyNumberFormat="1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 wrapText="1"/>
    </xf>
    <xf numFmtId="49" fontId="38" fillId="0" borderId="2" xfId="1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38" fillId="0" borderId="3" xfId="1" applyNumberFormat="1" applyFont="1" applyBorder="1" applyAlignment="1">
      <alignment horizontal="center" vertical="center"/>
    </xf>
    <xf numFmtId="164" fontId="23" fillId="0" borderId="4" xfId="1" applyNumberFormat="1" applyFont="1" applyBorder="1" applyAlignment="1">
      <alignment horizontal="center" vertical="center"/>
    </xf>
    <xf numFmtId="164" fontId="23" fillId="0" borderId="10" xfId="1" applyNumberFormat="1" applyFont="1" applyBorder="1" applyAlignment="1">
      <alignment horizontal="center" vertical="center"/>
    </xf>
    <xf numFmtId="164" fontId="42" fillId="0" borderId="10" xfId="0" applyNumberFormat="1" applyFont="1" applyBorder="1" applyAlignment="1">
      <alignment horizontal="center" vertical="center"/>
    </xf>
    <xf numFmtId="164" fontId="16" fillId="0" borderId="7" xfId="0" applyNumberFormat="1" applyFont="1" applyBorder="1" applyAlignment="1">
      <alignment horizontal="center" vertical="center"/>
    </xf>
    <xf numFmtId="164" fontId="43" fillId="0" borderId="10" xfId="0" applyNumberFormat="1" applyFont="1" applyBorder="1" applyAlignment="1">
      <alignment horizontal="center" vertical="center"/>
    </xf>
    <xf numFmtId="164" fontId="43" fillId="0" borderId="0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164" fontId="44" fillId="0" borderId="5" xfId="1" applyNumberFormat="1" applyFont="1" applyBorder="1" applyAlignment="1">
      <alignment horizontal="center" vertical="center"/>
    </xf>
    <xf numFmtId="164" fontId="23" fillId="0" borderId="11" xfId="1" applyNumberFormat="1" applyFont="1" applyBorder="1" applyAlignment="1">
      <alignment horizontal="center" vertical="center"/>
    </xf>
    <xf numFmtId="164" fontId="42" fillId="0" borderId="11" xfId="0" applyNumberFormat="1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center" vertical="center"/>
    </xf>
    <xf numFmtId="164" fontId="44" fillId="0" borderId="11" xfId="0" applyNumberFormat="1" applyFont="1" applyBorder="1" applyAlignment="1">
      <alignment horizontal="center" vertical="center"/>
    </xf>
    <xf numFmtId="164" fontId="44" fillId="0" borderId="0" xfId="0" applyNumberFormat="1" applyFont="1" applyBorder="1" applyAlignment="1">
      <alignment horizontal="center" vertical="center"/>
    </xf>
    <xf numFmtId="164" fontId="23" fillId="0" borderId="5" xfId="1" applyNumberFormat="1" applyFont="1" applyBorder="1" applyAlignment="1">
      <alignment horizontal="center" vertical="center"/>
    </xf>
    <xf numFmtId="164" fontId="45" fillId="0" borderId="11" xfId="0" applyNumberFormat="1" applyFont="1" applyBorder="1" applyAlignment="1">
      <alignment horizontal="center" vertical="center"/>
    </xf>
    <xf numFmtId="164" fontId="45" fillId="0" borderId="0" xfId="0" applyNumberFormat="1" applyFont="1" applyBorder="1" applyAlignment="1">
      <alignment horizontal="center" vertical="center"/>
    </xf>
    <xf numFmtId="164" fontId="43" fillId="0" borderId="11" xfId="0" applyNumberFormat="1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23" fillId="0" borderId="8" xfId="1" applyFont="1" applyBorder="1" applyAlignment="1">
      <alignment vertical="center"/>
    </xf>
    <xf numFmtId="0" fontId="23" fillId="0" borderId="9" xfId="1" applyFont="1" applyBorder="1" applyAlignment="1">
      <alignment vertical="center"/>
    </xf>
    <xf numFmtId="0" fontId="16" fillId="0" borderId="17" xfId="0" applyFont="1" applyBorder="1" applyAlignment="1"/>
    <xf numFmtId="0" fontId="16" fillId="0" borderId="4" xfId="0" applyFont="1" applyBorder="1" applyAlignment="1">
      <alignment horizontal="center"/>
    </xf>
    <xf numFmtId="2" fontId="16" fillId="0" borderId="7" xfId="0" applyNumberFormat="1" applyFont="1" applyBorder="1" applyAlignment="1">
      <alignment horizontal="center"/>
    </xf>
    <xf numFmtId="164" fontId="16" fillId="0" borderId="7" xfId="0" applyNumberFormat="1" applyFont="1" applyBorder="1" applyAlignment="1">
      <alignment horizontal="center"/>
    </xf>
    <xf numFmtId="2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49" fontId="38" fillId="0" borderId="4" xfId="1" applyNumberFormat="1" applyFont="1" applyFill="1" applyBorder="1" applyAlignment="1">
      <alignment horizontal="center" vertical="center" wrapText="1"/>
    </xf>
    <xf numFmtId="49" fontId="38" fillId="0" borderId="10" xfId="1" applyNumberFormat="1" applyFont="1" applyFill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23" fillId="15" borderId="0" xfId="1" applyFont="1" applyFill="1" applyAlignment="1">
      <alignment vertical="center"/>
    </xf>
    <xf numFmtId="0" fontId="35" fillId="0" borderId="0" xfId="0" applyFont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38" fillId="0" borderId="7" xfId="1" applyFont="1" applyBorder="1" applyAlignment="1">
      <alignment horizontal="center" vertical="center"/>
    </xf>
    <xf numFmtId="0" fontId="38" fillId="0" borderId="10" xfId="1" applyFont="1" applyBorder="1" applyAlignment="1">
      <alignment horizontal="center" vertical="center"/>
    </xf>
    <xf numFmtId="0" fontId="23" fillId="0" borderId="5" xfId="1" applyFont="1" applyBorder="1" applyAlignment="1">
      <alignment horizontal="left" vertical="center"/>
    </xf>
    <xf numFmtId="0" fontId="23" fillId="0" borderId="12" xfId="1" applyFont="1" applyFill="1" applyBorder="1" applyAlignment="1">
      <alignment horizontal="left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 vertical="center"/>
    </xf>
    <xf numFmtId="0" fontId="0" fillId="0" borderId="4" xfId="0" applyFont="1" applyBorder="1"/>
    <xf numFmtId="0" fontId="0" fillId="0" borderId="7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11" xfId="0" applyFont="1" applyBorder="1" applyAlignment="1">
      <alignment horizontal="center"/>
    </xf>
    <xf numFmtId="0" fontId="46" fillId="0" borderId="5" xfId="1" applyFont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15" borderId="0" xfId="0" applyFont="1" applyFill="1" applyBorder="1" applyAlignment="1">
      <alignment horizontal="center" vertical="center"/>
    </xf>
    <xf numFmtId="0" fontId="0" fillId="15" borderId="0" xfId="0" applyFont="1" applyFill="1" applyBorder="1"/>
    <xf numFmtId="0" fontId="0" fillId="15" borderId="11" xfId="0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/>
    <xf numFmtId="0" fontId="0" fillId="0" borderId="14" xfId="0" applyFont="1" applyBorder="1" applyAlignment="1">
      <alignment horizontal="center"/>
    </xf>
    <xf numFmtId="0" fontId="23" fillId="0" borderId="13" xfId="1" applyFont="1" applyBorder="1" applyAlignment="1">
      <alignment horizontal="center" vertical="center"/>
    </xf>
    <xf numFmtId="0" fontId="0" fillId="0" borderId="2" xfId="0" applyBorder="1"/>
    <xf numFmtId="0" fontId="49" fillId="0" borderId="2" xfId="0" applyFont="1" applyBorder="1" applyAlignment="1">
      <alignment horizontal="justify" vertical="center"/>
    </xf>
    <xf numFmtId="0" fontId="49" fillId="0" borderId="0" xfId="0" applyFont="1" applyAlignment="1">
      <alignment horizontal="justify" vertical="center"/>
    </xf>
    <xf numFmtId="0" fontId="49" fillId="0" borderId="0" xfId="0" applyFont="1" applyAlignment="1">
      <alignment horizontal="justify" vertical="center" wrapText="1"/>
    </xf>
    <xf numFmtId="0" fontId="50" fillId="0" borderId="0" xfId="0" applyFont="1" applyAlignment="1">
      <alignment horizontal="justify" vertical="center"/>
    </xf>
    <xf numFmtId="0" fontId="52" fillId="0" borderId="0" xfId="0" applyFont="1" applyAlignment="1">
      <alignment horizontal="justify" vertical="center"/>
    </xf>
    <xf numFmtId="0" fontId="49" fillId="19" borderId="0" xfId="0" applyFont="1" applyFill="1" applyAlignment="1">
      <alignment horizontal="justify" vertical="center"/>
    </xf>
    <xf numFmtId="0" fontId="55" fillId="0" borderId="0" xfId="0" applyFont="1" applyAlignment="1">
      <alignment horizontal="justify" vertical="center"/>
    </xf>
    <xf numFmtId="0" fontId="49" fillId="0" borderId="13" xfId="0" applyFont="1" applyBorder="1" applyAlignment="1">
      <alignment horizontal="justify" vertical="center"/>
    </xf>
    <xf numFmtId="0" fontId="52" fillId="0" borderId="13" xfId="0" applyFont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54" fillId="0" borderId="0" xfId="0" applyFont="1" applyAlignment="1">
      <alignment horizontal="justify" vertical="center"/>
    </xf>
    <xf numFmtId="12" fontId="52" fillId="0" borderId="0" xfId="0" applyNumberFormat="1" applyFont="1" applyAlignment="1">
      <alignment horizontal="justify" vertical="center"/>
    </xf>
    <xf numFmtId="2" fontId="52" fillId="0" borderId="0" xfId="0" applyNumberFormat="1" applyFont="1" applyAlignment="1">
      <alignment horizontal="justify" vertical="center"/>
    </xf>
    <xf numFmtId="2" fontId="49" fillId="19" borderId="0" xfId="0" applyNumberFormat="1" applyFont="1" applyFill="1" applyAlignment="1">
      <alignment horizontal="justify" vertical="center"/>
    </xf>
    <xf numFmtId="2" fontId="0" fillId="0" borderId="13" xfId="0" applyNumberFormat="1" applyBorder="1"/>
    <xf numFmtId="164" fontId="52" fillId="0" borderId="0" xfId="0" applyNumberFormat="1" applyFont="1" applyAlignment="1">
      <alignment horizontal="justify" vertical="center"/>
    </xf>
    <xf numFmtId="167" fontId="52" fillId="0" borderId="0" xfId="0" applyNumberFormat="1" applyFont="1" applyAlignment="1">
      <alignment horizontal="justify" vertical="center"/>
    </xf>
    <xf numFmtId="164" fontId="52" fillId="0" borderId="13" xfId="0" applyNumberFormat="1" applyFont="1" applyBorder="1" applyAlignment="1">
      <alignment horizontal="justify" vertical="center"/>
    </xf>
    <xf numFmtId="164" fontId="49" fillId="19" borderId="13" xfId="0" applyNumberFormat="1" applyFont="1" applyFill="1" applyBorder="1" applyAlignment="1">
      <alignment horizontal="justify" vertical="center"/>
    </xf>
    <xf numFmtId="164" fontId="55" fillId="0" borderId="13" xfId="0" applyNumberFormat="1" applyFont="1" applyBorder="1" applyAlignment="1">
      <alignment horizontal="justify" vertical="center"/>
    </xf>
    <xf numFmtId="164" fontId="49" fillId="19" borderId="0" xfId="0" applyNumberFormat="1" applyFont="1" applyFill="1" applyAlignment="1">
      <alignment horizontal="justify" vertical="center"/>
    </xf>
    <xf numFmtId="1" fontId="52" fillId="0" borderId="0" xfId="0" applyNumberFormat="1" applyFont="1" applyAlignment="1">
      <alignment horizontal="justify" vertical="center"/>
    </xf>
    <xf numFmtId="1" fontId="49" fillId="19" borderId="0" xfId="0" applyNumberFormat="1" applyFont="1" applyFill="1" applyAlignment="1">
      <alignment horizontal="justify" vertical="center"/>
    </xf>
    <xf numFmtId="1" fontId="49" fillId="0" borderId="0" xfId="0" applyNumberFormat="1" applyFont="1" applyAlignment="1">
      <alignment horizontal="justify" vertical="center"/>
    </xf>
    <xf numFmtId="0" fontId="35" fillId="0" borderId="0" xfId="0" applyFont="1"/>
    <xf numFmtId="1" fontId="0" fillId="0" borderId="0" xfId="0" applyNumberFormat="1"/>
    <xf numFmtId="0" fontId="0" fillId="0" borderId="0" xfId="0" applyFill="1" applyBorder="1"/>
    <xf numFmtId="0" fontId="0" fillId="0" borderId="0" xfId="0"/>
    <xf numFmtId="0" fontId="35" fillId="0" borderId="15" xfId="0" applyFont="1" applyBorder="1" applyAlignment="1">
      <alignment horizontal="center" vertical="center"/>
    </xf>
    <xf numFmtId="0" fontId="35" fillId="0" borderId="75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1" fontId="0" fillId="0" borderId="28" xfId="0" applyNumberFormat="1" applyBorder="1" applyAlignment="1">
      <alignment horizontal="center" vertical="center"/>
    </xf>
    <xf numFmtId="171" fontId="0" fillId="0" borderId="27" xfId="0" applyNumberFormat="1" applyBorder="1" applyAlignment="1">
      <alignment horizontal="center" vertical="center"/>
    </xf>
    <xf numFmtId="171" fontId="0" fillId="0" borderId="45" xfId="0" applyNumberFormat="1" applyBorder="1" applyAlignment="1">
      <alignment horizontal="center" vertical="center"/>
    </xf>
    <xf numFmtId="0" fontId="0" fillId="5" borderId="28" xfId="0" applyFill="1" applyBorder="1"/>
    <xf numFmtId="0" fontId="0" fillId="5" borderId="27" xfId="0" applyFill="1" applyBorder="1"/>
    <xf numFmtId="0" fontId="0" fillId="5" borderId="45" xfId="0" applyFill="1" applyBorder="1"/>
    <xf numFmtId="0" fontId="24" fillId="0" borderId="66" xfId="0" applyFont="1" applyBorder="1"/>
    <xf numFmtId="0" fontId="24" fillId="0" borderId="74" xfId="0" applyFont="1" applyBorder="1"/>
    <xf numFmtId="0" fontId="24" fillId="0" borderId="7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75" xfId="0" applyFont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11" fontId="0" fillId="0" borderId="28" xfId="0" applyNumberFormat="1" applyBorder="1" applyAlignment="1">
      <alignment horizontal="center" vertical="center"/>
    </xf>
    <xf numFmtId="11" fontId="0" fillId="0" borderId="27" xfId="0" applyNumberFormat="1" applyBorder="1" applyAlignment="1">
      <alignment horizontal="center" vertical="center"/>
    </xf>
    <xf numFmtId="0" fontId="24" fillId="0" borderId="66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75" xfId="0" applyBorder="1"/>
    <xf numFmtId="0" fontId="0" fillId="0" borderId="45" xfId="0" applyNumberFormat="1" applyBorder="1" applyAlignment="1">
      <alignment horizontal="center" vertical="center"/>
    </xf>
    <xf numFmtId="0" fontId="0" fillId="0" borderId="0" xfId="0" applyFill="1"/>
    <xf numFmtId="0" fontId="24" fillId="0" borderId="74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75" xfId="0" applyFont="1" applyFill="1" applyBorder="1" applyAlignment="1">
      <alignment horizontal="center" vertical="center"/>
    </xf>
    <xf numFmtId="0" fontId="0" fillId="0" borderId="74" xfId="0" applyFill="1" applyBorder="1"/>
    <xf numFmtId="0" fontId="0" fillId="0" borderId="15" xfId="0" applyFill="1" applyBorder="1"/>
    <xf numFmtId="0" fontId="0" fillId="0" borderId="75" xfId="0" applyFill="1" applyBorder="1"/>
    <xf numFmtId="0" fontId="2" fillId="0" borderId="27" xfId="1" applyFill="1" applyBorder="1" applyAlignment="1">
      <alignment horizontal="center" vertical="center"/>
    </xf>
    <xf numFmtId="0" fontId="2" fillId="0" borderId="25" xfId="1" applyFill="1" applyBorder="1" applyAlignment="1">
      <alignment horizontal="center" vertical="center"/>
    </xf>
    <xf numFmtId="0" fontId="2" fillId="0" borderId="45" xfId="1" applyFill="1" applyBorder="1" applyAlignment="1">
      <alignment horizontal="center" vertical="center"/>
    </xf>
    <xf numFmtId="0" fontId="2" fillId="0" borderId="43" xfId="1" applyFill="1" applyBorder="1" applyAlignment="1">
      <alignment horizontal="center" vertical="center"/>
    </xf>
    <xf numFmtId="49" fontId="38" fillId="0" borderId="0" xfId="1" applyNumberFormat="1" applyFont="1" applyFill="1" applyBorder="1" applyAlignment="1">
      <alignment horizontal="center" vertical="center" wrapText="1"/>
    </xf>
    <xf numFmtId="0" fontId="57" fillId="0" borderId="6" xfId="1" applyFont="1" applyBorder="1" applyAlignment="1" applyProtection="1">
      <alignment horizontal="center" vertical="center"/>
    </xf>
    <xf numFmtId="0" fontId="57" fillId="0" borderId="8" xfId="1" applyFont="1" applyBorder="1" applyAlignment="1" applyProtection="1">
      <alignment horizontal="center" vertical="center"/>
    </xf>
    <xf numFmtId="0" fontId="58" fillId="0" borderId="76" xfId="1" applyFont="1" applyBorder="1" applyAlignment="1" applyProtection="1">
      <alignment horizontal="center" vertical="center"/>
    </xf>
    <xf numFmtId="0" fontId="58" fillId="0" borderId="77" xfId="1" applyFont="1" applyBorder="1" applyAlignment="1" applyProtection="1">
      <alignment horizontal="center" vertical="center"/>
    </xf>
    <xf numFmtId="0" fontId="58" fillId="0" borderId="0" xfId="1" applyFont="1" applyAlignment="1" applyProtection="1">
      <alignment horizontal="left" vertical="center" indent="1"/>
    </xf>
    <xf numFmtId="0" fontId="58" fillId="0" borderId="0" xfId="1" applyFont="1" applyAlignment="1" applyProtection="1">
      <alignment horizontal="center" vertical="center"/>
    </xf>
    <xf numFmtId="0" fontId="58" fillId="0" borderId="0" xfId="1" applyFont="1" applyFill="1" applyAlignment="1" applyProtection="1">
      <alignment horizontal="center" vertical="center"/>
    </xf>
    <xf numFmtId="0" fontId="57" fillId="0" borderId="9" xfId="1" applyFont="1" applyBorder="1" applyAlignment="1" applyProtection="1">
      <alignment horizontal="center" vertical="center"/>
    </xf>
    <xf numFmtId="0" fontId="58" fillId="0" borderId="15" xfId="1" applyFont="1" applyBorder="1" applyAlignment="1" applyProtection="1">
      <alignment horizontal="center" vertical="center"/>
    </xf>
    <xf numFmtId="0" fontId="58" fillId="0" borderId="16" xfId="1" applyFont="1" applyBorder="1" applyAlignment="1" applyProtection="1">
      <alignment horizontal="center" vertical="center"/>
    </xf>
    <xf numFmtId="0" fontId="57" fillId="0" borderId="17" xfId="1" applyFont="1" applyBorder="1" applyAlignment="1" applyProtection="1">
      <alignment horizontal="center" vertical="center"/>
    </xf>
    <xf numFmtId="0" fontId="58" fillId="0" borderId="78" xfId="1" applyFont="1" applyBorder="1" applyAlignment="1" applyProtection="1">
      <alignment horizontal="center" vertical="center"/>
    </xf>
    <xf numFmtId="0" fontId="58" fillId="0" borderId="79" xfId="1" applyFont="1" applyBorder="1" applyAlignment="1" applyProtection="1">
      <alignment horizontal="center" vertical="center"/>
    </xf>
    <xf numFmtId="0" fontId="57" fillId="0" borderId="1" xfId="1" applyFont="1" applyBorder="1" applyAlignment="1" applyProtection="1">
      <alignment horizontal="center" vertical="center"/>
    </xf>
    <xf numFmtId="0" fontId="58" fillId="0" borderId="3" xfId="1" applyFont="1" applyBorder="1" applyAlignment="1" applyProtection="1">
      <alignment horizontal="center" vertical="center"/>
    </xf>
    <xf numFmtId="0" fontId="58" fillId="0" borderId="1" xfId="1" applyFont="1" applyBorder="1" applyAlignment="1" applyProtection="1">
      <alignment horizontal="center" vertical="center"/>
    </xf>
    <xf numFmtId="0" fontId="58" fillId="0" borderId="2" xfId="1" applyFont="1" applyBorder="1" applyAlignment="1" applyProtection="1">
      <alignment horizontal="center" vertical="center"/>
    </xf>
    <xf numFmtId="0" fontId="57" fillId="0" borderId="1" xfId="1" applyFont="1" applyFill="1" applyBorder="1" applyAlignment="1" applyProtection="1">
      <alignment horizontal="center" vertical="center"/>
    </xf>
    <xf numFmtId="0" fontId="57" fillId="0" borderId="18" xfId="1" applyFont="1" applyFill="1" applyBorder="1" applyAlignment="1" applyProtection="1">
      <alignment horizontal="center" vertical="center"/>
    </xf>
    <xf numFmtId="0" fontId="57" fillId="0" borderId="19" xfId="1" applyFont="1" applyFill="1" applyBorder="1" applyAlignment="1" applyProtection="1">
      <alignment horizontal="center" vertical="center"/>
    </xf>
    <xf numFmtId="0" fontId="57" fillId="0" borderId="20" xfId="1" applyFont="1" applyBorder="1" applyAlignment="1" applyProtection="1">
      <alignment horizontal="center" vertical="center" wrapText="1"/>
    </xf>
    <xf numFmtId="0" fontId="57" fillId="0" borderId="20" xfId="1" applyFont="1" applyBorder="1" applyAlignment="1" applyProtection="1">
      <alignment horizontal="center" vertical="center" textRotation="90" wrapText="1"/>
    </xf>
    <xf numFmtId="0" fontId="57" fillId="0" borderId="2" xfId="1" applyFont="1" applyBorder="1" applyAlignment="1" applyProtection="1">
      <alignment horizontal="center" vertical="center" textRotation="90" wrapText="1"/>
    </xf>
    <xf numFmtId="0" fontId="57" fillId="0" borderId="19" xfId="1" applyFont="1" applyBorder="1" applyAlignment="1" applyProtection="1">
      <alignment horizontal="center" vertical="center" wrapText="1"/>
    </xf>
    <xf numFmtId="0" fontId="62" fillId="0" borderId="0" xfId="1" applyFont="1" applyAlignment="1" applyProtection="1">
      <alignment horizontal="center" vertical="center" textRotation="90"/>
    </xf>
    <xf numFmtId="0" fontId="58" fillId="5" borderId="20" xfId="1" applyFont="1" applyFill="1" applyBorder="1" applyAlignment="1" applyProtection="1">
      <alignment horizontal="center" vertical="center" textRotation="90"/>
    </xf>
    <xf numFmtId="0" fontId="58" fillId="0" borderId="18" xfId="1" applyFont="1" applyFill="1" applyBorder="1" applyAlignment="1" applyProtection="1">
      <alignment horizontal="center" vertical="center" textRotation="90"/>
    </xf>
    <xf numFmtId="0" fontId="58" fillId="5" borderId="18" xfId="1" applyFont="1" applyFill="1" applyBorder="1" applyAlignment="1" applyProtection="1">
      <alignment horizontal="center" vertical="center" textRotation="90"/>
    </xf>
    <xf numFmtId="0" fontId="57" fillId="6" borderId="19" xfId="1" applyFont="1" applyFill="1" applyBorder="1" applyAlignment="1" applyProtection="1">
      <alignment horizontal="center" vertical="center" textRotation="90"/>
    </xf>
    <xf numFmtId="0" fontId="58" fillId="7" borderId="0" xfId="1" applyFont="1" applyFill="1" applyAlignment="1" applyProtection="1">
      <alignment horizontal="center" vertical="center"/>
    </xf>
    <xf numFmtId="0" fontId="58" fillId="0" borderId="8" xfId="1" applyFont="1" applyFill="1" applyBorder="1" applyAlignment="1" applyProtection="1">
      <alignment horizontal="center" vertical="center" textRotation="90"/>
    </xf>
    <xf numFmtId="0" fontId="58" fillId="0" borderId="8" xfId="1" applyFont="1" applyFill="1" applyBorder="1" applyAlignment="1" applyProtection="1">
      <alignment horizontal="center" vertical="center" textRotation="90" wrapText="1"/>
    </xf>
    <xf numFmtId="0" fontId="58" fillId="0" borderId="21" xfId="1" applyFont="1" applyFill="1" applyBorder="1" applyAlignment="1" applyProtection="1">
      <alignment horizontal="center" vertical="center" textRotation="90"/>
    </xf>
    <xf numFmtId="0" fontId="57" fillId="0" borderId="0" xfId="1" applyFont="1" applyBorder="1" applyAlignment="1" applyProtection="1">
      <alignment horizontal="center" vertical="center" textRotation="90"/>
    </xf>
    <xf numFmtId="0" fontId="57" fillId="0" borderId="22" xfId="1" applyFont="1" applyBorder="1" applyAlignment="1" applyProtection="1">
      <alignment horizontal="center" vertical="center"/>
    </xf>
    <xf numFmtId="0" fontId="58" fillId="0" borderId="0" xfId="1" applyFont="1" applyBorder="1" applyAlignment="1" applyProtection="1">
      <alignment horizontal="center" vertical="center"/>
    </xf>
    <xf numFmtId="164" fontId="58" fillId="0" borderId="0" xfId="1" applyNumberFormat="1" applyFont="1" applyBorder="1" applyAlignment="1" applyProtection="1">
      <alignment horizontal="center" vertical="center"/>
    </xf>
    <xf numFmtId="2" fontId="64" fillId="0" borderId="0" xfId="1" applyNumberFormat="1" applyFont="1" applyBorder="1" applyAlignment="1" applyProtection="1">
      <alignment horizontal="center" vertical="center"/>
    </xf>
    <xf numFmtId="0" fontId="65" fillId="0" borderId="26" xfId="1" applyFont="1" applyBorder="1" applyAlignment="1" applyProtection="1">
      <alignment horizontal="center" vertical="center"/>
    </xf>
    <xf numFmtId="0" fontId="65" fillId="0" borderId="27" xfId="1" applyFont="1" applyBorder="1" applyAlignment="1" applyProtection="1">
      <alignment horizontal="center" vertical="center"/>
    </xf>
    <xf numFmtId="11" fontId="65" fillId="0" borderId="27" xfId="1" applyNumberFormat="1" applyFont="1" applyBorder="1" applyAlignment="1" applyProtection="1">
      <alignment horizontal="center" vertical="center"/>
    </xf>
    <xf numFmtId="2" fontId="65" fillId="0" borderId="27" xfId="1" applyNumberFormat="1" applyFont="1" applyBorder="1" applyAlignment="1" applyProtection="1">
      <alignment horizontal="center" vertical="center"/>
    </xf>
    <xf numFmtId="165" fontId="65" fillId="0" borderId="27" xfId="1" applyNumberFormat="1" applyFont="1" applyBorder="1" applyAlignment="1" applyProtection="1">
      <alignment horizontal="center" vertical="center"/>
    </xf>
    <xf numFmtId="11" fontId="66" fillId="0" borderId="27" xfId="1" applyNumberFormat="1" applyFont="1" applyBorder="1" applyAlignment="1" applyProtection="1">
      <alignment horizontal="center" vertical="center"/>
    </xf>
    <xf numFmtId="0" fontId="58" fillId="0" borderId="28" xfId="1" applyFont="1" applyBorder="1" applyAlignment="1" applyProtection="1">
      <alignment horizontal="center" vertical="center"/>
    </xf>
    <xf numFmtId="2" fontId="58" fillId="0" borderId="21" xfId="1" applyNumberFormat="1" applyFont="1" applyBorder="1" applyAlignment="1" applyProtection="1">
      <alignment horizontal="center" vertical="center"/>
    </xf>
    <xf numFmtId="0" fontId="67" fillId="6" borderId="26" xfId="1" applyFont="1" applyFill="1" applyBorder="1" applyAlignment="1" applyProtection="1">
      <alignment horizontal="center" vertical="center"/>
    </xf>
    <xf numFmtId="0" fontId="67" fillId="0" borderId="29" xfId="1" applyFont="1" applyBorder="1" applyAlignment="1" applyProtection="1">
      <alignment horizontal="center" vertical="center"/>
    </xf>
    <xf numFmtId="0" fontId="67" fillId="0" borderId="29" xfId="1" applyFont="1" applyFill="1" applyBorder="1" applyAlignment="1" applyProtection="1">
      <alignment horizontal="center" vertical="center"/>
    </xf>
    <xf numFmtId="0" fontId="67" fillId="6" borderId="30" xfId="1" applyFont="1" applyFill="1" applyBorder="1" applyAlignment="1" applyProtection="1">
      <alignment horizontal="center" vertical="center"/>
    </xf>
    <xf numFmtId="0" fontId="67" fillId="8" borderId="30" xfId="1" applyFont="1" applyFill="1" applyBorder="1" applyAlignment="1" applyProtection="1">
      <alignment horizontal="center" vertical="center"/>
    </xf>
    <xf numFmtId="0" fontId="67" fillId="8" borderId="29" xfId="1" applyFont="1" applyFill="1" applyBorder="1" applyAlignment="1" applyProtection="1">
      <alignment horizontal="center" vertical="center"/>
    </xf>
    <xf numFmtId="0" fontId="67" fillId="6" borderId="21" xfId="1" applyFont="1" applyFill="1" applyBorder="1" applyAlignment="1" applyProtection="1">
      <alignment horizontal="center" vertical="center"/>
    </xf>
    <xf numFmtId="0" fontId="58" fillId="0" borderId="0" xfId="1" applyFont="1"/>
    <xf numFmtId="0" fontId="67" fillId="0" borderId="31" xfId="1" applyFont="1" applyBorder="1" applyAlignment="1" applyProtection="1">
      <alignment horizontal="center" vertical="center"/>
    </xf>
    <xf numFmtId="0" fontId="67" fillId="0" borderId="32" xfId="1" applyFont="1" applyBorder="1" applyAlignment="1" applyProtection="1">
      <alignment horizontal="center" vertical="center"/>
    </xf>
    <xf numFmtId="0" fontId="67" fillId="0" borderId="21" xfId="1" applyFont="1" applyFill="1" applyBorder="1" applyAlignment="1" applyProtection="1">
      <alignment horizontal="center" vertical="center"/>
    </xf>
    <xf numFmtId="0" fontId="62" fillId="0" borderId="0" xfId="1" applyFont="1" applyAlignment="1" applyProtection="1">
      <alignment horizontal="center" vertical="center"/>
    </xf>
    <xf numFmtId="0" fontId="58" fillId="0" borderId="33" xfId="1" applyFont="1" applyBorder="1" applyAlignment="1" applyProtection="1">
      <alignment horizontal="center" vertical="center"/>
    </xf>
    <xf numFmtId="166" fontId="58" fillId="0" borderId="33" xfId="1" applyNumberFormat="1" applyFont="1" applyBorder="1" applyAlignment="1" applyProtection="1">
      <alignment horizontal="center" vertical="center"/>
    </xf>
    <xf numFmtId="2" fontId="58" fillId="0" borderId="25" xfId="1" applyNumberFormat="1" applyFont="1" applyBorder="1" applyAlignment="1" applyProtection="1">
      <alignment horizontal="center" vertical="center"/>
    </xf>
    <xf numFmtId="0" fontId="58" fillId="0" borderId="27" xfId="1" applyFont="1" applyBorder="1" applyAlignment="1" applyProtection="1">
      <alignment horizontal="center" vertical="center"/>
    </xf>
    <xf numFmtId="2" fontId="66" fillId="0" borderId="27" xfId="1" applyNumberFormat="1" applyFont="1" applyBorder="1" applyAlignment="1" applyProtection="1">
      <alignment horizontal="center" vertical="center"/>
    </xf>
    <xf numFmtId="0" fontId="68" fillId="0" borderId="27" xfId="1" applyFont="1" applyBorder="1" applyAlignment="1" applyProtection="1">
      <alignment horizontal="center" vertical="center"/>
    </xf>
    <xf numFmtId="0" fontId="64" fillId="0" borderId="0" xfId="1" applyFont="1" applyBorder="1" applyAlignment="1" applyProtection="1">
      <alignment horizontal="center" vertical="center"/>
    </xf>
    <xf numFmtId="2" fontId="58" fillId="0" borderId="34" xfId="1" applyNumberFormat="1" applyFont="1" applyBorder="1" applyAlignment="1" applyProtection="1">
      <alignment horizontal="center" vertical="center"/>
    </xf>
    <xf numFmtId="0" fontId="67" fillId="0" borderId="27" xfId="1" applyFont="1" applyBorder="1" applyAlignment="1" applyProtection="1">
      <alignment horizontal="center" vertical="center"/>
    </xf>
    <xf numFmtId="0" fontId="67" fillId="0" borderId="27" xfId="1" applyFont="1" applyFill="1" applyBorder="1" applyAlignment="1" applyProtection="1">
      <alignment horizontal="center" vertical="center"/>
    </xf>
    <xf numFmtId="0" fontId="67" fillId="6" borderId="33" xfId="1" applyFont="1" applyFill="1" applyBorder="1" applyAlignment="1" applyProtection="1">
      <alignment horizontal="center" vertical="center"/>
    </xf>
    <xf numFmtId="0" fontId="67" fillId="8" borderId="33" xfId="1" applyFont="1" applyFill="1" applyBorder="1" applyAlignment="1" applyProtection="1">
      <alignment horizontal="center" vertical="center"/>
    </xf>
    <xf numFmtId="0" fontId="67" fillId="8" borderId="27" xfId="1" applyFont="1" applyFill="1" applyBorder="1" applyAlignment="1" applyProtection="1">
      <alignment horizontal="center" vertical="center"/>
    </xf>
    <xf numFmtId="0" fontId="67" fillId="6" borderId="34" xfId="1" applyFont="1" applyFill="1" applyBorder="1" applyAlignment="1" applyProtection="1">
      <alignment horizontal="center" vertical="center"/>
    </xf>
    <xf numFmtId="0" fontId="67" fillId="0" borderId="26" xfId="1" applyFont="1" applyBorder="1" applyAlignment="1" applyProtection="1">
      <alignment horizontal="center" vertical="center"/>
    </xf>
    <xf numFmtId="0" fontId="67" fillId="0" borderId="25" xfId="1" applyFont="1" applyBorder="1" applyAlignment="1" applyProtection="1">
      <alignment horizontal="center" vertical="center"/>
    </xf>
    <xf numFmtId="0" fontId="67" fillId="0" borderId="34" xfId="1" applyFont="1" applyFill="1" applyBorder="1" applyAlignment="1" applyProtection="1">
      <alignment horizontal="center" vertical="center"/>
    </xf>
    <xf numFmtId="0" fontId="69" fillId="0" borderId="33" xfId="1" applyFont="1" applyBorder="1" applyAlignment="1" applyProtection="1">
      <alignment horizontal="center" vertical="center"/>
    </xf>
    <xf numFmtId="0" fontId="58" fillId="0" borderId="25" xfId="1" applyFont="1" applyBorder="1" applyAlignment="1" applyProtection="1">
      <alignment horizontal="center" vertical="center"/>
    </xf>
    <xf numFmtId="11" fontId="58" fillId="0" borderId="0" xfId="1" applyNumberFormat="1" applyFont="1" applyAlignment="1" applyProtection="1">
      <alignment horizontal="center" vertical="center"/>
    </xf>
    <xf numFmtId="2" fontId="67" fillId="0" borderId="27" xfId="1" applyNumberFormat="1" applyFont="1" applyBorder="1" applyAlignment="1" applyProtection="1">
      <alignment horizontal="center" vertical="center"/>
    </xf>
    <xf numFmtId="1" fontId="58" fillId="0" borderId="25" xfId="1" applyNumberFormat="1" applyFont="1" applyBorder="1" applyAlignment="1" applyProtection="1">
      <alignment horizontal="center" vertical="center"/>
    </xf>
    <xf numFmtId="11" fontId="65" fillId="0" borderId="26" xfId="1" applyNumberFormat="1" applyFont="1" applyBorder="1" applyAlignment="1" applyProtection="1">
      <alignment horizontal="center" vertical="center"/>
    </xf>
    <xf numFmtId="2" fontId="65" fillId="0" borderId="27" xfId="1" applyNumberFormat="1" applyFont="1" applyFill="1" applyBorder="1" applyAlignment="1" applyProtection="1">
      <alignment horizontal="center" vertical="center"/>
    </xf>
    <xf numFmtId="165" fontId="65" fillId="0" borderId="27" xfId="1" applyNumberFormat="1" applyFont="1" applyFill="1" applyBorder="1" applyAlignment="1" applyProtection="1">
      <alignment horizontal="center" vertical="center"/>
    </xf>
    <xf numFmtId="0" fontId="58" fillId="0" borderId="27" xfId="1" applyFont="1" applyFill="1" applyBorder="1" applyAlignment="1" applyProtection="1">
      <alignment horizontal="center" vertical="center"/>
    </xf>
    <xf numFmtId="2" fontId="58" fillId="0" borderId="34" xfId="1" applyNumberFormat="1" applyFont="1" applyFill="1" applyBorder="1" applyAlignment="1" applyProtection="1">
      <alignment horizontal="center" vertical="center"/>
    </xf>
    <xf numFmtId="0" fontId="58" fillId="8" borderId="36" xfId="1" applyFont="1" applyFill="1" applyBorder="1" applyAlignment="1" applyProtection="1">
      <alignment horizontal="center" vertical="center"/>
    </xf>
    <xf numFmtId="164" fontId="58" fillId="8" borderId="36" xfId="1" applyNumberFormat="1" applyFont="1" applyFill="1" applyBorder="1" applyAlignment="1" applyProtection="1">
      <alignment horizontal="center" vertical="center"/>
    </xf>
    <xf numFmtId="0" fontId="64" fillId="8" borderId="36" xfId="1" applyFont="1" applyFill="1" applyBorder="1" applyAlignment="1" applyProtection="1">
      <alignment horizontal="center" vertical="center"/>
    </xf>
    <xf numFmtId="0" fontId="65" fillId="8" borderId="38" xfId="1" applyFont="1" applyFill="1" applyBorder="1" applyAlignment="1" applyProtection="1">
      <alignment horizontal="center" vertical="center"/>
    </xf>
    <xf numFmtId="0" fontId="65" fillId="8" borderId="28" xfId="1" applyFont="1" applyFill="1" applyBorder="1" applyAlignment="1" applyProtection="1">
      <alignment horizontal="center" vertical="center"/>
    </xf>
    <xf numFmtId="2" fontId="65" fillId="8" borderId="28" xfId="1" applyNumberFormat="1" applyFont="1" applyFill="1" applyBorder="1" applyAlignment="1" applyProtection="1">
      <alignment horizontal="center" vertical="center"/>
    </xf>
    <xf numFmtId="165" fontId="65" fillId="8" borderId="28" xfId="1" applyNumberFormat="1" applyFont="1" applyFill="1" applyBorder="1" applyAlignment="1" applyProtection="1">
      <alignment horizontal="center" vertical="center"/>
    </xf>
    <xf numFmtId="11" fontId="66" fillId="8" borderId="28" xfId="1" applyNumberFormat="1" applyFont="1" applyFill="1" applyBorder="1" applyAlignment="1" applyProtection="1">
      <alignment horizontal="center" vertical="center"/>
    </xf>
    <xf numFmtId="0" fontId="58" fillId="8" borderId="28" xfId="1" applyFont="1" applyFill="1" applyBorder="1" applyAlignment="1" applyProtection="1">
      <alignment horizontal="center" vertical="center"/>
    </xf>
    <xf numFmtId="2" fontId="58" fillId="8" borderId="39" xfId="1" applyNumberFormat="1" applyFont="1" applyFill="1" applyBorder="1" applyAlignment="1" applyProtection="1">
      <alignment horizontal="center" vertical="center"/>
    </xf>
    <xf numFmtId="0" fontId="67" fillId="6" borderId="38" xfId="1" applyFont="1" applyFill="1" applyBorder="1" applyAlignment="1" applyProtection="1">
      <alignment horizontal="center" vertical="center"/>
    </xf>
    <xf numFmtId="0" fontId="67" fillId="0" borderId="28" xfId="1" applyFont="1" applyBorder="1" applyAlignment="1" applyProtection="1">
      <alignment horizontal="center" vertical="center"/>
    </xf>
    <xf numFmtId="0" fontId="67" fillId="0" borderId="28" xfId="1" applyFont="1" applyFill="1" applyBorder="1" applyAlignment="1" applyProtection="1">
      <alignment horizontal="center" vertical="center"/>
    </xf>
    <xf numFmtId="0" fontId="67" fillId="6" borderId="40" xfId="1" applyFont="1" applyFill="1" applyBorder="1" applyAlignment="1" applyProtection="1">
      <alignment horizontal="center" vertical="center"/>
    </xf>
    <xf numFmtId="0" fontId="67" fillId="8" borderId="40" xfId="1" applyFont="1" applyFill="1" applyBorder="1" applyAlignment="1" applyProtection="1">
      <alignment horizontal="center" vertical="center"/>
    </xf>
    <xf numFmtId="0" fontId="67" fillId="8" borderId="28" xfId="1" applyFont="1" applyFill="1" applyBorder="1" applyAlignment="1" applyProtection="1">
      <alignment horizontal="center" vertical="center"/>
    </xf>
    <xf numFmtId="0" fontId="67" fillId="8" borderId="40" xfId="0" applyFont="1" applyFill="1" applyBorder="1" applyAlignment="1" applyProtection="1">
      <alignment horizontal="center" vertical="center"/>
    </xf>
    <xf numFmtId="0" fontId="67" fillId="6" borderId="39" xfId="1" applyFont="1" applyFill="1" applyBorder="1" applyAlignment="1" applyProtection="1">
      <alignment horizontal="center" vertical="center"/>
    </xf>
    <xf numFmtId="0" fontId="67" fillId="0" borderId="38" xfId="1" applyFont="1" applyFill="1" applyBorder="1" applyAlignment="1" applyProtection="1">
      <alignment horizontal="center" vertical="center"/>
    </xf>
    <xf numFmtId="0" fontId="67" fillId="0" borderId="37" xfId="1" applyFont="1" applyFill="1" applyBorder="1" applyAlignment="1" applyProtection="1">
      <alignment horizontal="center" vertical="center"/>
    </xf>
    <xf numFmtId="0" fontId="67" fillId="0" borderId="39" xfId="1" applyFont="1" applyFill="1" applyBorder="1" applyAlignment="1" applyProtection="1">
      <alignment horizontal="center" vertical="center"/>
    </xf>
    <xf numFmtId="0" fontId="58" fillId="8" borderId="0" xfId="1" applyFont="1" applyFill="1" applyBorder="1" applyAlignment="1" applyProtection="1">
      <alignment horizontal="center" vertical="center"/>
    </xf>
    <xf numFmtId="164" fontId="58" fillId="8" borderId="0" xfId="1" applyNumberFormat="1" applyFont="1" applyFill="1" applyBorder="1" applyAlignment="1" applyProtection="1">
      <alignment horizontal="center" vertical="center"/>
    </xf>
    <xf numFmtId="0" fontId="64" fillId="8" borderId="0" xfId="1" applyFont="1" applyFill="1" applyBorder="1" applyAlignment="1" applyProtection="1">
      <alignment horizontal="center" vertical="center"/>
    </xf>
    <xf numFmtId="0" fontId="65" fillId="8" borderId="26" xfId="1" applyFont="1" applyFill="1" applyBorder="1" applyAlignment="1" applyProtection="1">
      <alignment horizontal="center" vertical="center"/>
    </xf>
    <xf numFmtId="0" fontId="65" fillId="8" borderId="27" xfId="1" applyFont="1" applyFill="1" applyBorder="1" applyAlignment="1" applyProtection="1">
      <alignment horizontal="center" vertical="center"/>
    </xf>
    <xf numFmtId="2" fontId="65" fillId="8" borderId="27" xfId="1" applyNumberFormat="1" applyFont="1" applyFill="1" applyBorder="1" applyAlignment="1" applyProtection="1">
      <alignment horizontal="center" vertical="center"/>
    </xf>
    <xf numFmtId="165" fontId="65" fillId="8" borderId="27" xfId="1" applyNumberFormat="1" applyFont="1" applyFill="1" applyBorder="1" applyAlignment="1" applyProtection="1">
      <alignment horizontal="center" vertical="center"/>
    </xf>
    <xf numFmtId="11" fontId="66" fillId="8" borderId="27" xfId="1" applyNumberFormat="1" applyFont="1" applyFill="1" applyBorder="1" applyAlignment="1" applyProtection="1">
      <alignment horizontal="center" vertical="center"/>
    </xf>
    <xf numFmtId="0" fontId="58" fillId="8" borderId="27" xfId="1" applyFont="1" applyFill="1" applyBorder="1" applyAlignment="1" applyProtection="1">
      <alignment horizontal="center" vertical="center"/>
    </xf>
    <xf numFmtId="2" fontId="58" fillId="8" borderId="34" xfId="1" applyNumberFormat="1" applyFont="1" applyFill="1" applyBorder="1" applyAlignment="1" applyProtection="1">
      <alignment horizontal="center" vertical="center"/>
    </xf>
    <xf numFmtId="0" fontId="67" fillId="0" borderId="26" xfId="1" applyFont="1" applyFill="1" applyBorder="1" applyAlignment="1" applyProtection="1">
      <alignment horizontal="center" vertical="center"/>
    </xf>
    <xf numFmtId="0" fontId="67" fillId="0" borderId="25" xfId="1" applyFont="1" applyFill="1" applyBorder="1" applyAlignment="1" applyProtection="1">
      <alignment horizontal="center" vertical="center"/>
    </xf>
    <xf numFmtId="0" fontId="67" fillId="8" borderId="33" xfId="0" applyFont="1" applyFill="1" applyBorder="1" applyAlignment="1" applyProtection="1">
      <alignment horizontal="center" vertical="center"/>
    </xf>
    <xf numFmtId="0" fontId="70" fillId="0" borderId="33" xfId="1" applyFont="1" applyBorder="1" applyAlignment="1" applyProtection="1">
      <alignment horizontal="center" vertical="center"/>
    </xf>
    <xf numFmtId="166" fontId="70" fillId="0" borderId="33" xfId="1" applyNumberFormat="1" applyFont="1" applyBorder="1" applyAlignment="1" applyProtection="1">
      <alignment horizontal="center" vertical="center"/>
    </xf>
    <xf numFmtId="0" fontId="70" fillId="0" borderId="0" xfId="1" applyFont="1" applyBorder="1" applyAlignment="1" applyProtection="1">
      <alignment horizontal="center" vertical="center"/>
    </xf>
    <xf numFmtId="2" fontId="58" fillId="7" borderId="0" xfId="1" applyNumberFormat="1" applyFont="1" applyFill="1" applyAlignment="1" applyProtection="1">
      <alignment horizontal="center" vertical="center"/>
    </xf>
    <xf numFmtId="2" fontId="58" fillId="0" borderId="27" xfId="1" applyNumberFormat="1" applyFont="1" applyBorder="1" applyAlignment="1" applyProtection="1">
      <alignment horizontal="center" vertical="center"/>
    </xf>
    <xf numFmtId="11" fontId="68" fillId="0" borderId="27" xfId="1" applyNumberFormat="1" applyFont="1" applyBorder="1" applyAlignment="1" applyProtection="1">
      <alignment horizontal="center" vertical="center"/>
    </xf>
    <xf numFmtId="0" fontId="58" fillId="13" borderId="0" xfId="1" applyFont="1" applyFill="1" applyBorder="1" applyAlignment="1" applyProtection="1">
      <alignment horizontal="center" vertical="center"/>
    </xf>
    <xf numFmtId="0" fontId="58" fillId="13" borderId="42" xfId="1" applyFont="1" applyFill="1" applyBorder="1" applyAlignment="1" applyProtection="1">
      <alignment horizontal="center" vertical="center"/>
    </xf>
    <xf numFmtId="164" fontId="58" fillId="8" borderId="42" xfId="1" applyNumberFormat="1" applyFont="1" applyFill="1" applyBorder="1" applyAlignment="1" applyProtection="1">
      <alignment horizontal="center" vertical="center"/>
    </xf>
    <xf numFmtId="0" fontId="58" fillId="8" borderId="42" xfId="1" applyFont="1" applyFill="1" applyBorder="1" applyAlignment="1" applyProtection="1">
      <alignment horizontal="center" vertical="center"/>
    </xf>
    <xf numFmtId="0" fontId="64" fillId="8" borderId="42" xfId="1" applyFont="1" applyFill="1" applyBorder="1" applyAlignment="1" applyProtection="1">
      <alignment horizontal="center" vertical="center"/>
    </xf>
    <xf numFmtId="0" fontId="65" fillId="8" borderId="44" xfId="1" applyFont="1" applyFill="1" applyBorder="1" applyAlignment="1" applyProtection="1">
      <alignment horizontal="center" vertical="center"/>
    </xf>
    <xf numFmtId="0" fontId="65" fillId="8" borderId="45" xfId="1" applyFont="1" applyFill="1" applyBorder="1" applyAlignment="1" applyProtection="1">
      <alignment horizontal="center" vertical="center"/>
    </xf>
    <xf numFmtId="2" fontId="65" fillId="8" borderId="45" xfId="1" applyNumberFormat="1" applyFont="1" applyFill="1" applyBorder="1" applyAlignment="1" applyProtection="1">
      <alignment horizontal="center" vertical="center"/>
    </xf>
    <xf numFmtId="165" fontId="65" fillId="8" borderId="45" xfId="1" applyNumberFormat="1" applyFont="1" applyFill="1" applyBorder="1" applyAlignment="1" applyProtection="1">
      <alignment horizontal="center" vertical="center"/>
    </xf>
    <xf numFmtId="11" fontId="66" fillId="8" borderId="45" xfId="1" applyNumberFormat="1" applyFont="1" applyFill="1" applyBorder="1" applyAlignment="1" applyProtection="1">
      <alignment horizontal="center" vertical="center"/>
    </xf>
    <xf numFmtId="0" fontId="58" fillId="8" borderId="45" xfId="1" applyFont="1" applyFill="1" applyBorder="1" applyAlignment="1" applyProtection="1">
      <alignment horizontal="center" vertical="center"/>
    </xf>
    <xf numFmtId="2" fontId="58" fillId="8" borderId="46" xfId="1" applyNumberFormat="1" applyFont="1" applyFill="1" applyBorder="1" applyAlignment="1" applyProtection="1">
      <alignment horizontal="center" vertical="center"/>
    </xf>
    <xf numFmtId="0" fontId="67" fillId="6" borderId="44" xfId="1" applyFont="1" applyFill="1" applyBorder="1" applyAlignment="1" applyProtection="1">
      <alignment horizontal="center" vertical="center"/>
    </xf>
    <xf numFmtId="0" fontId="67" fillId="0" borderId="45" xfId="1" applyFont="1" applyBorder="1" applyAlignment="1" applyProtection="1">
      <alignment horizontal="center" vertical="center"/>
    </xf>
    <xf numFmtId="0" fontId="67" fillId="0" borderId="45" xfId="1" applyFont="1" applyFill="1" applyBorder="1" applyAlignment="1" applyProtection="1">
      <alignment horizontal="center" vertical="center"/>
    </xf>
    <xf numFmtId="0" fontId="67" fillId="6" borderId="47" xfId="1" applyFont="1" applyFill="1" applyBorder="1" applyAlignment="1" applyProtection="1">
      <alignment horizontal="center" vertical="center"/>
    </xf>
    <xf numFmtId="0" fontId="67" fillId="8" borderId="47" xfId="1" applyFont="1" applyFill="1" applyBorder="1" applyAlignment="1" applyProtection="1">
      <alignment horizontal="center" vertical="center"/>
    </xf>
    <xf numFmtId="0" fontId="67" fillId="8" borderId="45" xfId="1" applyFont="1" applyFill="1" applyBorder="1" applyAlignment="1" applyProtection="1">
      <alignment horizontal="center" vertical="center"/>
    </xf>
    <xf numFmtId="0" fontId="67" fillId="6" borderId="46" xfId="1" applyFont="1" applyFill="1" applyBorder="1" applyAlignment="1" applyProtection="1">
      <alignment horizontal="center" vertical="center"/>
    </xf>
    <xf numFmtId="0" fontId="67" fillId="0" borderId="44" xfId="1" applyFont="1" applyFill="1" applyBorder="1" applyAlignment="1" applyProtection="1">
      <alignment horizontal="center" vertical="center"/>
    </xf>
    <xf numFmtId="0" fontId="67" fillId="0" borderId="43" xfId="1" applyFont="1" applyFill="1" applyBorder="1" applyAlignment="1" applyProtection="1">
      <alignment horizontal="center" vertical="center"/>
    </xf>
    <xf numFmtId="0" fontId="67" fillId="0" borderId="46" xfId="1" applyFont="1" applyFill="1" applyBorder="1" applyAlignment="1" applyProtection="1">
      <alignment horizontal="center" vertical="center"/>
    </xf>
    <xf numFmtId="164" fontId="58" fillId="0" borderId="33" xfId="1" applyNumberFormat="1" applyFont="1" applyBorder="1" applyAlignment="1" applyProtection="1">
      <alignment horizontal="center" vertical="center"/>
    </xf>
    <xf numFmtId="164" fontId="58" fillId="0" borderId="0" xfId="1" applyNumberFormat="1" applyFont="1" applyFill="1" applyBorder="1" applyAlignment="1" applyProtection="1">
      <alignment horizontal="center" vertical="center"/>
    </xf>
    <xf numFmtId="0" fontId="58" fillId="0" borderId="0" xfId="1" applyFont="1" applyFill="1" applyBorder="1" applyAlignment="1" applyProtection="1">
      <alignment horizontal="center" vertical="center"/>
    </xf>
    <xf numFmtId="0" fontId="64" fillId="0" borderId="0" xfId="1" applyFont="1" applyFill="1" applyBorder="1" applyAlignment="1" applyProtection="1">
      <alignment horizontal="center" vertical="center"/>
    </xf>
    <xf numFmtId="11" fontId="71" fillId="0" borderId="27" xfId="1" applyNumberFormat="1" applyFont="1" applyFill="1" applyBorder="1" applyAlignment="1" applyProtection="1">
      <alignment horizontal="center" vertical="center"/>
    </xf>
    <xf numFmtId="11" fontId="66" fillId="0" borderId="27" xfId="1" applyNumberFormat="1" applyFont="1" applyFill="1" applyBorder="1" applyAlignment="1" applyProtection="1">
      <alignment horizontal="center" vertical="center"/>
    </xf>
    <xf numFmtId="0" fontId="67" fillId="9" borderId="27" xfId="1" applyFont="1" applyFill="1" applyBorder="1" applyAlignment="1" applyProtection="1">
      <alignment horizontal="center" vertical="center"/>
    </xf>
    <xf numFmtId="0" fontId="66" fillId="0" borderId="27" xfId="1" applyFont="1" applyBorder="1" applyAlignment="1" applyProtection="1">
      <alignment horizontal="center" vertical="center"/>
    </xf>
    <xf numFmtId="1" fontId="66" fillId="0" borderId="27" xfId="1" applyNumberFormat="1" applyFont="1" applyFill="1" applyBorder="1" applyAlignment="1" applyProtection="1">
      <alignment horizontal="center" vertical="center"/>
    </xf>
    <xf numFmtId="168" fontId="68" fillId="0" borderId="27" xfId="1" applyNumberFormat="1" applyFont="1" applyBorder="1" applyAlignment="1" applyProtection="1">
      <alignment horizontal="center" vertical="center"/>
    </xf>
    <xf numFmtId="0" fontId="58" fillId="0" borderId="42" xfId="1" applyFont="1" applyFill="1" applyBorder="1" applyAlignment="1" applyProtection="1">
      <alignment horizontal="center" vertical="center"/>
    </xf>
    <xf numFmtId="164" fontId="58" fillId="0" borderId="42" xfId="1" applyNumberFormat="1" applyFont="1" applyFill="1" applyBorder="1" applyAlignment="1" applyProtection="1">
      <alignment horizontal="center" vertical="center"/>
    </xf>
    <xf numFmtId="0" fontId="64" fillId="0" borderId="42" xfId="1" applyFont="1" applyFill="1" applyBorder="1" applyAlignment="1" applyProtection="1">
      <alignment horizontal="center" vertical="center"/>
    </xf>
    <xf numFmtId="0" fontId="65" fillId="0" borderId="44" xfId="1" applyFont="1" applyFill="1" applyBorder="1" applyAlignment="1" applyProtection="1">
      <alignment horizontal="center" vertical="center"/>
    </xf>
    <xf numFmtId="0" fontId="65" fillId="0" borderId="45" xfId="1" applyFont="1" applyFill="1" applyBorder="1" applyAlignment="1" applyProtection="1">
      <alignment horizontal="center" vertical="center"/>
    </xf>
    <xf numFmtId="11" fontId="66" fillId="0" borderId="45" xfId="1" applyNumberFormat="1" applyFont="1" applyFill="1" applyBorder="1" applyAlignment="1" applyProtection="1">
      <alignment horizontal="center" vertical="center"/>
    </xf>
    <xf numFmtId="2" fontId="65" fillId="0" borderId="45" xfId="1" applyNumberFormat="1" applyFont="1" applyFill="1" applyBorder="1" applyAlignment="1" applyProtection="1">
      <alignment horizontal="center" vertical="center"/>
    </xf>
    <xf numFmtId="165" fontId="65" fillId="0" borderId="45" xfId="1" applyNumberFormat="1" applyFont="1" applyFill="1" applyBorder="1" applyAlignment="1" applyProtection="1">
      <alignment horizontal="center" vertical="center"/>
    </xf>
    <xf numFmtId="0" fontId="58" fillId="0" borderId="45" xfId="1" applyFont="1" applyFill="1" applyBorder="1" applyAlignment="1" applyProtection="1">
      <alignment horizontal="center" vertical="center"/>
    </xf>
    <xf numFmtId="2" fontId="58" fillId="0" borderId="46" xfId="1" applyNumberFormat="1" applyFont="1" applyFill="1" applyBorder="1" applyAlignment="1" applyProtection="1">
      <alignment horizontal="center" vertical="center"/>
    </xf>
    <xf numFmtId="0" fontId="58" fillId="0" borderId="45" xfId="1" applyFont="1" applyBorder="1" applyAlignment="1" applyProtection="1">
      <alignment horizontal="center" vertical="center"/>
    </xf>
    <xf numFmtId="0" fontId="58" fillId="10" borderId="0" xfId="1" applyFont="1" applyFill="1" applyBorder="1" applyAlignment="1" applyProtection="1">
      <alignment horizontal="center" vertical="center"/>
    </xf>
    <xf numFmtId="164" fontId="58" fillId="10" borderId="0" xfId="1" applyNumberFormat="1" applyFont="1" applyFill="1" applyBorder="1" applyAlignment="1" applyProtection="1">
      <alignment horizontal="center" vertical="center"/>
    </xf>
    <xf numFmtId="0" fontId="64" fillId="10" borderId="0" xfId="1" applyFont="1" applyFill="1" applyBorder="1" applyAlignment="1" applyProtection="1">
      <alignment horizontal="center" vertical="center"/>
    </xf>
    <xf numFmtId="0" fontId="65" fillId="10" borderId="26" xfId="1" applyFont="1" applyFill="1" applyBorder="1" applyAlignment="1" applyProtection="1">
      <alignment horizontal="center" vertical="center"/>
    </xf>
    <xf numFmtId="0" fontId="65" fillId="10" borderId="27" xfId="1" applyFont="1" applyFill="1" applyBorder="1" applyAlignment="1" applyProtection="1">
      <alignment horizontal="center" vertical="center"/>
    </xf>
    <xf numFmtId="11" fontId="65" fillId="10" borderId="27" xfId="1" applyNumberFormat="1" applyFont="1" applyFill="1" applyBorder="1" applyAlignment="1" applyProtection="1">
      <alignment horizontal="center" vertical="center"/>
    </xf>
    <xf numFmtId="2" fontId="65" fillId="10" borderId="27" xfId="1" applyNumberFormat="1" applyFont="1" applyFill="1" applyBorder="1" applyAlignment="1" applyProtection="1">
      <alignment horizontal="center" vertical="center"/>
    </xf>
    <xf numFmtId="165" fontId="65" fillId="10" borderId="27" xfId="1" applyNumberFormat="1" applyFont="1" applyFill="1" applyBorder="1" applyAlignment="1" applyProtection="1">
      <alignment horizontal="center" vertical="center"/>
    </xf>
    <xf numFmtId="11" fontId="66" fillId="10" borderId="27" xfId="1" applyNumberFormat="1" applyFont="1" applyFill="1" applyBorder="1" applyAlignment="1" applyProtection="1">
      <alignment horizontal="center" vertical="center"/>
    </xf>
    <xf numFmtId="0" fontId="58" fillId="10" borderId="27" xfId="1" applyFont="1" applyFill="1" applyBorder="1" applyAlignment="1" applyProtection="1">
      <alignment horizontal="center" vertical="center"/>
    </xf>
    <xf numFmtId="2" fontId="58" fillId="10" borderId="34" xfId="1" applyNumberFormat="1" applyFont="1" applyFill="1" applyBorder="1" applyAlignment="1" applyProtection="1">
      <alignment horizontal="center" vertical="center"/>
    </xf>
    <xf numFmtId="0" fontId="67" fillId="10" borderId="26" xfId="1" applyFont="1" applyFill="1" applyBorder="1" applyAlignment="1" applyProtection="1">
      <alignment horizontal="center" vertical="center"/>
    </xf>
    <xf numFmtId="0" fontId="67" fillId="10" borderId="27" xfId="1" applyFont="1" applyFill="1" applyBorder="1" applyAlignment="1" applyProtection="1">
      <alignment horizontal="center" vertical="center"/>
    </xf>
    <xf numFmtId="1" fontId="67" fillId="10" borderId="34" xfId="1" applyNumberFormat="1" applyFont="1" applyFill="1" applyBorder="1" applyAlignment="1" applyProtection="1">
      <alignment horizontal="center" vertical="center"/>
    </xf>
    <xf numFmtId="0" fontId="67" fillId="10" borderId="34" xfId="1" applyFont="1" applyFill="1" applyBorder="1" applyAlignment="1" applyProtection="1">
      <alignment horizontal="center" vertical="center"/>
    </xf>
    <xf numFmtId="0" fontId="58" fillId="7" borderId="2" xfId="1" applyFont="1" applyFill="1" applyBorder="1" applyAlignment="1" applyProtection="1">
      <alignment horizontal="center" vertical="center"/>
    </xf>
    <xf numFmtId="164" fontId="58" fillId="7" borderId="2" xfId="1" applyNumberFormat="1" applyFont="1" applyFill="1" applyBorder="1" applyAlignment="1" applyProtection="1">
      <alignment horizontal="center" vertical="center"/>
    </xf>
    <xf numFmtId="2" fontId="58" fillId="7" borderId="2" xfId="1" applyNumberFormat="1" applyFont="1" applyFill="1" applyBorder="1" applyAlignment="1" applyProtection="1">
      <alignment horizontal="center" vertical="center"/>
    </xf>
    <xf numFmtId="2" fontId="64" fillId="7" borderId="2" xfId="1" applyNumberFormat="1" applyFont="1" applyFill="1" applyBorder="1" applyAlignment="1" applyProtection="1">
      <alignment horizontal="center" vertical="center"/>
    </xf>
    <xf numFmtId="0" fontId="58" fillId="7" borderId="20" xfId="1" applyFont="1" applyFill="1" applyBorder="1" applyAlignment="1" applyProtection="1">
      <alignment horizontal="center" vertical="center"/>
    </xf>
    <xf numFmtId="0" fontId="58" fillId="7" borderId="50" xfId="1" applyFont="1" applyFill="1" applyBorder="1" applyAlignment="1" applyProtection="1">
      <alignment horizontal="center" vertical="center"/>
    </xf>
    <xf numFmtId="2" fontId="65" fillId="7" borderId="50" xfId="1" applyNumberFormat="1" applyFont="1" applyFill="1" applyBorder="1" applyAlignment="1" applyProtection="1">
      <alignment horizontal="center" vertical="center"/>
    </xf>
    <xf numFmtId="165" fontId="65" fillId="7" borderId="50" xfId="1" applyNumberFormat="1" applyFont="1" applyFill="1" applyBorder="1" applyAlignment="1" applyProtection="1">
      <alignment horizontal="center" vertical="center"/>
    </xf>
    <xf numFmtId="1" fontId="66" fillId="7" borderId="50" xfId="1" applyNumberFormat="1" applyFont="1" applyFill="1" applyBorder="1" applyAlignment="1" applyProtection="1">
      <alignment horizontal="center" vertical="center"/>
    </xf>
    <xf numFmtId="2" fontId="58" fillId="7" borderId="19" xfId="1" applyNumberFormat="1" applyFont="1" applyFill="1" applyBorder="1" applyAlignment="1" applyProtection="1">
      <alignment horizontal="center" vertical="center"/>
    </xf>
    <xf numFmtId="0" fontId="67" fillId="7" borderId="20" xfId="1" applyFont="1" applyFill="1" applyBorder="1" applyAlignment="1" applyProtection="1">
      <alignment horizontal="center" vertical="center"/>
    </xf>
    <xf numFmtId="0" fontId="67" fillId="7" borderId="50" xfId="1" applyFont="1" applyFill="1" applyBorder="1" applyAlignment="1" applyProtection="1">
      <alignment horizontal="center" vertical="center"/>
    </xf>
    <xf numFmtId="0" fontId="67" fillId="7" borderId="18" xfId="1" applyFont="1" applyFill="1" applyBorder="1" applyAlignment="1" applyProtection="1">
      <alignment horizontal="center" vertical="center"/>
    </xf>
    <xf numFmtId="1" fontId="67" fillId="7" borderId="19" xfId="1" applyNumberFormat="1" applyFont="1" applyFill="1" applyBorder="1" applyAlignment="1" applyProtection="1">
      <alignment horizontal="center" vertical="center"/>
    </xf>
    <xf numFmtId="0" fontId="67" fillId="7" borderId="49" xfId="1" applyFont="1" applyFill="1" applyBorder="1" applyAlignment="1" applyProtection="1">
      <alignment horizontal="center" vertical="center"/>
    </xf>
    <xf numFmtId="0" fontId="67" fillId="7" borderId="19" xfId="1" applyFont="1" applyFill="1" applyBorder="1" applyAlignment="1" applyProtection="1">
      <alignment horizontal="center" vertical="center"/>
    </xf>
    <xf numFmtId="0" fontId="70" fillId="7" borderId="18" xfId="1" applyFont="1" applyFill="1" applyBorder="1" applyAlignment="1" applyProtection="1">
      <alignment horizontal="center" vertical="center"/>
    </xf>
    <xf numFmtId="0" fontId="70" fillId="7" borderId="2" xfId="1" applyFont="1" applyFill="1" applyBorder="1" applyAlignment="1" applyProtection="1">
      <alignment horizontal="center" vertical="center"/>
    </xf>
    <xf numFmtId="2" fontId="70" fillId="7" borderId="2" xfId="1" applyNumberFormat="1" applyFont="1" applyFill="1" applyBorder="1" applyAlignment="1" applyProtection="1">
      <alignment horizontal="center" vertical="center"/>
    </xf>
    <xf numFmtId="166" fontId="70" fillId="7" borderId="2" xfId="1" applyNumberFormat="1" applyFont="1" applyFill="1" applyBorder="1" applyAlignment="1" applyProtection="1">
      <alignment horizontal="center" vertical="center"/>
    </xf>
    <xf numFmtId="164" fontId="70" fillId="7" borderId="2" xfId="1" applyNumberFormat="1" applyFont="1" applyFill="1" applyBorder="1" applyAlignment="1" applyProtection="1">
      <alignment horizontal="center" vertical="center"/>
    </xf>
    <xf numFmtId="1" fontId="70" fillId="7" borderId="2" xfId="1" applyNumberFormat="1" applyFont="1" applyFill="1" applyBorder="1" applyAlignment="1" applyProtection="1">
      <alignment horizontal="center" vertical="center"/>
    </xf>
    <xf numFmtId="0" fontId="70" fillId="7" borderId="49" xfId="1" applyFont="1" applyFill="1" applyBorder="1" applyAlignment="1" applyProtection="1">
      <alignment horizontal="center" vertical="center"/>
    </xf>
    <xf numFmtId="0" fontId="58" fillId="11" borderId="0" xfId="1" applyFont="1" applyFill="1" applyBorder="1" applyAlignment="1" applyProtection="1">
      <alignment horizontal="center" vertical="center"/>
    </xf>
    <xf numFmtId="164" fontId="58" fillId="11" borderId="0" xfId="1" applyNumberFormat="1" applyFont="1" applyFill="1" applyBorder="1" applyAlignment="1" applyProtection="1">
      <alignment horizontal="center" vertical="center"/>
    </xf>
    <xf numFmtId="0" fontId="64" fillId="11" borderId="0" xfId="1" applyFont="1" applyFill="1" applyBorder="1" applyAlignment="1" applyProtection="1">
      <alignment horizontal="center" vertical="center"/>
    </xf>
    <xf numFmtId="0" fontId="65" fillId="11" borderId="26" xfId="1" applyFont="1" applyFill="1" applyBorder="1" applyAlignment="1" applyProtection="1">
      <alignment horizontal="center" vertical="center"/>
    </xf>
    <xf numFmtId="0" fontId="65" fillId="11" borderId="27" xfId="1" applyFont="1" applyFill="1" applyBorder="1" applyAlignment="1" applyProtection="1">
      <alignment horizontal="center" vertical="center"/>
    </xf>
    <xf numFmtId="11" fontId="66" fillId="11" borderId="27" xfId="1" applyNumberFormat="1" applyFont="1" applyFill="1" applyBorder="1" applyAlignment="1" applyProtection="1">
      <alignment horizontal="center" vertical="center"/>
    </xf>
    <xf numFmtId="0" fontId="58" fillId="11" borderId="27" xfId="1" applyFont="1" applyFill="1" applyBorder="1" applyAlignment="1" applyProtection="1">
      <alignment horizontal="center" vertical="center"/>
    </xf>
    <xf numFmtId="2" fontId="58" fillId="11" borderId="34" xfId="1" applyNumberFormat="1" applyFont="1" applyFill="1" applyBorder="1" applyAlignment="1" applyProtection="1">
      <alignment horizontal="center" vertical="center"/>
    </xf>
    <xf numFmtId="0" fontId="67" fillId="15" borderId="45" xfId="1" applyFont="1" applyFill="1" applyBorder="1" applyAlignment="1" applyProtection="1">
      <alignment horizontal="center" vertical="center"/>
    </xf>
    <xf numFmtId="1" fontId="67" fillId="6" borderId="46" xfId="1" applyNumberFormat="1" applyFont="1" applyFill="1" applyBorder="1" applyAlignment="1" applyProtection="1">
      <alignment horizontal="center" vertical="center"/>
    </xf>
    <xf numFmtId="0" fontId="58" fillId="7" borderId="27" xfId="1" applyFont="1" applyFill="1" applyBorder="1" applyAlignment="1" applyProtection="1">
      <alignment horizontal="center" vertical="center"/>
    </xf>
    <xf numFmtId="2" fontId="64" fillId="11" borderId="0" xfId="1" applyNumberFormat="1" applyFont="1" applyFill="1" applyBorder="1" applyAlignment="1" applyProtection="1">
      <alignment horizontal="center" vertical="center"/>
    </xf>
    <xf numFmtId="11" fontId="65" fillId="11" borderId="27" xfId="1" applyNumberFormat="1" applyFont="1" applyFill="1" applyBorder="1" applyAlignment="1" applyProtection="1">
      <alignment horizontal="center" vertical="center"/>
    </xf>
    <xf numFmtId="1" fontId="67" fillId="6" borderId="34" xfId="1" applyNumberFormat="1" applyFont="1" applyFill="1" applyBorder="1" applyAlignment="1" applyProtection="1">
      <alignment horizontal="center" vertical="center"/>
    </xf>
    <xf numFmtId="11" fontId="71" fillId="11" borderId="27" xfId="1" applyNumberFormat="1" applyFont="1" applyFill="1" applyBorder="1" applyAlignment="1" applyProtection="1">
      <alignment horizontal="center" vertical="center"/>
    </xf>
    <xf numFmtId="2" fontId="65" fillId="11" borderId="27" xfId="1" applyNumberFormat="1" applyFont="1" applyFill="1" applyBorder="1" applyAlignment="1" applyProtection="1">
      <alignment horizontal="center" vertical="center"/>
    </xf>
    <xf numFmtId="165" fontId="65" fillId="11" borderId="27" xfId="1" applyNumberFormat="1" applyFont="1" applyFill="1" applyBorder="1" applyAlignment="1" applyProtection="1">
      <alignment horizontal="center" vertical="center"/>
    </xf>
    <xf numFmtId="0" fontId="58" fillId="0" borderId="52" xfId="1" applyFont="1" applyBorder="1" applyAlignment="1" applyProtection="1">
      <alignment horizontal="center" vertical="center"/>
    </xf>
    <xf numFmtId="164" fontId="58" fillId="0" borderId="52" xfId="1" applyNumberFormat="1" applyFont="1" applyBorder="1" applyAlignment="1" applyProtection="1">
      <alignment horizontal="center" vertical="center"/>
    </xf>
    <xf numFmtId="0" fontId="64" fillId="0" borderId="52" xfId="1" applyFont="1" applyBorder="1" applyAlignment="1" applyProtection="1">
      <alignment horizontal="center" vertical="center"/>
    </xf>
    <xf numFmtId="0" fontId="65" fillId="0" borderId="54" xfId="1" applyFont="1" applyBorder="1" applyAlignment="1" applyProtection="1">
      <alignment horizontal="center" vertical="center"/>
    </xf>
    <xf numFmtId="0" fontId="72" fillId="0" borderId="55" xfId="1" applyFont="1" applyBorder="1" applyAlignment="1" applyProtection="1">
      <alignment horizontal="center" vertical="center"/>
    </xf>
    <xf numFmtId="0" fontId="58" fillId="0" borderId="55" xfId="1" applyFont="1" applyBorder="1" applyAlignment="1" applyProtection="1">
      <alignment horizontal="center" vertical="center"/>
    </xf>
    <xf numFmtId="2" fontId="65" fillId="0" borderId="55" xfId="1" applyNumberFormat="1" applyFont="1" applyBorder="1" applyAlignment="1" applyProtection="1">
      <alignment horizontal="center" vertical="center"/>
    </xf>
    <xf numFmtId="165" fontId="65" fillId="0" borderId="55" xfId="1" applyNumberFormat="1" applyFont="1" applyBorder="1" applyAlignment="1" applyProtection="1">
      <alignment horizontal="center" vertical="center"/>
    </xf>
    <xf numFmtId="0" fontId="66" fillId="0" borderId="55" xfId="1" applyFont="1" applyBorder="1" applyAlignment="1" applyProtection="1">
      <alignment horizontal="center" vertical="center"/>
    </xf>
    <xf numFmtId="2" fontId="58" fillId="0" borderId="56" xfId="1" applyNumberFormat="1" applyFont="1" applyBorder="1" applyAlignment="1" applyProtection="1">
      <alignment horizontal="center" vertical="center"/>
    </xf>
    <xf numFmtId="0" fontId="67" fillId="6" borderId="54" xfId="1" applyFont="1" applyFill="1" applyBorder="1" applyAlignment="1" applyProtection="1">
      <alignment horizontal="center" vertical="center"/>
    </xf>
    <xf numFmtId="0" fontId="67" fillId="0" borderId="55" xfId="1" applyFont="1" applyBorder="1" applyAlignment="1" applyProtection="1">
      <alignment horizontal="center" vertical="center"/>
    </xf>
    <xf numFmtId="0" fontId="67" fillId="0" borderId="55" xfId="1" applyFont="1" applyFill="1" applyBorder="1" applyAlignment="1" applyProtection="1">
      <alignment horizontal="center" vertical="center"/>
    </xf>
    <xf numFmtId="0" fontId="67" fillId="6" borderId="55" xfId="1" applyFont="1" applyFill="1" applyBorder="1" applyAlignment="1" applyProtection="1">
      <alignment horizontal="center" vertical="center"/>
    </xf>
    <xf numFmtId="0" fontId="67" fillId="8" borderId="55" xfId="1" applyFont="1" applyFill="1" applyBorder="1" applyAlignment="1" applyProtection="1">
      <alignment horizontal="center" vertical="center"/>
    </xf>
    <xf numFmtId="0" fontId="67" fillId="8" borderId="57" xfId="1" applyFont="1" applyFill="1" applyBorder="1" applyAlignment="1" applyProtection="1">
      <alignment horizontal="center" vertical="center"/>
    </xf>
    <xf numFmtId="1" fontId="67" fillId="6" borderId="56" xfId="1" applyNumberFormat="1" applyFont="1" applyFill="1" applyBorder="1" applyAlignment="1" applyProtection="1">
      <alignment horizontal="center" vertical="center"/>
    </xf>
    <xf numFmtId="0" fontId="67" fillId="0" borderId="54" xfId="1" applyFont="1" applyBorder="1" applyAlignment="1" applyProtection="1">
      <alignment horizontal="center" vertical="center"/>
    </xf>
    <xf numFmtId="0" fontId="67" fillId="0" borderId="58" xfId="1" applyFont="1" applyBorder="1" applyAlignment="1" applyProtection="1">
      <alignment horizontal="center" vertical="center"/>
    </xf>
    <xf numFmtId="0" fontId="67" fillId="0" borderId="56" xfId="1" applyFont="1" applyFill="1" applyBorder="1" applyAlignment="1" applyProtection="1">
      <alignment horizontal="center" vertical="center"/>
    </xf>
    <xf numFmtId="0" fontId="58" fillId="0" borderId="59" xfId="1" applyFont="1" applyBorder="1" applyAlignment="1" applyProtection="1">
      <alignment horizontal="center" vertical="center"/>
    </xf>
    <xf numFmtId="0" fontId="58" fillId="0" borderId="53" xfId="1" applyFont="1" applyBorder="1" applyAlignment="1" applyProtection="1">
      <alignment horizontal="center" vertical="center"/>
    </xf>
    <xf numFmtId="0" fontId="64" fillId="0" borderId="60" xfId="1" applyFont="1" applyBorder="1" applyAlignment="1" applyProtection="1">
      <alignment horizontal="center" vertical="center"/>
    </xf>
    <xf numFmtId="0" fontId="23" fillId="0" borderId="0" xfId="1" applyFont="1" applyBorder="1" applyAlignment="1" applyProtection="1">
      <alignment horizontal="center" vertical="center"/>
    </xf>
    <xf numFmtId="0" fontId="70" fillId="0" borderId="0" xfId="1" applyNumberFormat="1" applyFont="1" applyFill="1" applyBorder="1" applyAlignment="1" applyProtection="1">
      <alignment horizontal="center" vertical="center"/>
    </xf>
    <xf numFmtId="0" fontId="65" fillId="0" borderId="0" xfId="1" applyFont="1" applyBorder="1" applyAlignment="1" applyProtection="1">
      <alignment horizontal="center" vertical="center"/>
    </xf>
    <xf numFmtId="0" fontId="72" fillId="0" borderId="0" xfId="1" applyFont="1" applyBorder="1" applyAlignment="1" applyProtection="1">
      <alignment horizontal="center" vertical="center"/>
    </xf>
    <xf numFmtId="2" fontId="65" fillId="0" borderId="0" xfId="1" applyNumberFormat="1" applyFont="1" applyBorder="1" applyAlignment="1" applyProtection="1">
      <alignment horizontal="center" vertical="center"/>
    </xf>
    <xf numFmtId="165" fontId="65" fillId="0" borderId="0" xfId="1" applyNumberFormat="1" applyFont="1" applyBorder="1" applyAlignment="1" applyProtection="1">
      <alignment horizontal="center" vertical="center"/>
    </xf>
    <xf numFmtId="11" fontId="58" fillId="0" borderId="0" xfId="1" applyNumberFormat="1" applyFont="1" applyBorder="1" applyAlignment="1" applyProtection="1">
      <alignment horizontal="center" vertical="center"/>
    </xf>
    <xf numFmtId="0" fontId="57" fillId="0" borderId="0" xfId="1" applyFont="1" applyAlignment="1" applyProtection="1">
      <alignment horizontal="center" vertical="center"/>
    </xf>
    <xf numFmtId="1" fontId="58" fillId="0" borderId="0" xfId="1" applyNumberFormat="1" applyFont="1" applyFill="1" applyAlignment="1" applyProtection="1">
      <alignment horizontal="center" vertical="center"/>
    </xf>
    <xf numFmtId="0" fontId="67" fillId="0" borderId="0" xfId="1" applyFont="1" applyBorder="1" applyAlignment="1" applyProtection="1">
      <alignment horizontal="center" vertical="center"/>
    </xf>
    <xf numFmtId="0" fontId="67" fillId="0" borderId="0" xfId="1" applyFont="1" applyFill="1" applyBorder="1" applyAlignment="1" applyProtection="1">
      <alignment horizontal="center" vertical="center"/>
    </xf>
    <xf numFmtId="0" fontId="62" fillId="0" borderId="61" xfId="1" applyFont="1" applyBorder="1" applyAlignment="1" applyProtection="1">
      <alignment horizontal="center"/>
    </xf>
    <xf numFmtId="0" fontId="73" fillId="0" borderId="61" xfId="1" applyFont="1" applyBorder="1" applyAlignment="1" applyProtection="1">
      <alignment horizontal="center"/>
    </xf>
    <xf numFmtId="0" fontId="73" fillId="0" borderId="42" xfId="1" applyFont="1" applyBorder="1" applyAlignment="1" applyProtection="1">
      <alignment horizontal="center"/>
    </xf>
    <xf numFmtId="0" fontId="58" fillId="0" borderId="42" xfId="1" applyFont="1" applyBorder="1" applyAlignment="1" applyProtection="1">
      <alignment horizontal="center" vertical="center"/>
    </xf>
    <xf numFmtId="0" fontId="58" fillId="0" borderId="62" xfId="1" applyFont="1" applyBorder="1" applyAlignment="1" applyProtection="1">
      <alignment horizontal="center"/>
    </xf>
    <xf numFmtId="0" fontId="58" fillId="6" borderId="0" xfId="1" applyNumberFormat="1" applyFont="1" applyFill="1" applyBorder="1" applyAlignment="1" applyProtection="1">
      <alignment horizontal="center" vertical="center"/>
    </xf>
    <xf numFmtId="0" fontId="62" fillId="0" borderId="63" xfId="1" applyFont="1" applyBorder="1" applyAlignment="1" applyProtection="1">
      <alignment horizontal="center"/>
    </xf>
    <xf numFmtId="0" fontId="73" fillId="0" borderId="63" xfId="1" applyFont="1" applyBorder="1" applyAlignment="1" applyProtection="1">
      <alignment horizontal="center"/>
    </xf>
    <xf numFmtId="0" fontId="73" fillId="0" borderId="64" xfId="1" applyFont="1" applyBorder="1" applyAlignment="1" applyProtection="1">
      <alignment horizontal="center"/>
    </xf>
    <xf numFmtId="0" fontId="58" fillId="0" borderId="64" xfId="1" applyFont="1" applyBorder="1" applyAlignment="1" applyProtection="1">
      <alignment horizontal="center" vertical="center"/>
    </xf>
    <xf numFmtId="0" fontId="58" fillId="0" borderId="65" xfId="1" applyFont="1" applyBorder="1" applyAlignment="1" applyProtection="1">
      <alignment horizontal="center"/>
    </xf>
    <xf numFmtId="0" fontId="57" fillId="0" borderId="4" xfId="1" applyFont="1" applyBorder="1" applyAlignment="1" applyProtection="1">
      <alignment horizontal="center" vertical="center"/>
    </xf>
    <xf numFmtId="0" fontId="57" fillId="0" borderId="7" xfId="1" applyFont="1" applyBorder="1" applyAlignment="1" applyProtection="1">
      <alignment horizontal="center" vertical="center"/>
    </xf>
    <xf numFmtId="0" fontId="58" fillId="0" borderId="10" xfId="1" applyFont="1" applyBorder="1" applyAlignment="1" applyProtection="1">
      <alignment horizontal="center" vertical="center"/>
    </xf>
    <xf numFmtId="164" fontId="58" fillId="0" borderId="0" xfId="1" applyNumberFormat="1" applyFont="1" applyAlignment="1" applyProtection="1">
      <alignment horizontal="center" vertical="center"/>
    </xf>
    <xf numFmtId="2" fontId="58" fillId="0" borderId="0" xfId="1" applyNumberFormat="1" applyFont="1" applyAlignment="1" applyProtection="1">
      <alignment horizontal="center" vertical="center"/>
    </xf>
    <xf numFmtId="0" fontId="58" fillId="0" borderId="66" xfId="1" applyFont="1" applyBorder="1" applyAlignment="1" applyProtection="1">
      <alignment horizontal="center" vertical="center"/>
    </xf>
    <xf numFmtId="11" fontId="58" fillId="6" borderId="0" xfId="1" applyNumberFormat="1" applyFont="1" applyFill="1" applyBorder="1" applyAlignment="1" applyProtection="1">
      <alignment horizontal="center" vertical="center"/>
    </xf>
    <xf numFmtId="0" fontId="57" fillId="0" borderId="5" xfId="1" applyFont="1" applyBorder="1" applyAlignment="1" applyProtection="1">
      <alignment horizontal="center" vertical="center"/>
    </xf>
    <xf numFmtId="0" fontId="57" fillId="0" borderId="0" xfId="1" applyFont="1" applyBorder="1" applyAlignment="1" applyProtection="1">
      <alignment horizontal="center" vertical="center"/>
    </xf>
    <xf numFmtId="0" fontId="58" fillId="0" borderId="11" xfId="1" applyFont="1" applyBorder="1" applyAlignment="1" applyProtection="1">
      <alignment horizontal="center" vertical="center"/>
    </xf>
    <xf numFmtId="2" fontId="58" fillId="0" borderId="0" xfId="1" applyNumberFormat="1" applyFont="1" applyBorder="1" applyAlignment="1" applyProtection="1">
      <alignment horizontal="center" vertical="center"/>
    </xf>
    <xf numFmtId="0" fontId="58" fillId="0" borderId="20" xfId="1" applyNumberFormat="1" applyFont="1" applyBorder="1" applyAlignment="1" applyProtection="1">
      <alignment horizontal="center" vertical="center"/>
    </xf>
    <xf numFmtId="0" fontId="58" fillId="0" borderId="49" xfId="1" applyNumberFormat="1" applyFont="1" applyBorder="1" applyAlignment="1" applyProtection="1">
      <alignment horizontal="center" vertical="center"/>
    </xf>
    <xf numFmtId="164" fontId="58" fillId="0" borderId="49" xfId="1" applyNumberFormat="1" applyFont="1" applyBorder="1" applyAlignment="1" applyProtection="1">
      <alignment horizontal="center" vertical="center"/>
    </xf>
    <xf numFmtId="1" fontId="58" fillId="0" borderId="49" xfId="1" applyNumberFormat="1" applyFont="1" applyBorder="1" applyAlignment="1" applyProtection="1">
      <alignment horizontal="center" vertical="center"/>
    </xf>
    <xf numFmtId="0" fontId="58" fillId="0" borderId="3" xfId="1" applyNumberFormat="1" applyFont="1" applyBorder="1" applyAlignment="1" applyProtection="1">
      <alignment horizontal="center" vertical="center"/>
    </xf>
    <xf numFmtId="0" fontId="57" fillId="0" borderId="12" xfId="1" applyFont="1" applyBorder="1" applyAlignment="1" applyProtection="1">
      <alignment horizontal="center" vertical="center"/>
    </xf>
    <xf numFmtId="0" fontId="57" fillId="0" borderId="13" xfId="1" applyFont="1" applyBorder="1" applyAlignment="1" applyProtection="1">
      <alignment horizontal="center" vertical="center"/>
    </xf>
    <xf numFmtId="0" fontId="58" fillId="0" borderId="14" xfId="1" applyFont="1" applyBorder="1" applyAlignment="1" applyProtection="1">
      <alignment horizontal="center" vertical="center"/>
    </xf>
    <xf numFmtId="2" fontId="58" fillId="0" borderId="13" xfId="1" applyNumberFormat="1" applyFont="1" applyBorder="1" applyAlignment="1" applyProtection="1">
      <alignment horizontal="center" vertical="center"/>
    </xf>
    <xf numFmtId="167" fontId="58" fillId="0" borderId="0" xfId="1" applyNumberFormat="1" applyFont="1" applyAlignment="1" applyProtection="1">
      <alignment horizontal="center" vertical="center"/>
    </xf>
    <xf numFmtId="1" fontId="58" fillId="0" borderId="0" xfId="1" applyNumberFormat="1" applyFont="1" applyAlignment="1" applyProtection="1">
      <alignment horizontal="center" vertical="center"/>
    </xf>
    <xf numFmtId="170" fontId="58" fillId="0" borderId="0" xfId="1" applyNumberFormat="1" applyFont="1" applyAlignment="1" applyProtection="1">
      <alignment horizontal="center" vertical="center"/>
    </xf>
    <xf numFmtId="0" fontId="58" fillId="0" borderId="0" xfId="1" applyNumberFormat="1" applyFont="1" applyFill="1" applyBorder="1" applyAlignment="1" applyProtection="1">
      <alignment horizontal="center" vertical="center"/>
    </xf>
    <xf numFmtId="164" fontId="58" fillId="0" borderId="20" xfId="1" applyNumberFormat="1" applyFont="1" applyBorder="1" applyAlignment="1" applyProtection="1">
      <alignment horizontal="center" vertical="center"/>
    </xf>
    <xf numFmtId="164" fontId="58" fillId="0" borderId="3" xfId="1" applyNumberFormat="1" applyFont="1" applyBorder="1" applyAlignment="1" applyProtection="1">
      <alignment horizontal="center" vertical="center"/>
    </xf>
    <xf numFmtId="0" fontId="58" fillId="0" borderId="0" xfId="1" applyNumberFormat="1" applyFont="1" applyBorder="1" applyAlignment="1" applyProtection="1">
      <alignment horizontal="center" vertical="center"/>
    </xf>
    <xf numFmtId="167" fontId="67" fillId="0" borderId="7" xfId="1" applyNumberFormat="1" applyFont="1" applyBorder="1" applyAlignment="1" applyProtection="1">
      <alignment horizontal="center" vertical="center"/>
    </xf>
    <xf numFmtId="169" fontId="70" fillId="0" borderId="0" xfId="1" applyNumberFormat="1" applyFont="1" applyAlignment="1" applyProtection="1">
      <alignment horizontal="center" vertical="center"/>
    </xf>
    <xf numFmtId="2" fontId="58" fillId="0" borderId="49" xfId="1" applyNumberFormat="1" applyFont="1" applyBorder="1" applyAlignment="1" applyProtection="1">
      <alignment horizontal="center" vertical="center"/>
    </xf>
    <xf numFmtId="0" fontId="66" fillId="0" borderId="13" xfId="1" applyFont="1" applyBorder="1" applyAlignment="1" applyProtection="1">
      <alignment horizontal="center" vertical="center"/>
    </xf>
    <xf numFmtId="0" fontId="70" fillId="0" borderId="0" xfId="1" applyFont="1" applyAlignment="1" applyProtection="1">
      <alignment horizontal="center" vertical="center"/>
    </xf>
    <xf numFmtId="167" fontId="58" fillId="0" borderId="49" xfId="1" applyNumberFormat="1" applyFont="1" applyBorder="1" applyAlignment="1" applyProtection="1">
      <alignment horizontal="center" vertical="center"/>
    </xf>
    <xf numFmtId="167" fontId="58" fillId="0" borderId="3" xfId="1" applyNumberFormat="1" applyFont="1" applyBorder="1" applyAlignment="1" applyProtection="1">
      <alignment horizontal="center" vertical="center"/>
    </xf>
    <xf numFmtId="167" fontId="58" fillId="0" borderId="20" xfId="1" applyNumberFormat="1" applyFont="1" applyBorder="1" applyAlignment="1" applyProtection="1">
      <alignment horizontal="center" vertical="center"/>
    </xf>
    <xf numFmtId="0" fontId="58" fillId="0" borderId="5" xfId="1" applyFont="1" applyBorder="1" applyAlignment="1" applyProtection="1">
      <alignment horizontal="center" vertical="center"/>
    </xf>
    <xf numFmtId="11" fontId="66" fillId="0" borderId="0" xfId="1" applyNumberFormat="1" applyFont="1" applyBorder="1" applyAlignment="1" applyProtection="1">
      <alignment horizontal="center" vertical="center"/>
    </xf>
    <xf numFmtId="2" fontId="58" fillId="0" borderId="3" xfId="1" applyNumberFormat="1" applyFont="1" applyBorder="1" applyAlignment="1" applyProtection="1">
      <alignment horizontal="center" vertical="center"/>
    </xf>
    <xf numFmtId="0" fontId="57" fillId="0" borderId="0" xfId="1" applyFont="1" applyAlignment="1" applyProtection="1">
      <alignment horizontal="right" vertical="center"/>
    </xf>
    <xf numFmtId="0" fontId="58" fillId="0" borderId="12" xfId="1" applyFont="1" applyBorder="1" applyAlignment="1" applyProtection="1">
      <alignment horizontal="center" vertical="center"/>
    </xf>
    <xf numFmtId="11" fontId="66" fillId="0" borderId="13" xfId="1" applyNumberFormat="1" applyFont="1" applyBorder="1" applyAlignment="1" applyProtection="1">
      <alignment horizontal="center" vertical="center"/>
    </xf>
    <xf numFmtId="0" fontId="62" fillId="0" borderId="0" xfId="1" applyFont="1" applyFill="1" applyBorder="1" applyAlignment="1" applyProtection="1">
      <alignment horizontal="left" vertical="center"/>
    </xf>
    <xf numFmtId="0" fontId="70" fillId="0" borderId="0" xfId="1" applyFont="1" applyFill="1" applyBorder="1" applyAlignment="1" applyProtection="1">
      <alignment horizontal="center" vertical="center"/>
    </xf>
    <xf numFmtId="1" fontId="62" fillId="0" borderId="1" xfId="1" applyNumberFormat="1" applyFont="1" applyBorder="1" applyAlignment="1" applyProtection="1">
      <alignment horizontal="center" vertical="center"/>
    </xf>
    <xf numFmtId="1" fontId="62" fillId="0" borderId="2" xfId="1" applyNumberFormat="1" applyFont="1" applyBorder="1" applyAlignment="1" applyProtection="1">
      <alignment horizontal="center" vertical="center"/>
    </xf>
    <xf numFmtId="1" fontId="62" fillId="0" borderId="3" xfId="1" applyNumberFormat="1" applyFont="1" applyBorder="1" applyAlignment="1" applyProtection="1">
      <alignment horizontal="center" vertical="center"/>
    </xf>
    <xf numFmtId="0" fontId="58" fillId="12" borderId="31" xfId="1" applyFont="1" applyFill="1" applyBorder="1" applyAlignment="1" applyProtection="1">
      <alignment horizontal="center" vertical="center"/>
    </xf>
    <xf numFmtId="0" fontId="58" fillId="12" borderId="29" xfId="1" applyFont="1" applyFill="1" applyBorder="1" applyAlignment="1" applyProtection="1">
      <alignment horizontal="center" vertical="center"/>
    </xf>
    <xf numFmtId="0" fontId="58" fillId="12" borderId="21" xfId="1" applyFont="1" applyFill="1" applyBorder="1" applyAlignment="1" applyProtection="1">
      <alignment horizontal="center" vertical="center"/>
    </xf>
    <xf numFmtId="11" fontId="57" fillId="0" borderId="7" xfId="1" applyNumberFormat="1" applyFont="1" applyBorder="1" applyAlignment="1" applyProtection="1">
      <alignment horizontal="center" vertical="center"/>
    </xf>
    <xf numFmtId="2" fontId="57" fillId="0" borderId="10" xfId="1" applyNumberFormat="1" applyFont="1" applyBorder="1" applyAlignment="1" applyProtection="1">
      <alignment horizontal="center" vertical="center"/>
    </xf>
    <xf numFmtId="0" fontId="58" fillId="0" borderId="7" xfId="1" applyFont="1" applyBorder="1" applyAlignment="1" applyProtection="1">
      <alignment horizontal="center" vertical="center"/>
    </xf>
    <xf numFmtId="2" fontId="58" fillId="0" borderId="10" xfId="1" applyNumberFormat="1" applyFont="1" applyBorder="1" applyAlignment="1" applyProtection="1">
      <alignment horizontal="center" vertical="center"/>
    </xf>
    <xf numFmtId="0" fontId="58" fillId="12" borderId="26" xfId="1" applyFont="1" applyFill="1" applyBorder="1" applyAlignment="1" applyProtection="1">
      <alignment horizontal="center" vertical="center"/>
    </xf>
    <xf numFmtId="0" fontId="58" fillId="12" borderId="27" xfId="1" applyFont="1" applyFill="1" applyBorder="1" applyAlignment="1" applyProtection="1">
      <alignment horizontal="center" vertical="center"/>
    </xf>
    <xf numFmtId="0" fontId="58" fillId="12" borderId="34" xfId="1" applyFont="1" applyFill="1" applyBorder="1" applyAlignment="1" applyProtection="1">
      <alignment horizontal="center" vertical="center"/>
    </xf>
    <xf numFmtId="0" fontId="58" fillId="0" borderId="0" xfId="1" applyFont="1" applyFill="1" applyBorder="1" applyAlignment="1" applyProtection="1">
      <alignment vertical="center"/>
    </xf>
    <xf numFmtId="2" fontId="58" fillId="0" borderId="11" xfId="1" applyNumberFormat="1" applyFont="1" applyBorder="1" applyAlignment="1" applyProtection="1">
      <alignment horizontal="center" vertical="center"/>
    </xf>
    <xf numFmtId="164" fontId="58" fillId="0" borderId="11" xfId="1" applyNumberFormat="1" applyFont="1" applyBorder="1" applyAlignment="1" applyProtection="1">
      <alignment horizontal="center" vertical="center"/>
    </xf>
    <xf numFmtId="164" fontId="66" fillId="0" borderId="0" xfId="1" applyNumberFormat="1" applyFont="1" applyFill="1" applyBorder="1" applyAlignment="1" applyProtection="1">
      <alignment horizontal="center" vertical="center"/>
    </xf>
    <xf numFmtId="0" fontId="70" fillId="0" borderId="5" xfId="1" applyFont="1" applyFill="1" applyBorder="1" applyAlignment="1" applyProtection="1">
      <alignment horizontal="center" vertical="center"/>
    </xf>
    <xf numFmtId="11" fontId="58" fillId="0" borderId="0" xfId="1" applyNumberFormat="1" applyFont="1" applyFill="1" applyBorder="1" applyAlignment="1" applyProtection="1">
      <alignment horizontal="center" vertical="center"/>
    </xf>
    <xf numFmtId="0" fontId="70" fillId="0" borderId="12" xfId="1" applyFont="1" applyFill="1" applyBorder="1" applyAlignment="1" applyProtection="1">
      <alignment horizontal="center" vertical="center"/>
    </xf>
    <xf numFmtId="0" fontId="58" fillId="0" borderId="13" xfId="1" applyFont="1" applyBorder="1" applyAlignment="1" applyProtection="1">
      <alignment horizontal="center" vertical="center"/>
    </xf>
    <xf numFmtId="2" fontId="58" fillId="0" borderId="14" xfId="1" applyNumberFormat="1" applyFont="1" applyBorder="1" applyAlignment="1" applyProtection="1">
      <alignment horizontal="center" vertical="center"/>
    </xf>
    <xf numFmtId="164" fontId="58" fillId="0" borderId="13" xfId="1" applyNumberFormat="1" applyFont="1" applyBorder="1" applyAlignment="1" applyProtection="1">
      <alignment horizontal="center" vertical="center"/>
    </xf>
    <xf numFmtId="164" fontId="58" fillId="0" borderId="14" xfId="1" applyNumberFormat="1" applyFont="1" applyBorder="1" applyAlignment="1" applyProtection="1">
      <alignment horizontal="center" vertical="center"/>
    </xf>
    <xf numFmtId="0" fontId="66" fillId="0" borderId="0" xfId="1" applyFont="1" applyFill="1" applyBorder="1" applyAlignment="1" applyProtection="1">
      <alignment horizontal="center" vertical="center"/>
    </xf>
    <xf numFmtId="0" fontId="70" fillId="0" borderId="4" xfId="1" applyFont="1" applyBorder="1" applyAlignment="1" applyProtection="1">
      <alignment horizontal="center" vertical="center"/>
    </xf>
    <xf numFmtId="0" fontId="70" fillId="0" borderId="12" xfId="1" applyFont="1" applyBorder="1" applyAlignment="1" applyProtection="1">
      <alignment horizontal="center" vertical="center"/>
    </xf>
    <xf numFmtId="0" fontId="58" fillId="12" borderId="54" xfId="1" applyFont="1" applyFill="1" applyBorder="1" applyAlignment="1" applyProtection="1">
      <alignment horizontal="center" vertical="center"/>
    </xf>
    <xf numFmtId="0" fontId="58" fillId="12" borderId="55" xfId="1" applyFont="1" applyFill="1" applyBorder="1" applyAlignment="1" applyProtection="1">
      <alignment horizontal="center" vertical="center"/>
    </xf>
    <xf numFmtId="0" fontId="58" fillId="12" borderId="56" xfId="1" applyFont="1" applyFill="1" applyBorder="1" applyAlignment="1" applyProtection="1">
      <alignment horizontal="center" vertical="center"/>
    </xf>
    <xf numFmtId="0" fontId="58" fillId="0" borderId="0" xfId="1" applyNumberFormat="1" applyFont="1"/>
    <xf numFmtId="0" fontId="74" fillId="0" borderId="0" xfId="1" applyNumberFormat="1" applyFont="1" applyAlignment="1">
      <alignment vertical="center"/>
    </xf>
    <xf numFmtId="0" fontId="58" fillId="0" borderId="4" xfId="1" applyFont="1" applyBorder="1"/>
    <xf numFmtId="0" fontId="58" fillId="0" borderId="7" xfId="1" applyFont="1" applyBorder="1"/>
    <xf numFmtId="0" fontId="58" fillId="0" borderId="10" xfId="1" applyFont="1" applyBorder="1"/>
    <xf numFmtId="0" fontId="58" fillId="0" borderId="5" xfId="1" applyFont="1" applyBorder="1"/>
    <xf numFmtId="2" fontId="66" fillId="0" borderId="0" xfId="1" applyNumberFormat="1" applyFont="1" applyBorder="1"/>
    <xf numFmtId="0" fontId="58" fillId="0" borderId="0" xfId="1" applyFont="1" applyBorder="1"/>
    <xf numFmtId="0" fontId="58" fillId="0" borderId="11" xfId="1" applyFont="1" applyBorder="1"/>
    <xf numFmtId="0" fontId="66" fillId="0" borderId="0" xfId="1" applyFont="1" applyBorder="1"/>
    <xf numFmtId="11" fontId="66" fillId="0" borderId="0" xfId="1" applyNumberFormat="1" applyFont="1" applyBorder="1"/>
    <xf numFmtId="11" fontId="58" fillId="0" borderId="0" xfId="1" applyNumberFormat="1" applyFont="1" applyBorder="1"/>
    <xf numFmtId="0" fontId="58" fillId="0" borderId="12" xfId="1" applyFont="1" applyBorder="1"/>
    <xf numFmtId="0" fontId="58" fillId="0" borderId="13" xfId="1" applyFont="1" applyBorder="1"/>
    <xf numFmtId="0" fontId="58" fillId="0" borderId="14" xfId="1" applyFont="1" applyBorder="1"/>
    <xf numFmtId="0" fontId="75" fillId="0" borderId="0" xfId="1" applyFont="1" applyAlignment="1" applyProtection="1">
      <alignment horizontal="center" vertical="center"/>
    </xf>
    <xf numFmtId="0" fontId="57" fillId="0" borderId="67" xfId="1" applyFont="1" applyBorder="1" applyAlignment="1">
      <alignment horizontal="center" vertical="center"/>
    </xf>
    <xf numFmtId="0" fontId="57" fillId="0" borderId="33" xfId="1" applyFont="1" applyBorder="1" applyAlignment="1">
      <alignment horizontal="center" vertical="center"/>
    </xf>
    <xf numFmtId="0" fontId="57" fillId="0" borderId="59" xfId="1" applyFont="1" applyBorder="1" applyAlignment="1">
      <alignment horizontal="center" vertical="center"/>
    </xf>
    <xf numFmtId="2" fontId="66" fillId="2" borderId="27" xfId="1" applyNumberFormat="1" applyFont="1" applyFill="1" applyBorder="1" applyAlignment="1" applyProtection="1">
      <alignment horizontal="center" vertical="center"/>
    </xf>
    <xf numFmtId="0" fontId="66" fillId="2" borderId="27" xfId="1" applyFont="1" applyFill="1" applyBorder="1" applyAlignment="1" applyProtection="1">
      <alignment horizontal="center" vertical="center"/>
    </xf>
    <xf numFmtId="0" fontId="66" fillId="2" borderId="45" xfId="1" applyFont="1" applyFill="1" applyBorder="1" applyAlignment="1" applyProtection="1">
      <alignment horizontal="center" vertical="center"/>
    </xf>
    <xf numFmtId="0" fontId="35" fillId="0" borderId="23" xfId="1" applyFont="1" applyBorder="1" applyAlignment="1" applyProtection="1">
      <alignment horizontal="center" vertical="center"/>
    </xf>
    <xf numFmtId="0" fontId="35" fillId="0" borderId="24" xfId="1" applyFont="1" applyBorder="1" applyAlignment="1" applyProtection="1">
      <alignment horizontal="center" vertical="center"/>
    </xf>
    <xf numFmtId="0" fontId="35" fillId="0" borderId="35" xfId="1" applyFont="1" applyBorder="1" applyAlignment="1" applyProtection="1">
      <alignment horizontal="center" vertical="center"/>
    </xf>
    <xf numFmtId="0" fontId="35" fillId="0" borderId="24" xfId="1" applyFont="1" applyFill="1" applyBorder="1" applyAlignment="1" applyProtection="1">
      <alignment horizontal="center" vertical="center"/>
    </xf>
    <xf numFmtId="0" fontId="35" fillId="0" borderId="41" xfId="1" applyFont="1" applyBorder="1" applyAlignment="1" applyProtection="1">
      <alignment horizontal="center" vertical="center"/>
    </xf>
    <xf numFmtId="0" fontId="35" fillId="0" borderId="48" xfId="1" applyFont="1" applyBorder="1" applyAlignment="1" applyProtection="1">
      <alignment horizontal="center" vertical="center"/>
    </xf>
    <xf numFmtId="0" fontId="35" fillId="11" borderId="24" xfId="1" applyFont="1" applyFill="1" applyBorder="1" applyAlignment="1" applyProtection="1">
      <alignment horizontal="center" vertical="center"/>
    </xf>
    <xf numFmtId="0" fontId="35" fillId="0" borderId="51" xfId="1" applyFont="1" applyBorder="1" applyAlignment="1" applyProtection="1">
      <alignment horizontal="center" vertical="center"/>
    </xf>
    <xf numFmtId="0" fontId="35" fillId="20" borderId="48" xfId="1" applyFont="1" applyFill="1" applyBorder="1" applyAlignment="1">
      <alignment horizontal="center" vertical="center"/>
    </xf>
    <xf numFmtId="0" fontId="66" fillId="0" borderId="7" xfId="1" applyNumberFormat="1" applyFont="1" applyBorder="1" applyAlignment="1" applyProtection="1">
      <alignment horizontal="center" vertical="center"/>
    </xf>
    <xf numFmtId="0" fontId="66" fillId="0" borderId="0" xfId="1" applyNumberFormat="1" applyFont="1" applyBorder="1" applyAlignment="1" applyProtection="1">
      <alignment horizontal="center" vertical="center"/>
    </xf>
    <xf numFmtId="0" fontId="66" fillId="0" borderId="13" xfId="1" applyNumberFormat="1" applyFont="1" applyFill="1" applyBorder="1" applyAlignment="1" applyProtection="1">
      <alignment horizontal="center" vertical="center"/>
    </xf>
    <xf numFmtId="2" fontId="66" fillId="0" borderId="7" xfId="1" applyNumberFormat="1" applyFont="1" applyBorder="1" applyAlignment="1" applyProtection="1">
      <alignment horizontal="center" vertical="center"/>
    </xf>
    <xf numFmtId="0" fontId="57" fillId="0" borderId="18" xfId="1" applyFont="1" applyBorder="1" applyAlignment="1">
      <alignment horizontal="center" vertical="center" wrapText="1"/>
    </xf>
    <xf numFmtId="0" fontId="58" fillId="3" borderId="8" xfId="1" applyFont="1" applyFill="1" applyBorder="1" applyAlignment="1" applyProtection="1">
      <alignment horizontal="center" vertical="center"/>
    </xf>
    <xf numFmtId="0" fontId="59" fillId="21" borderId="80" xfId="1" applyFont="1" applyFill="1" applyBorder="1" applyAlignment="1" applyProtection="1">
      <alignment horizontal="center" vertical="center" textRotation="90"/>
    </xf>
    <xf numFmtId="0" fontId="59" fillId="21" borderId="80" xfId="1" applyFont="1" applyFill="1" applyBorder="1" applyAlignment="1" applyProtection="1">
      <alignment horizontal="center" vertical="center" wrapText="1"/>
    </xf>
    <xf numFmtId="0" fontId="59" fillId="21" borderId="80" xfId="1" applyFont="1" applyFill="1" applyBorder="1" applyAlignment="1" applyProtection="1">
      <alignment horizontal="center" vertical="center" textRotation="90" wrapText="1"/>
    </xf>
    <xf numFmtId="0" fontId="57" fillId="21" borderId="80" xfId="1" applyFont="1" applyFill="1" applyBorder="1" applyAlignment="1" applyProtection="1">
      <alignment horizontal="center" vertical="center" wrapText="1"/>
    </xf>
    <xf numFmtId="0" fontId="59" fillId="21" borderId="80" xfId="1" applyFont="1" applyFill="1" applyBorder="1" applyAlignment="1" applyProtection="1">
      <alignment horizontal="center" vertical="center"/>
    </xf>
    <xf numFmtId="0" fontId="57" fillId="0" borderId="11" xfId="1" applyFont="1" applyBorder="1" applyAlignment="1" applyProtection="1">
      <alignment horizontal="center" vertical="center" wrapText="1"/>
    </xf>
    <xf numFmtId="0" fontId="57" fillId="0" borderId="1" xfId="1" applyFont="1" applyBorder="1" applyAlignment="1" applyProtection="1">
      <alignment horizontal="center" vertical="center"/>
    </xf>
    <xf numFmtId="0" fontId="57" fillId="0" borderId="2" xfId="1" applyFont="1" applyBorder="1" applyAlignment="1" applyProtection="1">
      <alignment horizontal="center" vertical="center"/>
    </xf>
    <xf numFmtId="0" fontId="57" fillId="0" borderId="3" xfId="1" applyFont="1" applyBorder="1" applyAlignment="1" applyProtection="1">
      <alignment horizontal="center" vertical="center"/>
    </xf>
    <xf numFmtId="0" fontId="57" fillId="0" borderId="0" xfId="1" applyFont="1" applyFill="1" applyBorder="1" applyAlignment="1" applyProtection="1">
      <alignment horizontal="center" vertical="center"/>
    </xf>
    <xf numFmtId="0" fontId="57" fillId="0" borderId="1" xfId="1" applyFont="1" applyBorder="1" applyAlignment="1">
      <alignment horizontal="center"/>
    </xf>
    <xf numFmtId="0" fontId="57" fillId="0" borderId="2" xfId="1" applyFont="1" applyBorder="1" applyAlignment="1">
      <alignment horizontal="center"/>
    </xf>
    <xf numFmtId="0" fontId="57" fillId="0" borderId="3" xfId="1" applyFont="1" applyBorder="1" applyAlignment="1">
      <alignment horizontal="center"/>
    </xf>
    <xf numFmtId="0" fontId="24" fillId="15" borderId="1" xfId="0" applyFont="1" applyFill="1" applyBorder="1" applyAlignment="1">
      <alignment horizontal="center" vertical="center" wrapText="1"/>
    </xf>
    <xf numFmtId="0" fontId="24" fillId="15" borderId="2" xfId="0" applyFont="1" applyFill="1" applyBorder="1" applyAlignment="1">
      <alignment horizontal="center" vertical="center" wrapText="1"/>
    </xf>
    <xf numFmtId="0" fontId="24" fillId="15" borderId="3" xfId="0" applyFont="1" applyFill="1" applyBorder="1" applyAlignment="1">
      <alignment horizontal="center" vertical="center" wrapText="1"/>
    </xf>
    <xf numFmtId="0" fontId="38" fillId="15" borderId="1" xfId="1" applyFont="1" applyFill="1" applyBorder="1" applyAlignment="1">
      <alignment horizontal="center" vertical="center" wrapText="1"/>
    </xf>
    <xf numFmtId="0" fontId="38" fillId="15" borderId="2" xfId="1" applyFont="1" applyFill="1" applyBorder="1" applyAlignment="1">
      <alignment horizontal="center" vertical="center" wrapText="1"/>
    </xf>
    <xf numFmtId="0" fontId="38" fillId="15" borderId="3" xfId="1" applyFont="1" applyFill="1" applyBorder="1" applyAlignment="1">
      <alignment horizontal="center" vertical="center" wrapText="1"/>
    </xf>
    <xf numFmtId="0" fontId="24" fillId="15" borderId="1" xfId="0" applyFont="1" applyFill="1" applyBorder="1" applyAlignment="1">
      <alignment horizontal="center" vertical="center"/>
    </xf>
    <xf numFmtId="0" fontId="24" fillId="15" borderId="2" xfId="0" applyFont="1" applyFill="1" applyBorder="1" applyAlignment="1">
      <alignment horizontal="center" vertical="center"/>
    </xf>
    <xf numFmtId="0" fontId="24" fillId="15" borderId="3" xfId="0" applyFont="1" applyFill="1" applyBorder="1" applyAlignment="1">
      <alignment horizontal="center" vertical="center"/>
    </xf>
    <xf numFmtId="0" fontId="49" fillId="0" borderId="2" xfId="0" applyFont="1" applyBorder="1" applyAlignment="1">
      <alignment horizontal="justify" vertical="center"/>
    </xf>
    <xf numFmtId="0" fontId="49" fillId="0" borderId="7" xfId="0" applyFont="1" applyBorder="1" applyAlignment="1">
      <alignment horizontal="justify" vertical="center" wrapText="1"/>
    </xf>
    <xf numFmtId="0" fontId="49" fillId="0" borderId="0" xfId="0" applyFont="1" applyAlignment="1">
      <alignment horizontal="justify" vertical="center" wrapText="1"/>
    </xf>
    <xf numFmtId="0" fontId="49" fillId="0" borderId="13" xfId="0" applyFont="1" applyBorder="1" applyAlignment="1">
      <alignment horizontal="justify" vertical="center" wrapText="1"/>
    </xf>
  </cellXfs>
  <cellStyles count="4">
    <cellStyle name="Calculation 2" xfId="3" xr:uid="{00000000-0005-0000-0000-000000000000}"/>
    <cellStyle name="Normal" xfId="0" builtinId="0"/>
    <cellStyle name="Normal 2" xfId="1" xr:uid="{00000000-0005-0000-0000-000002000000}"/>
    <cellStyle name="Normal 2 2" xfId="2" xr:uid="{00000000-0005-0000-0000-000003000000}"/>
  </cellStyles>
  <dxfs count="525"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lor rgb="FF006100"/>
      </font>
      <fill>
        <patternFill>
          <fgColor rgb="FF92D050"/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94</xdr:row>
      <xdr:rowOff>154480</xdr:rowOff>
    </xdr:from>
    <xdr:to>
      <xdr:col>8</xdr:col>
      <xdr:colOff>0</xdr:colOff>
      <xdr:row>112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575" y="17785255"/>
          <a:ext cx="3676650" cy="29697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aseline="0"/>
            <a:t>To do:</a:t>
          </a:r>
        </a:p>
        <a:p>
          <a:endParaRPr lang="es-ES" sz="1100" baseline="0"/>
        </a:p>
        <a:p>
          <a:endParaRPr lang="es-ES" sz="1100" baseline="0"/>
        </a:p>
        <a:p>
          <a:r>
            <a:rPr lang="es-ES" sz="1100" baseline="0"/>
            <a:t>#MPG: 20/11/19</a:t>
          </a:r>
          <a:endParaRPr lang="es-ES" sz="1100"/>
        </a:p>
      </xdr:txBody>
    </xdr:sp>
    <xdr:clientData/>
  </xdr:twoCellAnchor>
  <xdr:twoCellAnchor>
    <xdr:from>
      <xdr:col>8</xdr:col>
      <xdr:colOff>0</xdr:colOff>
      <xdr:row>95</xdr:row>
      <xdr:rowOff>0</xdr:rowOff>
    </xdr:from>
    <xdr:to>
      <xdr:col>14</xdr:col>
      <xdr:colOff>314325</xdr:colOff>
      <xdr:row>112</xdr:row>
      <xdr:rowOff>153333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86225" y="17792700"/>
          <a:ext cx="4791075" cy="29632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1"/>
            <a:t>ASSUMPTIONS</a:t>
          </a:r>
        </a:p>
        <a:p>
          <a:endParaRPr lang="es-ES" sz="1100"/>
        </a:p>
        <a:p>
          <a:r>
            <a:rPr lang="es-ES" sz="1100"/>
            <a:t>- Concentrations</a:t>
          </a:r>
          <a:r>
            <a:rPr lang="es-ES" sz="1100" baseline="0"/>
            <a:t> between 1e-6 mM and 10 mM are considered as the feasible concentration range for internal metabolites.</a:t>
          </a:r>
        </a:p>
        <a:p>
          <a:r>
            <a:rPr lang="es-ES" sz="1100" baseline="0"/>
            <a:t>- Outside concentrations of Propionate, Acetate and H2 assumed to be as per BSM2 concentration (typical methanogenic scenario)</a:t>
          </a:r>
        </a:p>
        <a:p>
          <a:endParaRPr lang="es-E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</xdr:row>
      <xdr:rowOff>0</xdr:rowOff>
    </xdr:from>
    <xdr:to>
      <xdr:col>16</xdr:col>
      <xdr:colOff>1</xdr:colOff>
      <xdr:row>19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5E30F9-109B-4FF1-B523-C43BE2198952}"/>
            </a:ext>
          </a:extLst>
        </xdr:cNvPr>
        <xdr:cNvSpPr txBox="1"/>
      </xdr:nvSpPr>
      <xdr:spPr>
        <a:xfrm>
          <a:off x="6419850" y="190500"/>
          <a:ext cx="3667126" cy="36099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Instructions</a:t>
          </a:r>
          <a:r>
            <a:rPr lang="en-US" sz="1100" b="1" baseline="0"/>
            <a:t> of use:</a:t>
          </a:r>
        </a:p>
        <a:p>
          <a:endParaRPr lang="en-US" sz="1100" baseline="0"/>
        </a:p>
        <a:p>
          <a:r>
            <a:rPr lang="en-US" sz="1100" baseline="0"/>
            <a:t>1. </a:t>
          </a:r>
          <a:r>
            <a:rPr lang="en-US" sz="1100" b="1" baseline="0"/>
            <a:t>Define </a:t>
          </a:r>
          <a:r>
            <a:rPr lang="en-US" sz="1100" baseline="0"/>
            <a:t>here all the possible variables to be evaluated for the sensitivity analysis </a:t>
          </a:r>
        </a:p>
        <a:p>
          <a:endParaRPr lang="en-US" sz="1100" baseline="0"/>
        </a:p>
        <a:p>
          <a:r>
            <a:rPr lang="en-US" sz="1100" b="1" baseline="0"/>
            <a:t>2. </a:t>
          </a:r>
          <a:r>
            <a:rPr lang="en-US" sz="1100" b="0" baseline="0"/>
            <a:t>Give </a:t>
          </a:r>
          <a:r>
            <a:rPr lang="en-US" sz="1100" b="1" baseline="0"/>
            <a:t>a range of discrete values </a:t>
          </a:r>
          <a:r>
            <a:rPr lang="en-US" sz="1100" baseline="0"/>
            <a:t>for each one of the variables</a:t>
          </a:r>
        </a:p>
        <a:p>
          <a:endParaRPr lang="en-US" sz="1100" baseline="0"/>
        </a:p>
        <a:p>
          <a:r>
            <a:rPr lang="en-US" sz="1100" b="1" baseline="0"/>
            <a:t>3. Set in refVal</a:t>
          </a:r>
          <a:r>
            <a:rPr lang="en-US" sz="1100" baseline="0"/>
            <a:t> which is </a:t>
          </a:r>
          <a:r>
            <a:rPr lang="en-US" sz="1100" b="1" baseline="0"/>
            <a:t>the value of reference </a:t>
          </a:r>
          <a:r>
            <a:rPr lang="en-US" sz="1100" baseline="0"/>
            <a:t>from which to perform the sensitivity analysis (will be highlighted in green)</a:t>
          </a:r>
        </a:p>
        <a:p>
          <a:endParaRPr lang="en-US" sz="1100" baseline="0"/>
        </a:p>
        <a:p>
          <a:r>
            <a:rPr lang="en-US" sz="1100" b="1" baseline="0"/>
            <a:t>4. Define </a:t>
          </a:r>
          <a:r>
            <a:rPr lang="en-US" sz="1100" baseline="0"/>
            <a:t>in cell evalCombinations if </a:t>
          </a:r>
          <a:r>
            <a:rPr lang="en-US" sz="1100" b="1" baseline="0"/>
            <a:t>the analysis performed </a:t>
          </a:r>
          <a:r>
            <a:rPr lang="en-US" sz="1100" baseline="0"/>
            <a:t>in MATLAB will be: </a:t>
          </a:r>
        </a:p>
        <a:p>
          <a:endParaRPr lang="en-US" sz="1100" baseline="0"/>
        </a:p>
        <a:p>
          <a:r>
            <a:rPr lang="en-US" sz="1100" baseline="0"/>
            <a:t>- sensitivity analysis</a:t>
          </a:r>
        </a:p>
        <a:p>
          <a:r>
            <a:rPr lang="en-US" sz="1100" baseline="0"/>
            <a:t>- all possible combinations</a:t>
          </a:r>
          <a:br>
            <a:rPr lang="en-US" sz="1100" baseline="0"/>
          </a:br>
          <a:r>
            <a:rPr lang="en-US" sz="1100" baseline="0"/>
            <a:t>- H2 Range?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</xdr:col>
      <xdr:colOff>197908</xdr:colOff>
      <xdr:row>31</xdr:row>
      <xdr:rowOff>137584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79615-6349-446B-AADA-D179DA04CF9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79" t="30222" r="11673" b="32000"/>
        <a:stretch/>
      </xdr:blipFill>
      <xdr:spPr bwMode="auto">
        <a:xfrm>
          <a:off x="0" y="6572250"/>
          <a:ext cx="1721908" cy="9027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42332</xdr:colOff>
      <xdr:row>34</xdr:row>
      <xdr:rowOff>31747</xdr:rowOff>
    </xdr:from>
    <xdr:to>
      <xdr:col>0</xdr:col>
      <xdr:colOff>1375833</xdr:colOff>
      <xdr:row>38</xdr:row>
      <xdr:rowOff>148164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E2C7DA-3312-468C-85C0-A19DC6B20A5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636" t="30222" r="21439" b="32889"/>
        <a:stretch/>
      </xdr:blipFill>
      <xdr:spPr bwMode="auto">
        <a:xfrm>
          <a:off x="42332" y="8013697"/>
          <a:ext cx="1333501" cy="87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21166</xdr:rowOff>
    </xdr:from>
    <xdr:to>
      <xdr:col>0</xdr:col>
      <xdr:colOff>973666</xdr:colOff>
      <xdr:row>46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339CB9-B1FB-43C3-A564-CFAA29C657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82" t="35555" r="28983" b="33333"/>
        <a:stretch/>
      </xdr:blipFill>
      <xdr:spPr bwMode="auto">
        <a:xfrm>
          <a:off x="0" y="9527116"/>
          <a:ext cx="973666" cy="740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kudriveapp/Meeting%20Jorge/CoAreactionEntalpy/CalcEnthalpyCo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Sheet1"/>
      <sheetName val="SpcDB"/>
      <sheetName val="HFK Method (unfinished)"/>
    </sheetNames>
    <sheetDataSet>
      <sheetData sheetId="0">
        <row r="4">
          <cell r="AR4">
            <v>-510.4</v>
          </cell>
        </row>
        <row r="8">
          <cell r="AR8">
            <v>-687</v>
          </cell>
        </row>
        <row r="15">
          <cell r="AR15">
            <v>-596.22</v>
          </cell>
        </row>
        <row r="22">
          <cell r="AR22">
            <v>-486</v>
          </cell>
        </row>
      </sheetData>
      <sheetData sheetId="1"/>
      <sheetData sheetId="2">
        <row r="78">
          <cell r="E78">
            <v>-959.9</v>
          </cell>
        </row>
        <row r="93">
          <cell r="E93">
            <v>-909.29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  <pageSetUpPr fitToPage="1"/>
  </sheetPr>
  <dimension ref="A1:CU144"/>
  <sheetViews>
    <sheetView tabSelected="1" topLeftCell="AE11" zoomScaleNormal="100" workbookViewId="0">
      <selection activeCell="AR33" sqref="AR33"/>
    </sheetView>
  </sheetViews>
  <sheetFormatPr defaultColWidth="4.44140625" defaultRowHeight="13.8" x14ac:dyDescent="0.3"/>
  <cols>
    <col min="1" max="1" width="6.109375" style="271" bestFit="1" customWidth="1"/>
    <col min="2" max="2" width="4.109375" style="271" customWidth="1"/>
    <col min="3" max="3" width="5.88671875" style="271" bestFit="1" customWidth="1"/>
    <col min="4" max="4" width="11.109375" style="271" customWidth="1"/>
    <col min="5" max="5" width="10.44140625" style="271" customWidth="1"/>
    <col min="6" max="6" width="9.109375" style="271" customWidth="1"/>
    <col min="7" max="7" width="9.33203125" style="271" customWidth="1"/>
    <col min="8" max="8" width="9.44140625" style="271" bestFit="1" customWidth="1"/>
    <col min="9" max="9" width="7.33203125" style="271" bestFit="1" customWidth="1"/>
    <col min="10" max="10" width="7.33203125" style="271" customWidth="1"/>
    <col min="11" max="11" width="7.5546875" style="271" customWidth="1"/>
    <col min="12" max="12" width="10.5546875" style="271" customWidth="1"/>
    <col min="13" max="13" width="8.88671875" style="271" customWidth="1"/>
    <col min="14" max="14" width="10.44140625" style="271" customWidth="1"/>
    <col min="15" max="15" width="4.88671875" style="271" customWidth="1"/>
    <col min="16" max="16" width="7.44140625" style="271" customWidth="1"/>
    <col min="17" max="17" width="9.88671875" style="271" customWidth="1"/>
    <col min="18" max="18" width="6.88671875" style="271" customWidth="1"/>
    <col min="19" max="19" width="11.33203125" style="271" customWidth="1"/>
    <col min="20" max="20" width="10.88671875" style="271" bestFit="1" customWidth="1"/>
    <col min="21" max="21" width="4.44140625" style="271" customWidth="1"/>
    <col min="22" max="22" width="5.6640625" style="271" customWidth="1"/>
    <col min="23" max="23" width="6.44140625" style="271" customWidth="1"/>
    <col min="24" max="25" width="5.5546875" style="271" customWidth="1"/>
    <col min="26" max="26" width="5.6640625" style="271" customWidth="1"/>
    <col min="27" max="27" width="6.88671875" style="271" customWidth="1"/>
    <col min="28" max="34" width="5.5546875" style="271" customWidth="1"/>
    <col min="35" max="44" width="5.6640625" style="271" customWidth="1"/>
    <col min="45" max="45" width="6.33203125" style="271" customWidth="1"/>
    <col min="46" max="48" width="5.5546875" style="271" customWidth="1"/>
    <col min="49" max="49" width="5.6640625" style="271" customWidth="1"/>
    <col min="50" max="50" width="5.5546875" style="271" customWidth="1"/>
    <col min="51" max="52" width="6" style="271" customWidth="1"/>
    <col min="53" max="53" width="4.6640625" style="271" customWidth="1"/>
    <col min="54" max="54" width="3" style="271" customWidth="1"/>
    <col min="55" max="55" width="3.5546875" style="272" customWidth="1"/>
    <col min="56" max="57" width="6.109375" style="271" bestFit="1" customWidth="1"/>
    <col min="58" max="59" width="6.109375" style="271" customWidth="1"/>
    <col min="60" max="60" width="6.109375" style="271" bestFit="1" customWidth="1"/>
    <col min="61" max="61" width="7.44140625" style="271" customWidth="1"/>
    <col min="62" max="62" width="5.5546875" style="271" customWidth="1"/>
    <col min="63" max="63" width="5.5546875" style="271" bestFit="1" customWidth="1"/>
    <col min="64" max="64" width="5.109375" style="271" bestFit="1" customWidth="1"/>
    <col min="65" max="66" width="3.5546875" style="271" customWidth="1"/>
    <col min="67" max="67" width="11.88671875" style="271" customWidth="1"/>
    <col min="68" max="68" width="3.88671875" style="271" bestFit="1" customWidth="1"/>
    <col min="69" max="69" width="20" style="271" bestFit="1" customWidth="1"/>
    <col min="70" max="70" width="14" style="271" bestFit="1" customWidth="1"/>
    <col min="71" max="71" width="14.109375" style="271" bestFit="1" customWidth="1"/>
    <col min="72" max="72" width="12.5546875" style="271" bestFit="1" customWidth="1"/>
    <col min="73" max="73" width="8.5546875" style="271" bestFit="1" customWidth="1"/>
    <col min="74" max="74" width="8.88671875" style="271" customWidth="1"/>
    <col min="75" max="75" width="12" style="271" bestFit="1" customWidth="1"/>
    <col min="76" max="76" width="3.5546875" style="271" bestFit="1" customWidth="1"/>
    <col min="77" max="78" width="4" style="271" bestFit="1" customWidth="1"/>
    <col min="79" max="79" width="3.5546875" style="271" bestFit="1" customWidth="1"/>
    <col min="80" max="81" width="3" style="271" bestFit="1" customWidth="1"/>
    <col min="82" max="82" width="5" style="271" bestFit="1" customWidth="1"/>
    <col min="83" max="83" width="3.33203125" style="271" bestFit="1" customWidth="1"/>
    <col min="84" max="84" width="4" style="271" bestFit="1" customWidth="1"/>
    <col min="85" max="85" width="9.5546875" style="271" bestFit="1" customWidth="1"/>
    <col min="86" max="86" width="9" style="271" bestFit="1" customWidth="1"/>
    <col min="87" max="87" width="9.5546875" style="271" bestFit="1" customWidth="1"/>
    <col min="88" max="88" width="6" style="271" bestFit="1" customWidth="1"/>
    <col min="89" max="89" width="4.88671875" style="271" bestFit="1" customWidth="1"/>
    <col min="90" max="90" width="7.33203125" style="271" bestFit="1" customWidth="1"/>
    <col min="91" max="91" width="3.33203125" style="271" bestFit="1" customWidth="1"/>
    <col min="92" max="92" width="5.6640625" style="271" bestFit="1" customWidth="1"/>
    <col min="93" max="93" width="4.44140625" style="271"/>
    <col min="94" max="99" width="7.5546875" style="271" customWidth="1"/>
    <col min="100" max="100" width="4.44140625" style="271"/>
    <col min="101" max="101" width="6" style="271" bestFit="1" customWidth="1"/>
    <col min="102" max="16384" width="4.44140625" style="271"/>
  </cols>
  <sheetData>
    <row r="1" spans="20:52" ht="14.4" thickBot="1" x14ac:dyDescent="0.35">
      <c r="T1" s="266" t="s">
        <v>799</v>
      </c>
      <c r="U1" s="267" t="s">
        <v>715</v>
      </c>
      <c r="V1" s="268">
        <v>1</v>
      </c>
      <c r="W1" s="268">
        <v>2</v>
      </c>
      <c r="X1" s="268">
        <v>0</v>
      </c>
      <c r="Y1" s="268">
        <v>3</v>
      </c>
      <c r="Z1" s="268">
        <v>0</v>
      </c>
      <c r="AA1" s="268">
        <v>4</v>
      </c>
      <c r="AB1" s="268">
        <v>5</v>
      </c>
      <c r="AC1" s="268">
        <v>6</v>
      </c>
      <c r="AD1" s="268">
        <v>0</v>
      </c>
      <c r="AE1" s="268">
        <v>7</v>
      </c>
      <c r="AF1" s="268">
        <v>8</v>
      </c>
      <c r="AG1" s="268">
        <v>0</v>
      </c>
      <c r="AH1" s="268">
        <v>9</v>
      </c>
      <c r="AI1" s="268">
        <v>10</v>
      </c>
      <c r="AJ1" s="268">
        <v>0</v>
      </c>
      <c r="AK1" s="268">
        <v>0</v>
      </c>
      <c r="AL1" s="268">
        <v>0</v>
      </c>
      <c r="AM1" s="268">
        <v>0</v>
      </c>
      <c r="AN1" s="268">
        <v>0</v>
      </c>
      <c r="AO1" s="268">
        <v>0</v>
      </c>
      <c r="AP1" s="268">
        <v>0</v>
      </c>
      <c r="AQ1" s="268">
        <v>0</v>
      </c>
      <c r="AR1" s="268">
        <v>0</v>
      </c>
      <c r="AS1" s="268">
        <v>11</v>
      </c>
      <c r="AT1" s="268">
        <v>12</v>
      </c>
      <c r="AU1" s="268">
        <v>13</v>
      </c>
      <c r="AV1" s="268">
        <v>14</v>
      </c>
      <c r="AW1" s="268">
        <v>15</v>
      </c>
      <c r="AX1" s="268">
        <v>16</v>
      </c>
      <c r="AY1" s="269">
        <v>0</v>
      </c>
      <c r="AZ1" s="270" t="s">
        <v>962</v>
      </c>
    </row>
    <row r="2" spans="20:52" x14ac:dyDescent="0.3">
      <c r="U2" s="273" t="s">
        <v>716</v>
      </c>
      <c r="V2" s="274">
        <v>1</v>
      </c>
      <c r="W2" s="274">
        <v>2</v>
      </c>
      <c r="X2" s="274">
        <v>0</v>
      </c>
      <c r="Y2" s="274">
        <v>3</v>
      </c>
      <c r="Z2" s="274">
        <v>0</v>
      </c>
      <c r="AA2" s="274">
        <v>4</v>
      </c>
      <c r="AB2" s="274">
        <v>5</v>
      </c>
      <c r="AC2" s="274">
        <v>0</v>
      </c>
      <c r="AD2" s="274">
        <v>6</v>
      </c>
      <c r="AE2" s="274">
        <v>7</v>
      </c>
      <c r="AF2" s="274">
        <v>8</v>
      </c>
      <c r="AG2" s="274">
        <v>0</v>
      </c>
      <c r="AH2" s="274">
        <v>9</v>
      </c>
      <c r="AI2" s="274">
        <v>10</v>
      </c>
      <c r="AJ2" s="274">
        <v>0</v>
      </c>
      <c r="AK2" s="274">
        <v>0</v>
      </c>
      <c r="AL2" s="274">
        <v>0</v>
      </c>
      <c r="AM2" s="274">
        <v>0</v>
      </c>
      <c r="AN2" s="274">
        <v>0</v>
      </c>
      <c r="AO2" s="274">
        <v>0</v>
      </c>
      <c r="AP2" s="274">
        <v>0</v>
      </c>
      <c r="AQ2" s="274">
        <v>0</v>
      </c>
      <c r="AR2" s="274">
        <v>0</v>
      </c>
      <c r="AS2" s="274">
        <v>11</v>
      </c>
      <c r="AT2" s="274">
        <v>12</v>
      </c>
      <c r="AU2" s="274">
        <v>13</v>
      </c>
      <c r="AV2" s="274">
        <v>0</v>
      </c>
      <c r="AW2" s="274">
        <v>14</v>
      </c>
      <c r="AX2" s="274">
        <v>15</v>
      </c>
      <c r="AY2" s="275">
        <v>0</v>
      </c>
      <c r="AZ2" s="270" t="s">
        <v>925</v>
      </c>
    </row>
    <row r="3" spans="20:52" x14ac:dyDescent="0.3">
      <c r="U3" s="273" t="s">
        <v>717</v>
      </c>
      <c r="V3" s="274">
        <v>1</v>
      </c>
      <c r="W3" s="274">
        <v>2</v>
      </c>
      <c r="X3" s="274">
        <v>0</v>
      </c>
      <c r="Y3" s="274">
        <v>3</v>
      </c>
      <c r="Z3" s="274">
        <v>0</v>
      </c>
      <c r="AA3" s="274">
        <v>4</v>
      </c>
      <c r="AB3" s="274">
        <v>5</v>
      </c>
      <c r="AC3" s="274">
        <v>6</v>
      </c>
      <c r="AD3" s="274">
        <v>0</v>
      </c>
      <c r="AE3" s="274">
        <v>7</v>
      </c>
      <c r="AF3" s="274">
        <v>0</v>
      </c>
      <c r="AG3" s="274">
        <v>8</v>
      </c>
      <c r="AH3" s="274">
        <v>9</v>
      </c>
      <c r="AI3" s="274">
        <v>10</v>
      </c>
      <c r="AJ3" s="274">
        <v>0</v>
      </c>
      <c r="AK3" s="274">
        <v>0</v>
      </c>
      <c r="AL3" s="274">
        <v>0</v>
      </c>
      <c r="AM3" s="274">
        <v>0</v>
      </c>
      <c r="AN3" s="274">
        <v>0</v>
      </c>
      <c r="AO3" s="274">
        <v>0</v>
      </c>
      <c r="AP3" s="274">
        <v>0</v>
      </c>
      <c r="AQ3" s="274">
        <v>0</v>
      </c>
      <c r="AR3" s="274">
        <v>0</v>
      </c>
      <c r="AS3" s="274">
        <v>11</v>
      </c>
      <c r="AT3" s="274">
        <v>12</v>
      </c>
      <c r="AU3" s="274">
        <v>0</v>
      </c>
      <c r="AV3" s="274">
        <v>13</v>
      </c>
      <c r="AW3" s="274">
        <v>14</v>
      </c>
      <c r="AX3" s="274">
        <v>15</v>
      </c>
      <c r="AY3" s="275">
        <v>0</v>
      </c>
      <c r="AZ3" s="270" t="s">
        <v>926</v>
      </c>
    </row>
    <row r="4" spans="20:52" x14ac:dyDescent="0.3">
      <c r="U4" s="273" t="s">
        <v>718</v>
      </c>
      <c r="V4" s="274">
        <v>1</v>
      </c>
      <c r="W4" s="274">
        <v>2</v>
      </c>
      <c r="X4" s="274">
        <v>0</v>
      </c>
      <c r="Y4" s="274">
        <v>3</v>
      </c>
      <c r="Z4" s="274">
        <v>0</v>
      </c>
      <c r="AA4" s="274">
        <v>4</v>
      </c>
      <c r="AB4" s="274">
        <v>5</v>
      </c>
      <c r="AC4" s="274">
        <v>0</v>
      </c>
      <c r="AD4" s="274">
        <v>6</v>
      </c>
      <c r="AE4" s="274">
        <v>7</v>
      </c>
      <c r="AF4" s="274">
        <v>0</v>
      </c>
      <c r="AG4" s="274">
        <v>8</v>
      </c>
      <c r="AH4" s="274">
        <v>9</v>
      </c>
      <c r="AI4" s="274">
        <v>10</v>
      </c>
      <c r="AJ4" s="274">
        <v>0</v>
      </c>
      <c r="AK4" s="274">
        <v>0</v>
      </c>
      <c r="AL4" s="274">
        <v>0</v>
      </c>
      <c r="AM4" s="274">
        <v>0</v>
      </c>
      <c r="AN4" s="274">
        <v>0</v>
      </c>
      <c r="AO4" s="274">
        <v>0</v>
      </c>
      <c r="AP4" s="274">
        <v>0</v>
      </c>
      <c r="AQ4" s="274">
        <v>0</v>
      </c>
      <c r="AR4" s="274">
        <v>0</v>
      </c>
      <c r="AS4" s="274">
        <v>11</v>
      </c>
      <c r="AT4" s="274">
        <v>12</v>
      </c>
      <c r="AU4" s="274">
        <v>13</v>
      </c>
      <c r="AV4" s="274">
        <v>0</v>
      </c>
      <c r="AW4" s="274">
        <v>14</v>
      </c>
      <c r="AX4" s="274">
        <v>15</v>
      </c>
      <c r="AY4" s="275">
        <v>0</v>
      </c>
      <c r="AZ4" s="270" t="s">
        <v>927</v>
      </c>
    </row>
    <row r="5" spans="20:52" x14ac:dyDescent="0.3">
      <c r="U5" s="273" t="s">
        <v>719</v>
      </c>
      <c r="V5" s="274">
        <v>1</v>
      </c>
      <c r="W5" s="274">
        <v>2</v>
      </c>
      <c r="X5" s="274">
        <v>0</v>
      </c>
      <c r="Y5" s="274">
        <v>0</v>
      </c>
      <c r="Z5" s="274">
        <v>3</v>
      </c>
      <c r="AA5" s="274">
        <v>4</v>
      </c>
      <c r="AB5" s="274">
        <v>5</v>
      </c>
      <c r="AC5" s="274">
        <v>6</v>
      </c>
      <c r="AD5" s="274">
        <v>0</v>
      </c>
      <c r="AE5" s="274">
        <v>7</v>
      </c>
      <c r="AF5" s="274">
        <v>8</v>
      </c>
      <c r="AG5" s="274">
        <v>0</v>
      </c>
      <c r="AH5" s="274">
        <v>0</v>
      </c>
      <c r="AI5" s="274">
        <v>9</v>
      </c>
      <c r="AJ5" s="274">
        <v>0</v>
      </c>
      <c r="AK5" s="274">
        <v>0</v>
      </c>
      <c r="AL5" s="274">
        <v>0</v>
      </c>
      <c r="AM5" s="274">
        <v>0</v>
      </c>
      <c r="AN5" s="274">
        <v>0</v>
      </c>
      <c r="AO5" s="274">
        <v>0</v>
      </c>
      <c r="AP5" s="274">
        <v>0</v>
      </c>
      <c r="AQ5" s="274">
        <v>0</v>
      </c>
      <c r="AR5" s="274">
        <v>0</v>
      </c>
      <c r="AS5" s="274">
        <v>10</v>
      </c>
      <c r="AT5" s="274">
        <v>11</v>
      </c>
      <c r="AU5" s="274">
        <v>12</v>
      </c>
      <c r="AV5" s="274">
        <v>13</v>
      </c>
      <c r="AW5" s="274">
        <v>14</v>
      </c>
      <c r="AX5" s="274">
        <v>15</v>
      </c>
      <c r="AY5" s="275">
        <v>0</v>
      </c>
      <c r="AZ5" s="270" t="s">
        <v>928</v>
      </c>
    </row>
    <row r="6" spans="20:52" x14ac:dyDescent="0.3">
      <c r="U6" s="273" t="s">
        <v>720</v>
      </c>
      <c r="V6" s="274">
        <v>1</v>
      </c>
      <c r="W6" s="274">
        <v>2</v>
      </c>
      <c r="X6" s="274">
        <v>0</v>
      </c>
      <c r="Y6" s="274">
        <v>0</v>
      </c>
      <c r="Z6" s="274">
        <v>3</v>
      </c>
      <c r="AA6" s="274">
        <v>4</v>
      </c>
      <c r="AB6" s="274">
        <v>5</v>
      </c>
      <c r="AC6" s="274">
        <v>0</v>
      </c>
      <c r="AD6" s="274">
        <v>6</v>
      </c>
      <c r="AE6" s="274">
        <v>7</v>
      </c>
      <c r="AF6" s="274">
        <v>8</v>
      </c>
      <c r="AG6" s="274">
        <v>0</v>
      </c>
      <c r="AH6" s="274">
        <v>0</v>
      </c>
      <c r="AI6" s="274">
        <v>9</v>
      </c>
      <c r="AJ6" s="274">
        <v>0</v>
      </c>
      <c r="AK6" s="274">
        <v>0</v>
      </c>
      <c r="AL6" s="274">
        <v>0</v>
      </c>
      <c r="AM6" s="274">
        <v>0</v>
      </c>
      <c r="AN6" s="274">
        <v>0</v>
      </c>
      <c r="AO6" s="274">
        <v>0</v>
      </c>
      <c r="AP6" s="274">
        <v>0</v>
      </c>
      <c r="AQ6" s="274">
        <v>0</v>
      </c>
      <c r="AR6" s="274">
        <v>0</v>
      </c>
      <c r="AS6" s="274">
        <v>10</v>
      </c>
      <c r="AT6" s="274">
        <v>11</v>
      </c>
      <c r="AU6" s="274">
        <v>12</v>
      </c>
      <c r="AV6" s="274">
        <v>0</v>
      </c>
      <c r="AW6" s="274">
        <v>13</v>
      </c>
      <c r="AX6" s="274">
        <v>14</v>
      </c>
      <c r="AY6" s="275">
        <v>0</v>
      </c>
      <c r="AZ6" s="270" t="s">
        <v>929</v>
      </c>
    </row>
    <row r="7" spans="20:52" x14ac:dyDescent="0.3">
      <c r="U7" s="273" t="s">
        <v>721</v>
      </c>
      <c r="V7" s="274">
        <v>1</v>
      </c>
      <c r="W7" s="274">
        <v>2</v>
      </c>
      <c r="X7" s="274">
        <v>0</v>
      </c>
      <c r="Y7" s="274">
        <v>0</v>
      </c>
      <c r="Z7" s="274">
        <v>3</v>
      </c>
      <c r="AA7" s="274">
        <v>4</v>
      </c>
      <c r="AB7" s="274">
        <v>5</v>
      </c>
      <c r="AC7" s="274">
        <v>6</v>
      </c>
      <c r="AD7" s="274">
        <v>0</v>
      </c>
      <c r="AE7" s="274">
        <v>7</v>
      </c>
      <c r="AF7" s="274">
        <v>0</v>
      </c>
      <c r="AG7" s="274">
        <v>8</v>
      </c>
      <c r="AH7" s="274">
        <v>0</v>
      </c>
      <c r="AI7" s="274">
        <v>9</v>
      </c>
      <c r="AJ7" s="274">
        <v>0</v>
      </c>
      <c r="AK7" s="274">
        <v>0</v>
      </c>
      <c r="AL7" s="274">
        <v>0</v>
      </c>
      <c r="AM7" s="274">
        <v>0</v>
      </c>
      <c r="AN7" s="274">
        <v>0</v>
      </c>
      <c r="AO7" s="274">
        <v>0</v>
      </c>
      <c r="AP7" s="274">
        <v>0</v>
      </c>
      <c r="AQ7" s="274">
        <v>0</v>
      </c>
      <c r="AR7" s="274">
        <v>0</v>
      </c>
      <c r="AS7" s="274">
        <v>10</v>
      </c>
      <c r="AT7" s="274">
        <v>11</v>
      </c>
      <c r="AU7" s="274">
        <v>0</v>
      </c>
      <c r="AV7" s="274">
        <v>12</v>
      </c>
      <c r="AW7" s="274">
        <v>13</v>
      </c>
      <c r="AX7" s="274">
        <v>14</v>
      </c>
      <c r="AY7" s="275">
        <v>0</v>
      </c>
      <c r="AZ7" s="270" t="s">
        <v>930</v>
      </c>
    </row>
    <row r="8" spans="20:52" x14ac:dyDescent="0.3">
      <c r="U8" s="273" t="s">
        <v>722</v>
      </c>
      <c r="V8" s="274">
        <v>1</v>
      </c>
      <c r="W8" s="274">
        <v>2</v>
      </c>
      <c r="X8" s="274">
        <v>0</v>
      </c>
      <c r="Y8" s="274">
        <v>0</v>
      </c>
      <c r="Z8" s="274">
        <v>3</v>
      </c>
      <c r="AA8" s="274">
        <v>4</v>
      </c>
      <c r="AB8" s="274">
        <v>5</v>
      </c>
      <c r="AC8" s="274">
        <v>0</v>
      </c>
      <c r="AD8" s="274">
        <v>6</v>
      </c>
      <c r="AE8" s="274">
        <v>7</v>
      </c>
      <c r="AF8" s="274">
        <v>0</v>
      </c>
      <c r="AG8" s="274">
        <v>8</v>
      </c>
      <c r="AH8" s="274">
        <v>0</v>
      </c>
      <c r="AI8" s="274">
        <v>9</v>
      </c>
      <c r="AJ8" s="274">
        <v>0</v>
      </c>
      <c r="AK8" s="274">
        <v>0</v>
      </c>
      <c r="AL8" s="274">
        <v>0</v>
      </c>
      <c r="AM8" s="274">
        <v>0</v>
      </c>
      <c r="AN8" s="274">
        <v>0</v>
      </c>
      <c r="AO8" s="274">
        <v>0</v>
      </c>
      <c r="AP8" s="274">
        <v>0</v>
      </c>
      <c r="AQ8" s="274">
        <v>0</v>
      </c>
      <c r="AR8" s="274">
        <v>0</v>
      </c>
      <c r="AS8" s="274">
        <v>10</v>
      </c>
      <c r="AT8" s="274">
        <v>11</v>
      </c>
      <c r="AU8" s="274">
        <v>12</v>
      </c>
      <c r="AV8" s="274">
        <v>0</v>
      </c>
      <c r="AW8" s="274">
        <v>13</v>
      </c>
      <c r="AX8" s="274">
        <v>14</v>
      </c>
      <c r="AY8" s="275">
        <v>0</v>
      </c>
      <c r="AZ8" s="270" t="s">
        <v>931</v>
      </c>
    </row>
    <row r="9" spans="20:52" x14ac:dyDescent="0.3">
      <c r="U9" s="273" t="s">
        <v>723</v>
      </c>
      <c r="V9" s="274">
        <v>1</v>
      </c>
      <c r="W9" s="274">
        <v>0</v>
      </c>
      <c r="X9" s="274">
        <v>2</v>
      </c>
      <c r="Y9" s="274">
        <v>3</v>
      </c>
      <c r="Z9" s="274">
        <v>0</v>
      </c>
      <c r="AA9" s="274">
        <v>4</v>
      </c>
      <c r="AB9" s="274">
        <v>5</v>
      </c>
      <c r="AC9" s="274">
        <v>6</v>
      </c>
      <c r="AD9" s="274">
        <v>0</v>
      </c>
      <c r="AE9" s="274">
        <v>7</v>
      </c>
      <c r="AF9" s="274">
        <v>8</v>
      </c>
      <c r="AG9" s="274">
        <v>0</v>
      </c>
      <c r="AH9" s="274">
        <v>9</v>
      </c>
      <c r="AI9" s="274">
        <v>10</v>
      </c>
      <c r="AJ9" s="274">
        <v>0</v>
      </c>
      <c r="AK9" s="274">
        <v>0</v>
      </c>
      <c r="AL9" s="274">
        <v>0</v>
      </c>
      <c r="AM9" s="274">
        <v>0</v>
      </c>
      <c r="AN9" s="274">
        <v>0</v>
      </c>
      <c r="AO9" s="274">
        <v>0</v>
      </c>
      <c r="AP9" s="274">
        <v>0</v>
      </c>
      <c r="AQ9" s="274">
        <v>0</v>
      </c>
      <c r="AR9" s="274">
        <v>0</v>
      </c>
      <c r="AS9" s="274">
        <v>0</v>
      </c>
      <c r="AT9" s="274">
        <v>11</v>
      </c>
      <c r="AU9" s="274">
        <v>12</v>
      </c>
      <c r="AV9" s="274">
        <v>13</v>
      </c>
      <c r="AW9" s="274">
        <v>14</v>
      </c>
      <c r="AX9" s="274">
        <v>15</v>
      </c>
      <c r="AY9" s="275">
        <v>0</v>
      </c>
      <c r="AZ9" s="270" t="s">
        <v>932</v>
      </c>
    </row>
    <row r="10" spans="20:52" x14ac:dyDescent="0.3">
      <c r="U10" s="273" t="s">
        <v>724</v>
      </c>
      <c r="V10" s="274">
        <v>1</v>
      </c>
      <c r="W10" s="274">
        <v>0</v>
      </c>
      <c r="X10" s="274">
        <v>2</v>
      </c>
      <c r="Y10" s="274">
        <v>3</v>
      </c>
      <c r="Z10" s="274">
        <v>0</v>
      </c>
      <c r="AA10" s="274">
        <v>4</v>
      </c>
      <c r="AB10" s="274">
        <v>5</v>
      </c>
      <c r="AC10" s="274">
        <v>0</v>
      </c>
      <c r="AD10" s="274">
        <v>6</v>
      </c>
      <c r="AE10" s="274">
        <v>7</v>
      </c>
      <c r="AF10" s="274">
        <v>8</v>
      </c>
      <c r="AG10" s="274">
        <v>0</v>
      </c>
      <c r="AH10" s="274">
        <v>9</v>
      </c>
      <c r="AI10" s="274">
        <v>10</v>
      </c>
      <c r="AJ10" s="274">
        <v>0</v>
      </c>
      <c r="AK10" s="274">
        <v>0</v>
      </c>
      <c r="AL10" s="274">
        <v>0</v>
      </c>
      <c r="AM10" s="274">
        <v>0</v>
      </c>
      <c r="AN10" s="274">
        <v>0</v>
      </c>
      <c r="AO10" s="274">
        <v>0</v>
      </c>
      <c r="AP10" s="274">
        <v>0</v>
      </c>
      <c r="AQ10" s="274">
        <v>0</v>
      </c>
      <c r="AR10" s="274">
        <v>0</v>
      </c>
      <c r="AS10" s="274">
        <v>0</v>
      </c>
      <c r="AT10" s="274">
        <v>11</v>
      </c>
      <c r="AU10" s="274">
        <v>12</v>
      </c>
      <c r="AV10" s="274">
        <v>0</v>
      </c>
      <c r="AW10" s="274">
        <v>13</v>
      </c>
      <c r="AX10" s="274">
        <v>14</v>
      </c>
      <c r="AY10" s="275">
        <v>0</v>
      </c>
      <c r="AZ10" s="270" t="s">
        <v>933</v>
      </c>
    </row>
    <row r="11" spans="20:52" x14ac:dyDescent="0.3">
      <c r="U11" s="273" t="s">
        <v>725</v>
      </c>
      <c r="V11" s="274">
        <v>1</v>
      </c>
      <c r="W11" s="274">
        <v>0</v>
      </c>
      <c r="X11" s="274">
        <v>2</v>
      </c>
      <c r="Y11" s="274">
        <v>3</v>
      </c>
      <c r="Z11" s="274">
        <v>0</v>
      </c>
      <c r="AA11" s="274">
        <v>4</v>
      </c>
      <c r="AB11" s="274">
        <v>5</v>
      </c>
      <c r="AC11" s="274">
        <v>6</v>
      </c>
      <c r="AD11" s="274">
        <v>0</v>
      </c>
      <c r="AE11" s="274">
        <v>7</v>
      </c>
      <c r="AF11" s="274">
        <v>0</v>
      </c>
      <c r="AG11" s="274">
        <v>8</v>
      </c>
      <c r="AH11" s="274">
        <v>9</v>
      </c>
      <c r="AI11" s="274">
        <v>10</v>
      </c>
      <c r="AJ11" s="274">
        <v>0</v>
      </c>
      <c r="AK11" s="274">
        <v>0</v>
      </c>
      <c r="AL11" s="274">
        <v>0</v>
      </c>
      <c r="AM11" s="274">
        <v>0</v>
      </c>
      <c r="AN11" s="274">
        <v>0</v>
      </c>
      <c r="AO11" s="274">
        <v>0</v>
      </c>
      <c r="AP11" s="274">
        <v>0</v>
      </c>
      <c r="AQ11" s="274">
        <v>0</v>
      </c>
      <c r="AR11" s="274">
        <v>0</v>
      </c>
      <c r="AS11" s="274">
        <v>0</v>
      </c>
      <c r="AT11" s="274">
        <v>11</v>
      </c>
      <c r="AU11" s="274">
        <v>0</v>
      </c>
      <c r="AV11" s="274">
        <v>12</v>
      </c>
      <c r="AW11" s="274">
        <v>13</v>
      </c>
      <c r="AX11" s="274">
        <v>14</v>
      </c>
      <c r="AY11" s="275">
        <v>0</v>
      </c>
      <c r="AZ11" s="270" t="s">
        <v>934</v>
      </c>
    </row>
    <row r="12" spans="20:52" x14ac:dyDescent="0.3">
      <c r="U12" s="273" t="s">
        <v>726</v>
      </c>
      <c r="V12" s="274">
        <v>1</v>
      </c>
      <c r="W12" s="274">
        <v>0</v>
      </c>
      <c r="X12" s="274">
        <v>2</v>
      </c>
      <c r="Y12" s="274">
        <v>3</v>
      </c>
      <c r="Z12" s="274">
        <v>0</v>
      </c>
      <c r="AA12" s="274">
        <v>4</v>
      </c>
      <c r="AB12" s="274">
        <v>5</v>
      </c>
      <c r="AC12" s="274">
        <v>0</v>
      </c>
      <c r="AD12" s="274">
        <v>6</v>
      </c>
      <c r="AE12" s="274">
        <v>7</v>
      </c>
      <c r="AF12" s="274">
        <v>0</v>
      </c>
      <c r="AG12" s="274">
        <v>8</v>
      </c>
      <c r="AH12" s="274">
        <v>9</v>
      </c>
      <c r="AI12" s="274">
        <v>10</v>
      </c>
      <c r="AJ12" s="274">
        <v>0</v>
      </c>
      <c r="AK12" s="274">
        <v>0</v>
      </c>
      <c r="AL12" s="274">
        <v>0</v>
      </c>
      <c r="AM12" s="274">
        <v>0</v>
      </c>
      <c r="AN12" s="274">
        <v>0</v>
      </c>
      <c r="AO12" s="274">
        <v>0</v>
      </c>
      <c r="AP12" s="274">
        <v>0</v>
      </c>
      <c r="AQ12" s="274">
        <v>0</v>
      </c>
      <c r="AR12" s="274">
        <v>0</v>
      </c>
      <c r="AS12" s="274">
        <v>0</v>
      </c>
      <c r="AT12" s="274">
        <v>11</v>
      </c>
      <c r="AU12" s="274">
        <v>12</v>
      </c>
      <c r="AV12" s="274">
        <v>0</v>
      </c>
      <c r="AW12" s="274">
        <v>13</v>
      </c>
      <c r="AX12" s="274">
        <v>14</v>
      </c>
      <c r="AY12" s="275">
        <v>0</v>
      </c>
      <c r="AZ12" s="270" t="s">
        <v>935</v>
      </c>
    </row>
    <row r="13" spans="20:52" x14ac:dyDescent="0.3">
      <c r="U13" s="273" t="s">
        <v>729</v>
      </c>
      <c r="V13" s="274">
        <v>1</v>
      </c>
      <c r="W13" s="274">
        <v>0</v>
      </c>
      <c r="X13" s="274">
        <v>0</v>
      </c>
      <c r="Y13" s="274">
        <v>0</v>
      </c>
      <c r="Z13" s="274">
        <v>0</v>
      </c>
      <c r="AA13" s="274">
        <v>0</v>
      </c>
      <c r="AB13" s="274">
        <v>0</v>
      </c>
      <c r="AC13" s="274">
        <v>0</v>
      </c>
      <c r="AD13" s="274">
        <v>0</v>
      </c>
      <c r="AE13" s="274">
        <v>0</v>
      </c>
      <c r="AF13" s="274">
        <v>0</v>
      </c>
      <c r="AG13" s="274">
        <v>0</v>
      </c>
      <c r="AH13" s="274">
        <v>0</v>
      </c>
      <c r="AI13" s="274">
        <v>6</v>
      </c>
      <c r="AJ13" s="274">
        <v>2</v>
      </c>
      <c r="AK13" s="274">
        <v>3</v>
      </c>
      <c r="AL13" s="274">
        <v>0</v>
      </c>
      <c r="AM13" s="274">
        <v>4</v>
      </c>
      <c r="AN13" s="274">
        <v>5</v>
      </c>
      <c r="AO13" s="274">
        <v>0</v>
      </c>
      <c r="AP13" s="274">
        <v>0</v>
      </c>
      <c r="AQ13" s="274">
        <v>0</v>
      </c>
      <c r="AR13" s="274">
        <v>0</v>
      </c>
      <c r="AS13" s="274">
        <v>7</v>
      </c>
      <c r="AT13" s="274">
        <v>8</v>
      </c>
      <c r="AU13" s="274">
        <v>9</v>
      </c>
      <c r="AV13" s="274">
        <v>0</v>
      </c>
      <c r="AW13" s="274">
        <v>10</v>
      </c>
      <c r="AX13" s="274">
        <v>11</v>
      </c>
      <c r="AY13" s="275">
        <v>0</v>
      </c>
      <c r="AZ13" s="270" t="s">
        <v>936</v>
      </c>
    </row>
    <row r="14" spans="20:52" x14ac:dyDescent="0.3">
      <c r="U14" s="273" t="s">
        <v>730</v>
      </c>
      <c r="V14" s="274">
        <v>1</v>
      </c>
      <c r="W14" s="274">
        <v>0</v>
      </c>
      <c r="X14" s="274">
        <v>0</v>
      </c>
      <c r="Y14" s="274">
        <v>0</v>
      </c>
      <c r="Z14" s="274">
        <v>0</v>
      </c>
      <c r="AA14" s="274">
        <v>0</v>
      </c>
      <c r="AB14" s="274">
        <v>0</v>
      </c>
      <c r="AC14" s="274">
        <v>0</v>
      </c>
      <c r="AD14" s="274">
        <v>0</v>
      </c>
      <c r="AE14" s="274">
        <v>0</v>
      </c>
      <c r="AF14" s="274">
        <v>0</v>
      </c>
      <c r="AG14" s="274">
        <v>0</v>
      </c>
      <c r="AH14" s="274">
        <v>0</v>
      </c>
      <c r="AI14" s="274">
        <v>6</v>
      </c>
      <c r="AJ14" s="274">
        <v>2</v>
      </c>
      <c r="AK14" s="274">
        <v>0</v>
      </c>
      <c r="AL14" s="274">
        <v>3</v>
      </c>
      <c r="AM14" s="274">
        <v>4</v>
      </c>
      <c r="AN14" s="274">
        <v>5</v>
      </c>
      <c r="AO14" s="274">
        <v>0</v>
      </c>
      <c r="AP14" s="274">
        <v>0</v>
      </c>
      <c r="AQ14" s="274">
        <v>0</v>
      </c>
      <c r="AR14" s="274">
        <v>0</v>
      </c>
      <c r="AS14" s="274">
        <v>7</v>
      </c>
      <c r="AT14" s="274">
        <v>8</v>
      </c>
      <c r="AU14" s="274">
        <v>0</v>
      </c>
      <c r="AV14" s="274">
        <v>0</v>
      </c>
      <c r="AW14" s="274">
        <v>9</v>
      </c>
      <c r="AX14" s="274">
        <v>10</v>
      </c>
      <c r="AY14" s="275">
        <v>0</v>
      </c>
      <c r="AZ14" s="270" t="s">
        <v>937</v>
      </c>
    </row>
    <row r="15" spans="20:52" x14ac:dyDescent="0.3">
      <c r="U15" s="273" t="s">
        <v>731</v>
      </c>
      <c r="V15" s="274">
        <v>1</v>
      </c>
      <c r="W15" s="274">
        <v>2</v>
      </c>
      <c r="X15" s="274">
        <v>0</v>
      </c>
      <c r="Y15" s="274">
        <v>0</v>
      </c>
      <c r="Z15" s="274">
        <v>0</v>
      </c>
      <c r="AA15" s="274">
        <v>0</v>
      </c>
      <c r="AB15" s="274">
        <v>0</v>
      </c>
      <c r="AC15" s="274">
        <v>0</v>
      </c>
      <c r="AD15" s="274">
        <v>0</v>
      </c>
      <c r="AE15" s="274">
        <v>0</v>
      </c>
      <c r="AF15" s="274">
        <v>0</v>
      </c>
      <c r="AG15" s="274">
        <v>0</v>
      </c>
      <c r="AH15" s="274">
        <v>0</v>
      </c>
      <c r="AI15" s="274">
        <v>0</v>
      </c>
      <c r="AJ15" s="274">
        <v>0</v>
      </c>
      <c r="AK15" s="274">
        <v>3</v>
      </c>
      <c r="AL15" s="274">
        <v>0</v>
      </c>
      <c r="AM15" s="274">
        <v>0</v>
      </c>
      <c r="AN15" s="274">
        <v>0</v>
      </c>
      <c r="AO15" s="274">
        <v>4</v>
      </c>
      <c r="AP15" s="274">
        <v>5</v>
      </c>
      <c r="AQ15" s="274">
        <v>6</v>
      </c>
      <c r="AR15" s="274">
        <v>7</v>
      </c>
      <c r="AS15" s="274">
        <v>8</v>
      </c>
      <c r="AT15" s="274">
        <v>9</v>
      </c>
      <c r="AU15" s="274">
        <v>10</v>
      </c>
      <c r="AV15" s="274">
        <v>0</v>
      </c>
      <c r="AW15" s="274">
        <v>0</v>
      </c>
      <c r="AX15" s="274">
        <v>11</v>
      </c>
      <c r="AY15" s="275">
        <v>12</v>
      </c>
      <c r="AZ15" s="270" t="s">
        <v>938</v>
      </c>
    </row>
    <row r="16" spans="20:52" x14ac:dyDescent="0.3">
      <c r="U16" s="273" t="s">
        <v>732</v>
      </c>
      <c r="V16" s="274">
        <v>1</v>
      </c>
      <c r="W16" s="274">
        <v>2</v>
      </c>
      <c r="X16" s="274">
        <v>0</v>
      </c>
      <c r="Y16" s="274">
        <v>0</v>
      </c>
      <c r="Z16" s="274">
        <v>0</v>
      </c>
      <c r="AA16" s="274">
        <v>0</v>
      </c>
      <c r="AB16" s="274">
        <v>0</v>
      </c>
      <c r="AC16" s="274">
        <v>0</v>
      </c>
      <c r="AD16" s="274">
        <v>0</v>
      </c>
      <c r="AE16" s="274">
        <v>0</v>
      </c>
      <c r="AF16" s="274">
        <v>0</v>
      </c>
      <c r="AG16" s="274">
        <v>0</v>
      </c>
      <c r="AH16" s="274">
        <v>0</v>
      </c>
      <c r="AI16" s="274">
        <v>0</v>
      </c>
      <c r="AJ16" s="274">
        <v>0</v>
      </c>
      <c r="AK16" s="274">
        <v>0</v>
      </c>
      <c r="AL16" s="274">
        <v>3</v>
      </c>
      <c r="AM16" s="274">
        <v>0</v>
      </c>
      <c r="AN16" s="274">
        <v>0</v>
      </c>
      <c r="AO16" s="274">
        <v>4</v>
      </c>
      <c r="AP16" s="274">
        <v>5</v>
      </c>
      <c r="AQ16" s="274">
        <v>6</v>
      </c>
      <c r="AR16" s="274">
        <v>7</v>
      </c>
      <c r="AS16" s="274">
        <v>8</v>
      </c>
      <c r="AT16" s="274">
        <v>9</v>
      </c>
      <c r="AU16" s="274">
        <v>0</v>
      </c>
      <c r="AV16" s="274">
        <v>0</v>
      </c>
      <c r="AW16" s="274">
        <v>0</v>
      </c>
      <c r="AX16" s="274">
        <v>10</v>
      </c>
      <c r="AY16" s="275">
        <v>11</v>
      </c>
      <c r="AZ16" s="270" t="s">
        <v>939</v>
      </c>
    </row>
    <row r="17" spans="1:99" x14ac:dyDescent="0.3">
      <c r="U17" s="273" t="s">
        <v>734</v>
      </c>
      <c r="V17" s="274">
        <v>1</v>
      </c>
      <c r="W17" s="274">
        <v>0</v>
      </c>
      <c r="X17" s="274">
        <v>2</v>
      </c>
      <c r="Y17" s="274">
        <v>0</v>
      </c>
      <c r="Z17" s="274">
        <v>0</v>
      </c>
      <c r="AA17" s="274">
        <v>0</v>
      </c>
      <c r="AB17" s="274">
        <v>0</v>
      </c>
      <c r="AC17" s="274">
        <v>0</v>
      </c>
      <c r="AD17" s="274">
        <v>0</v>
      </c>
      <c r="AE17" s="274">
        <v>0</v>
      </c>
      <c r="AF17" s="274">
        <v>0</v>
      </c>
      <c r="AG17" s="274">
        <v>0</v>
      </c>
      <c r="AH17" s="274">
        <v>0</v>
      </c>
      <c r="AI17" s="274">
        <v>0</v>
      </c>
      <c r="AJ17" s="274">
        <v>0</v>
      </c>
      <c r="AK17" s="274">
        <v>3</v>
      </c>
      <c r="AL17" s="274">
        <v>0</v>
      </c>
      <c r="AM17" s="274">
        <v>0</v>
      </c>
      <c r="AN17" s="274">
        <v>0</v>
      </c>
      <c r="AO17" s="274">
        <v>4</v>
      </c>
      <c r="AP17" s="274">
        <v>5</v>
      </c>
      <c r="AQ17" s="274">
        <v>6</v>
      </c>
      <c r="AR17" s="274">
        <v>7</v>
      </c>
      <c r="AS17" s="274">
        <v>0</v>
      </c>
      <c r="AT17" s="274">
        <v>8</v>
      </c>
      <c r="AU17" s="274">
        <v>9</v>
      </c>
      <c r="AV17" s="274">
        <v>0</v>
      </c>
      <c r="AW17" s="274">
        <v>0</v>
      </c>
      <c r="AX17" s="274">
        <v>10</v>
      </c>
      <c r="AY17" s="275">
        <v>11</v>
      </c>
      <c r="AZ17" s="270" t="s">
        <v>940</v>
      </c>
    </row>
    <row r="18" spans="1:99" ht="14.4" thickBot="1" x14ac:dyDescent="0.35">
      <c r="U18" s="276" t="s">
        <v>733</v>
      </c>
      <c r="V18" s="277">
        <v>1</v>
      </c>
      <c r="W18" s="277">
        <v>0</v>
      </c>
      <c r="X18" s="277">
        <v>2</v>
      </c>
      <c r="Y18" s="277">
        <v>0</v>
      </c>
      <c r="Z18" s="277">
        <v>0</v>
      </c>
      <c r="AA18" s="277">
        <v>0</v>
      </c>
      <c r="AB18" s="277">
        <v>0</v>
      </c>
      <c r="AC18" s="277">
        <v>0</v>
      </c>
      <c r="AD18" s="277">
        <v>0</v>
      </c>
      <c r="AE18" s="277">
        <v>0</v>
      </c>
      <c r="AF18" s="277">
        <v>0</v>
      </c>
      <c r="AG18" s="277">
        <v>0</v>
      </c>
      <c r="AH18" s="277">
        <v>0</v>
      </c>
      <c r="AI18" s="277">
        <v>0</v>
      </c>
      <c r="AJ18" s="277">
        <v>0</v>
      </c>
      <c r="AK18" s="277">
        <v>0</v>
      </c>
      <c r="AL18" s="277">
        <v>3</v>
      </c>
      <c r="AM18" s="277">
        <v>0</v>
      </c>
      <c r="AN18" s="277">
        <v>0</v>
      </c>
      <c r="AO18" s="277">
        <v>4</v>
      </c>
      <c r="AP18" s="277">
        <v>5</v>
      </c>
      <c r="AQ18" s="277">
        <v>6</v>
      </c>
      <c r="AR18" s="277">
        <v>7</v>
      </c>
      <c r="AS18" s="277">
        <v>0</v>
      </c>
      <c r="AT18" s="277">
        <v>8</v>
      </c>
      <c r="AU18" s="277">
        <v>0</v>
      </c>
      <c r="AV18" s="277">
        <v>0</v>
      </c>
      <c r="AW18" s="277">
        <v>0</v>
      </c>
      <c r="AX18" s="277">
        <v>9</v>
      </c>
      <c r="AY18" s="278">
        <v>10</v>
      </c>
      <c r="AZ18" s="270" t="s">
        <v>941</v>
      </c>
    </row>
    <row r="19" spans="1:99" ht="14.4" thickBot="1" x14ac:dyDescent="0.35"/>
    <row r="20" spans="1:99" ht="14.4" thickBot="1" x14ac:dyDescent="0.35">
      <c r="S20" s="279" t="s">
        <v>800</v>
      </c>
      <c r="T20" s="280" t="s">
        <v>719</v>
      </c>
      <c r="V20" s="281">
        <f t="shared" ref="V20:AY20" si="0">+LOOKUP($T$20,$U$1:$U$18,V$1:V$18)</f>
        <v>1</v>
      </c>
      <c r="W20" s="282">
        <f t="shared" si="0"/>
        <v>2</v>
      </c>
      <c r="X20" s="282">
        <f t="shared" si="0"/>
        <v>0</v>
      </c>
      <c r="Y20" s="282">
        <f t="shared" si="0"/>
        <v>0</v>
      </c>
      <c r="Z20" s="282">
        <f t="shared" si="0"/>
        <v>3</v>
      </c>
      <c r="AA20" s="282">
        <f t="shared" si="0"/>
        <v>4</v>
      </c>
      <c r="AB20" s="282">
        <f t="shared" si="0"/>
        <v>5</v>
      </c>
      <c r="AC20" s="282">
        <f t="shared" si="0"/>
        <v>6</v>
      </c>
      <c r="AD20" s="282">
        <f t="shared" si="0"/>
        <v>0</v>
      </c>
      <c r="AE20" s="282">
        <f t="shared" si="0"/>
        <v>7</v>
      </c>
      <c r="AF20" s="282">
        <f t="shared" si="0"/>
        <v>8</v>
      </c>
      <c r="AG20" s="282">
        <f t="shared" si="0"/>
        <v>0</v>
      </c>
      <c r="AH20" s="282">
        <f t="shared" si="0"/>
        <v>0</v>
      </c>
      <c r="AI20" s="282">
        <f t="shared" si="0"/>
        <v>9</v>
      </c>
      <c r="AJ20" s="282">
        <f t="shared" si="0"/>
        <v>0</v>
      </c>
      <c r="AK20" s="282">
        <f t="shared" si="0"/>
        <v>0</v>
      </c>
      <c r="AL20" s="282">
        <f t="shared" si="0"/>
        <v>0</v>
      </c>
      <c r="AM20" s="282">
        <f t="shared" si="0"/>
        <v>0</v>
      </c>
      <c r="AN20" s="282">
        <f t="shared" si="0"/>
        <v>0</v>
      </c>
      <c r="AO20" s="282">
        <f t="shared" si="0"/>
        <v>0</v>
      </c>
      <c r="AP20" s="282">
        <f t="shared" si="0"/>
        <v>0</v>
      </c>
      <c r="AQ20" s="282">
        <f t="shared" si="0"/>
        <v>0</v>
      </c>
      <c r="AR20" s="282">
        <f t="shared" si="0"/>
        <v>0</v>
      </c>
      <c r="AS20" s="282">
        <f t="shared" si="0"/>
        <v>10</v>
      </c>
      <c r="AT20" s="282">
        <f t="shared" si="0"/>
        <v>11</v>
      </c>
      <c r="AU20" s="282">
        <f t="shared" si="0"/>
        <v>12</v>
      </c>
      <c r="AV20" s="282">
        <f t="shared" si="0"/>
        <v>13</v>
      </c>
      <c r="AW20" s="282">
        <f t="shared" si="0"/>
        <v>14</v>
      </c>
      <c r="AX20" s="282">
        <f t="shared" si="0"/>
        <v>15</v>
      </c>
      <c r="AY20" s="280">
        <f t="shared" si="0"/>
        <v>0</v>
      </c>
    </row>
    <row r="22" spans="1:99" ht="14.4" thickBot="1" x14ac:dyDescent="0.35"/>
    <row r="23" spans="1:99" ht="14.4" thickBot="1" x14ac:dyDescent="0.35">
      <c r="T23" s="643" t="s">
        <v>56</v>
      </c>
      <c r="V23" s="283" t="s">
        <v>57</v>
      </c>
      <c r="W23" s="284" t="s">
        <v>57</v>
      </c>
      <c r="X23" s="284" t="s">
        <v>752</v>
      </c>
      <c r="Y23" s="284" t="s">
        <v>57</v>
      </c>
      <c r="Z23" s="284" t="s">
        <v>752</v>
      </c>
      <c r="AA23" s="284" t="s">
        <v>57</v>
      </c>
      <c r="AB23" s="284" t="s">
        <v>57</v>
      </c>
      <c r="AC23" s="284" t="s">
        <v>57</v>
      </c>
      <c r="AD23" s="284" t="s">
        <v>57</v>
      </c>
      <c r="AE23" s="284" t="s">
        <v>57</v>
      </c>
      <c r="AF23" s="284" t="s">
        <v>57</v>
      </c>
      <c r="AG23" s="284" t="s">
        <v>57</v>
      </c>
      <c r="AH23" s="284" t="s">
        <v>57</v>
      </c>
      <c r="AI23" s="284" t="s">
        <v>57</v>
      </c>
      <c r="AJ23" s="284" t="s">
        <v>752</v>
      </c>
      <c r="AK23" s="284" t="s">
        <v>57</v>
      </c>
      <c r="AL23" s="284" t="s">
        <v>57</v>
      </c>
      <c r="AM23" s="284" t="s">
        <v>57</v>
      </c>
      <c r="AN23" s="284" t="s">
        <v>57</v>
      </c>
      <c r="AO23" s="284" t="s">
        <v>57</v>
      </c>
      <c r="AP23" s="284" t="s">
        <v>57</v>
      </c>
      <c r="AQ23" s="284" t="s">
        <v>57</v>
      </c>
      <c r="AR23" s="284" t="s">
        <v>57</v>
      </c>
      <c r="AS23" s="284" t="s">
        <v>57</v>
      </c>
      <c r="AT23" s="284" t="s">
        <v>58</v>
      </c>
      <c r="AU23" s="284" t="s">
        <v>59</v>
      </c>
      <c r="AV23" s="284" t="s">
        <v>59</v>
      </c>
      <c r="AW23" s="284" t="s">
        <v>59</v>
      </c>
      <c r="AX23" s="284" t="s">
        <v>59</v>
      </c>
      <c r="AY23" s="285" t="s">
        <v>59</v>
      </c>
      <c r="BC23" s="271"/>
      <c r="BI23" s="272"/>
      <c r="BJ23" s="272"/>
    </row>
    <row r="24" spans="1:99" ht="178.5" customHeight="1" thickTop="1" thickBot="1" x14ac:dyDescent="0.35">
      <c r="A24" s="644" t="s">
        <v>713</v>
      </c>
      <c r="B24" s="644" t="s">
        <v>714</v>
      </c>
      <c r="C24" s="644" t="s">
        <v>748</v>
      </c>
      <c r="D24" s="645" t="str">
        <f>ProDegPaths!BR24</f>
        <v>Abbrev. Name</v>
      </c>
      <c r="E24" s="645" t="str">
        <f>ProDegPaths!BT24</f>
        <v>ΔGºf
(kJ/mol)</v>
      </c>
      <c r="F24" s="646" t="str">
        <f>ProDegPaths!CK24</f>
        <v>Charge</v>
      </c>
      <c r="G24" s="646" t="str">
        <f>ProDegPaths!CL24</f>
        <v>Mmol
(g/mol)</v>
      </c>
      <c r="H24" s="646" t="str">
        <f>ProDegPaths!CM24</f>
        <v>Electrons per mole</v>
      </c>
      <c r="I24" s="646" t="str">
        <f>ProDegPaths!CN24</f>
        <v>Electrons available
per C-mole</v>
      </c>
      <c r="J24" s="646" t="s">
        <v>753</v>
      </c>
      <c r="L24" s="286" t="s">
        <v>944</v>
      </c>
      <c r="M24" s="286" t="s">
        <v>945</v>
      </c>
      <c r="N24" s="287" t="s">
        <v>60</v>
      </c>
      <c r="O24" s="287" t="s">
        <v>61</v>
      </c>
      <c r="P24" s="287" t="s">
        <v>62</v>
      </c>
      <c r="Q24" s="288" t="s">
        <v>63</v>
      </c>
      <c r="R24" s="289" t="s">
        <v>946</v>
      </c>
      <c r="S24" s="642" t="s">
        <v>961</v>
      </c>
      <c r="T24" s="647"/>
      <c r="U24" s="290" t="s">
        <v>64</v>
      </c>
      <c r="V24" s="291" t="s">
        <v>684</v>
      </c>
      <c r="W24" s="292" t="s">
        <v>685</v>
      </c>
      <c r="X24" s="292" t="s">
        <v>704</v>
      </c>
      <c r="Y24" s="292" t="s">
        <v>705</v>
      </c>
      <c r="Z24" s="292" t="s">
        <v>686</v>
      </c>
      <c r="AA24" s="292" t="s">
        <v>687</v>
      </c>
      <c r="AB24" s="292" t="s">
        <v>688</v>
      </c>
      <c r="AC24" s="292" t="s">
        <v>689</v>
      </c>
      <c r="AD24" s="292" t="s">
        <v>707</v>
      </c>
      <c r="AE24" s="292" t="s">
        <v>690</v>
      </c>
      <c r="AF24" s="292" t="s">
        <v>691</v>
      </c>
      <c r="AG24" s="292" t="s">
        <v>708</v>
      </c>
      <c r="AH24" s="292" t="s">
        <v>706</v>
      </c>
      <c r="AI24" s="292" t="s">
        <v>692</v>
      </c>
      <c r="AJ24" s="292" t="s">
        <v>696</v>
      </c>
      <c r="AK24" s="292" t="s">
        <v>727</v>
      </c>
      <c r="AL24" s="292" t="s">
        <v>728</v>
      </c>
      <c r="AM24" s="292" t="s">
        <v>697</v>
      </c>
      <c r="AN24" s="292" t="s">
        <v>698</v>
      </c>
      <c r="AO24" s="292" t="s">
        <v>699</v>
      </c>
      <c r="AP24" s="292" t="s">
        <v>700</v>
      </c>
      <c r="AQ24" s="292" t="s">
        <v>701</v>
      </c>
      <c r="AR24" s="292" t="s">
        <v>702</v>
      </c>
      <c r="AS24" s="292" t="s">
        <v>31</v>
      </c>
      <c r="AT24" s="293" t="s">
        <v>693</v>
      </c>
      <c r="AU24" s="292" t="s">
        <v>694</v>
      </c>
      <c r="AV24" s="292" t="s">
        <v>736</v>
      </c>
      <c r="AW24" s="292" t="s">
        <v>737</v>
      </c>
      <c r="AX24" s="292" t="s">
        <v>695</v>
      </c>
      <c r="AY24" s="292" t="s">
        <v>703</v>
      </c>
      <c r="AZ24" s="294" t="s">
        <v>709</v>
      </c>
      <c r="BB24" s="295"/>
      <c r="BD24" s="296" t="s">
        <v>65</v>
      </c>
      <c r="BE24" s="297" t="s">
        <v>32</v>
      </c>
      <c r="BF24" s="296" t="s">
        <v>33</v>
      </c>
      <c r="BG24" s="296" t="s">
        <v>34</v>
      </c>
      <c r="BH24" s="296" t="s">
        <v>35</v>
      </c>
      <c r="BI24" s="298" t="s">
        <v>36</v>
      </c>
      <c r="BJ24" s="298" t="s">
        <v>798</v>
      </c>
      <c r="BK24" s="298" t="s">
        <v>908</v>
      </c>
      <c r="BL24" s="298" t="s">
        <v>815</v>
      </c>
      <c r="BM24" s="299"/>
      <c r="BN24" s="295"/>
      <c r="BQ24" s="645" t="str">
        <f>+SpcDB!A2</f>
        <v>Name
(aquous phase unless other specified)</v>
      </c>
      <c r="BR24" s="645" t="str">
        <f>+SpcDB!B2</f>
        <v>Abbrev. Name</v>
      </c>
      <c r="BS24" s="645" t="str">
        <f>+SpcDB!C2</f>
        <v>Struct.</v>
      </c>
      <c r="BT24" s="645" t="str">
        <f>+SpcDB!D2</f>
        <v>ΔGºf
(kJ/mol)</v>
      </c>
      <c r="BU24" s="645" t="str">
        <f>+SpcDB!E2</f>
        <v>ΔHºf
(kJ/mol)</v>
      </c>
      <c r="BV24" s="645" t="str">
        <f>+SpcDB!F2</f>
        <v>Sº
(J/mol K)</v>
      </c>
      <c r="BW24" s="645" t="str">
        <f>+SpcDB!G2</f>
        <v>ΔSºf
(kJ/mol K)</v>
      </c>
      <c r="BX24" s="645" t="str">
        <f>+SpcDB!H2</f>
        <v>C</v>
      </c>
      <c r="BY24" s="645" t="str">
        <f>+SpcDB!I2</f>
        <v>H</v>
      </c>
      <c r="BZ24" s="645" t="str">
        <f>+SpcDB!J2</f>
        <v>O</v>
      </c>
      <c r="CA24" s="648" t="str">
        <f>+SpcDB!K2</f>
        <v>N</v>
      </c>
      <c r="CB24" s="648" t="str">
        <f>+SpcDB!L2</f>
        <v>P</v>
      </c>
      <c r="CC24" s="648" t="str">
        <f>+SpcDB!M2</f>
        <v>S</v>
      </c>
      <c r="CD24" s="648" t="str">
        <f>+SpcDB!N2</f>
        <v>Cl</v>
      </c>
      <c r="CE24" s="648" t="s">
        <v>37</v>
      </c>
      <c r="CF24" s="648" t="str">
        <f>+SpcDB!P2</f>
        <v>Ad-</v>
      </c>
      <c r="CG24" s="648" t="str">
        <f>+SpcDB!Q2</f>
        <v>SpGrO</v>
      </c>
      <c r="CH24" s="648" t="str">
        <f>+SpcDB!R2</f>
        <v>SpGrR</v>
      </c>
      <c r="CI24" s="648" t="str">
        <f>+SpcDB!S2</f>
        <v>S-CoA</v>
      </c>
      <c r="CJ24" s="648" t="str">
        <f>+SpcDB!T2</f>
        <v>Met</v>
      </c>
      <c r="CK24" s="646" t="str">
        <f>+SpcDB!U2</f>
        <v>Charge</v>
      </c>
      <c r="CL24" s="645" t="str">
        <f>+SpcDB!V2</f>
        <v>Mmol
(g/mol)</v>
      </c>
      <c r="CM24" s="646" t="str">
        <f>+SpcDB!W2</f>
        <v>Electrons per mole</v>
      </c>
      <c r="CN24" s="646" t="str">
        <f>+SpcDB!X2</f>
        <v>Electrons available
per C-mole</v>
      </c>
      <c r="CO24" s="295"/>
      <c r="CP24" s="300" t="s">
        <v>947</v>
      </c>
      <c r="CQ24" s="300" t="s">
        <v>948</v>
      </c>
      <c r="CR24" s="300" t="s">
        <v>949</v>
      </c>
      <c r="CS24" s="300" t="s">
        <v>950</v>
      </c>
      <c r="CT24" s="300" t="s">
        <v>951</v>
      </c>
      <c r="CU24" s="300" t="s">
        <v>952</v>
      </c>
    </row>
    <row r="25" spans="1:99" ht="14.4" x14ac:dyDescent="0.3">
      <c r="A25" s="629" t="s">
        <v>710</v>
      </c>
      <c r="B25" s="630" t="s">
        <v>711</v>
      </c>
      <c r="C25" s="630" t="s">
        <v>750</v>
      </c>
      <c r="D25" s="301" t="str">
        <f t="shared" ref="D25:D41" si="1">+BR25</f>
        <v>Pro-</v>
      </c>
      <c r="E25" s="302">
        <f t="shared" ref="E25:E65" si="2">+IF(BU25="NA",BT25,BU25+$D$70/298.15*(BT25-BU25))</f>
        <v>-356.07178265973499</v>
      </c>
      <c r="F25" s="301">
        <f t="shared" ref="F25:F41" si="3">+CK25</f>
        <v>-1</v>
      </c>
      <c r="G25" s="301">
        <f>ProDegPaths!CL25</f>
        <v>73</v>
      </c>
      <c r="H25" s="301">
        <f>ProDegPaths!CM25</f>
        <v>14</v>
      </c>
      <c r="I25" s="303">
        <f>ProDegPaths!CN25</f>
        <v>4.333333333333333</v>
      </c>
      <c r="J25" s="626" t="s">
        <v>754</v>
      </c>
      <c r="L25" s="304" t="s">
        <v>38</v>
      </c>
      <c r="M25" s="305" t="s">
        <v>38</v>
      </c>
      <c r="N25" s="306">
        <f>+Q25/O25</f>
        <v>0.01</v>
      </c>
      <c r="O25" s="307">
        <f t="shared" ref="O25:O64" si="4">10^-($H$70*F25^2*((SQRT($H$68)/(1+SQRT($H$68))-0.3*$H$68)))</f>
        <v>1</v>
      </c>
      <c r="P25" s="308">
        <v>1.3465955165464412E-19</v>
      </c>
      <c r="Q25" s="309">
        <v>0.01</v>
      </c>
      <c r="R25" s="310">
        <v>0</v>
      </c>
      <c r="S25" s="311">
        <f>E25+$D$69*$D$70*LN($Q25)+F25*$D$68*R25</f>
        <v>-367.87004032477586</v>
      </c>
      <c r="T25" s="647"/>
      <c r="U25" s="271">
        <v>0</v>
      </c>
      <c r="V25" s="312">
        <v>1</v>
      </c>
      <c r="W25" s="313">
        <v>-1</v>
      </c>
      <c r="X25" s="313">
        <v>-1</v>
      </c>
      <c r="Y25" s="313">
        <v>0</v>
      </c>
      <c r="Z25" s="313">
        <v>0</v>
      </c>
      <c r="AA25" s="313">
        <v>0</v>
      </c>
      <c r="AB25" s="313">
        <v>0</v>
      </c>
      <c r="AC25" s="313">
        <v>0</v>
      </c>
      <c r="AD25" s="313">
        <v>0</v>
      </c>
      <c r="AE25" s="313">
        <v>0</v>
      </c>
      <c r="AF25" s="313">
        <v>0</v>
      </c>
      <c r="AG25" s="313">
        <v>0</v>
      </c>
      <c r="AH25" s="313">
        <v>0</v>
      </c>
      <c r="AI25" s="313">
        <v>0</v>
      </c>
      <c r="AJ25" s="313">
        <v>-1</v>
      </c>
      <c r="AK25" s="313">
        <v>0</v>
      </c>
      <c r="AL25" s="313">
        <v>0</v>
      </c>
      <c r="AM25" s="314">
        <v>0</v>
      </c>
      <c r="AN25" s="314">
        <v>0</v>
      </c>
      <c r="AO25" s="314">
        <v>0</v>
      </c>
      <c r="AP25" s="314">
        <v>0</v>
      </c>
      <c r="AQ25" s="314">
        <v>0</v>
      </c>
      <c r="AR25" s="314">
        <v>0</v>
      </c>
      <c r="AS25" s="313">
        <v>0</v>
      </c>
      <c r="AT25" s="315">
        <v>0</v>
      </c>
      <c r="AU25" s="316">
        <v>0</v>
      </c>
      <c r="AV25" s="316">
        <v>0</v>
      </c>
      <c r="AW25" s="316">
        <v>0</v>
      </c>
      <c r="AX25" s="316">
        <v>0</v>
      </c>
      <c r="AY25" s="317">
        <v>0</v>
      </c>
      <c r="AZ25" s="318">
        <f t="array" ref="AZ25">SUM((IF($V$20:$AY$20&gt;0,1,0)*V25:AY25))</f>
        <v>0</v>
      </c>
      <c r="BA25" s="319"/>
      <c r="BB25" s="295"/>
      <c r="BD25" s="320">
        <v>0</v>
      </c>
      <c r="BE25" s="321">
        <v>0</v>
      </c>
      <c r="BF25" s="321">
        <v>0</v>
      </c>
      <c r="BG25" s="321">
        <v>0</v>
      </c>
      <c r="BH25" s="314">
        <v>0</v>
      </c>
      <c r="BI25" s="322">
        <v>0</v>
      </c>
      <c r="BJ25" s="322">
        <v>0</v>
      </c>
      <c r="BK25" s="322">
        <v>0</v>
      </c>
      <c r="BL25" s="322">
        <v>0</v>
      </c>
      <c r="BM25" s="323"/>
      <c r="BN25" s="295"/>
      <c r="BQ25" s="324" t="str">
        <f>+SpcDB!A85</f>
        <v>Propionate</v>
      </c>
      <c r="BR25" s="324" t="str">
        <f>+SpcDB!B85</f>
        <v>Pro-</v>
      </c>
      <c r="BS25" s="324" t="str">
        <f>+SpcDB!C85</f>
        <v>C3H5O2-</v>
      </c>
      <c r="BT25" s="324">
        <f>+SpcDB!D85</f>
        <v>-361.08</v>
      </c>
      <c r="BU25" s="324">
        <f>+SpcDB!E85</f>
        <v>-510.4</v>
      </c>
      <c r="BV25" s="324" t="str">
        <f>+SpcDB!F85</f>
        <v>NA</v>
      </c>
      <c r="BW25" s="325">
        <f>+SpcDB!G85</f>
        <v>0.50107382550335566</v>
      </c>
      <c r="BX25" s="324">
        <f>+SpcDB!H85</f>
        <v>3</v>
      </c>
      <c r="BY25" s="324">
        <f>+SpcDB!I85</f>
        <v>5</v>
      </c>
      <c r="BZ25" s="324">
        <f>+SpcDB!J85</f>
        <v>2</v>
      </c>
      <c r="CA25" s="324">
        <f>+SpcDB!K85</f>
        <v>0</v>
      </c>
      <c r="CB25" s="324">
        <f>+SpcDB!L85</f>
        <v>0</v>
      </c>
      <c r="CC25" s="324">
        <f>+SpcDB!M85</f>
        <v>0</v>
      </c>
      <c r="CD25" s="324">
        <f>+SpcDB!N85</f>
        <v>0</v>
      </c>
      <c r="CE25" s="324">
        <f>+SpcDB!O85</f>
        <v>0</v>
      </c>
      <c r="CF25" s="324">
        <f>+SpcDB!P85</f>
        <v>0</v>
      </c>
      <c r="CG25" s="324">
        <f>+SpcDB!Q85</f>
        <v>0</v>
      </c>
      <c r="CH25" s="324">
        <f>+SpcDB!R85</f>
        <v>0</v>
      </c>
      <c r="CI25" s="324">
        <f>+SpcDB!S85</f>
        <v>0</v>
      </c>
      <c r="CJ25" s="324">
        <f>+SpcDB!T85</f>
        <v>0</v>
      </c>
      <c r="CK25" s="324">
        <f>+SpcDB!U85</f>
        <v>-1</v>
      </c>
      <c r="CL25" s="301">
        <f t="shared" ref="CL25:CL32" si="5">+SUMPRODUCT(BX25:CK25,$BX$66:$CK$66)</f>
        <v>73</v>
      </c>
      <c r="CM25" s="301">
        <f t="shared" ref="CM25:CM52" si="6">+SUMPRODUCT(BX25:CK25,$BX$67:$CK$67)</f>
        <v>14</v>
      </c>
      <c r="CN25" s="326">
        <f t="shared" ref="CN25:CN65" si="7">(IF(BX25&lt;&gt;0,SUMPRODUCT(BX25:CJ25,$BX$67:$CJ$67)/$BX25,"NA"))</f>
        <v>4.333333333333333</v>
      </c>
      <c r="CO25" s="295"/>
      <c r="CP25" s="327"/>
      <c r="CQ25" s="327"/>
      <c r="CR25" s="328">
        <v>4.8739999999999997</v>
      </c>
      <c r="CS25" s="327"/>
      <c r="CT25" s="327"/>
      <c r="CU25" s="329">
        <f>10^-CR25</f>
        <v>1.3365955165464412E-5</v>
      </c>
    </row>
    <row r="26" spans="1:99" ht="15" customHeight="1" x14ac:dyDescent="0.3">
      <c r="A26" s="629" t="s">
        <v>710</v>
      </c>
      <c r="B26" s="630" t="s">
        <v>103</v>
      </c>
      <c r="C26" s="630" t="s">
        <v>750</v>
      </c>
      <c r="D26" s="301" t="str">
        <f t="shared" si="1"/>
        <v>Pro-CoA</v>
      </c>
      <c r="E26" s="302">
        <f t="shared" si="2"/>
        <v>-127.83222035887975</v>
      </c>
      <c r="F26" s="301">
        <f t="shared" si="3"/>
        <v>0</v>
      </c>
      <c r="G26" s="301">
        <f>ProDegPaths!CL26</f>
        <v>57</v>
      </c>
      <c r="H26" s="301">
        <f>ProDegPaths!CM26</f>
        <v>15</v>
      </c>
      <c r="I26" s="330">
        <f>ProDegPaths!CN26</f>
        <v>5</v>
      </c>
      <c r="J26" s="627" t="s">
        <v>754</v>
      </c>
      <c r="L26" s="304" t="s">
        <v>38</v>
      </c>
      <c r="M26" s="305" t="s">
        <v>38</v>
      </c>
      <c r="N26" s="306">
        <f t="shared" ref="N26:N58" si="8">+Q26/O26</f>
        <v>0.01</v>
      </c>
      <c r="O26" s="307">
        <f t="shared" si="4"/>
        <v>1</v>
      </c>
      <c r="P26" s="308">
        <v>9.9999999999999972E-22</v>
      </c>
      <c r="Q26" s="309">
        <v>0.01</v>
      </c>
      <c r="R26" s="327">
        <v>0</v>
      </c>
      <c r="S26" s="331">
        <f t="shared" ref="S26:S65" si="9">E26+$D$69*$D$70*LN($Q26)+F26*$D$68*R26</f>
        <v>-139.63047802392063</v>
      </c>
      <c r="T26" s="647"/>
      <c r="U26" s="271">
        <v>0</v>
      </c>
      <c r="V26" s="312">
        <v>0</v>
      </c>
      <c r="W26" s="332">
        <v>1</v>
      </c>
      <c r="X26" s="332">
        <v>1</v>
      </c>
      <c r="Y26" s="332">
        <v>-1</v>
      </c>
      <c r="Z26" s="332">
        <v>-1</v>
      </c>
      <c r="AA26" s="332">
        <v>0</v>
      </c>
      <c r="AB26" s="332">
        <v>0</v>
      </c>
      <c r="AC26" s="332">
        <v>0</v>
      </c>
      <c r="AD26" s="332">
        <v>0</v>
      </c>
      <c r="AE26" s="332">
        <v>0</v>
      </c>
      <c r="AF26" s="332">
        <v>0</v>
      </c>
      <c r="AG26" s="332">
        <v>0</v>
      </c>
      <c r="AH26" s="332">
        <v>0</v>
      </c>
      <c r="AI26" s="332">
        <v>0</v>
      </c>
      <c r="AJ26" s="332">
        <v>1</v>
      </c>
      <c r="AK26" s="332">
        <v>-1</v>
      </c>
      <c r="AL26" s="332">
        <v>-1</v>
      </c>
      <c r="AM26" s="333">
        <v>0</v>
      </c>
      <c r="AN26" s="333">
        <v>0</v>
      </c>
      <c r="AO26" s="333">
        <v>0</v>
      </c>
      <c r="AP26" s="333">
        <v>0</v>
      </c>
      <c r="AQ26" s="333">
        <v>0</v>
      </c>
      <c r="AR26" s="333">
        <v>0</v>
      </c>
      <c r="AS26" s="332">
        <v>0</v>
      </c>
      <c r="AT26" s="334">
        <v>0</v>
      </c>
      <c r="AU26" s="335">
        <v>0</v>
      </c>
      <c r="AV26" s="335">
        <v>0</v>
      </c>
      <c r="AW26" s="335">
        <v>0</v>
      </c>
      <c r="AX26" s="335">
        <v>0</v>
      </c>
      <c r="AY26" s="336">
        <v>0</v>
      </c>
      <c r="AZ26" s="337">
        <f t="array" ref="AZ26">SUM((IF($V$20:$AY$20&gt;0,1,0)*V26:AY26))</f>
        <v>0</v>
      </c>
      <c r="BA26" s="319"/>
      <c r="BB26" s="295"/>
      <c r="BD26" s="338">
        <v>0</v>
      </c>
      <c r="BE26" s="339">
        <v>0</v>
      </c>
      <c r="BF26" s="339">
        <v>0</v>
      </c>
      <c r="BG26" s="339">
        <v>0</v>
      </c>
      <c r="BH26" s="333">
        <v>0</v>
      </c>
      <c r="BI26" s="340">
        <v>0</v>
      </c>
      <c r="BJ26" s="340">
        <v>0</v>
      </c>
      <c r="BK26" s="340">
        <v>0</v>
      </c>
      <c r="BL26" s="340">
        <v>0</v>
      </c>
      <c r="BM26" s="323"/>
      <c r="BN26" s="295"/>
      <c r="BQ26" s="324" t="str">
        <f>+SpcDB!A84</f>
        <v>Propionyl CoA</v>
      </c>
      <c r="BR26" s="324" t="str">
        <f>+SpcDB!B84</f>
        <v>Pro-CoA</v>
      </c>
      <c r="BS26" s="324" t="str">
        <f>+SpcDB!C84</f>
        <v>C3H5O-CoA</v>
      </c>
      <c r="BT26" s="324">
        <f>+SpcDB!D84</f>
        <v>-131.31</v>
      </c>
      <c r="BU26" s="341">
        <f>+SpcDB!E84</f>
        <v>-234.99999999999989</v>
      </c>
      <c r="BV26" s="324" t="str">
        <f>+SpcDB!F84</f>
        <v>NA</v>
      </c>
      <c r="BW26" s="325">
        <f>+SpcDB!G84</f>
        <v>0.3479530201342278</v>
      </c>
      <c r="BX26" s="324">
        <f>+SpcDB!H84</f>
        <v>3</v>
      </c>
      <c r="BY26" s="324">
        <f>+SpcDB!I84</f>
        <v>5</v>
      </c>
      <c r="BZ26" s="324">
        <f>+SpcDB!J84</f>
        <v>1</v>
      </c>
      <c r="CA26" s="324">
        <f>+SpcDB!K84</f>
        <v>0</v>
      </c>
      <c r="CB26" s="324">
        <f>+SpcDB!L84</f>
        <v>0</v>
      </c>
      <c r="CC26" s="324">
        <f>+SpcDB!M84</f>
        <v>0</v>
      </c>
      <c r="CD26" s="324">
        <f>+SpcDB!N84</f>
        <v>0</v>
      </c>
      <c r="CE26" s="324">
        <f>+SpcDB!O84</f>
        <v>0</v>
      </c>
      <c r="CF26" s="324">
        <f>+SpcDB!P84</f>
        <v>0</v>
      </c>
      <c r="CG26" s="324">
        <f>+SpcDB!Q84</f>
        <v>0</v>
      </c>
      <c r="CH26" s="324">
        <f>+SpcDB!R84</f>
        <v>0</v>
      </c>
      <c r="CI26" s="324">
        <f>+SpcDB!S84</f>
        <v>1</v>
      </c>
      <c r="CJ26" s="324">
        <f>+SpcDB!T84</f>
        <v>0</v>
      </c>
      <c r="CK26" s="324">
        <f>+SpcDB!U84</f>
        <v>0</v>
      </c>
      <c r="CL26" s="301">
        <f t="shared" si="5"/>
        <v>57</v>
      </c>
      <c r="CM26" s="301">
        <f t="shared" si="6"/>
        <v>15</v>
      </c>
      <c r="CN26" s="342">
        <f t="shared" si="7"/>
        <v>5</v>
      </c>
      <c r="CO26" s="295"/>
      <c r="CP26" s="327"/>
      <c r="CQ26" s="327"/>
      <c r="CR26" s="327"/>
      <c r="CS26" s="327"/>
      <c r="CT26" s="327"/>
      <c r="CU26" s="329"/>
    </row>
    <row r="27" spans="1:99" ht="15" customHeight="1" x14ac:dyDescent="0.3">
      <c r="A27" s="629" t="s">
        <v>710</v>
      </c>
      <c r="B27" s="630" t="s">
        <v>103</v>
      </c>
      <c r="C27" s="630" t="s">
        <v>750</v>
      </c>
      <c r="D27" s="301" t="str">
        <f t="shared" si="1"/>
        <v>Acryl-CoA</v>
      </c>
      <c r="E27" s="302">
        <f t="shared" si="2"/>
        <v>-46.471155458661748</v>
      </c>
      <c r="F27" s="301">
        <f t="shared" si="3"/>
        <v>0</v>
      </c>
      <c r="G27" s="301">
        <f>ProDegPaths!CL27</f>
        <v>55</v>
      </c>
      <c r="H27" s="301">
        <f>ProDegPaths!CM27</f>
        <v>13</v>
      </c>
      <c r="I27" s="303">
        <f>ProDegPaths!CN27</f>
        <v>4.333333333333333</v>
      </c>
      <c r="J27" s="626" t="s">
        <v>754</v>
      </c>
      <c r="L27" s="304" t="s">
        <v>38</v>
      </c>
      <c r="M27" s="305" t="s">
        <v>38</v>
      </c>
      <c r="N27" s="306">
        <f t="shared" si="8"/>
        <v>0.01</v>
      </c>
      <c r="O27" s="307">
        <f t="shared" si="4"/>
        <v>1</v>
      </c>
      <c r="P27" s="308">
        <v>9.9999999999999972E-22</v>
      </c>
      <c r="Q27" s="309">
        <v>0.01</v>
      </c>
      <c r="R27" s="327">
        <v>0</v>
      </c>
      <c r="S27" s="331">
        <f t="shared" si="9"/>
        <v>-58.269413123702627</v>
      </c>
      <c r="T27" s="647"/>
      <c r="U27" s="271">
        <v>0</v>
      </c>
      <c r="V27" s="312">
        <v>0</v>
      </c>
      <c r="W27" s="332">
        <v>0</v>
      </c>
      <c r="X27" s="332">
        <v>0</v>
      </c>
      <c r="Y27" s="332">
        <v>0</v>
      </c>
      <c r="Z27" s="332">
        <v>0</v>
      </c>
      <c r="AA27" s="332">
        <v>0</v>
      </c>
      <c r="AB27" s="332">
        <v>0</v>
      </c>
      <c r="AC27" s="332">
        <v>0</v>
      </c>
      <c r="AD27" s="332">
        <v>0</v>
      </c>
      <c r="AE27" s="332">
        <v>0</v>
      </c>
      <c r="AF27" s="332">
        <v>0</v>
      </c>
      <c r="AG27" s="332">
        <v>0</v>
      </c>
      <c r="AH27" s="332">
        <v>0</v>
      </c>
      <c r="AI27" s="332">
        <v>0</v>
      </c>
      <c r="AJ27" s="332">
        <v>0</v>
      </c>
      <c r="AK27" s="332">
        <v>1</v>
      </c>
      <c r="AL27" s="332">
        <v>1</v>
      </c>
      <c r="AM27" s="333">
        <v>-1</v>
      </c>
      <c r="AN27" s="333">
        <v>0</v>
      </c>
      <c r="AO27" s="333">
        <v>-1</v>
      </c>
      <c r="AP27" s="333">
        <v>0</v>
      </c>
      <c r="AQ27" s="333">
        <v>0</v>
      </c>
      <c r="AR27" s="333">
        <v>0</v>
      </c>
      <c r="AS27" s="332">
        <v>0</v>
      </c>
      <c r="AT27" s="334">
        <v>0</v>
      </c>
      <c r="AU27" s="335">
        <v>0</v>
      </c>
      <c r="AV27" s="335">
        <v>0</v>
      </c>
      <c r="AW27" s="335">
        <v>0</v>
      </c>
      <c r="AX27" s="335">
        <v>0</v>
      </c>
      <c r="AY27" s="336">
        <v>0</v>
      </c>
      <c r="AZ27" s="337">
        <f t="array" ref="AZ27">SUM((IF($V$20:$AY$20&gt;0,1,0)*V27:AY27))</f>
        <v>0</v>
      </c>
      <c r="BA27" s="319"/>
      <c r="BB27" s="295"/>
      <c r="BD27" s="338">
        <v>0</v>
      </c>
      <c r="BE27" s="339">
        <v>0</v>
      </c>
      <c r="BF27" s="339">
        <v>0</v>
      </c>
      <c r="BG27" s="339">
        <v>0</v>
      </c>
      <c r="BH27" s="333">
        <v>0</v>
      </c>
      <c r="BI27" s="340">
        <v>0</v>
      </c>
      <c r="BJ27" s="340">
        <v>0</v>
      </c>
      <c r="BK27" s="340">
        <v>0</v>
      </c>
      <c r="BL27" s="340">
        <v>0</v>
      </c>
      <c r="BM27" s="323"/>
      <c r="BN27" s="295"/>
      <c r="BQ27" s="324" t="str">
        <f>+SpcDB!A13</f>
        <v>Acryloyl CoA</v>
      </c>
      <c r="BR27" s="324" t="str">
        <f>+SpcDB!B13</f>
        <v>Acryl-CoA</v>
      </c>
      <c r="BS27" s="324" t="str">
        <f>+SpcDB!C13</f>
        <v>C3H3O-CoA</v>
      </c>
      <c r="BT27" s="324">
        <f>+SpcDB!D13</f>
        <v>-48.5</v>
      </c>
      <c r="BU27" s="341">
        <f>+SpcDB!E13</f>
        <v>-108.9899999999999</v>
      </c>
      <c r="BV27" s="324" t="str">
        <f>+SpcDB!F13</f>
        <v>NA</v>
      </c>
      <c r="BW27" s="325">
        <f>+SpcDB!G13</f>
        <v>0.20298657718120769</v>
      </c>
      <c r="BX27" s="324">
        <f>+SpcDB!H13</f>
        <v>3</v>
      </c>
      <c r="BY27" s="324">
        <f>+SpcDB!I13</f>
        <v>3</v>
      </c>
      <c r="BZ27" s="324">
        <f>+SpcDB!J13</f>
        <v>1</v>
      </c>
      <c r="CA27" s="324">
        <f>+SpcDB!K13</f>
        <v>0</v>
      </c>
      <c r="CB27" s="324">
        <f>+SpcDB!L13</f>
        <v>0</v>
      </c>
      <c r="CC27" s="324">
        <f>+SpcDB!M13</f>
        <v>0</v>
      </c>
      <c r="CD27" s="324">
        <f>+SpcDB!N13</f>
        <v>0</v>
      </c>
      <c r="CE27" s="324">
        <f>+SpcDB!O13</f>
        <v>0</v>
      </c>
      <c r="CF27" s="324">
        <f>+SpcDB!P13</f>
        <v>0</v>
      </c>
      <c r="CG27" s="324">
        <f>+SpcDB!Q13</f>
        <v>0</v>
      </c>
      <c r="CH27" s="324">
        <f>+SpcDB!R13</f>
        <v>0</v>
      </c>
      <c r="CI27" s="324">
        <f>+SpcDB!S13</f>
        <v>1</v>
      </c>
      <c r="CJ27" s="324">
        <f>+SpcDB!T13</f>
        <v>0</v>
      </c>
      <c r="CK27" s="324">
        <f>+SpcDB!U13</f>
        <v>0</v>
      </c>
      <c r="CL27" s="301">
        <f t="shared" si="5"/>
        <v>55</v>
      </c>
      <c r="CM27" s="301">
        <f t="shared" si="6"/>
        <v>13</v>
      </c>
      <c r="CN27" s="326">
        <f t="shared" si="7"/>
        <v>4.333333333333333</v>
      </c>
      <c r="CO27" s="295"/>
      <c r="CP27" s="327"/>
      <c r="CQ27" s="327"/>
      <c r="CR27" s="327"/>
      <c r="CS27" s="327"/>
      <c r="CT27" s="327"/>
      <c r="CU27" s="329"/>
    </row>
    <row r="28" spans="1:99" ht="15" customHeight="1" x14ac:dyDescent="0.3">
      <c r="A28" s="629" t="s">
        <v>710</v>
      </c>
      <c r="B28" s="630" t="s">
        <v>103</v>
      </c>
      <c r="C28" s="630" t="s">
        <v>750</v>
      </c>
      <c r="D28" s="301" t="str">
        <f t="shared" si="1"/>
        <v>Lac-CoA</v>
      </c>
      <c r="E28" s="302">
        <f t="shared" si="2"/>
        <v>-283.6477276538655</v>
      </c>
      <c r="F28" s="301">
        <f t="shared" si="3"/>
        <v>0</v>
      </c>
      <c r="G28" s="301">
        <f>ProDegPaths!CL28</f>
        <v>73</v>
      </c>
      <c r="H28" s="301">
        <f>ProDegPaths!CM28</f>
        <v>13</v>
      </c>
      <c r="I28" s="303">
        <f>ProDegPaths!CN28</f>
        <v>4.333333333333333</v>
      </c>
      <c r="J28" s="626" t="s">
        <v>754</v>
      </c>
      <c r="L28" s="304" t="s">
        <v>38</v>
      </c>
      <c r="M28" s="305" t="s">
        <v>38</v>
      </c>
      <c r="N28" s="306">
        <f t="shared" si="8"/>
        <v>0.01</v>
      </c>
      <c r="O28" s="307">
        <f t="shared" si="4"/>
        <v>1</v>
      </c>
      <c r="P28" s="308">
        <v>9.9999999999999972E-22</v>
      </c>
      <c r="Q28" s="309">
        <v>0.01</v>
      </c>
      <c r="R28" s="327">
        <v>0</v>
      </c>
      <c r="S28" s="331">
        <f t="shared" si="9"/>
        <v>-295.44598531890637</v>
      </c>
      <c r="T28" s="647"/>
      <c r="U28" s="271">
        <v>0</v>
      </c>
      <c r="V28" s="312">
        <v>0</v>
      </c>
      <c r="W28" s="332">
        <v>0</v>
      </c>
      <c r="X28" s="332">
        <v>0</v>
      </c>
      <c r="Y28" s="332">
        <v>0</v>
      </c>
      <c r="Z28" s="332">
        <v>0</v>
      </c>
      <c r="AA28" s="332">
        <v>0</v>
      </c>
      <c r="AB28" s="332">
        <v>0</v>
      </c>
      <c r="AC28" s="332">
        <v>0</v>
      </c>
      <c r="AD28" s="332">
        <v>0</v>
      </c>
      <c r="AE28" s="332">
        <v>0</v>
      </c>
      <c r="AF28" s="332">
        <v>0</v>
      </c>
      <c r="AG28" s="332">
        <v>0</v>
      </c>
      <c r="AH28" s="332">
        <v>0</v>
      </c>
      <c r="AI28" s="332">
        <v>0</v>
      </c>
      <c r="AJ28" s="332">
        <v>-1</v>
      </c>
      <c r="AK28" s="332">
        <v>0</v>
      </c>
      <c r="AL28" s="332">
        <v>0</v>
      </c>
      <c r="AM28" s="333">
        <v>1</v>
      </c>
      <c r="AN28" s="333">
        <v>0</v>
      </c>
      <c r="AO28" s="333">
        <v>0</v>
      </c>
      <c r="AP28" s="333">
        <v>0</v>
      </c>
      <c r="AQ28" s="333">
        <v>0</v>
      </c>
      <c r="AR28" s="333">
        <v>0</v>
      </c>
      <c r="AS28" s="332">
        <v>0</v>
      </c>
      <c r="AT28" s="334">
        <v>0</v>
      </c>
      <c r="AU28" s="335">
        <v>0</v>
      </c>
      <c r="AV28" s="335">
        <v>0</v>
      </c>
      <c r="AW28" s="335">
        <v>0</v>
      </c>
      <c r="AX28" s="335">
        <v>0</v>
      </c>
      <c r="AY28" s="336">
        <v>0</v>
      </c>
      <c r="AZ28" s="337">
        <f t="array" ref="AZ28">SUM((IF($V$20:$AY$20&gt;0,1,0)*V28:AY28))</f>
        <v>0</v>
      </c>
      <c r="BA28" s="319"/>
      <c r="BB28" s="295"/>
      <c r="BD28" s="338">
        <v>0</v>
      </c>
      <c r="BE28" s="339">
        <v>0</v>
      </c>
      <c r="BF28" s="339">
        <v>0</v>
      </c>
      <c r="BG28" s="339">
        <v>0</v>
      </c>
      <c r="BH28" s="333">
        <v>0</v>
      </c>
      <c r="BI28" s="340">
        <v>0</v>
      </c>
      <c r="BJ28" s="340">
        <v>0</v>
      </c>
      <c r="BK28" s="340">
        <v>0</v>
      </c>
      <c r="BL28" s="340">
        <v>0</v>
      </c>
      <c r="BM28" s="323"/>
      <c r="BN28" s="295"/>
      <c r="BQ28" s="324" t="str">
        <f>+SpcDB!A59</f>
        <v>Lactoyl CoA</v>
      </c>
      <c r="BR28" s="324" t="str">
        <f>+SpcDB!B59</f>
        <v>Lac-CoA</v>
      </c>
      <c r="BS28" s="324" t="str">
        <f>+SpcDB!C59</f>
        <v>C3H5O2-CoA</v>
      </c>
      <c r="BT28" s="324">
        <f>+SpcDB!D59</f>
        <v>-287.8</v>
      </c>
      <c r="BU28" s="341">
        <f>+SpcDB!E59</f>
        <v>-411.59999999999991</v>
      </c>
      <c r="BV28" s="324" t="str">
        <f>+SpcDB!F59</f>
        <v>NA</v>
      </c>
      <c r="BW28" s="325">
        <f>+SpcDB!G59</f>
        <v>0.41543624161073789</v>
      </c>
      <c r="BX28" s="324">
        <f>+SpcDB!H59</f>
        <v>3</v>
      </c>
      <c r="BY28" s="324">
        <f>+SpcDB!I59</f>
        <v>5</v>
      </c>
      <c r="BZ28" s="324">
        <f>+SpcDB!J59</f>
        <v>2</v>
      </c>
      <c r="CA28" s="324">
        <f>+SpcDB!K59</f>
        <v>0</v>
      </c>
      <c r="CB28" s="324">
        <f>+SpcDB!L59</f>
        <v>0</v>
      </c>
      <c r="CC28" s="324">
        <f>+SpcDB!M59</f>
        <v>0</v>
      </c>
      <c r="CD28" s="324">
        <f>+SpcDB!N59</f>
        <v>0</v>
      </c>
      <c r="CE28" s="324">
        <f>+SpcDB!O59</f>
        <v>0</v>
      </c>
      <c r="CF28" s="324">
        <f>+SpcDB!P59</f>
        <v>0</v>
      </c>
      <c r="CG28" s="324">
        <f>+SpcDB!Q59</f>
        <v>0</v>
      </c>
      <c r="CH28" s="324">
        <f>+SpcDB!R59</f>
        <v>0</v>
      </c>
      <c r="CI28" s="324">
        <f>+SpcDB!S59</f>
        <v>1</v>
      </c>
      <c r="CJ28" s="324">
        <f>+SpcDB!T59</f>
        <v>0</v>
      </c>
      <c r="CK28" s="324">
        <f>+SpcDB!U59</f>
        <v>0</v>
      </c>
      <c r="CL28" s="301">
        <f t="shared" si="5"/>
        <v>73</v>
      </c>
      <c r="CM28" s="301">
        <f t="shared" si="6"/>
        <v>13</v>
      </c>
      <c r="CN28" s="326">
        <f t="shared" si="7"/>
        <v>4.333333333333333</v>
      </c>
      <c r="CO28" s="295"/>
      <c r="CP28" s="327"/>
      <c r="CQ28" s="327"/>
      <c r="CR28" s="327"/>
      <c r="CS28" s="327"/>
      <c r="CT28" s="327"/>
      <c r="CU28" s="329"/>
    </row>
    <row r="29" spans="1:99" ht="15" customHeight="1" x14ac:dyDescent="0.3">
      <c r="A29" s="629" t="s">
        <v>710</v>
      </c>
      <c r="B29" s="630" t="s">
        <v>711</v>
      </c>
      <c r="C29" s="630" t="s">
        <v>750</v>
      </c>
      <c r="D29" s="301" t="str">
        <f t="shared" si="1"/>
        <v>Lac-</v>
      </c>
      <c r="E29" s="302">
        <f t="shared" si="2"/>
        <v>-512.13533959416395</v>
      </c>
      <c r="F29" s="301">
        <f t="shared" si="3"/>
        <v>-1</v>
      </c>
      <c r="G29" s="301">
        <f>ProDegPaths!CL29</f>
        <v>89</v>
      </c>
      <c r="H29" s="301">
        <f>ProDegPaths!CM29</f>
        <v>12</v>
      </c>
      <c r="I29" s="303">
        <f>ProDegPaths!CN29</f>
        <v>3.6666666666666665</v>
      </c>
      <c r="J29" s="626" t="s">
        <v>754</v>
      </c>
      <c r="L29" s="304" t="s">
        <v>38</v>
      </c>
      <c r="M29" s="305" t="s">
        <v>38</v>
      </c>
      <c r="N29" s="306">
        <f t="shared" si="8"/>
        <v>9.9999999999999995E-7</v>
      </c>
      <c r="O29" s="307">
        <f t="shared" si="4"/>
        <v>1</v>
      </c>
      <c r="P29" s="308">
        <v>1.3813842646028843E-18</v>
      </c>
      <c r="Q29" s="309">
        <v>9.9999999999999995E-7</v>
      </c>
      <c r="R29" s="327">
        <v>0</v>
      </c>
      <c r="S29" s="331">
        <f>E29+$D$69*$D$70*LN($Q29)+F29*$D$68*R29</f>
        <v>-547.53011258928655</v>
      </c>
      <c r="T29" s="647"/>
      <c r="U29" s="271">
        <v>0</v>
      </c>
      <c r="V29" s="312">
        <v>0</v>
      </c>
      <c r="W29" s="332">
        <v>0</v>
      </c>
      <c r="X29" s="332">
        <v>0</v>
      </c>
      <c r="Y29" s="332">
        <v>0</v>
      </c>
      <c r="Z29" s="332">
        <v>0</v>
      </c>
      <c r="AA29" s="332">
        <v>0</v>
      </c>
      <c r="AB29" s="332">
        <v>0</v>
      </c>
      <c r="AC29" s="332">
        <v>0</v>
      </c>
      <c r="AD29" s="332">
        <v>0</v>
      </c>
      <c r="AE29" s="332">
        <v>0</v>
      </c>
      <c r="AF29" s="332">
        <v>0</v>
      </c>
      <c r="AG29" s="332">
        <v>0</v>
      </c>
      <c r="AH29" s="332">
        <v>0</v>
      </c>
      <c r="AI29" s="332">
        <v>0</v>
      </c>
      <c r="AJ29" s="332">
        <v>1</v>
      </c>
      <c r="AK29" s="332">
        <v>0</v>
      </c>
      <c r="AL29" s="332">
        <v>0</v>
      </c>
      <c r="AM29" s="333">
        <v>0</v>
      </c>
      <c r="AN29" s="333">
        <v>-1</v>
      </c>
      <c r="AO29" s="333">
        <v>0</v>
      </c>
      <c r="AP29" s="333">
        <v>0</v>
      </c>
      <c r="AQ29" s="333">
        <v>0</v>
      </c>
      <c r="AR29" s="333">
        <v>0</v>
      </c>
      <c r="AS29" s="332">
        <v>0</v>
      </c>
      <c r="AT29" s="334">
        <v>0</v>
      </c>
      <c r="AU29" s="335">
        <v>0</v>
      </c>
      <c r="AV29" s="335">
        <v>0</v>
      </c>
      <c r="AW29" s="335">
        <v>0</v>
      </c>
      <c r="AX29" s="335">
        <v>0</v>
      </c>
      <c r="AY29" s="336">
        <v>0</v>
      </c>
      <c r="AZ29" s="337">
        <f t="array" ref="AZ29">SUM((IF($V$20:$AY$20&gt;0,1,0)*V29:AY29))</f>
        <v>0</v>
      </c>
      <c r="BA29" s="319"/>
      <c r="BB29" s="295"/>
      <c r="BD29" s="338">
        <v>0</v>
      </c>
      <c r="BE29" s="339">
        <v>0</v>
      </c>
      <c r="BF29" s="339">
        <v>0</v>
      </c>
      <c r="BG29" s="339">
        <v>0</v>
      </c>
      <c r="BH29" s="333">
        <v>0</v>
      </c>
      <c r="BI29" s="340">
        <v>0</v>
      </c>
      <c r="BJ29" s="340">
        <v>0</v>
      </c>
      <c r="BK29" s="340">
        <v>0</v>
      </c>
      <c r="BL29" s="340">
        <v>0</v>
      </c>
      <c r="BM29" s="323"/>
      <c r="BN29" s="295"/>
      <c r="BQ29" s="324" t="str">
        <f>+SpcDB!A57</f>
        <v>Lactate</v>
      </c>
      <c r="BR29" s="324" t="str">
        <f>+SpcDB!B57</f>
        <v>Lac-</v>
      </c>
      <c r="BS29" s="324" t="str">
        <f>+SpcDB!C57</f>
        <v>C3H5O3-</v>
      </c>
      <c r="BT29" s="324">
        <f>+SpcDB!D57</f>
        <v>-517.80999999999995</v>
      </c>
      <c r="BU29" s="324">
        <f>+SpcDB!E57</f>
        <v>-687</v>
      </c>
      <c r="BV29" s="324" t="str">
        <f>+SpcDB!F57</f>
        <v>NA</v>
      </c>
      <c r="BW29" s="325">
        <f>+SpcDB!G57</f>
        <v>0.56775167785234915</v>
      </c>
      <c r="BX29" s="324">
        <f>+SpcDB!H57</f>
        <v>3</v>
      </c>
      <c r="BY29" s="324">
        <f>+SpcDB!I57</f>
        <v>5</v>
      </c>
      <c r="BZ29" s="324">
        <f>+SpcDB!J57</f>
        <v>3</v>
      </c>
      <c r="CA29" s="324">
        <f>+SpcDB!K57</f>
        <v>0</v>
      </c>
      <c r="CB29" s="324">
        <f>+SpcDB!L57</f>
        <v>0</v>
      </c>
      <c r="CC29" s="324">
        <f>+SpcDB!M57</f>
        <v>0</v>
      </c>
      <c r="CD29" s="324">
        <f>+SpcDB!N57</f>
        <v>0</v>
      </c>
      <c r="CE29" s="324">
        <f>+SpcDB!O57</f>
        <v>0</v>
      </c>
      <c r="CF29" s="324">
        <f>+SpcDB!P57</f>
        <v>0</v>
      </c>
      <c r="CG29" s="324">
        <f>+SpcDB!Q57</f>
        <v>0</v>
      </c>
      <c r="CH29" s="324">
        <f>+SpcDB!R57</f>
        <v>0</v>
      </c>
      <c r="CI29" s="324">
        <f>+SpcDB!S57</f>
        <v>0</v>
      </c>
      <c r="CJ29" s="324">
        <f>+SpcDB!T57</f>
        <v>0</v>
      </c>
      <c r="CK29" s="324">
        <f>+SpcDB!U57</f>
        <v>-1</v>
      </c>
      <c r="CL29" s="301">
        <f t="shared" si="5"/>
        <v>89</v>
      </c>
      <c r="CM29" s="301">
        <f t="shared" si="6"/>
        <v>12</v>
      </c>
      <c r="CN29" s="326">
        <f t="shared" si="7"/>
        <v>3.6666666666666665</v>
      </c>
      <c r="CO29" s="295"/>
      <c r="CP29" s="327"/>
      <c r="CQ29" s="327"/>
      <c r="CR29" s="328">
        <v>3.86</v>
      </c>
      <c r="CS29" s="327"/>
      <c r="CT29" s="327"/>
      <c r="CU29" s="329">
        <f>10^-CR29</f>
        <v>1.3803842646028844E-4</v>
      </c>
    </row>
    <row r="30" spans="1:99" ht="15" customHeight="1" x14ac:dyDescent="0.3">
      <c r="A30" s="630" t="s">
        <v>710</v>
      </c>
      <c r="B30" s="630" t="s">
        <v>103</v>
      </c>
      <c r="C30" s="630" t="s">
        <v>750</v>
      </c>
      <c r="D30" s="301" t="str">
        <f t="shared" si="1"/>
        <v>mMalon-CoA</v>
      </c>
      <c r="E30" s="302">
        <f t="shared" si="2"/>
        <v>-448.28474761026325</v>
      </c>
      <c r="F30" s="301">
        <f t="shared" si="3"/>
        <v>0</v>
      </c>
      <c r="G30" s="301">
        <f>ProDegPaths!CL30</f>
        <v>101</v>
      </c>
      <c r="H30" s="301">
        <f>ProDegPaths!CM30</f>
        <v>15</v>
      </c>
      <c r="I30" s="330">
        <f>ProDegPaths!CN30</f>
        <v>3.75</v>
      </c>
      <c r="J30" s="627" t="s">
        <v>754</v>
      </c>
      <c r="L30" s="304" t="s">
        <v>38</v>
      </c>
      <c r="M30" s="305" t="s">
        <v>38</v>
      </c>
      <c r="N30" s="306">
        <f t="shared" si="8"/>
        <v>1E-3</v>
      </c>
      <c r="O30" s="307">
        <f t="shared" si="4"/>
        <v>1</v>
      </c>
      <c r="P30" s="308">
        <v>9.9999999999999972E-22</v>
      </c>
      <c r="Q30" s="309">
        <v>1E-3</v>
      </c>
      <c r="R30" s="327">
        <v>0</v>
      </c>
      <c r="S30" s="331">
        <f t="shared" si="9"/>
        <v>-465.98213410782455</v>
      </c>
      <c r="T30" s="647"/>
      <c r="U30" s="271">
        <v>0</v>
      </c>
      <c r="V30" s="312">
        <v>0</v>
      </c>
      <c r="W30" s="332">
        <v>0</v>
      </c>
      <c r="X30" s="332">
        <v>0</v>
      </c>
      <c r="Y30" s="332">
        <v>1</v>
      </c>
      <c r="Z30" s="332">
        <v>1</v>
      </c>
      <c r="AA30" s="332">
        <v>-1</v>
      </c>
      <c r="AB30" s="332">
        <v>0</v>
      </c>
      <c r="AC30" s="332">
        <v>0</v>
      </c>
      <c r="AD30" s="332">
        <v>0</v>
      </c>
      <c r="AE30" s="332">
        <v>0</v>
      </c>
      <c r="AF30" s="332">
        <v>0</v>
      </c>
      <c r="AG30" s="332">
        <v>0</v>
      </c>
      <c r="AH30" s="332">
        <v>0</v>
      </c>
      <c r="AI30" s="332">
        <v>0</v>
      </c>
      <c r="AJ30" s="332">
        <v>0</v>
      </c>
      <c r="AK30" s="332">
        <v>0</v>
      </c>
      <c r="AL30" s="332">
        <v>0</v>
      </c>
      <c r="AM30" s="333">
        <v>0</v>
      </c>
      <c r="AN30" s="333">
        <v>0</v>
      </c>
      <c r="AO30" s="333">
        <v>0</v>
      </c>
      <c r="AP30" s="333">
        <v>0</v>
      </c>
      <c r="AQ30" s="333">
        <v>0</v>
      </c>
      <c r="AR30" s="333">
        <v>0</v>
      </c>
      <c r="AS30" s="332">
        <v>0</v>
      </c>
      <c r="AT30" s="334">
        <v>0</v>
      </c>
      <c r="AU30" s="335">
        <v>0</v>
      </c>
      <c r="AV30" s="335">
        <v>0</v>
      </c>
      <c r="AW30" s="335">
        <v>0</v>
      </c>
      <c r="AX30" s="335">
        <v>0</v>
      </c>
      <c r="AY30" s="336">
        <v>0</v>
      </c>
      <c r="AZ30" s="337">
        <f t="array" ref="AZ30">SUM((IF($V$20:$AY$20&gt;0,1,0)*V30:AY30))</f>
        <v>0</v>
      </c>
      <c r="BA30" s="319"/>
      <c r="BB30" s="295"/>
      <c r="BD30" s="338">
        <v>0</v>
      </c>
      <c r="BE30" s="339">
        <v>0</v>
      </c>
      <c r="BF30" s="339">
        <v>0</v>
      </c>
      <c r="BG30" s="339">
        <v>0</v>
      </c>
      <c r="BH30" s="333">
        <v>0</v>
      </c>
      <c r="BI30" s="340">
        <v>0</v>
      </c>
      <c r="BJ30" s="340">
        <v>0</v>
      </c>
      <c r="BK30" s="340">
        <v>0</v>
      </c>
      <c r="BL30" s="340">
        <v>0</v>
      </c>
      <c r="BM30" s="323"/>
      <c r="BN30" s="295"/>
      <c r="BQ30" s="324" t="str">
        <f>+SpcDB!A65</f>
        <v>Methylmalonyl CoA</v>
      </c>
      <c r="BR30" s="324" t="str">
        <f>+SpcDB!B65</f>
        <v>mMalon-CoA</v>
      </c>
      <c r="BS30" s="324" t="str">
        <f>+SpcDB!C65</f>
        <v>C4H5O3-CoA</v>
      </c>
      <c r="BT30" s="324">
        <f>+SpcDB!D65</f>
        <v>-454.65</v>
      </c>
      <c r="BU30" s="341">
        <f>+SpcDB!E65</f>
        <v>-644.42999999999995</v>
      </c>
      <c r="BV30" s="324" t="str">
        <f>+SpcDB!F65</f>
        <v>NA</v>
      </c>
      <c r="BW30" s="325">
        <f>+SpcDB!G65</f>
        <v>0.63684563758389257</v>
      </c>
      <c r="BX30" s="324">
        <f>+SpcDB!H65</f>
        <v>4</v>
      </c>
      <c r="BY30" s="324">
        <f>+SpcDB!I65</f>
        <v>5</v>
      </c>
      <c r="BZ30" s="324">
        <f>+SpcDB!J65</f>
        <v>3</v>
      </c>
      <c r="CA30" s="324">
        <f>+SpcDB!K65</f>
        <v>0</v>
      </c>
      <c r="CB30" s="324">
        <f>+SpcDB!L65</f>
        <v>0</v>
      </c>
      <c r="CC30" s="324">
        <f>+SpcDB!M65</f>
        <v>0</v>
      </c>
      <c r="CD30" s="324">
        <f>+SpcDB!N65</f>
        <v>0</v>
      </c>
      <c r="CE30" s="324">
        <f>+SpcDB!O65</f>
        <v>0</v>
      </c>
      <c r="CF30" s="324">
        <f>+SpcDB!P65</f>
        <v>0</v>
      </c>
      <c r="CG30" s="324">
        <f>+SpcDB!Q65</f>
        <v>0</v>
      </c>
      <c r="CH30" s="324">
        <f>+SpcDB!R65</f>
        <v>0</v>
      </c>
      <c r="CI30" s="324">
        <f>+SpcDB!S65</f>
        <v>1</v>
      </c>
      <c r="CJ30" s="324">
        <f>+SpcDB!T65</f>
        <v>0</v>
      </c>
      <c r="CK30" s="324">
        <f>+SpcDB!U65</f>
        <v>0</v>
      </c>
      <c r="CL30" s="301">
        <f t="shared" si="5"/>
        <v>101</v>
      </c>
      <c r="CM30" s="301">
        <f t="shared" si="6"/>
        <v>15</v>
      </c>
      <c r="CN30" s="342">
        <f t="shared" si="7"/>
        <v>3.75</v>
      </c>
      <c r="CO30" s="295"/>
      <c r="CP30" s="327"/>
      <c r="CQ30" s="327"/>
      <c r="CR30" s="327"/>
      <c r="CS30" s="327"/>
      <c r="CT30" s="327"/>
      <c r="CU30" s="329"/>
    </row>
    <row r="31" spans="1:99" ht="15" customHeight="1" x14ac:dyDescent="0.3">
      <c r="A31" s="630" t="s">
        <v>710</v>
      </c>
      <c r="B31" s="630" t="s">
        <v>103</v>
      </c>
      <c r="C31" s="630" t="s">
        <v>750</v>
      </c>
      <c r="D31" s="301" t="str">
        <f t="shared" si="1"/>
        <v>Succ-CoA</v>
      </c>
      <c r="E31" s="302">
        <f t="shared" si="2"/>
        <v>-456.12109173234944</v>
      </c>
      <c r="F31" s="301">
        <f t="shared" si="3"/>
        <v>0</v>
      </c>
      <c r="G31" s="301">
        <f>ProDegPaths!CL31</f>
        <v>101</v>
      </c>
      <c r="H31" s="301">
        <f>ProDegPaths!CM31</f>
        <v>15</v>
      </c>
      <c r="I31" s="330">
        <f>ProDegPaths!CN31</f>
        <v>3.75</v>
      </c>
      <c r="J31" s="627" t="s">
        <v>754</v>
      </c>
      <c r="K31" s="343"/>
      <c r="L31" s="304" t="s">
        <v>38</v>
      </c>
      <c r="M31" s="305" t="s">
        <v>38</v>
      </c>
      <c r="N31" s="306">
        <f t="shared" si="8"/>
        <v>1E-3</v>
      </c>
      <c r="O31" s="307">
        <f t="shared" si="4"/>
        <v>1</v>
      </c>
      <c r="P31" s="308">
        <v>9.9999999999999972E-22</v>
      </c>
      <c r="Q31" s="309">
        <v>1E-3</v>
      </c>
      <c r="R31" s="327">
        <v>0</v>
      </c>
      <c r="S31" s="331">
        <f t="shared" si="9"/>
        <v>-473.81847822991074</v>
      </c>
      <c r="T31" s="647"/>
      <c r="U31" s="271">
        <v>0</v>
      </c>
      <c r="V31" s="312">
        <v>0</v>
      </c>
      <c r="W31" s="332">
        <v>0</v>
      </c>
      <c r="X31" s="332">
        <v>0</v>
      </c>
      <c r="Y31" s="332">
        <v>0</v>
      </c>
      <c r="Z31" s="332">
        <v>0</v>
      </c>
      <c r="AA31" s="332">
        <v>1</v>
      </c>
      <c r="AB31" s="332">
        <v>-1</v>
      </c>
      <c r="AC31" s="332">
        <v>0</v>
      </c>
      <c r="AD31" s="332">
        <v>0</v>
      </c>
      <c r="AE31" s="332">
        <v>0</v>
      </c>
      <c r="AF31" s="332">
        <v>0</v>
      </c>
      <c r="AG31" s="332">
        <v>0</v>
      </c>
      <c r="AH31" s="332">
        <v>0</v>
      </c>
      <c r="AI31" s="332">
        <v>0</v>
      </c>
      <c r="AJ31" s="332">
        <v>0</v>
      </c>
      <c r="AK31" s="332">
        <v>0</v>
      </c>
      <c r="AL31" s="332">
        <v>0</v>
      </c>
      <c r="AM31" s="333">
        <v>0</v>
      </c>
      <c r="AN31" s="333">
        <v>0</v>
      </c>
      <c r="AO31" s="333">
        <v>0</v>
      </c>
      <c r="AP31" s="333">
        <v>0</v>
      </c>
      <c r="AQ31" s="333">
        <v>0</v>
      </c>
      <c r="AR31" s="333">
        <v>0</v>
      </c>
      <c r="AS31" s="332">
        <v>0</v>
      </c>
      <c r="AT31" s="334">
        <v>0</v>
      </c>
      <c r="AU31" s="335">
        <v>0</v>
      </c>
      <c r="AV31" s="335">
        <v>0</v>
      </c>
      <c r="AW31" s="335">
        <v>0</v>
      </c>
      <c r="AX31" s="335">
        <v>0</v>
      </c>
      <c r="AY31" s="336">
        <v>0</v>
      </c>
      <c r="AZ31" s="337">
        <f t="array" ref="AZ31">SUM((IF($V$20:$AY$20&gt;0,1,0)*V31:AY31))</f>
        <v>0</v>
      </c>
      <c r="BA31" s="319"/>
      <c r="BB31" s="295"/>
      <c r="BD31" s="338">
        <v>0</v>
      </c>
      <c r="BE31" s="339">
        <v>0</v>
      </c>
      <c r="BF31" s="339">
        <v>0</v>
      </c>
      <c r="BG31" s="339">
        <v>0</v>
      </c>
      <c r="BH31" s="333">
        <v>0</v>
      </c>
      <c r="BI31" s="340">
        <v>0</v>
      </c>
      <c r="BJ31" s="340">
        <v>0</v>
      </c>
      <c r="BK31" s="340">
        <v>0</v>
      </c>
      <c r="BL31" s="340">
        <v>0</v>
      </c>
      <c r="BM31" s="323"/>
      <c r="BN31" s="295"/>
      <c r="BQ31" s="324" t="str">
        <f>+SpcDB!A93</f>
        <v>Succinyl CoA</v>
      </c>
      <c r="BR31" s="324" t="str">
        <f>+SpcDB!B93</f>
        <v>Succ-CoA</v>
      </c>
      <c r="BS31" s="324" t="str">
        <f>+SpcDB!C93</f>
        <v>C4H5O3-CoA</v>
      </c>
      <c r="BT31" s="324">
        <f>+SpcDB!D93</f>
        <v>-461.89</v>
      </c>
      <c r="BU31" s="341">
        <f>+SpcDB!E93</f>
        <v>-633.88999999999987</v>
      </c>
      <c r="BV31" s="324" t="str">
        <f>+SpcDB!F93</f>
        <v>NA</v>
      </c>
      <c r="BW31" s="325">
        <f>+SpcDB!G93</f>
        <v>0.57718120805369089</v>
      </c>
      <c r="BX31" s="324">
        <f>+SpcDB!H93</f>
        <v>4</v>
      </c>
      <c r="BY31" s="324">
        <f>+SpcDB!I93</f>
        <v>5</v>
      </c>
      <c r="BZ31" s="324">
        <f>+SpcDB!J93</f>
        <v>3</v>
      </c>
      <c r="CA31" s="324">
        <f>+SpcDB!K93</f>
        <v>0</v>
      </c>
      <c r="CB31" s="324">
        <f>+SpcDB!L93</f>
        <v>0</v>
      </c>
      <c r="CC31" s="324">
        <f>+SpcDB!M93</f>
        <v>0</v>
      </c>
      <c r="CD31" s="324">
        <f>+SpcDB!N93</f>
        <v>0</v>
      </c>
      <c r="CE31" s="324">
        <f>+SpcDB!O93</f>
        <v>0</v>
      </c>
      <c r="CF31" s="324">
        <f>+SpcDB!P93</f>
        <v>0</v>
      </c>
      <c r="CG31" s="324">
        <f>+SpcDB!Q93</f>
        <v>0</v>
      </c>
      <c r="CH31" s="324">
        <f>+SpcDB!R93</f>
        <v>0</v>
      </c>
      <c r="CI31" s="324">
        <f>+SpcDB!S93</f>
        <v>1</v>
      </c>
      <c r="CJ31" s="324">
        <f>+SpcDB!T93</f>
        <v>0</v>
      </c>
      <c r="CK31" s="324">
        <f>+SpcDB!U93</f>
        <v>0</v>
      </c>
      <c r="CL31" s="301">
        <f t="shared" si="5"/>
        <v>101</v>
      </c>
      <c r="CM31" s="301">
        <f t="shared" si="6"/>
        <v>15</v>
      </c>
      <c r="CN31" s="326">
        <f t="shared" si="7"/>
        <v>3.75</v>
      </c>
      <c r="CO31" s="295"/>
      <c r="CP31" s="327"/>
      <c r="CQ31" s="327"/>
      <c r="CR31" s="327"/>
      <c r="CS31" s="327"/>
      <c r="CT31" s="327"/>
      <c r="CU31" s="329"/>
    </row>
    <row r="32" spans="1:99" ht="15" customHeight="1" x14ac:dyDescent="0.3">
      <c r="A32" s="630" t="s">
        <v>710</v>
      </c>
      <c r="B32" s="630" t="s">
        <v>711</v>
      </c>
      <c r="C32" s="630" t="s">
        <v>750</v>
      </c>
      <c r="D32" s="301" t="str">
        <f t="shared" si="1"/>
        <v>Succ2-</v>
      </c>
      <c r="E32" s="302">
        <f t="shared" si="2"/>
        <v>-683.58549890994459</v>
      </c>
      <c r="F32" s="301">
        <f t="shared" si="3"/>
        <v>-2</v>
      </c>
      <c r="G32" s="301">
        <f>ProDegPaths!CL32</f>
        <v>116</v>
      </c>
      <c r="H32" s="301">
        <f>ProDegPaths!CM32</f>
        <v>14</v>
      </c>
      <c r="I32" s="330">
        <f>ProDegPaths!CN32</f>
        <v>3</v>
      </c>
      <c r="J32" s="627" t="s">
        <v>754</v>
      </c>
      <c r="L32" s="304" t="s">
        <v>38</v>
      </c>
      <c r="M32" s="305" t="s">
        <v>38</v>
      </c>
      <c r="N32" s="306">
        <f t="shared" si="8"/>
        <v>1E-3</v>
      </c>
      <c r="O32" s="307">
        <f t="shared" si="4"/>
        <v>1</v>
      </c>
      <c r="P32" s="308">
        <v>1.0014354894333533E-21</v>
      </c>
      <c r="Q32" s="309">
        <v>1E-3</v>
      </c>
      <c r="R32" s="327">
        <v>0</v>
      </c>
      <c r="S32" s="331">
        <f t="shared" si="9"/>
        <v>-701.28288540750589</v>
      </c>
      <c r="T32" s="647"/>
      <c r="U32" s="271">
        <v>0</v>
      </c>
      <c r="V32" s="312">
        <v>0</v>
      </c>
      <c r="W32" s="332">
        <v>0</v>
      </c>
      <c r="X32" s="332">
        <v>0</v>
      </c>
      <c r="Y32" s="332">
        <v>0</v>
      </c>
      <c r="Z32" s="332">
        <v>0</v>
      </c>
      <c r="AA32" s="332">
        <v>0</v>
      </c>
      <c r="AB32" s="332">
        <v>1</v>
      </c>
      <c r="AC32" s="332">
        <v>-1</v>
      </c>
      <c r="AD32" s="332">
        <v>-1</v>
      </c>
      <c r="AE32" s="332">
        <v>0</v>
      </c>
      <c r="AF32" s="332">
        <v>0</v>
      </c>
      <c r="AG32" s="332">
        <v>0</v>
      </c>
      <c r="AH32" s="332">
        <v>0</v>
      </c>
      <c r="AI32" s="332">
        <v>0</v>
      </c>
      <c r="AJ32" s="332">
        <v>0</v>
      </c>
      <c r="AK32" s="332">
        <v>0</v>
      </c>
      <c r="AL32" s="332">
        <v>0</v>
      </c>
      <c r="AM32" s="333">
        <v>0</v>
      </c>
      <c r="AN32" s="333">
        <v>0</v>
      </c>
      <c r="AO32" s="333">
        <v>0</v>
      </c>
      <c r="AP32" s="333">
        <v>0</v>
      </c>
      <c r="AQ32" s="333">
        <v>0</v>
      </c>
      <c r="AR32" s="333">
        <v>0</v>
      </c>
      <c r="AS32" s="332">
        <v>0</v>
      </c>
      <c r="AT32" s="334">
        <v>0</v>
      </c>
      <c r="AU32" s="335">
        <v>0</v>
      </c>
      <c r="AV32" s="335">
        <v>0</v>
      </c>
      <c r="AW32" s="335">
        <v>0</v>
      </c>
      <c r="AX32" s="335">
        <v>0</v>
      </c>
      <c r="AY32" s="336">
        <v>0</v>
      </c>
      <c r="AZ32" s="337">
        <f t="array" ref="AZ32">SUM((IF($V$20:$AY$20&gt;0,1,0)*V32:AY32))</f>
        <v>0</v>
      </c>
      <c r="BA32" s="319"/>
      <c r="BB32" s="295"/>
      <c r="BD32" s="338">
        <v>0</v>
      </c>
      <c r="BE32" s="339">
        <v>0</v>
      </c>
      <c r="BF32" s="339">
        <v>0</v>
      </c>
      <c r="BG32" s="339">
        <v>0</v>
      </c>
      <c r="BH32" s="333">
        <v>0</v>
      </c>
      <c r="BI32" s="340">
        <v>0</v>
      </c>
      <c r="BJ32" s="340">
        <v>0</v>
      </c>
      <c r="BK32" s="340">
        <v>0</v>
      </c>
      <c r="BL32" s="340">
        <v>0</v>
      </c>
      <c r="BN32" s="295"/>
      <c r="BQ32" s="324" t="str">
        <f>+SpcDB!A91</f>
        <v>Succinate</v>
      </c>
      <c r="BR32" s="324" t="str">
        <f>+SpcDB!B91</f>
        <v>Succ2-</v>
      </c>
      <c r="BS32" s="324" t="str">
        <f>+SpcDB!C91</f>
        <v>C4H4O42-</v>
      </c>
      <c r="BT32" s="324">
        <f>+SpcDB!D91</f>
        <v>-690.91</v>
      </c>
      <c r="BU32" s="324">
        <f>+SpcDB!E91</f>
        <v>-909.29</v>
      </c>
      <c r="BV32" s="324" t="str">
        <f>+SpcDB!F91</f>
        <v>NA</v>
      </c>
      <c r="BW32" s="325">
        <f>+SpcDB!G91</f>
        <v>0.73281879194630872</v>
      </c>
      <c r="BX32" s="324">
        <f>+SpcDB!H91</f>
        <v>4</v>
      </c>
      <c r="BY32" s="324">
        <f>+SpcDB!I91</f>
        <v>4</v>
      </c>
      <c r="BZ32" s="324">
        <f>+SpcDB!J91</f>
        <v>4</v>
      </c>
      <c r="CA32" s="324">
        <f>+SpcDB!K91</f>
        <v>0</v>
      </c>
      <c r="CB32" s="324">
        <f>+SpcDB!L91</f>
        <v>0</v>
      </c>
      <c r="CC32" s="324">
        <f>+SpcDB!M91</f>
        <v>0</v>
      </c>
      <c r="CD32" s="324">
        <f>+SpcDB!N91</f>
        <v>0</v>
      </c>
      <c r="CE32" s="324">
        <f>+SpcDB!O91</f>
        <v>0</v>
      </c>
      <c r="CF32" s="324">
        <f>+SpcDB!P91</f>
        <v>0</v>
      </c>
      <c r="CG32" s="324">
        <f>+SpcDB!Q91</f>
        <v>0</v>
      </c>
      <c r="CH32" s="324">
        <f>+SpcDB!R91</f>
        <v>0</v>
      </c>
      <c r="CI32" s="324">
        <f>+SpcDB!S91</f>
        <v>0</v>
      </c>
      <c r="CJ32" s="324">
        <f>+SpcDB!T91</f>
        <v>0</v>
      </c>
      <c r="CK32" s="324">
        <f>+SpcDB!U91</f>
        <v>-2</v>
      </c>
      <c r="CL32" s="301">
        <f t="shared" si="5"/>
        <v>116</v>
      </c>
      <c r="CM32" s="301">
        <f t="shared" si="6"/>
        <v>14</v>
      </c>
      <c r="CN32" s="326">
        <f t="shared" si="7"/>
        <v>3</v>
      </c>
      <c r="CO32" s="295"/>
      <c r="CP32" s="332"/>
      <c r="CQ32" s="332"/>
      <c r="CR32" s="344">
        <v>9.843</v>
      </c>
      <c r="CS32" s="327"/>
      <c r="CT32" s="327"/>
      <c r="CU32" s="329">
        <f>10^-CR32</f>
        <v>1.4354894333536552E-10</v>
      </c>
    </row>
    <row r="33" spans="1:99" ht="15" customHeight="1" x14ac:dyDescent="0.3">
      <c r="A33" s="630" t="s">
        <v>710</v>
      </c>
      <c r="B33" s="630" t="s">
        <v>711</v>
      </c>
      <c r="C33" s="630" t="s">
        <v>750</v>
      </c>
      <c r="D33" s="301" t="str">
        <f t="shared" si="1"/>
        <v>Fum2-</v>
      </c>
      <c r="E33" s="302">
        <f t="shared" si="2"/>
        <v>-596.37900553412715</v>
      </c>
      <c r="F33" s="301">
        <f t="shared" si="3"/>
        <v>-2</v>
      </c>
      <c r="G33" s="301">
        <f>ProDegPaths!CL33</f>
        <v>101</v>
      </c>
      <c r="H33" s="301">
        <f>ProDegPaths!CM33</f>
        <v>12</v>
      </c>
      <c r="I33" s="330">
        <f>ProDegPaths!CN33</f>
        <v>2.5</v>
      </c>
      <c r="J33" s="627" t="s">
        <v>754</v>
      </c>
      <c r="L33" s="304" t="s">
        <v>38</v>
      </c>
      <c r="M33" s="305" t="s">
        <v>38</v>
      </c>
      <c r="N33" s="306">
        <f t="shared" si="8"/>
        <v>1E-3</v>
      </c>
      <c r="O33" s="307">
        <f t="shared" si="4"/>
        <v>1</v>
      </c>
      <c r="P33" s="308">
        <v>3.640780547701006E-19</v>
      </c>
      <c r="Q33" s="309">
        <v>1E-3</v>
      </c>
      <c r="R33" s="327">
        <v>0</v>
      </c>
      <c r="S33" s="331">
        <f t="shared" si="9"/>
        <v>-614.07639203168844</v>
      </c>
      <c r="T33" s="647"/>
      <c r="U33" s="271">
        <v>0</v>
      </c>
      <c r="V33" s="312">
        <v>0</v>
      </c>
      <c r="W33" s="332">
        <v>0</v>
      </c>
      <c r="X33" s="332">
        <v>0</v>
      </c>
      <c r="Y33" s="332">
        <v>0</v>
      </c>
      <c r="Z33" s="332">
        <v>0</v>
      </c>
      <c r="AA33" s="332">
        <v>0</v>
      </c>
      <c r="AB33" s="332">
        <v>0</v>
      </c>
      <c r="AC33" s="332">
        <v>1</v>
      </c>
      <c r="AD33" s="332">
        <v>1</v>
      </c>
      <c r="AE33" s="332">
        <v>-1</v>
      </c>
      <c r="AF33" s="332">
        <v>0</v>
      </c>
      <c r="AG33" s="332">
        <v>0</v>
      </c>
      <c r="AH33" s="332">
        <v>0</v>
      </c>
      <c r="AI33" s="332">
        <v>0</v>
      </c>
      <c r="AJ33" s="332">
        <v>0</v>
      </c>
      <c r="AK33" s="332">
        <v>0</v>
      </c>
      <c r="AL33" s="332">
        <v>0</v>
      </c>
      <c r="AM33" s="333">
        <v>0</v>
      </c>
      <c r="AN33" s="333">
        <v>0</v>
      </c>
      <c r="AO33" s="333">
        <v>0</v>
      </c>
      <c r="AP33" s="333">
        <v>0</v>
      </c>
      <c r="AQ33" s="333">
        <v>0</v>
      </c>
      <c r="AR33" s="333">
        <v>0</v>
      </c>
      <c r="AS33" s="332">
        <v>0</v>
      </c>
      <c r="AT33" s="334">
        <v>0</v>
      </c>
      <c r="AU33" s="335">
        <v>0</v>
      </c>
      <c r="AV33" s="335">
        <v>0</v>
      </c>
      <c r="AW33" s="335">
        <v>0</v>
      </c>
      <c r="AX33" s="335">
        <v>0</v>
      </c>
      <c r="AY33" s="336">
        <v>0</v>
      </c>
      <c r="AZ33" s="337">
        <f t="array" ref="AZ33">SUM((IF($V$20:$AY$20&gt;0,1,0)*V33:AY33))</f>
        <v>0</v>
      </c>
      <c r="BA33" s="319"/>
      <c r="BB33" s="295"/>
      <c r="BD33" s="338">
        <v>0</v>
      </c>
      <c r="BE33" s="339">
        <v>0</v>
      </c>
      <c r="BF33" s="339">
        <v>0</v>
      </c>
      <c r="BG33" s="339">
        <v>0</v>
      </c>
      <c r="BH33" s="333">
        <v>0</v>
      </c>
      <c r="BI33" s="340">
        <v>0</v>
      </c>
      <c r="BJ33" s="340">
        <v>0</v>
      </c>
      <c r="BK33" s="340">
        <v>0</v>
      </c>
      <c r="BL33" s="340">
        <v>0</v>
      </c>
      <c r="BN33" s="295"/>
      <c r="BQ33" s="324" t="str">
        <f>+SpcDB!A45</f>
        <v>Fumarate</v>
      </c>
      <c r="BR33" s="324" t="str">
        <f>+SpcDB!B45</f>
        <v>Fum2-</v>
      </c>
      <c r="BS33" s="324" t="str">
        <f>+SpcDB!C45</f>
        <v>C4H2O42-</v>
      </c>
      <c r="BT33" s="324">
        <f>+SpcDB!D45</f>
        <v>-602.27</v>
      </c>
      <c r="BU33" s="324">
        <f>+SpcDB!E45</f>
        <v>-777.91</v>
      </c>
      <c r="BV33" s="324" t="str">
        <f>+SpcDB!F45</f>
        <v>NA</v>
      </c>
      <c r="BW33" s="325">
        <f>+SpcDB!G45</f>
        <v>0.58939597315436232</v>
      </c>
      <c r="BX33" s="324">
        <f>+SpcDB!H45</f>
        <v>4</v>
      </c>
      <c r="BY33" s="324">
        <f>+SpcDB!I45</f>
        <v>2</v>
      </c>
      <c r="BZ33" s="324">
        <f>+SpcDB!J45</f>
        <v>4</v>
      </c>
      <c r="CA33" s="324">
        <f>+SpcDB!K45</f>
        <v>0</v>
      </c>
      <c r="CB33" s="324">
        <f>+SpcDB!L45</f>
        <v>0</v>
      </c>
      <c r="CC33" s="324">
        <f>+SpcDB!M45</f>
        <v>0</v>
      </c>
      <c r="CD33" s="324">
        <f>+SpcDB!N45</f>
        <v>0</v>
      </c>
      <c r="CE33" s="324">
        <f>+SpcDB!O45</f>
        <v>0</v>
      </c>
      <c r="CF33" s="324">
        <f>+SpcDB!P45</f>
        <v>0</v>
      </c>
      <c r="CG33" s="324">
        <f>+SpcDB!Q45</f>
        <v>0</v>
      </c>
      <c r="CH33" s="324">
        <f>+SpcDB!R45</f>
        <v>0</v>
      </c>
      <c r="CI33" s="324">
        <f>+SpcDB!S45</f>
        <v>0</v>
      </c>
      <c r="CJ33" s="324">
        <f>+SpcDB!T45</f>
        <v>0</v>
      </c>
      <c r="CK33" s="324">
        <f>+SpcDB!U45</f>
        <v>-2</v>
      </c>
      <c r="CL33" s="301">
        <f>SpcDB!V23</f>
        <v>101</v>
      </c>
      <c r="CM33" s="301">
        <f t="shared" si="6"/>
        <v>12</v>
      </c>
      <c r="CN33" s="326">
        <f t="shared" si="7"/>
        <v>2.5</v>
      </c>
      <c r="CO33" s="295"/>
      <c r="CP33" s="332"/>
      <c r="CQ33" s="332"/>
      <c r="CR33" s="344">
        <v>4.4400000000000004</v>
      </c>
      <c r="CS33" s="327"/>
      <c r="CT33" s="327"/>
      <c r="CU33" s="329">
        <f>10^-CR33</f>
        <v>3.6307805477010065E-5</v>
      </c>
    </row>
    <row r="34" spans="1:99" ht="15" customHeight="1" x14ac:dyDescent="0.3">
      <c r="A34" s="630" t="s">
        <v>710</v>
      </c>
      <c r="B34" s="630" t="s">
        <v>711</v>
      </c>
      <c r="C34" s="630" t="s">
        <v>750</v>
      </c>
      <c r="D34" s="301" t="str">
        <f t="shared" si="1"/>
        <v>Mal2-</v>
      </c>
      <c r="E34" s="302">
        <f t="shared" si="2"/>
        <v>-835.28540332047623</v>
      </c>
      <c r="F34" s="301">
        <f t="shared" si="3"/>
        <v>-2</v>
      </c>
      <c r="G34" s="301">
        <f>ProDegPaths!CL34</f>
        <v>87</v>
      </c>
      <c r="H34" s="301">
        <f>ProDegPaths!CM34</f>
        <v>12</v>
      </c>
      <c r="I34" s="330">
        <f>ProDegPaths!CN34</f>
        <v>2.5</v>
      </c>
      <c r="J34" s="627" t="s">
        <v>754</v>
      </c>
      <c r="K34" s="343"/>
      <c r="L34" s="304" t="s">
        <v>38</v>
      </c>
      <c r="M34" s="305" t="s">
        <v>38</v>
      </c>
      <c r="N34" s="306">
        <f t="shared" si="8"/>
        <v>1E-3</v>
      </c>
      <c r="O34" s="307">
        <f t="shared" si="4"/>
        <v>1</v>
      </c>
      <c r="P34" s="308">
        <v>1.0277971326775927E-21</v>
      </c>
      <c r="Q34" s="309">
        <v>1E-3</v>
      </c>
      <c r="R34" s="327">
        <v>0</v>
      </c>
      <c r="S34" s="331">
        <f t="shared" si="9"/>
        <v>-852.98278981803753</v>
      </c>
      <c r="T34" s="647"/>
      <c r="U34" s="271">
        <v>0</v>
      </c>
      <c r="V34" s="312">
        <v>0</v>
      </c>
      <c r="W34" s="332">
        <v>0</v>
      </c>
      <c r="X34" s="332">
        <v>0</v>
      </c>
      <c r="Y34" s="332">
        <v>0</v>
      </c>
      <c r="Z34" s="332">
        <v>0</v>
      </c>
      <c r="AA34" s="332">
        <v>0</v>
      </c>
      <c r="AB34" s="332">
        <v>0</v>
      </c>
      <c r="AC34" s="332">
        <v>0</v>
      </c>
      <c r="AD34" s="332">
        <v>0</v>
      </c>
      <c r="AE34" s="332">
        <v>1</v>
      </c>
      <c r="AF34" s="332">
        <v>-1</v>
      </c>
      <c r="AG34" s="332">
        <v>-1</v>
      </c>
      <c r="AH34" s="332">
        <v>0</v>
      </c>
      <c r="AI34" s="332">
        <v>0</v>
      </c>
      <c r="AJ34" s="332">
        <v>0</v>
      </c>
      <c r="AK34" s="332">
        <v>0</v>
      </c>
      <c r="AL34" s="332">
        <v>0</v>
      </c>
      <c r="AM34" s="333">
        <v>0</v>
      </c>
      <c r="AN34" s="333">
        <v>0</v>
      </c>
      <c r="AO34" s="333">
        <v>0</v>
      </c>
      <c r="AP34" s="333">
        <v>0</v>
      </c>
      <c r="AQ34" s="333">
        <v>0</v>
      </c>
      <c r="AR34" s="333">
        <v>0</v>
      </c>
      <c r="AS34" s="332">
        <v>0</v>
      </c>
      <c r="AT34" s="334">
        <v>0</v>
      </c>
      <c r="AU34" s="335">
        <v>0</v>
      </c>
      <c r="AV34" s="335">
        <v>0</v>
      </c>
      <c r="AW34" s="335">
        <v>0</v>
      </c>
      <c r="AX34" s="335">
        <v>0</v>
      </c>
      <c r="AY34" s="336">
        <v>0</v>
      </c>
      <c r="AZ34" s="337">
        <f t="array" ref="AZ34">SUM((IF($V$20:$AY$20&gt;0,1,0)*V34:AY34))</f>
        <v>0</v>
      </c>
      <c r="BA34" s="319"/>
      <c r="BB34" s="295"/>
      <c r="BD34" s="338">
        <v>0</v>
      </c>
      <c r="BE34" s="339">
        <v>0</v>
      </c>
      <c r="BF34" s="339">
        <v>0</v>
      </c>
      <c r="BG34" s="339">
        <v>0</v>
      </c>
      <c r="BH34" s="333">
        <v>0</v>
      </c>
      <c r="BI34" s="340">
        <v>0</v>
      </c>
      <c r="BJ34" s="340">
        <v>0</v>
      </c>
      <c r="BK34" s="340">
        <v>0</v>
      </c>
      <c r="BL34" s="340">
        <v>0</v>
      </c>
      <c r="BN34" s="295"/>
      <c r="BQ34" s="324" t="str">
        <f>+SpcDB!A60</f>
        <v>Malate</v>
      </c>
      <c r="BR34" s="324" t="str">
        <f>+SpcDB!B60</f>
        <v>Mal2-</v>
      </c>
      <c r="BS34" s="324" t="str">
        <f>+SpcDB!C60</f>
        <v>C4H4O52-</v>
      </c>
      <c r="BT34" s="324">
        <f>+SpcDB!D60</f>
        <v>-843.22</v>
      </c>
      <c r="BU34" s="324">
        <f>+SpcDB!E60</f>
        <v>-1079.79</v>
      </c>
      <c r="BV34" s="324" t="str">
        <f>+SpcDB!F60</f>
        <v>NA</v>
      </c>
      <c r="BW34" s="325">
        <f>+SpcDB!G60</f>
        <v>0.79385906040268439</v>
      </c>
      <c r="BX34" s="324">
        <f>+SpcDB!H60</f>
        <v>4</v>
      </c>
      <c r="BY34" s="324">
        <f>+SpcDB!I60</f>
        <v>4</v>
      </c>
      <c r="BZ34" s="324">
        <f>+SpcDB!J60</f>
        <v>5</v>
      </c>
      <c r="CA34" s="324">
        <f>+SpcDB!K60</f>
        <v>0</v>
      </c>
      <c r="CB34" s="324">
        <f>+SpcDB!L60</f>
        <v>0</v>
      </c>
      <c r="CC34" s="324">
        <f>+SpcDB!M60</f>
        <v>0</v>
      </c>
      <c r="CD34" s="324">
        <f>+SpcDB!N60</f>
        <v>0</v>
      </c>
      <c r="CE34" s="324">
        <f>+SpcDB!O60</f>
        <v>0</v>
      </c>
      <c r="CF34" s="324">
        <f>+SpcDB!P60</f>
        <v>0</v>
      </c>
      <c r="CG34" s="324">
        <f>+SpcDB!Q60</f>
        <v>0</v>
      </c>
      <c r="CH34" s="324">
        <f>+SpcDB!R60</f>
        <v>0</v>
      </c>
      <c r="CI34" s="324">
        <f>+SpcDB!S60</f>
        <v>0</v>
      </c>
      <c r="CJ34" s="324">
        <f>+SpcDB!T60</f>
        <v>0</v>
      </c>
      <c r="CK34" s="324">
        <f>+SpcDB!U60</f>
        <v>-2</v>
      </c>
      <c r="CL34" s="301">
        <f>SpcDB!V27</f>
        <v>87</v>
      </c>
      <c r="CM34" s="301">
        <f t="shared" si="6"/>
        <v>12</v>
      </c>
      <c r="CN34" s="345">
        <f t="shared" si="7"/>
        <v>2.5</v>
      </c>
      <c r="CO34" s="295"/>
      <c r="CP34" s="332"/>
      <c r="CQ34" s="332"/>
      <c r="CR34" s="344">
        <v>8.5559999999999992</v>
      </c>
      <c r="CS34" s="327"/>
      <c r="CT34" s="327"/>
      <c r="CU34" s="329">
        <f>10^-CR34</f>
        <v>2.7797132677592868E-9</v>
      </c>
    </row>
    <row r="35" spans="1:99" ht="15" customHeight="1" x14ac:dyDescent="0.3">
      <c r="A35" s="630" t="s">
        <v>710</v>
      </c>
      <c r="B35" s="630" t="s">
        <v>711</v>
      </c>
      <c r="C35" s="630" t="s">
        <v>750</v>
      </c>
      <c r="D35" s="301" t="str">
        <f t="shared" si="1"/>
        <v>OAA2-</v>
      </c>
      <c r="E35" s="302">
        <f t="shared" si="2"/>
        <v>-788.2496495052826</v>
      </c>
      <c r="F35" s="301">
        <f t="shared" si="3"/>
        <v>-2</v>
      </c>
      <c r="G35" s="301">
        <f>ProDegPaths!CL35</f>
        <v>130</v>
      </c>
      <c r="H35" s="301">
        <f>ProDegPaths!CM35</f>
        <v>10</v>
      </c>
      <c r="I35" s="330">
        <f>ProDegPaths!CN35</f>
        <v>2</v>
      </c>
      <c r="J35" s="627" t="s">
        <v>754</v>
      </c>
      <c r="L35" s="304" t="s">
        <v>38</v>
      </c>
      <c r="M35" s="305" t="s">
        <v>38</v>
      </c>
      <c r="N35" s="306">
        <f t="shared" si="8"/>
        <v>1E-3</v>
      </c>
      <c r="O35" s="307">
        <f t="shared" si="4"/>
        <v>1</v>
      </c>
      <c r="P35" s="308">
        <v>3.1478949896279782E-20</v>
      </c>
      <c r="Q35" s="309">
        <v>1E-3</v>
      </c>
      <c r="R35" s="327">
        <v>0</v>
      </c>
      <c r="S35" s="331">
        <f t="shared" si="9"/>
        <v>-805.9470360028439</v>
      </c>
      <c r="T35" s="647"/>
      <c r="U35" s="271">
        <v>0</v>
      </c>
      <c r="V35" s="312">
        <v>0</v>
      </c>
      <c r="W35" s="332">
        <v>0</v>
      </c>
      <c r="X35" s="332">
        <v>0</v>
      </c>
      <c r="Y35" s="332">
        <v>0</v>
      </c>
      <c r="Z35" s="332">
        <v>-1</v>
      </c>
      <c r="AA35" s="332">
        <v>0</v>
      </c>
      <c r="AB35" s="332">
        <v>0</v>
      </c>
      <c r="AC35" s="332">
        <v>0</v>
      </c>
      <c r="AD35" s="332">
        <v>0</v>
      </c>
      <c r="AE35" s="332">
        <v>0</v>
      </c>
      <c r="AF35" s="332">
        <v>1</v>
      </c>
      <c r="AG35" s="332">
        <v>1</v>
      </c>
      <c r="AH35" s="332">
        <v>-1</v>
      </c>
      <c r="AI35" s="332">
        <v>0</v>
      </c>
      <c r="AJ35" s="332">
        <v>0</v>
      </c>
      <c r="AK35" s="332">
        <v>0</v>
      </c>
      <c r="AL35" s="332">
        <v>0</v>
      </c>
      <c r="AM35" s="333">
        <v>0</v>
      </c>
      <c r="AN35" s="333">
        <v>0</v>
      </c>
      <c r="AO35" s="333">
        <v>0</v>
      </c>
      <c r="AP35" s="333">
        <v>0</v>
      </c>
      <c r="AQ35" s="333">
        <v>0</v>
      </c>
      <c r="AR35" s="333">
        <v>0</v>
      </c>
      <c r="AS35" s="332">
        <v>0</v>
      </c>
      <c r="AT35" s="334">
        <v>0</v>
      </c>
      <c r="AU35" s="335">
        <v>0</v>
      </c>
      <c r="AV35" s="335">
        <v>0</v>
      </c>
      <c r="AW35" s="335">
        <v>0</v>
      </c>
      <c r="AX35" s="335">
        <v>0</v>
      </c>
      <c r="AY35" s="336">
        <v>0</v>
      </c>
      <c r="AZ35" s="337">
        <f t="array" ref="AZ35">SUM((IF($V$20:$AY$20&gt;0,1,0)*V35:AY35))</f>
        <v>0</v>
      </c>
      <c r="BA35" s="319"/>
      <c r="BB35" s="295"/>
      <c r="BD35" s="338">
        <v>0</v>
      </c>
      <c r="BE35" s="339">
        <v>0</v>
      </c>
      <c r="BF35" s="339">
        <v>0</v>
      </c>
      <c r="BG35" s="339">
        <v>0</v>
      </c>
      <c r="BH35" s="333">
        <v>0</v>
      </c>
      <c r="BI35" s="340">
        <v>0</v>
      </c>
      <c r="BJ35" s="340">
        <v>0</v>
      </c>
      <c r="BK35" s="340">
        <v>0</v>
      </c>
      <c r="BL35" s="340">
        <v>0</v>
      </c>
      <c r="BM35" s="301"/>
      <c r="BN35" s="295"/>
      <c r="BQ35" s="324" t="str">
        <f>+SpcDB!A76</f>
        <v>Oxaloacetate</v>
      </c>
      <c r="BR35" s="324" t="str">
        <f>+SpcDB!B76</f>
        <v>OAA2-</v>
      </c>
      <c r="BS35" s="324" t="str">
        <f>+SpcDB!C76</f>
        <v>C4H2O52-</v>
      </c>
      <c r="BT35" s="324">
        <f>+SpcDB!D76</f>
        <v>-793.82</v>
      </c>
      <c r="BU35" s="324">
        <f>+SpcDB!E76</f>
        <v>-959.9</v>
      </c>
      <c r="BV35" s="324" t="str">
        <f>+SpcDB!F76</f>
        <v>NA</v>
      </c>
      <c r="BW35" s="325">
        <f>+SpcDB!G76</f>
        <v>0.55731543624161051</v>
      </c>
      <c r="BX35" s="324">
        <f>+SpcDB!H76</f>
        <v>4</v>
      </c>
      <c r="BY35" s="324">
        <f>+SpcDB!I76</f>
        <v>2</v>
      </c>
      <c r="BZ35" s="324">
        <f>+SpcDB!J76</f>
        <v>5</v>
      </c>
      <c r="CA35" s="324">
        <f>+SpcDB!K76</f>
        <v>0</v>
      </c>
      <c r="CB35" s="324">
        <f>+SpcDB!L76</f>
        <v>0</v>
      </c>
      <c r="CC35" s="324">
        <f>+SpcDB!M76</f>
        <v>0</v>
      </c>
      <c r="CD35" s="324">
        <f>+SpcDB!N76</f>
        <v>0</v>
      </c>
      <c r="CE35" s="324">
        <f>+SpcDB!O76</f>
        <v>0</v>
      </c>
      <c r="CF35" s="324">
        <f>+SpcDB!P76</f>
        <v>0</v>
      </c>
      <c r="CG35" s="324">
        <f>+SpcDB!Q76</f>
        <v>0</v>
      </c>
      <c r="CH35" s="324">
        <f>+SpcDB!R76</f>
        <v>0</v>
      </c>
      <c r="CI35" s="324">
        <f>+SpcDB!S76</f>
        <v>0</v>
      </c>
      <c r="CJ35" s="324">
        <f>+SpcDB!T76</f>
        <v>0</v>
      </c>
      <c r="CK35" s="324">
        <f>+SpcDB!U76</f>
        <v>-2</v>
      </c>
      <c r="CL35" s="301">
        <f t="shared" ref="CL35:CL52" si="10">+SUMPRODUCT(BX35:CK35,$BX$66:$CK$66)</f>
        <v>130</v>
      </c>
      <c r="CM35" s="301">
        <f t="shared" si="6"/>
        <v>10</v>
      </c>
      <c r="CN35" s="342">
        <f t="shared" si="7"/>
        <v>2</v>
      </c>
      <c r="CO35" s="295"/>
      <c r="CP35" s="332"/>
      <c r="CQ35" s="332"/>
      <c r="CR35" s="344">
        <v>5.516</v>
      </c>
      <c r="CS35" s="327"/>
      <c r="CT35" s="327"/>
      <c r="CU35" s="329">
        <f>10^-CR35</f>
        <v>3.0478949896279792E-6</v>
      </c>
    </row>
    <row r="36" spans="1:99" ht="15" customHeight="1" x14ac:dyDescent="0.3">
      <c r="A36" s="630" t="s">
        <v>710</v>
      </c>
      <c r="B36" s="630" t="s">
        <v>711</v>
      </c>
      <c r="C36" s="630" t="s">
        <v>750</v>
      </c>
      <c r="D36" s="301" t="str">
        <f t="shared" si="1"/>
        <v>Pyr-</v>
      </c>
      <c r="E36" s="302">
        <f t="shared" si="2"/>
        <v>-468.11269662921347</v>
      </c>
      <c r="F36" s="301">
        <f t="shared" si="3"/>
        <v>-1</v>
      </c>
      <c r="G36" s="301">
        <f>ProDegPaths!CL36</f>
        <v>87</v>
      </c>
      <c r="H36" s="301">
        <f>ProDegPaths!CM36</f>
        <v>10</v>
      </c>
      <c r="I36" s="330">
        <f>ProDegPaths!CN36</f>
        <v>3</v>
      </c>
      <c r="J36" s="627" t="s">
        <v>754</v>
      </c>
      <c r="L36" s="304" t="s">
        <v>38</v>
      </c>
      <c r="M36" s="305" t="s">
        <v>38</v>
      </c>
      <c r="N36" s="306">
        <f t="shared" si="8"/>
        <v>1E-3</v>
      </c>
      <c r="O36" s="307">
        <f t="shared" si="4"/>
        <v>1</v>
      </c>
      <c r="P36" s="308">
        <v>9.9999999999999972E-22</v>
      </c>
      <c r="Q36" s="309">
        <v>1E-3</v>
      </c>
      <c r="R36" s="327">
        <v>0</v>
      </c>
      <c r="S36" s="331">
        <f t="shared" si="9"/>
        <v>-485.81008312677477</v>
      </c>
      <c r="T36" s="647"/>
      <c r="U36" s="271">
        <v>0</v>
      </c>
      <c r="V36" s="312">
        <v>0</v>
      </c>
      <c r="W36" s="332">
        <v>0</v>
      </c>
      <c r="X36" s="332">
        <v>0</v>
      </c>
      <c r="Y36" s="332">
        <v>0</v>
      </c>
      <c r="Z36" s="332">
        <v>1</v>
      </c>
      <c r="AA36" s="332">
        <v>0</v>
      </c>
      <c r="AB36" s="332">
        <v>0</v>
      </c>
      <c r="AC36" s="332">
        <v>0</v>
      </c>
      <c r="AD36" s="332">
        <v>0</v>
      </c>
      <c r="AE36" s="332">
        <v>0</v>
      </c>
      <c r="AF36" s="332">
        <v>0</v>
      </c>
      <c r="AG36" s="332">
        <v>0</v>
      </c>
      <c r="AH36" s="332">
        <v>1</v>
      </c>
      <c r="AI36" s="332">
        <v>-1</v>
      </c>
      <c r="AJ36" s="332">
        <v>0</v>
      </c>
      <c r="AK36" s="332">
        <v>0</v>
      </c>
      <c r="AL36" s="332">
        <v>0</v>
      </c>
      <c r="AM36" s="333">
        <v>0</v>
      </c>
      <c r="AN36" s="333">
        <v>1</v>
      </c>
      <c r="AO36" s="333">
        <v>0</v>
      </c>
      <c r="AP36" s="333">
        <v>0</v>
      </c>
      <c r="AQ36" s="333">
        <v>0</v>
      </c>
      <c r="AR36" s="333">
        <v>0</v>
      </c>
      <c r="AS36" s="332">
        <v>0</v>
      </c>
      <c r="AT36" s="334">
        <v>0</v>
      </c>
      <c r="AU36" s="335">
        <v>0</v>
      </c>
      <c r="AV36" s="335">
        <v>0</v>
      </c>
      <c r="AW36" s="335">
        <v>0</v>
      </c>
      <c r="AX36" s="335">
        <v>0</v>
      </c>
      <c r="AY36" s="336">
        <v>0</v>
      </c>
      <c r="AZ36" s="337">
        <f t="array" ref="AZ36">SUM((IF($V$20:$AY$20&gt;0,1,0)*V36:AY36))</f>
        <v>0</v>
      </c>
      <c r="BA36" s="319"/>
      <c r="BB36" s="295"/>
      <c r="BD36" s="338">
        <v>0</v>
      </c>
      <c r="BE36" s="339">
        <v>0</v>
      </c>
      <c r="BF36" s="339">
        <v>0</v>
      </c>
      <c r="BG36" s="339">
        <v>0</v>
      </c>
      <c r="BH36" s="333">
        <v>0</v>
      </c>
      <c r="BI36" s="340">
        <v>0</v>
      </c>
      <c r="BJ36" s="340">
        <v>0</v>
      </c>
      <c r="BK36" s="340">
        <v>0</v>
      </c>
      <c r="BL36" s="340">
        <v>0</v>
      </c>
      <c r="BM36" s="301"/>
      <c r="BN36" s="295"/>
      <c r="BQ36" s="324" t="str">
        <f>+SpcDB!A89</f>
        <v>Pyruvate</v>
      </c>
      <c r="BR36" s="324" t="str">
        <f>+SpcDB!B89</f>
        <v>Pyr-</v>
      </c>
      <c r="BS36" s="324" t="str">
        <f>+SpcDB!C89</f>
        <v>C3H3O3-</v>
      </c>
      <c r="BT36" s="324">
        <f>+SpcDB!D89</f>
        <v>-472.27</v>
      </c>
      <c r="BU36" s="324">
        <f>+SpcDB!E89</f>
        <v>-596.22</v>
      </c>
      <c r="BV36" s="324" t="str">
        <f>+SpcDB!F89</f>
        <v>NA</v>
      </c>
      <c r="BW36" s="325">
        <f>+SpcDB!G89</f>
        <v>0.41593959731543639</v>
      </c>
      <c r="BX36" s="324">
        <f>+SpcDB!H89</f>
        <v>3</v>
      </c>
      <c r="BY36" s="324">
        <f>+SpcDB!I89</f>
        <v>3</v>
      </c>
      <c r="BZ36" s="324">
        <f>+SpcDB!J89</f>
        <v>3</v>
      </c>
      <c r="CA36" s="324">
        <f>+SpcDB!K89</f>
        <v>0</v>
      </c>
      <c r="CB36" s="324">
        <f>+SpcDB!L89</f>
        <v>0</v>
      </c>
      <c r="CC36" s="324">
        <f>+SpcDB!M89</f>
        <v>0</v>
      </c>
      <c r="CD36" s="324">
        <f>+SpcDB!N89</f>
        <v>0</v>
      </c>
      <c r="CE36" s="324">
        <f>+SpcDB!O89</f>
        <v>0</v>
      </c>
      <c r="CF36" s="324">
        <f>+SpcDB!P89</f>
        <v>0</v>
      </c>
      <c r="CG36" s="324">
        <f>+SpcDB!Q89</f>
        <v>0</v>
      </c>
      <c r="CH36" s="324">
        <f>+SpcDB!R89</f>
        <v>0</v>
      </c>
      <c r="CI36" s="324">
        <f>+SpcDB!S89</f>
        <v>0</v>
      </c>
      <c r="CJ36" s="324">
        <f>+SpcDB!T89</f>
        <v>0</v>
      </c>
      <c r="CK36" s="324">
        <f>+SpcDB!U89</f>
        <v>-1</v>
      </c>
      <c r="CL36" s="301">
        <f t="shared" si="10"/>
        <v>87</v>
      </c>
      <c r="CM36" s="301">
        <f t="shared" si="6"/>
        <v>10</v>
      </c>
      <c r="CN36" s="342">
        <f t="shared" si="7"/>
        <v>3</v>
      </c>
      <c r="CO36" s="295"/>
      <c r="CP36" s="332"/>
      <c r="CQ36" s="332"/>
      <c r="CR36" s="332"/>
      <c r="CS36" s="327"/>
      <c r="CT36" s="327"/>
      <c r="CU36" s="327"/>
    </row>
    <row r="37" spans="1:99" ht="15" customHeight="1" x14ac:dyDescent="0.3">
      <c r="A37" s="630" t="s">
        <v>710</v>
      </c>
      <c r="B37" s="630" t="s">
        <v>103</v>
      </c>
      <c r="C37" s="630" t="s">
        <v>750</v>
      </c>
      <c r="D37" s="301" t="str">
        <f t="shared" si="1"/>
        <v>HydroxPro-CoA</v>
      </c>
      <c r="E37" s="302">
        <f t="shared" si="2"/>
        <v>-280.67298339761862</v>
      </c>
      <c r="F37" s="301">
        <f t="shared" si="3"/>
        <v>0</v>
      </c>
      <c r="G37" s="301">
        <f>ProDegPaths!CL37</f>
        <v>73</v>
      </c>
      <c r="H37" s="301">
        <f>ProDegPaths!CM37</f>
        <v>13</v>
      </c>
      <c r="I37" s="303">
        <f>ProDegPaths!CN37</f>
        <v>4.333333333333333</v>
      </c>
      <c r="J37" s="626" t="s">
        <v>754</v>
      </c>
      <c r="K37" s="343"/>
      <c r="L37" s="304" t="s">
        <v>38</v>
      </c>
      <c r="M37" s="305" t="s">
        <v>38</v>
      </c>
      <c r="N37" s="306">
        <f t="shared" si="8"/>
        <v>1E-3</v>
      </c>
      <c r="O37" s="307">
        <f t="shared" si="4"/>
        <v>1</v>
      </c>
      <c r="P37" s="308">
        <v>9.9999999999999972E-22</v>
      </c>
      <c r="Q37" s="309">
        <v>1E-3</v>
      </c>
      <c r="R37" s="327">
        <v>0</v>
      </c>
      <c r="S37" s="331">
        <f t="shared" si="9"/>
        <v>-298.37036989517992</v>
      </c>
      <c r="T37" s="647"/>
      <c r="U37" s="271">
        <v>0</v>
      </c>
      <c r="V37" s="312">
        <v>0</v>
      </c>
      <c r="W37" s="332">
        <v>0</v>
      </c>
      <c r="X37" s="332">
        <v>0</v>
      </c>
      <c r="Y37" s="332">
        <v>0</v>
      </c>
      <c r="Z37" s="332">
        <v>0</v>
      </c>
      <c r="AA37" s="332">
        <v>0</v>
      </c>
      <c r="AB37" s="332">
        <v>0</v>
      </c>
      <c r="AC37" s="332">
        <v>0</v>
      </c>
      <c r="AD37" s="332">
        <v>0</v>
      </c>
      <c r="AE37" s="332">
        <v>0</v>
      </c>
      <c r="AF37" s="332">
        <v>0</v>
      </c>
      <c r="AG37" s="332">
        <v>0</v>
      </c>
      <c r="AH37" s="332">
        <v>0</v>
      </c>
      <c r="AI37" s="332">
        <v>0</v>
      </c>
      <c r="AJ37" s="332">
        <v>0</v>
      </c>
      <c r="AK37" s="332">
        <v>0</v>
      </c>
      <c r="AL37" s="332">
        <v>0</v>
      </c>
      <c r="AM37" s="333">
        <v>0</v>
      </c>
      <c r="AN37" s="333">
        <v>0</v>
      </c>
      <c r="AO37" s="333">
        <v>1</v>
      </c>
      <c r="AP37" s="333">
        <v>-1</v>
      </c>
      <c r="AQ37" s="333">
        <v>0</v>
      </c>
      <c r="AR37" s="333">
        <v>0</v>
      </c>
      <c r="AS37" s="332">
        <v>0</v>
      </c>
      <c r="AT37" s="334">
        <v>0</v>
      </c>
      <c r="AU37" s="335">
        <v>0</v>
      </c>
      <c r="AV37" s="335">
        <v>0</v>
      </c>
      <c r="AW37" s="335">
        <v>0</v>
      </c>
      <c r="AX37" s="335">
        <v>0</v>
      </c>
      <c r="AY37" s="336">
        <v>0</v>
      </c>
      <c r="AZ37" s="337">
        <f t="array" ref="AZ37">SUM((IF($V$20:$AY$20&gt;0,1,0)*V37:AY37))</f>
        <v>0</v>
      </c>
      <c r="BA37" s="319"/>
      <c r="BB37" s="295"/>
      <c r="BD37" s="338">
        <v>0</v>
      </c>
      <c r="BE37" s="339">
        <v>0</v>
      </c>
      <c r="BF37" s="339">
        <v>0</v>
      </c>
      <c r="BG37" s="339">
        <v>0</v>
      </c>
      <c r="BH37" s="333">
        <v>0</v>
      </c>
      <c r="BI37" s="340">
        <v>0</v>
      </c>
      <c r="BJ37" s="340">
        <v>0</v>
      </c>
      <c r="BK37" s="340">
        <v>0</v>
      </c>
      <c r="BL37" s="340">
        <v>0</v>
      </c>
      <c r="BM37" s="301"/>
      <c r="BN37" s="295"/>
      <c r="BQ37" s="324" t="str">
        <f>+SpcDB!A180</f>
        <v>Hydroxypropionyl-CoA</v>
      </c>
      <c r="BR37" s="324" t="str">
        <f>+SpcDB!B180</f>
        <v>HydroxPro-CoA</v>
      </c>
      <c r="BS37" s="324" t="str">
        <f>+SpcDB!C180</f>
        <v>C3H5O2-CoA</v>
      </c>
      <c r="BT37" s="324">
        <f>+SpcDB!D180</f>
        <v>-285</v>
      </c>
      <c r="BU37" s="341">
        <f>+SpcDB!E180</f>
        <v>-414.01</v>
      </c>
      <c r="BV37" s="324">
        <f>+SpcDB!F180</f>
        <v>0</v>
      </c>
      <c r="BW37" s="325">
        <f>+SpcDB!G180</f>
        <v>0.43291946308724827</v>
      </c>
      <c r="BX37" s="324">
        <f>+SpcDB!H180</f>
        <v>3</v>
      </c>
      <c r="BY37" s="324">
        <f>+SpcDB!I180</f>
        <v>5</v>
      </c>
      <c r="BZ37" s="324">
        <f>+SpcDB!J180</f>
        <v>2</v>
      </c>
      <c r="CA37" s="324">
        <f>+SpcDB!K180</f>
        <v>0</v>
      </c>
      <c r="CB37" s="324">
        <f>+SpcDB!L180</f>
        <v>0</v>
      </c>
      <c r="CC37" s="324">
        <f>+SpcDB!M180</f>
        <v>0</v>
      </c>
      <c r="CD37" s="324">
        <f>+SpcDB!N180</f>
        <v>0</v>
      </c>
      <c r="CE37" s="324">
        <f>+SpcDB!O180</f>
        <v>0</v>
      </c>
      <c r="CF37" s="324">
        <f>+SpcDB!P180</f>
        <v>0</v>
      </c>
      <c r="CG37" s="324">
        <f>+SpcDB!Q180</f>
        <v>0</v>
      </c>
      <c r="CH37" s="324">
        <f>+SpcDB!R180</f>
        <v>0</v>
      </c>
      <c r="CI37" s="324">
        <f>+SpcDB!S180</f>
        <v>1</v>
      </c>
      <c r="CJ37" s="324">
        <f>+SpcDB!T180</f>
        <v>0</v>
      </c>
      <c r="CK37" s="324">
        <f>+SpcDB!U180</f>
        <v>0</v>
      </c>
      <c r="CL37" s="301">
        <f t="shared" si="10"/>
        <v>73</v>
      </c>
      <c r="CM37" s="301">
        <f t="shared" si="6"/>
        <v>13</v>
      </c>
      <c r="CN37" s="342">
        <f t="shared" si="7"/>
        <v>4.333333333333333</v>
      </c>
      <c r="CO37" s="295"/>
      <c r="CP37" s="332"/>
      <c r="CQ37" s="332"/>
      <c r="CR37" s="332"/>
      <c r="CS37" s="327"/>
      <c r="CT37" s="327"/>
      <c r="CU37" s="327"/>
    </row>
    <row r="38" spans="1:99" ht="15" customHeight="1" x14ac:dyDescent="0.3">
      <c r="A38" s="630" t="s">
        <v>710</v>
      </c>
      <c r="B38" s="630" t="s">
        <v>711</v>
      </c>
      <c r="C38" s="630" t="s">
        <v>750</v>
      </c>
      <c r="D38" s="301" t="str">
        <f t="shared" si="1"/>
        <v>HydroxPro-</v>
      </c>
      <c r="E38" s="302">
        <f t="shared" si="2"/>
        <v>-512.66429649505278</v>
      </c>
      <c r="F38" s="301">
        <f t="shared" si="3"/>
        <v>-1</v>
      </c>
      <c r="G38" s="301">
        <f>ProDegPaths!CL38</f>
        <v>89</v>
      </c>
      <c r="H38" s="301">
        <f>ProDegPaths!CM38</f>
        <v>12</v>
      </c>
      <c r="I38" s="303">
        <f>ProDegPaths!CN38</f>
        <v>3.6666666666666665</v>
      </c>
      <c r="J38" s="626" t="s">
        <v>754</v>
      </c>
      <c r="L38" s="304" t="s">
        <v>38</v>
      </c>
      <c r="M38" s="305" t="s">
        <v>38</v>
      </c>
      <c r="N38" s="306">
        <f t="shared" si="8"/>
        <v>1E-3</v>
      </c>
      <c r="O38" s="307">
        <f t="shared" si="4"/>
        <v>1</v>
      </c>
      <c r="P38" s="308">
        <v>9.9999999999999972E-22</v>
      </c>
      <c r="Q38" s="309">
        <v>1E-3</v>
      </c>
      <c r="R38" s="327">
        <v>0</v>
      </c>
      <c r="S38" s="331">
        <f t="shared" si="9"/>
        <v>-530.36168299261408</v>
      </c>
      <c r="T38" s="647"/>
      <c r="U38" s="271">
        <v>0</v>
      </c>
      <c r="V38" s="312">
        <v>0</v>
      </c>
      <c r="W38" s="332">
        <v>0</v>
      </c>
      <c r="X38" s="332">
        <v>0</v>
      </c>
      <c r="Y38" s="332">
        <v>0</v>
      </c>
      <c r="Z38" s="332">
        <v>0</v>
      </c>
      <c r="AA38" s="332">
        <v>0</v>
      </c>
      <c r="AB38" s="332">
        <v>0</v>
      </c>
      <c r="AC38" s="332">
        <v>0</v>
      </c>
      <c r="AD38" s="332">
        <v>0</v>
      </c>
      <c r="AE38" s="332">
        <v>0</v>
      </c>
      <c r="AF38" s="332">
        <v>0</v>
      </c>
      <c r="AG38" s="332">
        <v>0</v>
      </c>
      <c r="AH38" s="332">
        <v>0</v>
      </c>
      <c r="AI38" s="332">
        <v>0</v>
      </c>
      <c r="AJ38" s="332">
        <v>0</v>
      </c>
      <c r="AK38" s="332">
        <v>0</v>
      </c>
      <c r="AL38" s="332">
        <v>0</v>
      </c>
      <c r="AM38" s="333">
        <v>0</v>
      </c>
      <c r="AN38" s="333">
        <v>0</v>
      </c>
      <c r="AO38" s="333">
        <v>0</v>
      </c>
      <c r="AP38" s="333">
        <v>1</v>
      </c>
      <c r="AQ38" s="333">
        <v>-1</v>
      </c>
      <c r="AR38" s="333">
        <v>0</v>
      </c>
      <c r="AS38" s="332">
        <v>0</v>
      </c>
      <c r="AT38" s="334">
        <v>0</v>
      </c>
      <c r="AU38" s="335">
        <v>0</v>
      </c>
      <c r="AV38" s="335">
        <v>0</v>
      </c>
      <c r="AW38" s="335">
        <v>0</v>
      </c>
      <c r="AX38" s="335">
        <v>0</v>
      </c>
      <c r="AY38" s="336">
        <v>0</v>
      </c>
      <c r="AZ38" s="337">
        <f t="array" ref="AZ38">SUM((IF($V$20:$AY$20&gt;0,1,0)*V38:AY38))</f>
        <v>0</v>
      </c>
      <c r="BA38" s="319"/>
      <c r="BB38" s="295"/>
      <c r="BD38" s="338">
        <v>0</v>
      </c>
      <c r="BE38" s="339">
        <v>0</v>
      </c>
      <c r="BF38" s="339">
        <v>0</v>
      </c>
      <c r="BG38" s="339">
        <v>0</v>
      </c>
      <c r="BH38" s="333">
        <v>0</v>
      </c>
      <c r="BI38" s="340">
        <v>0</v>
      </c>
      <c r="BJ38" s="340">
        <v>0</v>
      </c>
      <c r="BK38" s="340">
        <v>0</v>
      </c>
      <c r="BL38" s="340">
        <v>0</v>
      </c>
      <c r="BM38" s="301"/>
      <c r="BN38" s="295"/>
      <c r="BQ38" s="324" t="str">
        <f>+SpcDB!A179</f>
        <v>Hydroxypropionate</v>
      </c>
      <c r="BR38" s="324" t="str">
        <f>+SpcDB!B179</f>
        <v>HydroxPro-</v>
      </c>
      <c r="BS38" s="324" t="str">
        <f>+SpcDB!C179</f>
        <v>C3H5O3-</v>
      </c>
      <c r="BT38" s="324">
        <f>+SpcDB!D179</f>
        <v>-518.4</v>
      </c>
      <c r="BU38" s="341">
        <f>+SpcDB!E179</f>
        <v>-689.41000000000008</v>
      </c>
      <c r="BV38" s="324" t="str">
        <f>+SpcDB!F179</f>
        <v>NA</v>
      </c>
      <c r="BW38" s="325">
        <f>+SpcDB!G179</f>
        <v>0.57385906040268486</v>
      </c>
      <c r="BX38" s="324">
        <f>+SpcDB!H179</f>
        <v>3</v>
      </c>
      <c r="BY38" s="324">
        <f>+SpcDB!I179</f>
        <v>5</v>
      </c>
      <c r="BZ38" s="324">
        <f>+SpcDB!J179</f>
        <v>3</v>
      </c>
      <c r="CA38" s="324">
        <f>+SpcDB!K179</f>
        <v>0</v>
      </c>
      <c r="CB38" s="324">
        <f>+SpcDB!L179</f>
        <v>0</v>
      </c>
      <c r="CC38" s="324">
        <f>+SpcDB!M179</f>
        <v>0</v>
      </c>
      <c r="CD38" s="324">
        <f>+SpcDB!N179</f>
        <v>0</v>
      </c>
      <c r="CE38" s="324">
        <f>+SpcDB!O179</f>
        <v>0</v>
      </c>
      <c r="CF38" s="324">
        <f>+SpcDB!P179</f>
        <v>0</v>
      </c>
      <c r="CG38" s="324">
        <f>+SpcDB!Q179</f>
        <v>0</v>
      </c>
      <c r="CH38" s="324">
        <f>+SpcDB!R179</f>
        <v>0</v>
      </c>
      <c r="CI38" s="324">
        <f>+SpcDB!S179</f>
        <v>0</v>
      </c>
      <c r="CJ38" s="324">
        <f>+SpcDB!T179</f>
        <v>0</v>
      </c>
      <c r="CK38" s="324">
        <f>+SpcDB!U179</f>
        <v>-1</v>
      </c>
      <c r="CL38" s="301">
        <f t="shared" si="10"/>
        <v>89</v>
      </c>
      <c r="CM38" s="301">
        <f t="shared" si="6"/>
        <v>12</v>
      </c>
      <c r="CN38" s="342">
        <f t="shared" si="7"/>
        <v>3.6666666666666665</v>
      </c>
      <c r="CO38" s="295"/>
      <c r="CP38" s="332"/>
      <c r="CQ38" s="332"/>
      <c r="CR38" s="332"/>
      <c r="CS38" s="327"/>
      <c r="CT38" s="327"/>
      <c r="CU38" s="327"/>
    </row>
    <row r="39" spans="1:99" ht="15" customHeight="1" x14ac:dyDescent="0.3">
      <c r="A39" s="630" t="s">
        <v>710</v>
      </c>
      <c r="B39" s="630" t="s">
        <v>711</v>
      </c>
      <c r="C39" s="630" t="s">
        <v>750</v>
      </c>
      <c r="D39" s="301" t="str">
        <f t="shared" si="1"/>
        <v>Malon Semiald</v>
      </c>
      <c r="E39" s="302">
        <f t="shared" si="2"/>
        <v>-466.29662921348313</v>
      </c>
      <c r="F39" s="301">
        <f t="shared" si="3"/>
        <v>-1</v>
      </c>
      <c r="G39" s="301">
        <f>ProDegPaths!CL39</f>
        <v>87</v>
      </c>
      <c r="H39" s="301">
        <f>ProDegPaths!CM39</f>
        <v>10</v>
      </c>
      <c r="I39" s="330">
        <f>ProDegPaths!CN39</f>
        <v>3</v>
      </c>
      <c r="J39" s="627" t="s">
        <v>754</v>
      </c>
      <c r="L39" s="304" t="s">
        <v>38</v>
      </c>
      <c r="M39" s="305" t="s">
        <v>38</v>
      </c>
      <c r="N39" s="306">
        <f t="shared" si="8"/>
        <v>1E-3</v>
      </c>
      <c r="O39" s="307">
        <f t="shared" si="4"/>
        <v>1</v>
      </c>
      <c r="P39" s="308">
        <v>9.9999999999999972E-22</v>
      </c>
      <c r="Q39" s="309">
        <v>1E-3</v>
      </c>
      <c r="R39" s="327">
        <v>0</v>
      </c>
      <c r="S39" s="331">
        <f t="shared" si="9"/>
        <v>-483.99401571104443</v>
      </c>
      <c r="T39" s="647"/>
      <c r="U39" s="271">
        <v>0</v>
      </c>
      <c r="V39" s="312">
        <v>0</v>
      </c>
      <c r="W39" s="332">
        <v>0</v>
      </c>
      <c r="X39" s="332">
        <v>0</v>
      </c>
      <c r="Y39" s="332">
        <v>0</v>
      </c>
      <c r="Z39" s="332">
        <v>0</v>
      </c>
      <c r="AA39" s="332">
        <v>0</v>
      </c>
      <c r="AB39" s="332">
        <v>0</v>
      </c>
      <c r="AC39" s="332">
        <v>0</v>
      </c>
      <c r="AD39" s="332">
        <v>0</v>
      </c>
      <c r="AE39" s="332">
        <v>0</v>
      </c>
      <c r="AF39" s="332">
        <v>0</v>
      </c>
      <c r="AG39" s="332">
        <v>0</v>
      </c>
      <c r="AH39" s="332">
        <v>0</v>
      </c>
      <c r="AI39" s="332">
        <v>0</v>
      </c>
      <c r="AJ39" s="332">
        <v>0</v>
      </c>
      <c r="AK39" s="332">
        <v>0</v>
      </c>
      <c r="AL39" s="332">
        <v>0</v>
      </c>
      <c r="AM39" s="333">
        <v>0</v>
      </c>
      <c r="AN39" s="333">
        <v>0</v>
      </c>
      <c r="AO39" s="333">
        <v>0</v>
      </c>
      <c r="AP39" s="333">
        <v>0</v>
      </c>
      <c r="AQ39" s="333">
        <v>1</v>
      </c>
      <c r="AR39" s="333">
        <v>-1</v>
      </c>
      <c r="AS39" s="332">
        <v>0</v>
      </c>
      <c r="AT39" s="334">
        <v>0</v>
      </c>
      <c r="AU39" s="335">
        <v>0</v>
      </c>
      <c r="AV39" s="335">
        <v>0</v>
      </c>
      <c r="AW39" s="335">
        <v>0</v>
      </c>
      <c r="AX39" s="335">
        <v>0</v>
      </c>
      <c r="AY39" s="336">
        <v>0</v>
      </c>
      <c r="AZ39" s="337">
        <f t="array" ref="AZ39">SUM((IF($V$20:$AY$20&gt;0,1,0)*V39:AY39))</f>
        <v>0</v>
      </c>
      <c r="BA39" s="319"/>
      <c r="BB39" s="295"/>
      <c r="BD39" s="338">
        <v>0</v>
      </c>
      <c r="BE39" s="339">
        <v>0</v>
      </c>
      <c r="BF39" s="339">
        <v>0</v>
      </c>
      <c r="BG39" s="339">
        <v>0</v>
      </c>
      <c r="BH39" s="333">
        <v>0</v>
      </c>
      <c r="BI39" s="340">
        <v>0</v>
      </c>
      <c r="BJ39" s="340">
        <v>0</v>
      </c>
      <c r="BK39" s="340">
        <v>0</v>
      </c>
      <c r="BL39" s="340">
        <v>0</v>
      </c>
      <c r="BM39" s="301"/>
      <c r="BN39" s="295"/>
      <c r="BQ39" s="324" t="str">
        <f>+SpcDB!A199</f>
        <v>Malonate semialdehyde</v>
      </c>
      <c r="BR39" s="324" t="str">
        <f>+SpcDB!B199</f>
        <v>Malon Semiald</v>
      </c>
      <c r="BS39" s="324" t="str">
        <f>+SpcDB!C199</f>
        <v>C3H3O3-</v>
      </c>
      <c r="BT39" s="324">
        <f>+SpcDB!D199</f>
        <v>-477.6</v>
      </c>
      <c r="BU39" s="341">
        <f>+SpcDB!E199</f>
        <v>-814.61</v>
      </c>
      <c r="BV39" s="324" t="str">
        <f>+SpcDB!F199</f>
        <v>NA</v>
      </c>
      <c r="BW39" s="325">
        <f>+SpcDB!G199</f>
        <v>1.1309060402684563</v>
      </c>
      <c r="BX39" s="324">
        <f>+SpcDB!H199</f>
        <v>3</v>
      </c>
      <c r="BY39" s="324">
        <f>+SpcDB!I199</f>
        <v>3</v>
      </c>
      <c r="BZ39" s="324">
        <f>+SpcDB!J199</f>
        <v>3</v>
      </c>
      <c r="CA39" s="324">
        <f>+SpcDB!K199</f>
        <v>0</v>
      </c>
      <c r="CB39" s="324">
        <f>+SpcDB!L199</f>
        <v>0</v>
      </c>
      <c r="CC39" s="324">
        <f>+SpcDB!M199</f>
        <v>0</v>
      </c>
      <c r="CD39" s="324">
        <f>+SpcDB!N199</f>
        <v>0</v>
      </c>
      <c r="CE39" s="324">
        <f>+SpcDB!O199</f>
        <v>0</v>
      </c>
      <c r="CF39" s="324">
        <f>+SpcDB!P199</f>
        <v>0</v>
      </c>
      <c r="CG39" s="324">
        <f>+SpcDB!Q199</f>
        <v>0</v>
      </c>
      <c r="CH39" s="324">
        <f>+SpcDB!R199</f>
        <v>0</v>
      </c>
      <c r="CI39" s="324">
        <f>+SpcDB!S199</f>
        <v>0</v>
      </c>
      <c r="CJ39" s="324">
        <f>+SpcDB!T199</f>
        <v>0</v>
      </c>
      <c r="CK39" s="324">
        <f>+SpcDB!U199</f>
        <v>-1</v>
      </c>
      <c r="CL39" s="301">
        <f t="shared" si="10"/>
        <v>87</v>
      </c>
      <c r="CM39" s="301">
        <f t="shared" si="6"/>
        <v>10</v>
      </c>
      <c r="CN39" s="342">
        <f t="shared" si="7"/>
        <v>3</v>
      </c>
      <c r="CO39" s="295"/>
      <c r="CP39" s="332"/>
      <c r="CQ39" s="332"/>
      <c r="CR39" s="332"/>
      <c r="CS39" s="327"/>
      <c r="CT39" s="327"/>
      <c r="CU39" s="327"/>
    </row>
    <row r="40" spans="1:99" ht="15" customHeight="1" x14ac:dyDescent="0.3">
      <c r="A40" s="630" t="s">
        <v>710</v>
      </c>
      <c r="B40" s="630" t="s">
        <v>103</v>
      </c>
      <c r="C40" s="630" t="s">
        <v>750</v>
      </c>
      <c r="D40" s="301" t="str">
        <f t="shared" si="1"/>
        <v>OxoPro-CoA</v>
      </c>
      <c r="E40" s="302">
        <f t="shared" si="2"/>
        <v>-235.02879423109181</v>
      </c>
      <c r="F40" s="301">
        <f t="shared" si="3"/>
        <v>0</v>
      </c>
      <c r="G40" s="301">
        <f>ProDegPaths!CL40</f>
        <v>71</v>
      </c>
      <c r="H40" s="301">
        <f>ProDegPaths!CM40</f>
        <v>11</v>
      </c>
      <c r="I40" s="303">
        <f>ProDegPaths!CN40</f>
        <v>3.6666666666666665</v>
      </c>
      <c r="J40" s="626" t="s">
        <v>754</v>
      </c>
      <c r="L40" s="304" t="s">
        <v>38</v>
      </c>
      <c r="M40" s="305" t="s">
        <v>38</v>
      </c>
      <c r="N40" s="306">
        <f t="shared" si="8"/>
        <v>1E-3</v>
      </c>
      <c r="O40" s="307">
        <f t="shared" si="4"/>
        <v>1</v>
      </c>
      <c r="P40" s="308">
        <v>9.9999999999999972E-22</v>
      </c>
      <c r="Q40" s="309">
        <v>1E-3</v>
      </c>
      <c r="R40" s="327">
        <v>0</v>
      </c>
      <c r="S40" s="331">
        <f t="shared" si="9"/>
        <v>-252.72618072865313</v>
      </c>
      <c r="T40" s="647"/>
      <c r="U40" s="271">
        <v>0</v>
      </c>
      <c r="V40" s="312">
        <v>0</v>
      </c>
      <c r="W40" s="332">
        <v>0</v>
      </c>
      <c r="X40" s="332">
        <v>0</v>
      </c>
      <c r="Y40" s="332">
        <v>0</v>
      </c>
      <c r="Z40" s="332">
        <v>0</v>
      </c>
      <c r="AA40" s="332">
        <v>0</v>
      </c>
      <c r="AB40" s="332">
        <v>0</v>
      </c>
      <c r="AC40" s="332">
        <v>0</v>
      </c>
      <c r="AD40" s="332">
        <v>0</v>
      </c>
      <c r="AE40" s="332">
        <v>0</v>
      </c>
      <c r="AF40" s="332">
        <v>0</v>
      </c>
      <c r="AG40" s="332">
        <v>0</v>
      </c>
      <c r="AH40" s="332">
        <v>0</v>
      </c>
      <c r="AI40" s="332">
        <v>0</v>
      </c>
      <c r="AJ40" s="332">
        <v>0</v>
      </c>
      <c r="AK40" s="332">
        <v>0</v>
      </c>
      <c r="AL40" s="332">
        <v>0</v>
      </c>
      <c r="AM40" s="333">
        <v>0</v>
      </c>
      <c r="AN40" s="333">
        <v>0</v>
      </c>
      <c r="AO40" s="333">
        <v>0</v>
      </c>
      <c r="AP40" s="333">
        <v>0</v>
      </c>
      <c r="AQ40" s="333">
        <v>0</v>
      </c>
      <c r="AR40" s="333">
        <v>0</v>
      </c>
      <c r="AS40" s="332">
        <v>0</v>
      </c>
      <c r="AT40" s="334">
        <v>0</v>
      </c>
      <c r="AU40" s="335">
        <v>0</v>
      </c>
      <c r="AV40" s="335">
        <v>0</v>
      </c>
      <c r="AW40" s="335">
        <v>0</v>
      </c>
      <c r="AX40" s="335">
        <v>0</v>
      </c>
      <c r="AY40" s="336">
        <v>0</v>
      </c>
      <c r="AZ40" s="337">
        <f t="array" ref="AZ40">SUM((IF($V$20:$AY$20&gt;0,1,0)*V40:AY40))</f>
        <v>0</v>
      </c>
      <c r="BA40" s="319"/>
      <c r="BB40" s="295"/>
      <c r="BD40" s="338">
        <v>0</v>
      </c>
      <c r="BE40" s="339">
        <v>0</v>
      </c>
      <c r="BF40" s="339">
        <v>0</v>
      </c>
      <c r="BG40" s="339">
        <v>0</v>
      </c>
      <c r="BH40" s="333">
        <v>0</v>
      </c>
      <c r="BI40" s="340">
        <v>0</v>
      </c>
      <c r="BJ40" s="340">
        <v>0</v>
      </c>
      <c r="BK40" s="340">
        <v>0</v>
      </c>
      <c r="BL40" s="340">
        <v>0</v>
      </c>
      <c r="BM40" s="301"/>
      <c r="BN40" s="295"/>
      <c r="BQ40" s="324" t="str">
        <f>+SpcDB!A222</f>
        <v>Oxopropionyl-CoA</v>
      </c>
      <c r="BR40" s="324" t="str">
        <f>+SpcDB!B222</f>
        <v>OxoPro-CoA</v>
      </c>
      <c r="BS40" s="324" t="str">
        <f>+SpcDB!C222</f>
        <v>C3H3O2-CoA</v>
      </c>
      <c r="BT40" s="324">
        <f>+SpcDB!D222</f>
        <v>-244.90000000000009</v>
      </c>
      <c r="BU40" s="341">
        <f>+SpcDB!E222</f>
        <v>-539.20999999999992</v>
      </c>
      <c r="BV40" s="324" t="str">
        <f>+SpcDB!F222</f>
        <v>NA</v>
      </c>
      <c r="BW40" s="325">
        <f>+SpcDB!G222</f>
        <v>0.98761744966442899</v>
      </c>
      <c r="BX40" s="324">
        <f>+SpcDB!H222</f>
        <v>3</v>
      </c>
      <c r="BY40" s="324">
        <f>+SpcDB!I222</f>
        <v>3</v>
      </c>
      <c r="BZ40" s="324">
        <f>+SpcDB!J222</f>
        <v>2</v>
      </c>
      <c r="CA40" s="324">
        <f>+SpcDB!K222</f>
        <v>0</v>
      </c>
      <c r="CB40" s="324">
        <f>+SpcDB!L222</f>
        <v>0</v>
      </c>
      <c r="CC40" s="324">
        <f>+SpcDB!M222</f>
        <v>0</v>
      </c>
      <c r="CD40" s="324">
        <f>+SpcDB!N222</f>
        <v>0</v>
      </c>
      <c r="CE40" s="324">
        <f>+SpcDB!O222</f>
        <v>0</v>
      </c>
      <c r="CF40" s="324">
        <f>+SpcDB!P222</f>
        <v>0</v>
      </c>
      <c r="CG40" s="324">
        <f>+SpcDB!Q222</f>
        <v>0</v>
      </c>
      <c r="CH40" s="324">
        <f>+SpcDB!R222</f>
        <v>0</v>
      </c>
      <c r="CI40" s="324">
        <f>+SpcDB!S222</f>
        <v>1</v>
      </c>
      <c r="CJ40" s="324">
        <f>+SpcDB!T222</f>
        <v>0</v>
      </c>
      <c r="CK40" s="324">
        <f>+SpcDB!U222</f>
        <v>0</v>
      </c>
      <c r="CL40" s="301">
        <f t="shared" si="10"/>
        <v>71</v>
      </c>
      <c r="CM40" s="301">
        <f t="shared" si="6"/>
        <v>11</v>
      </c>
      <c r="CN40" s="342">
        <f t="shared" si="7"/>
        <v>3.6666666666666665</v>
      </c>
      <c r="CO40" s="295"/>
      <c r="CP40" s="332"/>
      <c r="CQ40" s="332"/>
      <c r="CR40" s="332"/>
      <c r="CS40" s="327"/>
      <c r="CT40" s="327"/>
      <c r="CU40" s="327"/>
    </row>
    <row r="41" spans="1:99" ht="15" customHeight="1" x14ac:dyDescent="0.3">
      <c r="A41" s="630" t="s">
        <v>710</v>
      </c>
      <c r="B41" s="630" t="s">
        <v>103</v>
      </c>
      <c r="C41" s="630" t="s">
        <v>750</v>
      </c>
      <c r="D41" s="301" t="str">
        <f t="shared" si="1"/>
        <v>Mal-CoA</v>
      </c>
      <c r="E41" s="302">
        <f t="shared" si="2"/>
        <v>-496.51185644809669</v>
      </c>
      <c r="F41" s="301">
        <f t="shared" si="3"/>
        <v>0</v>
      </c>
      <c r="G41" s="301">
        <f>ProDegPaths!CL41</f>
        <v>87</v>
      </c>
      <c r="H41" s="301">
        <f>ProDegPaths!CM41</f>
        <v>9</v>
      </c>
      <c r="I41" s="330">
        <f>ProDegPaths!CN41</f>
        <v>3</v>
      </c>
      <c r="J41" s="627" t="s">
        <v>754</v>
      </c>
      <c r="L41" s="304" t="s">
        <v>38</v>
      </c>
      <c r="M41" s="305" t="s">
        <v>38</v>
      </c>
      <c r="N41" s="306">
        <f t="shared" si="8"/>
        <v>1E-3</v>
      </c>
      <c r="O41" s="307">
        <f t="shared" si="4"/>
        <v>1</v>
      </c>
      <c r="P41" s="308">
        <v>9.9999999999999972E-22</v>
      </c>
      <c r="Q41" s="309">
        <v>1E-3</v>
      </c>
      <c r="R41" s="327">
        <v>0</v>
      </c>
      <c r="S41" s="331">
        <f t="shared" si="9"/>
        <v>-514.20924294565805</v>
      </c>
      <c r="T41" s="647"/>
      <c r="U41" s="271">
        <v>0</v>
      </c>
      <c r="V41" s="312">
        <v>0</v>
      </c>
      <c r="W41" s="332">
        <v>0</v>
      </c>
      <c r="X41" s="332">
        <v>0</v>
      </c>
      <c r="Y41" s="332">
        <v>0</v>
      </c>
      <c r="Z41" s="332">
        <v>0</v>
      </c>
      <c r="AA41" s="332">
        <v>0</v>
      </c>
      <c r="AB41" s="332">
        <v>0</v>
      </c>
      <c r="AC41" s="332">
        <v>0</v>
      </c>
      <c r="AD41" s="332">
        <v>0</v>
      </c>
      <c r="AE41" s="332">
        <v>0</v>
      </c>
      <c r="AF41" s="332">
        <v>0</v>
      </c>
      <c r="AG41" s="332">
        <v>0</v>
      </c>
      <c r="AH41" s="332">
        <v>0</v>
      </c>
      <c r="AI41" s="332">
        <v>0</v>
      </c>
      <c r="AJ41" s="332">
        <v>0</v>
      </c>
      <c r="AK41" s="332">
        <v>0</v>
      </c>
      <c r="AL41" s="332">
        <v>0</v>
      </c>
      <c r="AM41" s="333">
        <v>0</v>
      </c>
      <c r="AN41" s="333">
        <v>0</v>
      </c>
      <c r="AO41" s="333">
        <v>0</v>
      </c>
      <c r="AP41" s="333">
        <v>0</v>
      </c>
      <c r="AQ41" s="333">
        <v>0</v>
      </c>
      <c r="AR41" s="333">
        <v>0</v>
      </c>
      <c r="AS41" s="332">
        <v>0</v>
      </c>
      <c r="AT41" s="334">
        <v>0</v>
      </c>
      <c r="AU41" s="335">
        <v>0</v>
      </c>
      <c r="AV41" s="335">
        <v>0</v>
      </c>
      <c r="AW41" s="335">
        <v>0</v>
      </c>
      <c r="AX41" s="335">
        <v>0</v>
      </c>
      <c r="AY41" s="336">
        <v>0</v>
      </c>
      <c r="AZ41" s="337">
        <f t="array" ref="AZ41">SUM((IF($V$20:$AY$20&gt;0,1,0)*V41:AY41))</f>
        <v>0</v>
      </c>
      <c r="BA41" s="319"/>
      <c r="BB41" s="295"/>
      <c r="BD41" s="338">
        <v>0</v>
      </c>
      <c r="BE41" s="339">
        <v>0</v>
      </c>
      <c r="BF41" s="339">
        <v>0</v>
      </c>
      <c r="BG41" s="339">
        <v>0</v>
      </c>
      <c r="BH41" s="333">
        <v>0</v>
      </c>
      <c r="BI41" s="340">
        <v>0</v>
      </c>
      <c r="BJ41" s="340">
        <v>0</v>
      </c>
      <c r="BK41" s="340">
        <v>0</v>
      </c>
      <c r="BL41" s="340">
        <v>0</v>
      </c>
      <c r="BM41" s="301"/>
      <c r="BN41" s="295"/>
      <c r="BQ41" s="324" t="str">
        <f>+SpcDB!A200</f>
        <v>Malonyl-CoA</v>
      </c>
      <c r="BR41" s="324" t="str">
        <f>+SpcDB!B200</f>
        <v>Mal-CoA</v>
      </c>
      <c r="BS41" s="324" t="str">
        <f>+SpcDB!C200</f>
        <v>C3H3O3-CoA</v>
      </c>
      <c r="BT41" s="324">
        <f>+SpcDB!D200</f>
        <v>-497.40000000000009</v>
      </c>
      <c r="BU41" s="341">
        <f>+SpcDB!E200</f>
        <v>-523.88</v>
      </c>
      <c r="BV41" s="324" t="str">
        <f>+SpcDB!F200</f>
        <v>NA</v>
      </c>
      <c r="BW41" s="325">
        <f>+SpcDB!G200</f>
        <v>8.8859060402684237E-2</v>
      </c>
      <c r="BX41" s="324">
        <f>+SpcDB!H200</f>
        <v>3</v>
      </c>
      <c r="BY41" s="324">
        <f>+SpcDB!I200</f>
        <v>3</v>
      </c>
      <c r="BZ41" s="324">
        <f>+SpcDB!J200</f>
        <v>3</v>
      </c>
      <c r="CA41" s="324">
        <f>+SpcDB!K200</f>
        <v>0</v>
      </c>
      <c r="CB41" s="324">
        <f>+SpcDB!L200</f>
        <v>0</v>
      </c>
      <c r="CC41" s="324">
        <f>+SpcDB!M200</f>
        <v>0</v>
      </c>
      <c r="CD41" s="324">
        <f>+SpcDB!N200</f>
        <v>0</v>
      </c>
      <c r="CE41" s="324">
        <f>+SpcDB!O200</f>
        <v>0</v>
      </c>
      <c r="CF41" s="324">
        <f>+SpcDB!P200</f>
        <v>0</v>
      </c>
      <c r="CG41" s="324">
        <f>+SpcDB!Q200</f>
        <v>0</v>
      </c>
      <c r="CH41" s="324">
        <f>+SpcDB!R200</f>
        <v>0</v>
      </c>
      <c r="CI41" s="324">
        <f>+SpcDB!S200</f>
        <v>1</v>
      </c>
      <c r="CJ41" s="324">
        <f>+SpcDB!T200</f>
        <v>0</v>
      </c>
      <c r="CK41" s="324">
        <f>+SpcDB!U200</f>
        <v>0</v>
      </c>
      <c r="CL41" s="301">
        <f t="shared" si="10"/>
        <v>87</v>
      </c>
      <c r="CM41" s="301">
        <f t="shared" si="6"/>
        <v>9</v>
      </c>
      <c r="CN41" s="342">
        <f t="shared" si="7"/>
        <v>3</v>
      </c>
      <c r="CO41" s="295"/>
      <c r="CP41" s="332"/>
      <c r="CQ41" s="332"/>
      <c r="CR41" s="332"/>
      <c r="CS41" s="327"/>
      <c r="CT41" s="327"/>
      <c r="CU41" s="327"/>
    </row>
    <row r="42" spans="1:99" ht="15" customHeight="1" x14ac:dyDescent="0.3">
      <c r="A42" s="630" t="s">
        <v>710</v>
      </c>
      <c r="B42" s="630" t="s">
        <v>103</v>
      </c>
      <c r="C42" s="630" t="s">
        <v>750</v>
      </c>
      <c r="D42" s="301" t="str">
        <f>+BR42</f>
        <v>Ac-CoA</v>
      </c>
      <c r="E42" s="302">
        <f t="shared" si="2"/>
        <v>-138.3245363072279</v>
      </c>
      <c r="F42" s="301">
        <f>+CK42</f>
        <v>0</v>
      </c>
      <c r="G42" s="301">
        <f>ProDegPaths!CL42</f>
        <v>43</v>
      </c>
      <c r="H42" s="301">
        <f>ProDegPaths!CM42</f>
        <v>9</v>
      </c>
      <c r="I42" s="330">
        <f>ProDegPaths!CN42</f>
        <v>4.5</v>
      </c>
      <c r="J42" s="627" t="s">
        <v>754</v>
      </c>
      <c r="L42" s="304" t="s">
        <v>38</v>
      </c>
      <c r="M42" s="305" t="s">
        <v>38</v>
      </c>
      <c r="N42" s="306">
        <f t="shared" si="8"/>
        <v>1E-3</v>
      </c>
      <c r="O42" s="307">
        <f t="shared" si="4"/>
        <v>1</v>
      </c>
      <c r="P42" s="308">
        <v>9.9999999999999972E-22</v>
      </c>
      <c r="Q42" s="309">
        <v>1E-3</v>
      </c>
      <c r="R42" s="327">
        <v>0</v>
      </c>
      <c r="S42" s="331">
        <f t="shared" si="9"/>
        <v>-156.02192280478923</v>
      </c>
      <c r="T42" s="647"/>
      <c r="U42" s="271">
        <v>0</v>
      </c>
      <c r="V42" s="312">
        <v>0</v>
      </c>
      <c r="W42" s="332">
        <v>0</v>
      </c>
      <c r="X42" s="332">
        <v>-1</v>
      </c>
      <c r="Y42" s="332">
        <v>0</v>
      </c>
      <c r="Z42" s="332">
        <v>0</v>
      </c>
      <c r="AA42" s="332">
        <v>0</v>
      </c>
      <c r="AB42" s="332">
        <v>0</v>
      </c>
      <c r="AC42" s="332">
        <v>0</v>
      </c>
      <c r="AD42" s="332">
        <v>0</v>
      </c>
      <c r="AE42" s="332">
        <v>0</v>
      </c>
      <c r="AF42" s="332">
        <v>0</v>
      </c>
      <c r="AG42" s="332">
        <v>0</v>
      </c>
      <c r="AH42" s="332">
        <v>0</v>
      </c>
      <c r="AI42" s="332">
        <v>1</v>
      </c>
      <c r="AJ42" s="332">
        <v>0</v>
      </c>
      <c r="AK42" s="332">
        <v>0</v>
      </c>
      <c r="AL42" s="332">
        <v>0</v>
      </c>
      <c r="AM42" s="333">
        <v>0</v>
      </c>
      <c r="AN42" s="333">
        <v>0</v>
      </c>
      <c r="AO42" s="333">
        <v>0</v>
      </c>
      <c r="AP42" s="333">
        <v>0</v>
      </c>
      <c r="AQ42" s="333">
        <v>0</v>
      </c>
      <c r="AR42" s="333">
        <v>1</v>
      </c>
      <c r="AS42" s="332">
        <v>-1</v>
      </c>
      <c r="AT42" s="334">
        <v>0</v>
      </c>
      <c r="AU42" s="335">
        <v>0</v>
      </c>
      <c r="AV42" s="335">
        <v>0</v>
      </c>
      <c r="AW42" s="335">
        <v>0</v>
      </c>
      <c r="AX42" s="335">
        <v>0</v>
      </c>
      <c r="AY42" s="336">
        <v>0</v>
      </c>
      <c r="AZ42" s="337">
        <f t="array" ref="AZ42">SUM((IF($V$20:$AY$20&gt;0,1,0)*V42:AY42))</f>
        <v>0</v>
      </c>
      <c r="BA42" s="319"/>
      <c r="BB42" s="295"/>
      <c r="BD42" s="338">
        <v>0</v>
      </c>
      <c r="BE42" s="339">
        <v>0</v>
      </c>
      <c r="BF42" s="339">
        <v>0</v>
      </c>
      <c r="BG42" s="339">
        <v>0</v>
      </c>
      <c r="BH42" s="333">
        <v>0</v>
      </c>
      <c r="BI42" s="340">
        <v>0</v>
      </c>
      <c r="BJ42" s="340">
        <v>0</v>
      </c>
      <c r="BK42" s="340">
        <v>0</v>
      </c>
      <c r="BL42" s="340">
        <v>0</v>
      </c>
      <c r="BM42" s="301"/>
      <c r="BN42" s="295"/>
      <c r="BQ42" s="324" t="str">
        <f>+SpcDB!A11</f>
        <v>Acetyl CoA</v>
      </c>
      <c r="BR42" s="324" t="str">
        <f>+SpcDB!B11</f>
        <v>Ac-CoA</v>
      </c>
      <c r="BS42" s="324" t="str">
        <f>+SpcDB!C11</f>
        <v>C2H3O-CoA</v>
      </c>
      <c r="BT42" s="324">
        <f>+SpcDB!D11</f>
        <v>-140.67000000000002</v>
      </c>
      <c r="BU42" s="341">
        <f>+SpcDB!E11</f>
        <v>-210.59999999999991</v>
      </c>
      <c r="BV42" s="324" t="str">
        <f>+SpcDB!F11</f>
        <v>NA</v>
      </c>
      <c r="BW42" s="325">
        <f>+SpcDB!G11</f>
        <v>0.23466442953020097</v>
      </c>
      <c r="BX42" s="324">
        <f>+SpcDB!H11</f>
        <v>2</v>
      </c>
      <c r="BY42" s="324">
        <f>+SpcDB!I11</f>
        <v>3</v>
      </c>
      <c r="BZ42" s="324">
        <f>+SpcDB!J11</f>
        <v>1</v>
      </c>
      <c r="CA42" s="324">
        <f>+SpcDB!K11</f>
        <v>0</v>
      </c>
      <c r="CB42" s="324">
        <f>+SpcDB!L11</f>
        <v>0</v>
      </c>
      <c r="CC42" s="324">
        <f>+SpcDB!M11</f>
        <v>0</v>
      </c>
      <c r="CD42" s="324">
        <f>+SpcDB!N11</f>
        <v>0</v>
      </c>
      <c r="CE42" s="324">
        <f>+SpcDB!O11</f>
        <v>0</v>
      </c>
      <c r="CF42" s="324">
        <f>+SpcDB!P11</f>
        <v>0</v>
      </c>
      <c r="CG42" s="324">
        <f>+SpcDB!Q11</f>
        <v>0</v>
      </c>
      <c r="CH42" s="324">
        <f>+SpcDB!R11</f>
        <v>0</v>
      </c>
      <c r="CI42" s="324">
        <f>+SpcDB!S11</f>
        <v>1</v>
      </c>
      <c r="CJ42" s="324">
        <f>+SpcDB!T11</f>
        <v>0</v>
      </c>
      <c r="CK42" s="324">
        <f>+SpcDB!U11</f>
        <v>0</v>
      </c>
      <c r="CL42" s="301">
        <f t="shared" si="10"/>
        <v>43</v>
      </c>
      <c r="CM42" s="301">
        <f t="shared" si="6"/>
        <v>9</v>
      </c>
      <c r="CN42" s="342">
        <f t="shared" si="7"/>
        <v>4.5</v>
      </c>
      <c r="CO42" s="295"/>
      <c r="CP42" s="332"/>
      <c r="CQ42" s="332"/>
      <c r="CR42" s="332"/>
      <c r="CS42" s="327"/>
      <c r="CT42" s="327"/>
      <c r="CU42" s="327"/>
    </row>
    <row r="43" spans="1:99" ht="15" customHeight="1" x14ac:dyDescent="0.3">
      <c r="A43" s="630" t="s">
        <v>710</v>
      </c>
      <c r="B43" s="630" t="s">
        <v>711</v>
      </c>
      <c r="C43" s="630" t="s">
        <v>750</v>
      </c>
      <c r="D43" s="301" t="str">
        <f>+BR43</f>
        <v>Ac-</v>
      </c>
      <c r="E43" s="302">
        <f t="shared" si="2"/>
        <v>-365.49955223880602</v>
      </c>
      <c r="F43" s="301">
        <f>+CK43</f>
        <v>-1</v>
      </c>
      <c r="G43" s="301">
        <f>ProDegPaths!CL43</f>
        <v>59</v>
      </c>
      <c r="H43" s="301">
        <f>ProDegPaths!CM43</f>
        <v>8</v>
      </c>
      <c r="I43" s="330">
        <f>ProDegPaths!CN43</f>
        <v>3.5</v>
      </c>
      <c r="J43" s="627" t="s">
        <v>754</v>
      </c>
      <c r="L43" s="304" t="s">
        <v>38</v>
      </c>
      <c r="M43" s="305" t="s">
        <v>38</v>
      </c>
      <c r="N43" s="306">
        <f t="shared" si="8"/>
        <v>1E-3</v>
      </c>
      <c r="O43" s="307">
        <f t="shared" si="4"/>
        <v>1</v>
      </c>
      <c r="P43" s="308">
        <v>1.7598466886246562E-19</v>
      </c>
      <c r="Q43" s="309">
        <v>1E-3</v>
      </c>
      <c r="R43" s="327">
        <v>0</v>
      </c>
      <c r="S43" s="331">
        <f t="shared" si="9"/>
        <v>-383.19693873636731</v>
      </c>
      <c r="T43" s="647"/>
      <c r="U43" s="271">
        <v>0</v>
      </c>
      <c r="V43" s="312">
        <v>0</v>
      </c>
      <c r="W43" s="332">
        <v>0</v>
      </c>
      <c r="X43" s="332">
        <v>1</v>
      </c>
      <c r="Y43" s="332">
        <v>0</v>
      </c>
      <c r="Z43" s="332">
        <v>0</v>
      </c>
      <c r="AA43" s="332">
        <v>0</v>
      </c>
      <c r="AB43" s="332">
        <v>0</v>
      </c>
      <c r="AC43" s="332">
        <v>0</v>
      </c>
      <c r="AD43" s="332">
        <v>0</v>
      </c>
      <c r="AE43" s="332">
        <v>0</v>
      </c>
      <c r="AF43" s="332">
        <v>0</v>
      </c>
      <c r="AG43" s="332">
        <v>0</v>
      </c>
      <c r="AH43" s="332">
        <v>0</v>
      </c>
      <c r="AI43" s="332">
        <v>0</v>
      </c>
      <c r="AJ43" s="332">
        <v>0</v>
      </c>
      <c r="AK43" s="332">
        <v>0</v>
      </c>
      <c r="AL43" s="332">
        <v>0</v>
      </c>
      <c r="AM43" s="333">
        <v>0</v>
      </c>
      <c r="AN43" s="333">
        <v>0</v>
      </c>
      <c r="AO43" s="333">
        <v>0</v>
      </c>
      <c r="AP43" s="333">
        <v>0</v>
      </c>
      <c r="AQ43" s="333">
        <v>0</v>
      </c>
      <c r="AR43" s="333">
        <v>0</v>
      </c>
      <c r="AS43" s="332">
        <v>1</v>
      </c>
      <c r="AT43" s="334">
        <v>-1</v>
      </c>
      <c r="AU43" s="335">
        <v>0</v>
      </c>
      <c r="AV43" s="335">
        <v>0</v>
      </c>
      <c r="AW43" s="335">
        <v>0</v>
      </c>
      <c r="AX43" s="335">
        <v>0</v>
      </c>
      <c r="AY43" s="336">
        <v>0</v>
      </c>
      <c r="AZ43" s="337">
        <f t="array" ref="AZ43">SUM((IF($V$20:$AY$20&gt;0,1,0)*V43:AY43))</f>
        <v>0</v>
      </c>
      <c r="BA43" s="319"/>
      <c r="BB43" s="295"/>
      <c r="BD43" s="338">
        <v>0</v>
      </c>
      <c r="BE43" s="339">
        <v>0</v>
      </c>
      <c r="BF43" s="339">
        <v>0</v>
      </c>
      <c r="BG43" s="339">
        <v>0</v>
      </c>
      <c r="BH43" s="333">
        <v>0</v>
      </c>
      <c r="BI43" s="340">
        <v>0</v>
      </c>
      <c r="BJ43" s="340">
        <v>0</v>
      </c>
      <c r="BK43" s="340">
        <v>0</v>
      </c>
      <c r="BL43" s="340">
        <v>0</v>
      </c>
      <c r="BM43" s="301"/>
      <c r="BN43" s="295"/>
      <c r="BQ43" s="324" t="str">
        <f>+SpcDB!A5</f>
        <v>Acetate</v>
      </c>
      <c r="BR43" s="324" t="str">
        <f>+SpcDB!B5</f>
        <v>Ac-</v>
      </c>
      <c r="BS43" s="324" t="str">
        <f>+SpcDB!C5</f>
        <v>C2H3O2-</v>
      </c>
      <c r="BT43" s="324">
        <f>+SpcDB!D5</f>
        <v>-369.41</v>
      </c>
      <c r="BU43" s="324">
        <f>+SpcDB!E5</f>
        <v>-486</v>
      </c>
      <c r="BV43" s="324">
        <f>+SpcDB!F5</f>
        <v>86.6</v>
      </c>
      <c r="BW43" s="325">
        <f>+SpcDB!G5</f>
        <v>0.39124161073825497</v>
      </c>
      <c r="BX43" s="324">
        <f>+SpcDB!H5</f>
        <v>2</v>
      </c>
      <c r="BY43" s="324">
        <f>+SpcDB!I5</f>
        <v>3</v>
      </c>
      <c r="BZ43" s="324">
        <f>+SpcDB!J5</f>
        <v>2</v>
      </c>
      <c r="CA43" s="324">
        <f>+SpcDB!K5</f>
        <v>0</v>
      </c>
      <c r="CB43" s="324">
        <f>+SpcDB!L5</f>
        <v>0</v>
      </c>
      <c r="CC43" s="324">
        <f>+SpcDB!M5</f>
        <v>0</v>
      </c>
      <c r="CD43" s="324">
        <f>+SpcDB!N5</f>
        <v>0</v>
      </c>
      <c r="CE43" s="324">
        <f>+SpcDB!O5</f>
        <v>0</v>
      </c>
      <c r="CF43" s="324">
        <f>+SpcDB!P5</f>
        <v>0</v>
      </c>
      <c r="CG43" s="324">
        <f>+SpcDB!Q5</f>
        <v>0</v>
      </c>
      <c r="CH43" s="324">
        <f>+SpcDB!R5</f>
        <v>0</v>
      </c>
      <c r="CI43" s="324">
        <f>+SpcDB!S5</f>
        <v>0</v>
      </c>
      <c r="CJ43" s="324">
        <f>+SpcDB!T5</f>
        <v>0</v>
      </c>
      <c r="CK43" s="324">
        <f>+SpcDB!U5</f>
        <v>-1</v>
      </c>
      <c r="CL43" s="301">
        <f t="shared" si="10"/>
        <v>59</v>
      </c>
      <c r="CM43" s="301">
        <f t="shared" si="6"/>
        <v>8</v>
      </c>
      <c r="CN43" s="342">
        <f t="shared" si="7"/>
        <v>3.5</v>
      </c>
      <c r="CO43" s="295"/>
      <c r="CP43" s="327"/>
      <c r="CQ43" s="327"/>
      <c r="CR43" s="328">
        <v>4.7569999999999997</v>
      </c>
      <c r="CS43" s="327"/>
      <c r="CT43" s="327"/>
      <c r="CU43" s="329">
        <f>10^-CR43</f>
        <v>1.7498466886246563E-5</v>
      </c>
    </row>
    <row r="44" spans="1:99" ht="15" customHeight="1" x14ac:dyDescent="0.3">
      <c r="A44" s="630" t="s">
        <v>710</v>
      </c>
      <c r="B44" s="630" t="s">
        <v>711</v>
      </c>
      <c r="C44" s="630" t="s">
        <v>749</v>
      </c>
      <c r="D44" s="301" t="str">
        <f t="shared" ref="D44:D65" si="11">+BR44</f>
        <v>H2</v>
      </c>
      <c r="E44" s="302">
        <f t="shared" si="2"/>
        <v>18.278156967969146</v>
      </c>
      <c r="F44" s="301">
        <f t="shared" ref="F44:F65" si="12">+CK44</f>
        <v>0</v>
      </c>
      <c r="G44" s="301">
        <f>ProDegPaths!CL44</f>
        <v>2</v>
      </c>
      <c r="H44" s="301">
        <f>ProDegPaths!CM44</f>
        <v>2</v>
      </c>
      <c r="I44" s="330" t="str">
        <f>ProDegPaths!CN44</f>
        <v>NA</v>
      </c>
      <c r="J44" s="627" t="s">
        <v>755</v>
      </c>
      <c r="L44" s="346">
        <v>1.5310295974946426E-5</v>
      </c>
      <c r="M44" s="305" t="s">
        <v>38</v>
      </c>
      <c r="N44" s="306">
        <f t="shared" si="8"/>
        <v>9.9999999999999995E-7</v>
      </c>
      <c r="O44" s="347">
        <f t="shared" si="4"/>
        <v>1</v>
      </c>
      <c r="P44" s="348">
        <v>9.9999999999999972E-22</v>
      </c>
      <c r="Q44" s="309">
        <v>9.9999999999999995E-7</v>
      </c>
      <c r="R44" s="349">
        <v>0</v>
      </c>
      <c r="S44" s="350">
        <f t="shared" si="9"/>
        <v>-17.116616027153498</v>
      </c>
      <c r="T44" s="647"/>
      <c r="U44" s="271">
        <v>0</v>
      </c>
      <c r="V44" s="312">
        <v>0</v>
      </c>
      <c r="W44" s="332">
        <v>0</v>
      </c>
      <c r="X44" s="332">
        <v>0</v>
      </c>
      <c r="Y44" s="332">
        <v>0</v>
      </c>
      <c r="Z44" s="332">
        <v>0</v>
      </c>
      <c r="AA44" s="332">
        <v>0</v>
      </c>
      <c r="AB44" s="332">
        <v>0</v>
      </c>
      <c r="AC44" s="332">
        <v>0</v>
      </c>
      <c r="AD44" s="332">
        <v>0</v>
      </c>
      <c r="AE44" s="332">
        <v>0</v>
      </c>
      <c r="AF44" s="332">
        <v>0</v>
      </c>
      <c r="AG44" s="332">
        <v>0</v>
      </c>
      <c r="AH44" s="332">
        <v>0</v>
      </c>
      <c r="AI44" s="332">
        <v>0</v>
      </c>
      <c r="AJ44" s="332">
        <v>0</v>
      </c>
      <c r="AK44" s="332">
        <v>0</v>
      </c>
      <c r="AL44" s="332">
        <v>0</v>
      </c>
      <c r="AM44" s="333">
        <v>0</v>
      </c>
      <c r="AN44" s="333">
        <v>0</v>
      </c>
      <c r="AO44" s="333">
        <v>0</v>
      </c>
      <c r="AP44" s="333">
        <v>0</v>
      </c>
      <c r="AQ44" s="333">
        <v>0</v>
      </c>
      <c r="AR44" s="333">
        <v>0</v>
      </c>
      <c r="AS44" s="332">
        <v>0</v>
      </c>
      <c r="AT44" s="334">
        <v>0</v>
      </c>
      <c r="AU44" s="335">
        <v>0</v>
      </c>
      <c r="AV44" s="335">
        <v>0</v>
      </c>
      <c r="AW44" s="335">
        <f>+AW51</f>
        <v>1</v>
      </c>
      <c r="AX44" s="335">
        <f>+AX45</f>
        <v>2</v>
      </c>
      <c r="AY44" s="335">
        <f>+AY47</f>
        <v>0</v>
      </c>
      <c r="AZ44" s="337">
        <f t="array" ref="AZ44">SUM((IF($V$20:$AY$20&gt;0,1,0)*V44:AY44))</f>
        <v>3</v>
      </c>
      <c r="BA44" s="319"/>
      <c r="BB44" s="295"/>
      <c r="BD44" s="338">
        <v>0</v>
      </c>
      <c r="BE44" s="339">
        <v>0</v>
      </c>
      <c r="BF44" s="339">
        <v>0</v>
      </c>
      <c r="BG44" s="339">
        <v>1</v>
      </c>
      <c r="BH44" s="333">
        <v>0</v>
      </c>
      <c r="BI44" s="340">
        <v>0</v>
      </c>
      <c r="BJ44" s="340">
        <v>0</v>
      </c>
      <c r="BK44" s="340">
        <v>-1</v>
      </c>
      <c r="BL44" s="340">
        <v>-1</v>
      </c>
      <c r="BM44" s="301"/>
      <c r="BN44" s="295"/>
      <c r="BQ44" s="324" t="str">
        <f>+SpcDB!A53</f>
        <v>Hydrogen</v>
      </c>
      <c r="BR44" s="324" t="str">
        <f>+SpcDB!B53</f>
        <v>H2</v>
      </c>
      <c r="BS44" s="324" t="str">
        <f>+SpcDB!C53</f>
        <v>H2</v>
      </c>
      <c r="BT44" s="324">
        <f>+SpcDB!D53</f>
        <v>17.55</v>
      </c>
      <c r="BU44" s="324">
        <f>+SpcDB!E53</f>
        <v>-4.16</v>
      </c>
      <c r="BV44" s="324">
        <f>+SpcDB!F53</f>
        <v>57.7</v>
      </c>
      <c r="BW44" s="325">
        <f>+SpcDB!G53</f>
        <v>7.2852348993288588E-2</v>
      </c>
      <c r="BX44" s="324">
        <f>+SpcDB!H53</f>
        <v>0</v>
      </c>
      <c r="BY44" s="324">
        <f>+SpcDB!I53</f>
        <v>2</v>
      </c>
      <c r="BZ44" s="324">
        <f>+SpcDB!J53</f>
        <v>0</v>
      </c>
      <c r="CA44" s="324">
        <f>+SpcDB!K53</f>
        <v>0</v>
      </c>
      <c r="CB44" s="324">
        <f>+SpcDB!L53</f>
        <v>0</v>
      </c>
      <c r="CC44" s="324">
        <f>+SpcDB!M53</f>
        <v>0</v>
      </c>
      <c r="CD44" s="324">
        <f>+SpcDB!N53</f>
        <v>0</v>
      </c>
      <c r="CE44" s="324">
        <f>+SpcDB!O53</f>
        <v>0</v>
      </c>
      <c r="CF44" s="324">
        <f>+SpcDB!P53</f>
        <v>0</v>
      </c>
      <c r="CG44" s="324">
        <f>+SpcDB!Q53</f>
        <v>0</v>
      </c>
      <c r="CH44" s="324">
        <f>+SpcDB!R53</f>
        <v>0</v>
      </c>
      <c r="CI44" s="324">
        <f>+SpcDB!S53</f>
        <v>0</v>
      </c>
      <c r="CJ44" s="324">
        <f>+SpcDB!T53</f>
        <v>0</v>
      </c>
      <c r="CK44" s="324">
        <f>+SpcDB!U53</f>
        <v>0</v>
      </c>
      <c r="CL44" s="301">
        <f t="shared" si="10"/>
        <v>2</v>
      </c>
      <c r="CM44" s="301">
        <f t="shared" si="6"/>
        <v>2</v>
      </c>
      <c r="CN44" s="342" t="str">
        <f t="shared" si="7"/>
        <v>NA</v>
      </c>
      <c r="CO44" s="295"/>
      <c r="CP44" s="332"/>
      <c r="CQ44" s="332"/>
      <c r="CR44" s="332"/>
      <c r="CS44" s="327"/>
      <c r="CT44" s="327"/>
      <c r="CU44" s="327"/>
    </row>
    <row r="45" spans="1:99" ht="15" customHeight="1" x14ac:dyDescent="0.3">
      <c r="A45" s="631" t="s">
        <v>710</v>
      </c>
      <c r="B45" s="631" t="s">
        <v>103</v>
      </c>
      <c r="C45" s="631" t="s">
        <v>751</v>
      </c>
      <c r="D45" s="351" t="str">
        <f t="shared" si="11"/>
        <v>NAD+</v>
      </c>
      <c r="E45" s="352">
        <f t="shared" si="2"/>
        <v>0</v>
      </c>
      <c r="F45" s="351">
        <f t="shared" si="12"/>
        <v>1</v>
      </c>
      <c r="G45" s="351">
        <f>ProDegPaths!CL45</f>
        <v>0</v>
      </c>
      <c r="H45" s="351">
        <f>ProDegPaths!CM45</f>
        <v>-1</v>
      </c>
      <c r="I45" s="353" t="str">
        <f>ProDegPaths!CN45</f>
        <v>NA</v>
      </c>
      <c r="J45" s="627" t="s">
        <v>755</v>
      </c>
      <c r="K45" s="343"/>
      <c r="L45" s="354" t="s">
        <v>38</v>
      </c>
      <c r="M45" s="355" t="s">
        <v>38</v>
      </c>
      <c r="N45" s="355">
        <f t="shared" si="8"/>
        <v>1E-3</v>
      </c>
      <c r="O45" s="356">
        <f t="shared" si="4"/>
        <v>1</v>
      </c>
      <c r="P45" s="357">
        <v>9.9999999999999972E-22</v>
      </c>
      <c r="Q45" s="358">
        <v>1E-3</v>
      </c>
      <c r="R45" s="359">
        <v>0</v>
      </c>
      <c r="S45" s="360">
        <f t="shared" si="9"/>
        <v>-17.697386497561322</v>
      </c>
      <c r="T45" s="647"/>
      <c r="U45" s="271">
        <v>0</v>
      </c>
      <c r="V45" s="361">
        <v>0</v>
      </c>
      <c r="W45" s="362">
        <v>0</v>
      </c>
      <c r="X45" s="362">
        <v>0</v>
      </c>
      <c r="Y45" s="362">
        <v>0</v>
      </c>
      <c r="Z45" s="362">
        <v>0</v>
      </c>
      <c r="AA45" s="362">
        <v>0</v>
      </c>
      <c r="AB45" s="362">
        <v>0</v>
      </c>
      <c r="AC45" s="362">
        <v>0</v>
      </c>
      <c r="AD45" s="362">
        <v>0</v>
      </c>
      <c r="AE45" s="362">
        <v>0</v>
      </c>
      <c r="AF45" s="362">
        <v>0</v>
      </c>
      <c r="AG45" s="362">
        <v>-1</v>
      </c>
      <c r="AH45" s="362">
        <v>0</v>
      </c>
      <c r="AI45" s="362">
        <v>0</v>
      </c>
      <c r="AJ45" s="362">
        <v>0</v>
      </c>
      <c r="AK45" s="362">
        <v>0</v>
      </c>
      <c r="AL45" s="362">
        <v>-1</v>
      </c>
      <c r="AM45" s="363">
        <v>0</v>
      </c>
      <c r="AN45" s="363">
        <v>-1</v>
      </c>
      <c r="AO45" s="363">
        <v>0</v>
      </c>
      <c r="AP45" s="363">
        <v>0</v>
      </c>
      <c r="AQ45" s="363">
        <v>-1</v>
      </c>
      <c r="AR45" s="363">
        <v>0</v>
      </c>
      <c r="AS45" s="362">
        <v>0</v>
      </c>
      <c r="AT45" s="364">
        <v>0</v>
      </c>
      <c r="AU45" s="365">
        <f>+SUMIF(AU47:AU54,"&lt;0")</f>
        <v>-1</v>
      </c>
      <c r="AV45" s="365">
        <f>+SUMIF(AV47:AV54,"&lt;0")</f>
        <v>-1</v>
      </c>
      <c r="AW45" s="366">
        <v>0</v>
      </c>
      <c r="AX45" s="367">
        <f t="array" ref="AX45">-SUM((IF($V$20:$AW$20&gt;0,1,0)*$V45:$AW45))</f>
        <v>2</v>
      </c>
      <c r="AY45" s="366">
        <v>0</v>
      </c>
      <c r="AZ45" s="368">
        <f t="array" ref="AZ45">SUM((IF($V$20:$AY$20&gt;0,1,0)*V45:AY45))</f>
        <v>0</v>
      </c>
      <c r="BA45" s="319"/>
      <c r="BB45" s="295"/>
      <c r="BD45" s="369">
        <v>-1</v>
      </c>
      <c r="BE45" s="370">
        <v>0</v>
      </c>
      <c r="BF45" s="370">
        <v>0</v>
      </c>
      <c r="BG45" s="370">
        <v>0</v>
      </c>
      <c r="BH45" s="363">
        <v>0</v>
      </c>
      <c r="BI45" s="371">
        <v>0</v>
      </c>
      <c r="BJ45" s="371">
        <v>0</v>
      </c>
      <c r="BK45" s="371">
        <v>0</v>
      </c>
      <c r="BL45" s="371">
        <v>0</v>
      </c>
      <c r="BN45" s="295"/>
      <c r="BQ45" s="324" t="str">
        <f>+SpcDB!A66</f>
        <v>NAD+</v>
      </c>
      <c r="BR45" s="324" t="str">
        <f>+SpcDB!B66</f>
        <v>NAD+</v>
      </c>
      <c r="BS45" s="324" t="str">
        <f>+SpcDB!C66</f>
        <v>NAD+</v>
      </c>
      <c r="BT45" s="324">
        <f>+SpcDB!D66</f>
        <v>0</v>
      </c>
      <c r="BU45" s="324" t="str">
        <f>+SpcDB!E66</f>
        <v>NA</v>
      </c>
      <c r="BV45" s="324" t="str">
        <f>+SpcDB!F66</f>
        <v>NA</v>
      </c>
      <c r="BW45" s="325" t="str">
        <f>+SpcDB!G66</f>
        <v>NA</v>
      </c>
      <c r="BX45" s="324">
        <f>+SpcDB!H66</f>
        <v>0</v>
      </c>
      <c r="BY45" s="324">
        <f>+SpcDB!I66</f>
        <v>0</v>
      </c>
      <c r="BZ45" s="324">
        <f>+SpcDB!J66</f>
        <v>0</v>
      </c>
      <c r="CA45" s="324">
        <f>+SpcDB!K66</f>
        <v>0</v>
      </c>
      <c r="CB45" s="324">
        <f>+SpcDB!L66</f>
        <v>0</v>
      </c>
      <c r="CC45" s="324">
        <f>+SpcDB!M66</f>
        <v>0</v>
      </c>
      <c r="CD45" s="324">
        <f>+SpcDB!N66</f>
        <v>0</v>
      </c>
      <c r="CE45" s="324">
        <f>+SpcDB!O66</f>
        <v>0</v>
      </c>
      <c r="CF45" s="324">
        <f>+SpcDB!P66</f>
        <v>0</v>
      </c>
      <c r="CG45" s="324">
        <f>+SpcDB!Q66</f>
        <v>1</v>
      </c>
      <c r="CH45" s="324">
        <f>+SpcDB!R66</f>
        <v>0</v>
      </c>
      <c r="CI45" s="324">
        <f>+SpcDB!S66</f>
        <v>0</v>
      </c>
      <c r="CJ45" s="324">
        <f>+SpcDB!T66</f>
        <v>0</v>
      </c>
      <c r="CK45" s="324">
        <f>+SpcDB!U66</f>
        <v>1</v>
      </c>
      <c r="CL45" s="301">
        <f t="shared" si="10"/>
        <v>0</v>
      </c>
      <c r="CM45" s="301">
        <f t="shared" si="6"/>
        <v>-1</v>
      </c>
      <c r="CN45" s="345" t="str">
        <f t="shared" si="7"/>
        <v>NA</v>
      </c>
      <c r="CO45" s="295"/>
      <c r="CP45" s="332"/>
      <c r="CQ45" s="332"/>
      <c r="CR45" s="332"/>
      <c r="CS45" s="327"/>
      <c r="CT45" s="327"/>
      <c r="CU45" s="327"/>
    </row>
    <row r="46" spans="1:99" ht="15" customHeight="1" x14ac:dyDescent="0.3">
      <c r="A46" s="632" t="s">
        <v>710</v>
      </c>
      <c r="B46" s="632" t="s">
        <v>103</v>
      </c>
      <c r="C46" s="632" t="s">
        <v>59</v>
      </c>
      <c r="D46" s="372" t="str">
        <f t="shared" si="11"/>
        <v>NADH</v>
      </c>
      <c r="E46" s="373">
        <f t="shared" si="2"/>
        <v>21.83</v>
      </c>
      <c r="F46" s="372">
        <f t="shared" si="12"/>
        <v>0</v>
      </c>
      <c r="G46" s="372">
        <f>ProDegPaths!CL46</f>
        <v>1</v>
      </c>
      <c r="H46" s="372">
        <f>ProDegPaths!CM46</f>
        <v>1</v>
      </c>
      <c r="I46" s="374" t="str">
        <f>ProDegPaths!CN46</f>
        <v>NA</v>
      </c>
      <c r="J46" s="627" t="s">
        <v>755</v>
      </c>
      <c r="L46" s="375" t="s">
        <v>38</v>
      </c>
      <c r="M46" s="376" t="s">
        <v>38</v>
      </c>
      <c r="N46" s="376">
        <f t="shared" si="8"/>
        <v>6.6772532932781303E-7</v>
      </c>
      <c r="O46" s="377">
        <f t="shared" si="4"/>
        <v>1</v>
      </c>
      <c r="P46" s="378">
        <v>9.9999999999999972E-22</v>
      </c>
      <c r="Q46" s="379">
        <v>6.6772532932781303E-7</v>
      </c>
      <c r="R46" s="380">
        <v>0</v>
      </c>
      <c r="S46" s="381">
        <f t="shared" si="9"/>
        <v>-14.599492869777357</v>
      </c>
      <c r="T46" s="647"/>
      <c r="U46" s="271">
        <v>0</v>
      </c>
      <c r="V46" s="312">
        <v>0</v>
      </c>
      <c r="W46" s="332">
        <v>0</v>
      </c>
      <c r="X46" s="332">
        <v>0</v>
      </c>
      <c r="Y46" s="332">
        <v>0</v>
      </c>
      <c r="Z46" s="332">
        <v>0</v>
      </c>
      <c r="AA46" s="332">
        <v>0</v>
      </c>
      <c r="AB46" s="332">
        <v>0</v>
      </c>
      <c r="AC46" s="332">
        <v>0</v>
      </c>
      <c r="AD46" s="332">
        <v>0</v>
      </c>
      <c r="AE46" s="332">
        <v>0</v>
      </c>
      <c r="AF46" s="332">
        <v>0</v>
      </c>
      <c r="AG46" s="332">
        <v>1</v>
      </c>
      <c r="AH46" s="332">
        <v>0</v>
      </c>
      <c r="AI46" s="332">
        <v>0</v>
      </c>
      <c r="AJ46" s="332">
        <v>0</v>
      </c>
      <c r="AK46" s="332">
        <v>0</v>
      </c>
      <c r="AL46" s="332">
        <v>1</v>
      </c>
      <c r="AM46" s="333">
        <v>0</v>
      </c>
      <c r="AN46" s="333">
        <v>1</v>
      </c>
      <c r="AO46" s="333">
        <v>0</v>
      </c>
      <c r="AP46" s="333">
        <v>0</v>
      </c>
      <c r="AQ46" s="333">
        <v>1</v>
      </c>
      <c r="AR46" s="333">
        <v>0</v>
      </c>
      <c r="AS46" s="332">
        <v>0</v>
      </c>
      <c r="AT46" s="334">
        <v>0</v>
      </c>
      <c r="AU46" s="335">
        <f>+SUMIF(AU47:AU54,"&gt;0")</f>
        <v>1</v>
      </c>
      <c r="AV46" s="335">
        <f>+SUMIF(AV47:AV54,"&gt;0")</f>
        <v>1</v>
      </c>
      <c r="AW46" s="336">
        <v>0</v>
      </c>
      <c r="AX46" s="336">
        <f t="array" ref="AX46">-SUM((IF($V$20:$AW$20&gt;0,1,0)*$V46:$AW46))</f>
        <v>-2</v>
      </c>
      <c r="AY46" s="336">
        <v>0</v>
      </c>
      <c r="AZ46" s="337">
        <f t="array" ref="AZ46">SUM((IF($V$20:$AY$20&gt;0,1,0)*V46:AY46))</f>
        <v>0</v>
      </c>
      <c r="BA46" s="319"/>
      <c r="BB46" s="295"/>
      <c r="BD46" s="382">
        <v>1</v>
      </c>
      <c r="BE46" s="383">
        <v>0</v>
      </c>
      <c r="BF46" s="383">
        <v>0</v>
      </c>
      <c r="BG46" s="383">
        <v>0</v>
      </c>
      <c r="BH46" s="333">
        <v>0</v>
      </c>
      <c r="BI46" s="340">
        <v>0</v>
      </c>
      <c r="BJ46" s="340">
        <v>0</v>
      </c>
      <c r="BK46" s="340">
        <v>0</v>
      </c>
      <c r="BL46" s="340">
        <v>0</v>
      </c>
      <c r="BM46" s="301"/>
      <c r="BN46" s="295"/>
      <c r="BQ46" s="324" t="str">
        <f>+SpcDB!A67</f>
        <v>NADH</v>
      </c>
      <c r="BR46" s="324" t="str">
        <f>+SpcDB!B67</f>
        <v>NADH</v>
      </c>
      <c r="BS46" s="324" t="str">
        <f>+SpcDB!C67</f>
        <v>NADH</v>
      </c>
      <c r="BT46" s="324">
        <f>+SpcDB!D67</f>
        <v>21.83</v>
      </c>
      <c r="BU46" s="324" t="str">
        <f>+SpcDB!E67</f>
        <v>NA</v>
      </c>
      <c r="BV46" s="324" t="str">
        <f>+SpcDB!F67</f>
        <v>NA</v>
      </c>
      <c r="BW46" s="325" t="str">
        <f>+SpcDB!G67</f>
        <v>NA</v>
      </c>
      <c r="BX46" s="324">
        <f>+SpcDB!H67</f>
        <v>0</v>
      </c>
      <c r="BY46" s="324">
        <f>+SpcDB!I67</f>
        <v>1</v>
      </c>
      <c r="BZ46" s="324">
        <f>+SpcDB!J67</f>
        <v>0</v>
      </c>
      <c r="CA46" s="324">
        <f>+SpcDB!K67</f>
        <v>0</v>
      </c>
      <c r="CB46" s="324">
        <f>+SpcDB!L67</f>
        <v>0</v>
      </c>
      <c r="CC46" s="324">
        <f>+SpcDB!M67</f>
        <v>0</v>
      </c>
      <c r="CD46" s="324">
        <f>+SpcDB!N67</f>
        <v>0</v>
      </c>
      <c r="CE46" s="324">
        <f>+SpcDB!O67</f>
        <v>0</v>
      </c>
      <c r="CF46" s="324">
        <f>+SpcDB!P67</f>
        <v>0</v>
      </c>
      <c r="CG46" s="324">
        <f>+SpcDB!Q67</f>
        <v>1</v>
      </c>
      <c r="CH46" s="324">
        <f>+SpcDB!R67</f>
        <v>0</v>
      </c>
      <c r="CI46" s="324">
        <f>+SpcDB!S67</f>
        <v>0</v>
      </c>
      <c r="CJ46" s="324">
        <f>+SpcDB!T67</f>
        <v>0</v>
      </c>
      <c r="CK46" s="324">
        <f>+SpcDB!U67</f>
        <v>0</v>
      </c>
      <c r="CL46" s="301">
        <f t="shared" si="10"/>
        <v>1</v>
      </c>
      <c r="CM46" s="301">
        <f t="shared" si="6"/>
        <v>1</v>
      </c>
      <c r="CN46" s="342" t="str">
        <f t="shared" si="7"/>
        <v>NA</v>
      </c>
      <c r="CO46" s="295"/>
      <c r="CP46" s="327"/>
      <c r="CQ46" s="327"/>
      <c r="CR46" s="327"/>
      <c r="CS46" s="327"/>
      <c r="CT46" s="327"/>
      <c r="CU46" s="327"/>
    </row>
    <row r="47" spans="1:99" ht="15" customHeight="1" x14ac:dyDescent="0.3">
      <c r="A47" s="630" t="s">
        <v>710</v>
      </c>
      <c r="B47" s="630" t="s">
        <v>103</v>
      </c>
      <c r="C47" s="630" t="s">
        <v>751</v>
      </c>
      <c r="D47" s="372" t="str">
        <f t="shared" si="11"/>
        <v>NADP+</v>
      </c>
      <c r="E47" s="373">
        <f t="shared" si="2"/>
        <v>0</v>
      </c>
      <c r="F47" s="372">
        <f t="shared" si="12"/>
        <v>1</v>
      </c>
      <c r="G47" s="372">
        <f>ProDegPaths!CL47</f>
        <v>80</v>
      </c>
      <c r="H47" s="372">
        <f>ProDegPaths!CM47</f>
        <v>-1</v>
      </c>
      <c r="I47" s="374" t="str">
        <f>ProDegPaths!CN47</f>
        <v>NA</v>
      </c>
      <c r="J47" s="627" t="s">
        <v>755</v>
      </c>
      <c r="K47" s="343"/>
      <c r="L47" s="375" t="s">
        <v>38</v>
      </c>
      <c r="M47" s="376" t="s">
        <v>38</v>
      </c>
      <c r="N47" s="376">
        <f t="shared" si="8"/>
        <v>1E-3</v>
      </c>
      <c r="O47" s="377">
        <f t="shared" si="4"/>
        <v>1</v>
      </c>
      <c r="P47" s="378">
        <v>9.9999999999999972E-22</v>
      </c>
      <c r="Q47" s="379">
        <v>1E-3</v>
      </c>
      <c r="R47" s="380">
        <v>0</v>
      </c>
      <c r="S47" s="381">
        <f t="shared" si="9"/>
        <v>-17.697386497561322</v>
      </c>
      <c r="T47" s="647"/>
      <c r="U47" s="271">
        <v>0</v>
      </c>
      <c r="V47" s="312">
        <v>0</v>
      </c>
      <c r="W47" s="332">
        <v>0</v>
      </c>
      <c r="X47" s="332">
        <v>0</v>
      </c>
      <c r="Y47" s="332">
        <v>0</v>
      </c>
      <c r="Z47" s="332">
        <v>0</v>
      </c>
      <c r="AA47" s="332">
        <v>0</v>
      </c>
      <c r="AB47" s="332">
        <v>0</v>
      </c>
      <c r="AC47" s="332">
        <v>0</v>
      </c>
      <c r="AD47" s="332">
        <v>0</v>
      </c>
      <c r="AE47" s="332">
        <v>0</v>
      </c>
      <c r="AF47" s="332">
        <v>0</v>
      </c>
      <c r="AG47" s="332">
        <v>0</v>
      </c>
      <c r="AH47" s="332">
        <v>0</v>
      </c>
      <c r="AI47" s="332">
        <v>0</v>
      </c>
      <c r="AJ47" s="332">
        <v>0</v>
      </c>
      <c r="AK47" s="332">
        <v>0</v>
      </c>
      <c r="AL47" s="332">
        <v>0</v>
      </c>
      <c r="AM47" s="333">
        <v>0</v>
      </c>
      <c r="AN47" s="333">
        <v>0</v>
      </c>
      <c r="AO47" s="333">
        <v>0</v>
      </c>
      <c r="AP47" s="333">
        <v>0</v>
      </c>
      <c r="AQ47" s="333">
        <v>0</v>
      </c>
      <c r="AR47" s="333">
        <v>-1</v>
      </c>
      <c r="AS47" s="332">
        <v>0</v>
      </c>
      <c r="AT47" s="334">
        <v>0</v>
      </c>
      <c r="AU47" s="335">
        <v>0</v>
      </c>
      <c r="AV47" s="335">
        <v>0</v>
      </c>
      <c r="AW47" s="336">
        <v>0</v>
      </c>
      <c r="AX47" s="335">
        <v>0</v>
      </c>
      <c r="AY47" s="384">
        <f t="array" ref="AY47">-SUM((IF($V$20:$AX$20&gt;0,1,0)*V47:AX47))</f>
        <v>0</v>
      </c>
      <c r="AZ47" s="337">
        <f t="array" ref="AZ47">SUM((IF($V$20:$AY$20&gt;0,1,0)*V47:AY47))</f>
        <v>0</v>
      </c>
      <c r="BA47" s="319"/>
      <c r="BB47" s="295"/>
      <c r="BD47" s="382">
        <v>0</v>
      </c>
      <c r="BE47" s="383">
        <v>-1</v>
      </c>
      <c r="BF47" s="383">
        <v>0</v>
      </c>
      <c r="BG47" s="383">
        <v>0</v>
      </c>
      <c r="BH47" s="333">
        <v>0</v>
      </c>
      <c r="BI47" s="340">
        <v>0</v>
      </c>
      <c r="BJ47" s="340">
        <v>0</v>
      </c>
      <c r="BK47" s="340">
        <v>0</v>
      </c>
      <c r="BL47" s="340">
        <v>0</v>
      </c>
      <c r="BN47" s="295"/>
      <c r="BQ47" s="324" t="str">
        <f>+SpcDB!A68</f>
        <v>NADP+</v>
      </c>
      <c r="BR47" s="324" t="str">
        <f>+SpcDB!B68</f>
        <v>NADP+</v>
      </c>
      <c r="BS47" s="324" t="str">
        <f>+SpcDB!C68</f>
        <v>NADP+</v>
      </c>
      <c r="BT47" s="324">
        <f>+SpcDB!D68</f>
        <v>0</v>
      </c>
      <c r="BU47" s="324" t="str">
        <f>+SpcDB!E68</f>
        <v>NA</v>
      </c>
      <c r="BV47" s="324" t="str">
        <f>+SpcDB!F68</f>
        <v>NA</v>
      </c>
      <c r="BW47" s="325" t="str">
        <f>+SpcDB!G68</f>
        <v>NA</v>
      </c>
      <c r="BX47" s="324">
        <f>+SpcDB!H68</f>
        <v>0</v>
      </c>
      <c r="BY47" s="324">
        <f>+SpcDB!I68</f>
        <v>1</v>
      </c>
      <c r="BZ47" s="324">
        <f>+SpcDB!J68</f>
        <v>3</v>
      </c>
      <c r="CA47" s="324">
        <f>+SpcDB!K68</f>
        <v>0</v>
      </c>
      <c r="CB47" s="324">
        <f>+SpcDB!L68</f>
        <v>1</v>
      </c>
      <c r="CC47" s="324">
        <f>+SpcDB!M68</f>
        <v>0</v>
      </c>
      <c r="CD47" s="324">
        <f>+SpcDB!N68</f>
        <v>0</v>
      </c>
      <c r="CE47" s="324">
        <f>+SpcDB!O68</f>
        <v>0</v>
      </c>
      <c r="CF47" s="324">
        <f>+SpcDB!P68</f>
        <v>0</v>
      </c>
      <c r="CG47" s="324">
        <f>+SpcDB!Q68</f>
        <v>1</v>
      </c>
      <c r="CH47" s="324">
        <f>+SpcDB!R68</f>
        <v>0</v>
      </c>
      <c r="CI47" s="324">
        <f>+SpcDB!S68</f>
        <v>0</v>
      </c>
      <c r="CJ47" s="324">
        <f>+SpcDB!T68</f>
        <v>0</v>
      </c>
      <c r="CK47" s="324">
        <f>+SpcDB!U68</f>
        <v>1</v>
      </c>
      <c r="CL47" s="301">
        <f t="shared" si="10"/>
        <v>80</v>
      </c>
      <c r="CM47" s="301">
        <f t="shared" si="6"/>
        <v>-1</v>
      </c>
      <c r="CN47" s="342" t="str">
        <f t="shared" si="7"/>
        <v>NA</v>
      </c>
      <c r="CO47" s="295"/>
      <c r="CP47" s="332"/>
      <c r="CQ47" s="332"/>
      <c r="CR47" s="332"/>
      <c r="CS47" s="327"/>
      <c r="CT47" s="327"/>
      <c r="CU47" s="327"/>
    </row>
    <row r="48" spans="1:99" ht="15" customHeight="1" x14ac:dyDescent="0.3">
      <c r="A48" s="630" t="s">
        <v>710</v>
      </c>
      <c r="B48" s="630" t="s">
        <v>103</v>
      </c>
      <c r="C48" s="630" t="s">
        <v>59</v>
      </c>
      <c r="D48" s="372" t="str">
        <f t="shared" si="11"/>
        <v>NADPH</v>
      </c>
      <c r="E48" s="373">
        <f t="shared" si="2"/>
        <v>21.83</v>
      </c>
      <c r="F48" s="372">
        <f t="shared" si="12"/>
        <v>0</v>
      </c>
      <c r="G48" s="372">
        <f>ProDegPaths!CL48</f>
        <v>81</v>
      </c>
      <c r="H48" s="372">
        <f>ProDegPaths!CM48</f>
        <v>1</v>
      </c>
      <c r="I48" s="374" t="str">
        <f>ProDegPaths!CN48</f>
        <v>NA</v>
      </c>
      <c r="J48" s="627" t="s">
        <v>755</v>
      </c>
      <c r="L48" s="375" t="s">
        <v>38</v>
      </c>
      <c r="M48" s="376" t="s">
        <v>38</v>
      </c>
      <c r="N48" s="376">
        <f t="shared" si="8"/>
        <v>2.2900000000000001E-5</v>
      </c>
      <c r="O48" s="377">
        <f t="shared" si="4"/>
        <v>1</v>
      </c>
      <c r="P48" s="378">
        <v>9.9999999999999972E-22</v>
      </c>
      <c r="Q48" s="379">
        <v>2.2900000000000001E-5</v>
      </c>
      <c r="R48" s="380">
        <v>0</v>
      </c>
      <c r="S48" s="381">
        <f t="shared" si="9"/>
        <v>-5.5429282937670727</v>
      </c>
      <c r="T48" s="647"/>
      <c r="U48" s="271">
        <v>0</v>
      </c>
      <c r="V48" s="312">
        <v>0</v>
      </c>
      <c r="W48" s="332">
        <v>0</v>
      </c>
      <c r="X48" s="332">
        <v>0</v>
      </c>
      <c r="Y48" s="332">
        <v>0</v>
      </c>
      <c r="Z48" s="332">
        <v>0</v>
      </c>
      <c r="AA48" s="332">
        <v>0</v>
      </c>
      <c r="AB48" s="332">
        <v>0</v>
      </c>
      <c r="AC48" s="332">
        <v>0</v>
      </c>
      <c r="AD48" s="332">
        <v>0</v>
      </c>
      <c r="AE48" s="332">
        <v>0</v>
      </c>
      <c r="AF48" s="332">
        <v>0</v>
      </c>
      <c r="AG48" s="332">
        <v>0</v>
      </c>
      <c r="AH48" s="332">
        <v>0</v>
      </c>
      <c r="AI48" s="332">
        <v>0</v>
      </c>
      <c r="AJ48" s="332">
        <v>0</v>
      </c>
      <c r="AK48" s="332">
        <v>0</v>
      </c>
      <c r="AL48" s="332">
        <v>0</v>
      </c>
      <c r="AM48" s="333">
        <v>0</v>
      </c>
      <c r="AN48" s="333">
        <v>0</v>
      </c>
      <c r="AO48" s="333">
        <v>0</v>
      </c>
      <c r="AP48" s="333">
        <v>0</v>
      </c>
      <c r="AQ48" s="333">
        <v>0</v>
      </c>
      <c r="AR48" s="333">
        <v>1</v>
      </c>
      <c r="AS48" s="332">
        <v>0</v>
      </c>
      <c r="AT48" s="334">
        <v>0</v>
      </c>
      <c r="AU48" s="335">
        <v>0</v>
      </c>
      <c r="AV48" s="335">
        <v>0</v>
      </c>
      <c r="AW48" s="336">
        <v>0</v>
      </c>
      <c r="AX48" s="335">
        <v>0</v>
      </c>
      <c r="AY48" s="384">
        <f t="array" ref="AY48">-SUM((IF($V$20:$AX$20&gt;0,1,0)*V48:AX48))</f>
        <v>0</v>
      </c>
      <c r="AZ48" s="337">
        <f t="array" ref="AZ48">SUM((IF($V$20:$AY$20&gt;0,1,0)*V48:AY48))</f>
        <v>0</v>
      </c>
      <c r="BA48" s="319"/>
      <c r="BB48" s="295"/>
      <c r="BD48" s="382">
        <v>0</v>
      </c>
      <c r="BE48" s="383">
        <v>1</v>
      </c>
      <c r="BF48" s="383">
        <v>0</v>
      </c>
      <c r="BG48" s="383">
        <v>0</v>
      </c>
      <c r="BH48" s="333">
        <v>0</v>
      </c>
      <c r="BI48" s="340">
        <v>0</v>
      </c>
      <c r="BJ48" s="340">
        <v>0</v>
      </c>
      <c r="BK48" s="340">
        <v>0</v>
      </c>
      <c r="BL48" s="340">
        <v>0</v>
      </c>
      <c r="BM48" s="301"/>
      <c r="BN48" s="295"/>
      <c r="BQ48" s="324" t="str">
        <f>+SpcDB!A69</f>
        <v>NADPH</v>
      </c>
      <c r="BR48" s="324" t="str">
        <f>+SpcDB!B69</f>
        <v>NADPH</v>
      </c>
      <c r="BS48" s="324" t="str">
        <f>+SpcDB!C69</f>
        <v>NADPH</v>
      </c>
      <c r="BT48" s="324">
        <f>+SpcDB!D69</f>
        <v>21.83</v>
      </c>
      <c r="BU48" s="324" t="str">
        <f>+SpcDB!E69</f>
        <v>NA</v>
      </c>
      <c r="BV48" s="324" t="str">
        <f>+SpcDB!F69</f>
        <v>NA</v>
      </c>
      <c r="BW48" s="325" t="str">
        <f>+SpcDB!G69</f>
        <v>NA</v>
      </c>
      <c r="BX48" s="324">
        <f>+SpcDB!H69</f>
        <v>0</v>
      </c>
      <c r="BY48" s="324">
        <f>+SpcDB!I69</f>
        <v>2</v>
      </c>
      <c r="BZ48" s="324">
        <f>+SpcDB!J69</f>
        <v>3</v>
      </c>
      <c r="CA48" s="324">
        <f>+SpcDB!K69</f>
        <v>0</v>
      </c>
      <c r="CB48" s="324">
        <f>+SpcDB!L69</f>
        <v>1</v>
      </c>
      <c r="CC48" s="324">
        <f>+SpcDB!M69</f>
        <v>0</v>
      </c>
      <c r="CD48" s="324">
        <f>+SpcDB!N69</f>
        <v>0</v>
      </c>
      <c r="CE48" s="324">
        <f>+SpcDB!O69</f>
        <v>0</v>
      </c>
      <c r="CF48" s="324">
        <f>+SpcDB!P69</f>
        <v>0</v>
      </c>
      <c r="CG48" s="324">
        <f>+SpcDB!Q69</f>
        <v>1</v>
      </c>
      <c r="CH48" s="324">
        <f>+SpcDB!R69</f>
        <v>0</v>
      </c>
      <c r="CI48" s="324">
        <f>+SpcDB!S69</f>
        <v>0</v>
      </c>
      <c r="CJ48" s="324">
        <f>+SpcDB!T69</f>
        <v>0</v>
      </c>
      <c r="CK48" s="324">
        <f>+SpcDB!U69</f>
        <v>0</v>
      </c>
      <c r="CL48" s="301">
        <f t="shared" si="10"/>
        <v>81</v>
      </c>
      <c r="CM48" s="301">
        <f t="shared" si="6"/>
        <v>1</v>
      </c>
      <c r="CN48" s="342" t="str">
        <f t="shared" si="7"/>
        <v>NA</v>
      </c>
      <c r="CO48" s="295"/>
      <c r="CP48" s="332"/>
      <c r="CQ48" s="332"/>
      <c r="CR48" s="332"/>
      <c r="CS48" s="327"/>
      <c r="CT48" s="327"/>
      <c r="CU48" s="327"/>
    </row>
    <row r="49" spans="1:99" ht="15" customHeight="1" x14ac:dyDescent="0.3">
      <c r="A49" s="630" t="s">
        <v>710</v>
      </c>
      <c r="B49" s="630" t="s">
        <v>103</v>
      </c>
      <c r="C49" s="630" t="s">
        <v>751</v>
      </c>
      <c r="D49" s="372" t="str">
        <f t="shared" si="11"/>
        <v>FAD</v>
      </c>
      <c r="E49" s="373">
        <f t="shared" si="2"/>
        <v>0</v>
      </c>
      <c r="F49" s="372">
        <f t="shared" si="12"/>
        <v>0</v>
      </c>
      <c r="G49" s="372">
        <f>ProDegPaths!CL49</f>
        <v>0</v>
      </c>
      <c r="H49" s="372">
        <f>ProDegPaths!CM49</f>
        <v>0</v>
      </c>
      <c r="I49" s="374" t="str">
        <f>ProDegPaths!CN49</f>
        <v>NA</v>
      </c>
      <c r="J49" s="627" t="s">
        <v>755</v>
      </c>
      <c r="K49" s="343"/>
      <c r="L49" s="375" t="s">
        <v>38</v>
      </c>
      <c r="M49" s="376" t="s">
        <v>38</v>
      </c>
      <c r="N49" s="376">
        <f t="shared" si="8"/>
        <v>1E-3</v>
      </c>
      <c r="O49" s="377">
        <f t="shared" si="4"/>
        <v>1</v>
      </c>
      <c r="P49" s="378">
        <v>9.9999999999999972E-22</v>
      </c>
      <c r="Q49" s="379">
        <v>1E-3</v>
      </c>
      <c r="R49" s="380">
        <v>0</v>
      </c>
      <c r="S49" s="381">
        <f t="shared" si="9"/>
        <v>-17.697386497561322</v>
      </c>
      <c r="T49" s="647"/>
      <c r="U49" s="271">
        <v>0</v>
      </c>
      <c r="V49" s="312">
        <v>0</v>
      </c>
      <c r="W49" s="332">
        <v>0</v>
      </c>
      <c r="X49" s="332">
        <v>0</v>
      </c>
      <c r="Y49" s="332">
        <v>0</v>
      </c>
      <c r="Z49" s="332">
        <v>0</v>
      </c>
      <c r="AA49" s="332">
        <v>0</v>
      </c>
      <c r="AB49" s="332">
        <v>0</v>
      </c>
      <c r="AC49" s="332">
        <v>0</v>
      </c>
      <c r="AD49" s="332">
        <v>-1</v>
      </c>
      <c r="AE49" s="332">
        <v>0</v>
      </c>
      <c r="AF49" s="332">
        <v>-1</v>
      </c>
      <c r="AG49" s="332">
        <v>0</v>
      </c>
      <c r="AH49" s="332">
        <v>0</v>
      </c>
      <c r="AI49" s="332">
        <v>0</v>
      </c>
      <c r="AJ49" s="332">
        <v>0</v>
      </c>
      <c r="AK49" s="332">
        <v>-1</v>
      </c>
      <c r="AL49" s="332">
        <v>0</v>
      </c>
      <c r="AM49" s="333">
        <v>0</v>
      </c>
      <c r="AN49" s="333">
        <v>0</v>
      </c>
      <c r="AO49" s="333">
        <v>0</v>
      </c>
      <c r="AP49" s="333">
        <v>0</v>
      </c>
      <c r="AQ49" s="333">
        <v>0</v>
      </c>
      <c r="AR49" s="333">
        <v>0</v>
      </c>
      <c r="AS49" s="332">
        <v>0</v>
      </c>
      <c r="AT49" s="334">
        <v>0</v>
      </c>
      <c r="AU49" s="335">
        <f t="array" ref="AU49">-SUM((IF($V$20:$AT$20&gt;0,1,0)*$V49:$AT49))</f>
        <v>1</v>
      </c>
      <c r="AV49" s="335">
        <v>0</v>
      </c>
      <c r="AW49" s="336">
        <v>0</v>
      </c>
      <c r="AX49" s="335">
        <v>0</v>
      </c>
      <c r="AY49" s="336">
        <v>0</v>
      </c>
      <c r="AZ49" s="337">
        <f t="array" ref="AZ49">SUM((IF($V$20:$AY$20&gt;0,1,0)*V49:AY49))</f>
        <v>0</v>
      </c>
      <c r="BA49" s="319"/>
      <c r="BB49" s="295"/>
      <c r="BD49" s="382">
        <v>0</v>
      </c>
      <c r="BE49" s="383">
        <v>0</v>
      </c>
      <c r="BF49" s="383">
        <v>-1</v>
      </c>
      <c r="BG49" s="383">
        <v>-1</v>
      </c>
      <c r="BH49" s="333">
        <v>0</v>
      </c>
      <c r="BI49" s="340">
        <v>0</v>
      </c>
      <c r="BJ49" s="340">
        <v>0</v>
      </c>
      <c r="BK49" s="340">
        <v>0</v>
      </c>
      <c r="BL49" s="340">
        <v>0</v>
      </c>
      <c r="BM49" s="301"/>
      <c r="BN49" s="295"/>
      <c r="BQ49" s="385" t="str">
        <f>+SpcDB!A39</f>
        <v>FAD</v>
      </c>
      <c r="BR49" s="385" t="str">
        <f>+SpcDB!B39</f>
        <v>FAD</v>
      </c>
      <c r="BS49" s="385" t="str">
        <f>+SpcDB!C39</f>
        <v>FAD</v>
      </c>
      <c r="BT49" s="385">
        <f>+SpcDB!D39</f>
        <v>0</v>
      </c>
      <c r="BU49" s="385" t="str">
        <f>+SpcDB!E39</f>
        <v>NA</v>
      </c>
      <c r="BV49" s="385" t="str">
        <f>+SpcDB!F39</f>
        <v>NA</v>
      </c>
      <c r="BW49" s="386" t="str">
        <f>+SpcDB!G39</f>
        <v>NA</v>
      </c>
      <c r="BX49" s="385">
        <f>+SpcDB!H39</f>
        <v>0</v>
      </c>
      <c r="BY49" s="385">
        <f>+SpcDB!I39</f>
        <v>0</v>
      </c>
      <c r="BZ49" s="385">
        <f>+SpcDB!J39</f>
        <v>0</v>
      </c>
      <c r="CA49" s="385">
        <f>+SpcDB!K39</f>
        <v>0</v>
      </c>
      <c r="CB49" s="385">
        <f>+SpcDB!L39</f>
        <v>0</v>
      </c>
      <c r="CC49" s="385">
        <f>+SpcDB!M39</f>
        <v>0</v>
      </c>
      <c r="CD49" s="385">
        <f>+SpcDB!N39</f>
        <v>0</v>
      </c>
      <c r="CE49" s="385">
        <f>+SpcDB!O39</f>
        <v>0</v>
      </c>
      <c r="CF49" s="385">
        <f>+SpcDB!P39</f>
        <v>0</v>
      </c>
      <c r="CG49" s="385">
        <f>+SpcDB!Q39</f>
        <v>1</v>
      </c>
      <c r="CH49" s="385">
        <f>+SpcDB!R39</f>
        <v>0</v>
      </c>
      <c r="CI49" s="385">
        <f>+SpcDB!S39</f>
        <v>0</v>
      </c>
      <c r="CJ49" s="385">
        <f>+SpcDB!T39</f>
        <v>0</v>
      </c>
      <c r="CK49" s="385">
        <f>+SpcDB!U39</f>
        <v>0</v>
      </c>
      <c r="CL49" s="387">
        <f t="shared" si="10"/>
        <v>0</v>
      </c>
      <c r="CM49" s="301">
        <f t="shared" si="6"/>
        <v>0</v>
      </c>
      <c r="CN49" s="342" t="str">
        <f t="shared" si="7"/>
        <v>NA</v>
      </c>
      <c r="CO49" s="388"/>
      <c r="CP49" s="332"/>
      <c r="CQ49" s="332"/>
      <c r="CR49" s="332"/>
      <c r="CS49" s="327"/>
      <c r="CT49" s="327"/>
      <c r="CU49" s="327"/>
    </row>
    <row r="50" spans="1:99" ht="15" customHeight="1" x14ac:dyDescent="0.3">
      <c r="A50" s="630" t="s">
        <v>710</v>
      </c>
      <c r="B50" s="630" t="s">
        <v>103</v>
      </c>
      <c r="C50" s="630" t="s">
        <v>59</v>
      </c>
      <c r="D50" s="372" t="str">
        <f t="shared" si="11"/>
        <v>FADH2</v>
      </c>
      <c r="E50" s="373">
        <f t="shared" si="2"/>
        <v>-37.4</v>
      </c>
      <c r="F50" s="372">
        <f t="shared" si="12"/>
        <v>0</v>
      </c>
      <c r="G50" s="372">
        <f>ProDegPaths!CL50</f>
        <v>2</v>
      </c>
      <c r="H50" s="372">
        <f>ProDegPaths!CM50</f>
        <v>2</v>
      </c>
      <c r="I50" s="374" t="str">
        <f>ProDegPaths!CN50</f>
        <v>NA</v>
      </c>
      <c r="J50" s="627" t="s">
        <v>755</v>
      </c>
      <c r="L50" s="375" t="s">
        <v>38</v>
      </c>
      <c r="M50" s="376" t="s">
        <v>38</v>
      </c>
      <c r="N50" s="376">
        <f t="shared" si="8"/>
        <v>2.11799099323077E-6</v>
      </c>
      <c r="O50" s="377">
        <f t="shared" si="4"/>
        <v>1</v>
      </c>
      <c r="P50" s="378">
        <v>9.9999999999999972E-22</v>
      </c>
      <c r="Q50" s="379">
        <v>2.11799099323077E-6</v>
      </c>
      <c r="R50" s="380">
        <v>0</v>
      </c>
      <c r="S50" s="381">
        <f t="shared" si="9"/>
        <v>-70.872104686887468</v>
      </c>
      <c r="T50" s="647"/>
      <c r="U50" s="271">
        <v>0</v>
      </c>
      <c r="V50" s="312">
        <v>0</v>
      </c>
      <c r="W50" s="332">
        <v>0</v>
      </c>
      <c r="X50" s="332">
        <v>0</v>
      </c>
      <c r="Y50" s="332">
        <v>0</v>
      </c>
      <c r="Z50" s="332">
        <v>0</v>
      </c>
      <c r="AA50" s="332">
        <v>0</v>
      </c>
      <c r="AB50" s="332">
        <v>0</v>
      </c>
      <c r="AC50" s="332">
        <v>0</v>
      </c>
      <c r="AD50" s="332">
        <v>1</v>
      </c>
      <c r="AE50" s="332">
        <v>0</v>
      </c>
      <c r="AF50" s="332">
        <v>1</v>
      </c>
      <c r="AG50" s="332">
        <v>0</v>
      </c>
      <c r="AH50" s="332">
        <v>0</v>
      </c>
      <c r="AI50" s="332">
        <v>0</v>
      </c>
      <c r="AJ50" s="332">
        <v>0</v>
      </c>
      <c r="AK50" s="332">
        <v>1</v>
      </c>
      <c r="AL50" s="332">
        <v>0</v>
      </c>
      <c r="AM50" s="333">
        <v>0</v>
      </c>
      <c r="AN50" s="333">
        <v>0</v>
      </c>
      <c r="AO50" s="333">
        <v>0</v>
      </c>
      <c r="AP50" s="333">
        <v>0</v>
      </c>
      <c r="AQ50" s="333">
        <v>0</v>
      </c>
      <c r="AR50" s="333">
        <v>0</v>
      </c>
      <c r="AS50" s="332">
        <v>0</v>
      </c>
      <c r="AT50" s="334">
        <v>0</v>
      </c>
      <c r="AU50" s="335">
        <f t="array" ref="AU50">-SUM((IF($V$20:$AT$20&gt;0,1,0)*$V50:$AT50))</f>
        <v>-1</v>
      </c>
      <c r="AV50" s="335">
        <v>0</v>
      </c>
      <c r="AW50" s="336">
        <v>0</v>
      </c>
      <c r="AX50" s="335">
        <v>0</v>
      </c>
      <c r="AY50" s="336">
        <v>0</v>
      </c>
      <c r="AZ50" s="337">
        <f t="array" ref="AZ50">SUM((IF($V$20:$AY$20&gt;0,1,0)*V50:AY50))</f>
        <v>0</v>
      </c>
      <c r="BA50" s="319"/>
      <c r="BB50" s="295"/>
      <c r="BD50" s="382">
        <v>0</v>
      </c>
      <c r="BE50" s="383">
        <v>0</v>
      </c>
      <c r="BF50" s="383">
        <v>1</v>
      </c>
      <c r="BG50" s="383">
        <v>1</v>
      </c>
      <c r="BH50" s="333">
        <v>0</v>
      </c>
      <c r="BI50" s="340">
        <v>0</v>
      </c>
      <c r="BJ50" s="340">
        <v>0</v>
      </c>
      <c r="BK50" s="340">
        <v>0</v>
      </c>
      <c r="BL50" s="340">
        <v>0</v>
      </c>
      <c r="BM50" s="323"/>
      <c r="BN50" s="295"/>
      <c r="BQ50" s="385" t="str">
        <f>+SpcDB!A40</f>
        <v>FADH2</v>
      </c>
      <c r="BR50" s="385" t="str">
        <f>+SpcDB!B40</f>
        <v>FADH2</v>
      </c>
      <c r="BS50" s="385" t="str">
        <f>+SpcDB!C40</f>
        <v>FADH2</v>
      </c>
      <c r="BT50" s="385">
        <f>+SpcDB!D40</f>
        <v>-37.4</v>
      </c>
      <c r="BU50" s="385" t="str">
        <f>+SpcDB!E40</f>
        <v>NA</v>
      </c>
      <c r="BV50" s="385" t="str">
        <f>+SpcDB!F40</f>
        <v>NA</v>
      </c>
      <c r="BW50" s="386" t="str">
        <f>+SpcDB!G40</f>
        <v>NA</v>
      </c>
      <c r="BX50" s="385">
        <f>+SpcDB!H40</f>
        <v>0</v>
      </c>
      <c r="BY50" s="385">
        <f>+SpcDB!I40</f>
        <v>2</v>
      </c>
      <c r="BZ50" s="385">
        <f>+SpcDB!J40</f>
        <v>0</v>
      </c>
      <c r="CA50" s="385">
        <f>+SpcDB!K40</f>
        <v>0</v>
      </c>
      <c r="CB50" s="385">
        <f>+SpcDB!L40</f>
        <v>0</v>
      </c>
      <c r="CC50" s="385">
        <f>+SpcDB!M40</f>
        <v>0</v>
      </c>
      <c r="CD50" s="385">
        <f>+SpcDB!N40</f>
        <v>0</v>
      </c>
      <c r="CE50" s="385">
        <f>+SpcDB!O40</f>
        <v>0</v>
      </c>
      <c r="CF50" s="385">
        <f>+SpcDB!P40</f>
        <v>0</v>
      </c>
      <c r="CG50" s="385">
        <f>+SpcDB!Q40</f>
        <v>1</v>
      </c>
      <c r="CH50" s="385">
        <f>+SpcDB!R40</f>
        <v>0</v>
      </c>
      <c r="CI50" s="385">
        <f>+SpcDB!S40</f>
        <v>0</v>
      </c>
      <c r="CJ50" s="385">
        <f>+SpcDB!T40</f>
        <v>0</v>
      </c>
      <c r="CK50" s="385">
        <f>+SpcDB!U40</f>
        <v>0</v>
      </c>
      <c r="CL50" s="387">
        <f t="shared" si="10"/>
        <v>2</v>
      </c>
      <c r="CM50" s="301">
        <f t="shared" si="6"/>
        <v>2</v>
      </c>
      <c r="CN50" s="342" t="str">
        <f t="shared" si="7"/>
        <v>NA</v>
      </c>
      <c r="CO50" s="388"/>
      <c r="CP50" s="332"/>
      <c r="CQ50" s="332"/>
      <c r="CR50" s="332"/>
      <c r="CS50" s="327"/>
      <c r="CT50" s="327"/>
      <c r="CU50" s="327"/>
    </row>
    <row r="51" spans="1:99" ht="15" customHeight="1" x14ac:dyDescent="0.3">
      <c r="A51" s="630" t="s">
        <v>710</v>
      </c>
      <c r="B51" s="630" t="s">
        <v>103</v>
      </c>
      <c r="C51" s="630" t="s">
        <v>751</v>
      </c>
      <c r="D51" s="372" t="str">
        <f t="shared" si="11"/>
        <v>Fdox</v>
      </c>
      <c r="E51" s="373">
        <f t="shared" si="2"/>
        <v>0</v>
      </c>
      <c r="F51" s="372">
        <f t="shared" si="12"/>
        <v>-1</v>
      </c>
      <c r="G51" s="372">
        <f>ProDegPaths!CL51</f>
        <v>0</v>
      </c>
      <c r="H51" s="372">
        <f>ProDegPaths!CM51</f>
        <v>1</v>
      </c>
      <c r="I51" s="374" t="str">
        <f>ProDegPaths!CN51</f>
        <v>NA</v>
      </c>
      <c r="J51" s="627" t="s">
        <v>755</v>
      </c>
      <c r="K51" s="343"/>
      <c r="L51" s="375" t="s">
        <v>38</v>
      </c>
      <c r="M51" s="376" t="s">
        <v>38</v>
      </c>
      <c r="N51" s="376">
        <f t="shared" si="8"/>
        <v>0.01</v>
      </c>
      <c r="O51" s="377">
        <f t="shared" si="4"/>
        <v>1</v>
      </c>
      <c r="P51" s="378">
        <v>9.9999999999999972E-22</v>
      </c>
      <c r="Q51" s="379">
        <v>0.01</v>
      </c>
      <c r="R51" s="380">
        <v>0</v>
      </c>
      <c r="S51" s="381">
        <f t="shared" si="9"/>
        <v>-11.798257665040881</v>
      </c>
      <c r="T51" s="647"/>
      <c r="U51" s="271">
        <v>0</v>
      </c>
      <c r="V51" s="312">
        <v>0</v>
      </c>
      <c r="W51" s="332">
        <v>0</v>
      </c>
      <c r="X51" s="332">
        <v>0</v>
      </c>
      <c r="Y51" s="332">
        <v>0</v>
      </c>
      <c r="Z51" s="332">
        <v>0</v>
      </c>
      <c r="AA51" s="332">
        <v>0</v>
      </c>
      <c r="AB51" s="332">
        <v>0</v>
      </c>
      <c r="AC51" s="332">
        <v>0</v>
      </c>
      <c r="AD51" s="332">
        <v>0</v>
      </c>
      <c r="AE51" s="332">
        <v>0</v>
      </c>
      <c r="AF51" s="332">
        <v>0</v>
      </c>
      <c r="AG51" s="332">
        <v>0</v>
      </c>
      <c r="AH51" s="332">
        <v>0</v>
      </c>
      <c r="AI51" s="332">
        <v>-1</v>
      </c>
      <c r="AJ51" s="332">
        <v>0</v>
      </c>
      <c r="AK51" s="332">
        <v>0</v>
      </c>
      <c r="AL51" s="332">
        <v>0</v>
      </c>
      <c r="AM51" s="333">
        <v>0</v>
      </c>
      <c r="AN51" s="333">
        <v>0</v>
      </c>
      <c r="AO51" s="333">
        <v>0</v>
      </c>
      <c r="AP51" s="333">
        <v>0</v>
      </c>
      <c r="AQ51" s="333">
        <v>0</v>
      </c>
      <c r="AR51" s="333">
        <v>0</v>
      </c>
      <c r="AS51" s="332">
        <v>0</v>
      </c>
      <c r="AT51" s="334">
        <v>0</v>
      </c>
      <c r="AU51" s="335">
        <v>0</v>
      </c>
      <c r="AV51" s="335">
        <v>0</v>
      </c>
      <c r="AW51" s="335">
        <f t="array" ref="AW51">-SUM((IF($V$20:$AT$20&gt;0,1,0)*$V51:$AT51))</f>
        <v>1</v>
      </c>
      <c r="AX51" s="335">
        <v>0</v>
      </c>
      <c r="AY51" s="336">
        <v>0</v>
      </c>
      <c r="AZ51" s="337">
        <f t="array" ref="AZ51">SUM((IF($V$20:$AY$20&gt;0,1,0)*V51:AY51))</f>
        <v>0</v>
      </c>
      <c r="BA51" s="319"/>
      <c r="BB51" s="295"/>
      <c r="BD51" s="382">
        <v>0</v>
      </c>
      <c r="BE51" s="383">
        <v>0</v>
      </c>
      <c r="BF51" s="383">
        <v>0</v>
      </c>
      <c r="BG51" s="383">
        <v>-1</v>
      </c>
      <c r="BH51" s="333">
        <v>-1</v>
      </c>
      <c r="BI51" s="340">
        <v>0</v>
      </c>
      <c r="BJ51" s="340">
        <v>0</v>
      </c>
      <c r="BK51" s="340">
        <v>0</v>
      </c>
      <c r="BL51" s="340">
        <v>0</v>
      </c>
      <c r="BM51" s="301"/>
      <c r="BN51" s="295"/>
      <c r="BQ51" s="324" t="str">
        <f>+SpcDB!A41</f>
        <v>Ferredoxin (ox)</v>
      </c>
      <c r="BR51" s="324" t="str">
        <f>+SpcDB!B41</f>
        <v>Fdox</v>
      </c>
      <c r="BS51" s="324" t="str">
        <f>+SpcDB!C41</f>
        <v>Fdox</v>
      </c>
      <c r="BT51" s="324">
        <f>+SpcDB!D41</f>
        <v>0</v>
      </c>
      <c r="BU51" s="324" t="str">
        <f>+SpcDB!E41</f>
        <v>NA</v>
      </c>
      <c r="BV51" s="324" t="str">
        <f>+SpcDB!F41</f>
        <v>NA</v>
      </c>
      <c r="BW51" s="325" t="str">
        <f>+SpcDB!G41</f>
        <v>NA</v>
      </c>
      <c r="BX51" s="324">
        <f>+SpcDB!H41</f>
        <v>0</v>
      </c>
      <c r="BY51" s="324">
        <f>+SpcDB!I41</f>
        <v>0</v>
      </c>
      <c r="BZ51" s="324">
        <f>+SpcDB!J41</f>
        <v>0</v>
      </c>
      <c r="CA51" s="324">
        <f>+SpcDB!K41</f>
        <v>0</v>
      </c>
      <c r="CB51" s="324">
        <f>+SpcDB!L41</f>
        <v>0</v>
      </c>
      <c r="CC51" s="324">
        <f>+SpcDB!M41</f>
        <v>0</v>
      </c>
      <c r="CD51" s="324">
        <f>+SpcDB!N41</f>
        <v>0</v>
      </c>
      <c r="CE51" s="324">
        <f>+SpcDB!O41</f>
        <v>0</v>
      </c>
      <c r="CF51" s="324">
        <f>+SpcDB!P41</f>
        <v>0</v>
      </c>
      <c r="CG51" s="324">
        <f>+SpcDB!Q41</f>
        <v>1</v>
      </c>
      <c r="CH51" s="324">
        <f>+SpcDB!R41</f>
        <v>0</v>
      </c>
      <c r="CI51" s="324">
        <f>+SpcDB!S41</f>
        <v>0</v>
      </c>
      <c r="CJ51" s="324">
        <f>+SpcDB!T41</f>
        <v>0</v>
      </c>
      <c r="CK51" s="324">
        <f>+SpcDB!U41</f>
        <v>-1</v>
      </c>
      <c r="CL51" s="301">
        <f t="shared" si="10"/>
        <v>0</v>
      </c>
      <c r="CM51" s="301">
        <f t="shared" si="6"/>
        <v>1</v>
      </c>
      <c r="CN51" s="342" t="str">
        <f t="shared" si="7"/>
        <v>NA</v>
      </c>
      <c r="CO51" s="388"/>
      <c r="CP51" s="332"/>
      <c r="CQ51" s="327"/>
      <c r="CR51" s="389"/>
      <c r="CS51" s="327"/>
      <c r="CT51" s="327"/>
      <c r="CU51" s="390"/>
    </row>
    <row r="52" spans="1:99" ht="15" customHeight="1" x14ac:dyDescent="0.3">
      <c r="A52" s="630" t="s">
        <v>710</v>
      </c>
      <c r="B52" s="630" t="s">
        <v>103</v>
      </c>
      <c r="C52" s="630" t="s">
        <v>59</v>
      </c>
      <c r="D52" s="372" t="str">
        <f t="shared" si="11"/>
        <v>Fdred</v>
      </c>
      <c r="E52" s="373">
        <f t="shared" si="2"/>
        <v>79.117699999999999</v>
      </c>
      <c r="F52" s="372">
        <f t="shared" si="12"/>
        <v>-3</v>
      </c>
      <c r="G52" s="372">
        <f>ProDegPaths!CL52</f>
        <v>0</v>
      </c>
      <c r="H52" s="372">
        <f>ProDegPaths!CM52</f>
        <v>3</v>
      </c>
      <c r="I52" s="374" t="str">
        <f>ProDegPaths!CN52</f>
        <v>NA</v>
      </c>
      <c r="J52" s="627" t="s">
        <v>755</v>
      </c>
      <c r="L52" s="375" t="s">
        <v>38</v>
      </c>
      <c r="M52" s="376" t="s">
        <v>38</v>
      </c>
      <c r="N52" s="376">
        <f t="shared" si="8"/>
        <v>8.4075260718464095E-5</v>
      </c>
      <c r="O52" s="377">
        <f t="shared" si="4"/>
        <v>1</v>
      </c>
      <c r="P52" s="378">
        <v>9.9999999999999972E-22</v>
      </c>
      <c r="Q52" s="379">
        <v>8.4075260718464095E-5</v>
      </c>
      <c r="R52" s="380">
        <v>0</v>
      </c>
      <c r="S52" s="381">
        <f t="shared" si="9"/>
        <v>55.076792810687792</v>
      </c>
      <c r="T52" s="647"/>
      <c r="U52" s="272">
        <v>0</v>
      </c>
      <c r="V52" s="312">
        <v>0</v>
      </c>
      <c r="W52" s="332">
        <v>0</v>
      </c>
      <c r="X52" s="332">
        <v>0</v>
      </c>
      <c r="Y52" s="332">
        <v>0</v>
      </c>
      <c r="Z52" s="332">
        <v>0</v>
      </c>
      <c r="AA52" s="332">
        <v>0</v>
      </c>
      <c r="AB52" s="332">
        <v>0</v>
      </c>
      <c r="AC52" s="332">
        <v>0</v>
      </c>
      <c r="AD52" s="332">
        <v>0</v>
      </c>
      <c r="AE52" s="332">
        <v>0</v>
      </c>
      <c r="AF52" s="332">
        <v>0</v>
      </c>
      <c r="AG52" s="332">
        <v>0</v>
      </c>
      <c r="AH52" s="332">
        <v>0</v>
      </c>
      <c r="AI52" s="332">
        <v>1</v>
      </c>
      <c r="AJ52" s="332">
        <v>0</v>
      </c>
      <c r="AK52" s="332">
        <v>0</v>
      </c>
      <c r="AL52" s="332">
        <v>0</v>
      </c>
      <c r="AM52" s="333">
        <v>0</v>
      </c>
      <c r="AN52" s="333">
        <v>0</v>
      </c>
      <c r="AO52" s="333">
        <v>0</v>
      </c>
      <c r="AP52" s="333">
        <v>0</v>
      </c>
      <c r="AQ52" s="333">
        <v>0</v>
      </c>
      <c r="AR52" s="333">
        <v>0</v>
      </c>
      <c r="AS52" s="332">
        <v>0</v>
      </c>
      <c r="AT52" s="334">
        <v>0</v>
      </c>
      <c r="AU52" s="335">
        <v>0</v>
      </c>
      <c r="AV52" s="335">
        <v>0</v>
      </c>
      <c r="AW52" s="335">
        <f t="array" ref="AW52">-SUM((IF($V$20:$AT$20&gt;0,1,0)*$V52:$AT52))</f>
        <v>-1</v>
      </c>
      <c r="AX52" s="335">
        <v>0</v>
      </c>
      <c r="AY52" s="336">
        <v>0</v>
      </c>
      <c r="AZ52" s="337">
        <f t="array" ref="AZ52">SUM((IF($V$20:$AY$20&gt;0,1,0)*V52:AY52))</f>
        <v>0</v>
      </c>
      <c r="BA52" s="319"/>
      <c r="BB52" s="295"/>
      <c r="BD52" s="382">
        <v>0</v>
      </c>
      <c r="BE52" s="383">
        <v>0</v>
      </c>
      <c r="BF52" s="383">
        <v>0</v>
      </c>
      <c r="BG52" s="383">
        <v>1</v>
      </c>
      <c r="BH52" s="333">
        <v>1</v>
      </c>
      <c r="BI52" s="340">
        <v>0</v>
      </c>
      <c r="BJ52" s="340">
        <v>0</v>
      </c>
      <c r="BK52" s="340">
        <v>0</v>
      </c>
      <c r="BL52" s="340">
        <v>0</v>
      </c>
      <c r="BN52" s="295"/>
      <c r="BQ52" s="324" t="str">
        <f>+SpcDB!A42</f>
        <v>Ferredoxin (red)</v>
      </c>
      <c r="BR52" s="324" t="str">
        <f>+SpcDB!B42</f>
        <v>Fdred</v>
      </c>
      <c r="BS52" s="324" t="str">
        <f>+SpcDB!C42</f>
        <v>Fdred</v>
      </c>
      <c r="BT52" s="324">
        <f>+SpcDB!D42</f>
        <v>79.117699999999999</v>
      </c>
      <c r="BU52" s="324" t="str">
        <f>+SpcDB!E42</f>
        <v>NA</v>
      </c>
      <c r="BV52" s="324" t="str">
        <f>+SpcDB!F42</f>
        <v>NA</v>
      </c>
      <c r="BW52" s="325" t="str">
        <f>+SpcDB!G42</f>
        <v>NA</v>
      </c>
      <c r="BX52" s="324">
        <f>+SpcDB!H42</f>
        <v>0</v>
      </c>
      <c r="BY52" s="324">
        <f>+SpcDB!I42</f>
        <v>0</v>
      </c>
      <c r="BZ52" s="324">
        <f>+SpcDB!J42</f>
        <v>0</v>
      </c>
      <c r="CA52" s="324">
        <f>+SpcDB!K42</f>
        <v>0</v>
      </c>
      <c r="CB52" s="324">
        <f>+SpcDB!L42</f>
        <v>0</v>
      </c>
      <c r="CC52" s="324">
        <f>+SpcDB!M42</f>
        <v>0</v>
      </c>
      <c r="CD52" s="324">
        <f>+SpcDB!N42</f>
        <v>0</v>
      </c>
      <c r="CE52" s="324">
        <f>+SpcDB!O42</f>
        <v>0</v>
      </c>
      <c r="CF52" s="324">
        <f>+SpcDB!P42</f>
        <v>0</v>
      </c>
      <c r="CG52" s="324">
        <f>+SpcDB!Q42</f>
        <v>1</v>
      </c>
      <c r="CH52" s="324">
        <f>+SpcDB!R42</f>
        <v>0</v>
      </c>
      <c r="CI52" s="324">
        <f>+SpcDB!S42</f>
        <v>0</v>
      </c>
      <c r="CJ52" s="324">
        <f>+SpcDB!T42</f>
        <v>0</v>
      </c>
      <c r="CK52" s="324">
        <f>+SpcDB!U42</f>
        <v>-3</v>
      </c>
      <c r="CL52" s="301">
        <f t="shared" si="10"/>
        <v>0</v>
      </c>
      <c r="CM52" s="301">
        <f t="shared" si="6"/>
        <v>3</v>
      </c>
      <c r="CN52" s="342" t="str">
        <f t="shared" si="7"/>
        <v>NA</v>
      </c>
      <c r="CO52" s="388"/>
      <c r="CP52" s="332"/>
      <c r="CQ52" s="389"/>
      <c r="CR52" s="389"/>
      <c r="CS52" s="327"/>
      <c r="CT52" s="390"/>
      <c r="CU52" s="329"/>
    </row>
    <row r="53" spans="1:99" ht="15" customHeight="1" x14ac:dyDescent="0.3">
      <c r="A53" s="630" t="s">
        <v>710</v>
      </c>
      <c r="B53" s="630" t="s">
        <v>103</v>
      </c>
      <c r="C53" s="630" t="s">
        <v>751</v>
      </c>
      <c r="D53" s="391" t="s">
        <v>24</v>
      </c>
      <c r="E53" s="373">
        <f t="shared" si="2"/>
        <v>0</v>
      </c>
      <c r="F53" s="372">
        <f t="shared" si="12"/>
        <v>0</v>
      </c>
      <c r="G53" s="372">
        <f>ProDegPaths!CL53</f>
        <v>0</v>
      </c>
      <c r="H53" s="372">
        <f>ProDegPaths!CM53</f>
        <v>0</v>
      </c>
      <c r="I53" s="374" t="str">
        <f>ProDegPaths!CN53</f>
        <v>NA</v>
      </c>
      <c r="J53" s="627" t="s">
        <v>755</v>
      </c>
      <c r="L53" s="375" t="s">
        <v>38</v>
      </c>
      <c r="M53" s="376" t="s">
        <v>38</v>
      </c>
      <c r="N53" s="376">
        <f t="shared" si="8"/>
        <v>9.9999999999999995E-7</v>
      </c>
      <c r="O53" s="377">
        <f t="shared" si="4"/>
        <v>1</v>
      </c>
      <c r="P53" s="378">
        <v>9.9999999999999972E-22</v>
      </c>
      <c r="Q53" s="379">
        <v>9.9999999999999995E-7</v>
      </c>
      <c r="R53" s="380">
        <v>0</v>
      </c>
      <c r="S53" s="381">
        <f t="shared" si="9"/>
        <v>-35.394772995122644</v>
      </c>
      <c r="T53" s="647"/>
      <c r="U53" s="272">
        <v>0</v>
      </c>
      <c r="V53" s="312">
        <v>0</v>
      </c>
      <c r="W53" s="332">
        <v>0</v>
      </c>
      <c r="X53" s="332">
        <v>0</v>
      </c>
      <c r="Y53" s="332">
        <v>0</v>
      </c>
      <c r="Z53" s="332">
        <v>0</v>
      </c>
      <c r="AA53" s="332">
        <v>0</v>
      </c>
      <c r="AB53" s="332">
        <v>0</v>
      </c>
      <c r="AC53" s="332">
        <v>-1</v>
      </c>
      <c r="AD53" s="332">
        <v>0</v>
      </c>
      <c r="AE53" s="332">
        <v>0</v>
      </c>
      <c r="AF53" s="332">
        <v>0</v>
      </c>
      <c r="AG53" s="332">
        <v>0</v>
      </c>
      <c r="AH53" s="332">
        <v>0</v>
      </c>
      <c r="AI53" s="332">
        <v>0</v>
      </c>
      <c r="AJ53" s="332">
        <v>0</v>
      </c>
      <c r="AK53" s="332">
        <v>0</v>
      </c>
      <c r="AL53" s="332">
        <v>0</v>
      </c>
      <c r="AM53" s="333">
        <v>0</v>
      </c>
      <c r="AN53" s="333">
        <v>0</v>
      </c>
      <c r="AO53" s="333">
        <v>0</v>
      </c>
      <c r="AP53" s="333">
        <v>0</v>
      </c>
      <c r="AQ53" s="333">
        <v>0</v>
      </c>
      <c r="AR53" s="333">
        <v>0</v>
      </c>
      <c r="AS53" s="332">
        <v>0</v>
      </c>
      <c r="AT53" s="334">
        <v>0</v>
      </c>
      <c r="AU53" s="335">
        <v>0</v>
      </c>
      <c r="AV53" s="335">
        <f t="array" ref="AV53">-SUM((IF($V$20:$AT$20&gt;0,1,0)*$V53:$AT53))</f>
        <v>1</v>
      </c>
      <c r="AW53" s="335">
        <v>0</v>
      </c>
      <c r="AX53" s="335">
        <v>0</v>
      </c>
      <c r="AY53" s="336">
        <v>0</v>
      </c>
      <c r="AZ53" s="337">
        <f t="array" ref="AZ53">SUM((IF($V$20:$AY$20&gt;0,1,0)*V53:AY53))</f>
        <v>0</v>
      </c>
      <c r="BA53" s="319"/>
      <c r="BB53" s="295"/>
      <c r="BD53" s="382">
        <v>0</v>
      </c>
      <c r="BE53" s="383">
        <v>0</v>
      </c>
      <c r="BF53" s="383">
        <v>0</v>
      </c>
      <c r="BG53" s="383">
        <v>0</v>
      </c>
      <c r="BH53" s="333">
        <v>0</v>
      </c>
      <c r="BI53" s="340">
        <v>-1</v>
      </c>
      <c r="BJ53" s="340">
        <v>-1</v>
      </c>
      <c r="BK53" s="340">
        <v>0</v>
      </c>
      <c r="BL53" s="340">
        <v>0</v>
      </c>
      <c r="BN53" s="295"/>
      <c r="BQ53" s="324" t="str">
        <f>+SpcDB!A61</f>
        <v>Menaquinol (ox)</v>
      </c>
      <c r="BR53" s="324" t="str">
        <f>+SpcDB!B61</f>
        <v>MQox</v>
      </c>
      <c r="BS53" s="324" t="str">
        <f>+SpcDB!C61</f>
        <v>MQox</v>
      </c>
      <c r="BT53" s="324">
        <f>+SpcDB!D61</f>
        <v>0</v>
      </c>
      <c r="BU53" s="324" t="str">
        <f>+SpcDB!E61</f>
        <v>NA</v>
      </c>
      <c r="BV53" s="324" t="str">
        <f>+SpcDB!F61</f>
        <v>NA</v>
      </c>
      <c r="BW53" s="324" t="str">
        <f>+SpcDB!G61</f>
        <v>NA</v>
      </c>
      <c r="BX53" s="324">
        <f>+SpcDB!H61</f>
        <v>0</v>
      </c>
      <c r="BY53" s="324">
        <f>+SpcDB!I61</f>
        <v>0</v>
      </c>
      <c r="BZ53" s="324">
        <f>+SpcDB!J61</f>
        <v>0</v>
      </c>
      <c r="CA53" s="324">
        <f>+SpcDB!K61</f>
        <v>0</v>
      </c>
      <c r="CB53" s="324">
        <f>+SpcDB!L61</f>
        <v>0</v>
      </c>
      <c r="CC53" s="324">
        <f>+SpcDB!M61</f>
        <v>0</v>
      </c>
      <c r="CD53" s="324">
        <f>+SpcDB!N61</f>
        <v>0</v>
      </c>
      <c r="CE53" s="324">
        <f>+SpcDB!O61</f>
        <v>0</v>
      </c>
      <c r="CF53" s="324">
        <f>+SpcDB!P61</f>
        <v>0</v>
      </c>
      <c r="CG53" s="324">
        <f>+SpcDB!Q61</f>
        <v>1</v>
      </c>
      <c r="CH53" s="324">
        <f>+SpcDB!R61</f>
        <v>0</v>
      </c>
      <c r="CI53" s="324">
        <f>+SpcDB!S61</f>
        <v>0</v>
      </c>
      <c r="CJ53" s="324">
        <f>+SpcDB!T61</f>
        <v>0</v>
      </c>
      <c r="CK53" s="324">
        <f>+SpcDB!U61</f>
        <v>0</v>
      </c>
      <c r="CL53" s="301">
        <f>+SpcDB!V61</f>
        <v>0</v>
      </c>
      <c r="CM53" s="301">
        <f>+SpcDB!W61</f>
        <v>0</v>
      </c>
      <c r="CN53" s="342" t="str">
        <f t="shared" si="7"/>
        <v>NA</v>
      </c>
      <c r="CO53" s="388"/>
      <c r="CP53" s="332"/>
      <c r="CQ53" s="389"/>
      <c r="CR53" s="389"/>
      <c r="CS53" s="327"/>
      <c r="CT53" s="390"/>
      <c r="CU53" s="329"/>
    </row>
    <row r="54" spans="1:99" ht="15" customHeight="1" x14ac:dyDescent="0.3">
      <c r="A54" s="633" t="s">
        <v>710</v>
      </c>
      <c r="B54" s="633" t="s">
        <v>103</v>
      </c>
      <c r="C54" s="633" t="s">
        <v>59</v>
      </c>
      <c r="D54" s="392" t="s">
        <v>25</v>
      </c>
      <c r="E54" s="393">
        <f t="shared" si="2"/>
        <v>-64.429884956272204</v>
      </c>
      <c r="F54" s="394">
        <f t="shared" si="12"/>
        <v>0</v>
      </c>
      <c r="G54" s="394">
        <f>ProDegPaths!CL54</f>
        <v>2</v>
      </c>
      <c r="H54" s="394">
        <f>ProDegPaths!CM54</f>
        <v>2</v>
      </c>
      <c r="I54" s="395" t="str">
        <f>ProDegPaths!CN54</f>
        <v>NA</v>
      </c>
      <c r="J54" s="627" t="s">
        <v>755</v>
      </c>
      <c r="K54" s="343"/>
      <c r="L54" s="396" t="s">
        <v>38</v>
      </c>
      <c r="M54" s="397" t="s">
        <v>38</v>
      </c>
      <c r="N54" s="397">
        <f t="shared" si="8"/>
        <v>2.2309611033355201E-2</v>
      </c>
      <c r="O54" s="398">
        <f t="shared" si="4"/>
        <v>1</v>
      </c>
      <c r="P54" s="399">
        <v>9.9999999999999972E-22</v>
      </c>
      <c r="Q54" s="400">
        <v>2.2309611033355201E-2</v>
      </c>
      <c r="R54" s="401">
        <v>0</v>
      </c>
      <c r="S54" s="402">
        <f t="shared" si="9"/>
        <v>-74.172343425334759</v>
      </c>
      <c r="T54" s="647"/>
      <c r="U54" s="272">
        <v>0</v>
      </c>
      <c r="V54" s="403">
        <v>0</v>
      </c>
      <c r="W54" s="404">
        <v>0</v>
      </c>
      <c r="X54" s="404">
        <v>0</v>
      </c>
      <c r="Y54" s="404">
        <v>0</v>
      </c>
      <c r="Z54" s="404">
        <v>0</v>
      </c>
      <c r="AA54" s="404">
        <v>0</v>
      </c>
      <c r="AB54" s="404">
        <v>0</v>
      </c>
      <c r="AC54" s="404">
        <v>1</v>
      </c>
      <c r="AD54" s="404">
        <v>0</v>
      </c>
      <c r="AE54" s="404">
        <v>0</v>
      </c>
      <c r="AF54" s="404">
        <v>0</v>
      </c>
      <c r="AG54" s="404">
        <v>0</v>
      </c>
      <c r="AH54" s="404">
        <v>0</v>
      </c>
      <c r="AI54" s="404">
        <v>0</v>
      </c>
      <c r="AJ54" s="404">
        <v>0</v>
      </c>
      <c r="AK54" s="404">
        <v>0</v>
      </c>
      <c r="AL54" s="404">
        <v>0</v>
      </c>
      <c r="AM54" s="405">
        <v>0</v>
      </c>
      <c r="AN54" s="405">
        <v>0</v>
      </c>
      <c r="AO54" s="405">
        <v>0</v>
      </c>
      <c r="AP54" s="405">
        <v>0</v>
      </c>
      <c r="AQ54" s="405">
        <v>0</v>
      </c>
      <c r="AR54" s="405">
        <v>0</v>
      </c>
      <c r="AS54" s="404">
        <v>0</v>
      </c>
      <c r="AT54" s="406">
        <v>0</v>
      </c>
      <c r="AU54" s="407">
        <v>0</v>
      </c>
      <c r="AV54" s="407">
        <f t="array" ref="AV54">-SUM((IF($V$20:$AT$20&gt;0,1,0)*$V54:$AT54))</f>
        <v>-1</v>
      </c>
      <c r="AW54" s="407">
        <v>0</v>
      </c>
      <c r="AX54" s="407">
        <v>0</v>
      </c>
      <c r="AY54" s="408">
        <v>0</v>
      </c>
      <c r="AZ54" s="409">
        <f t="array" ref="AZ54">SUM((IF($V$20:$AY$20&gt;0,1,0)*V54:AY54))</f>
        <v>0</v>
      </c>
      <c r="BA54" s="319"/>
      <c r="BB54" s="295"/>
      <c r="BD54" s="410">
        <v>0</v>
      </c>
      <c r="BE54" s="411">
        <v>0</v>
      </c>
      <c r="BF54" s="411">
        <v>0</v>
      </c>
      <c r="BG54" s="411">
        <v>0</v>
      </c>
      <c r="BH54" s="405">
        <v>0</v>
      </c>
      <c r="BI54" s="412">
        <v>1</v>
      </c>
      <c r="BJ54" s="412">
        <v>1</v>
      </c>
      <c r="BK54" s="412">
        <v>0</v>
      </c>
      <c r="BL54" s="412">
        <v>0</v>
      </c>
      <c r="BN54" s="295"/>
      <c r="BQ54" s="324" t="str">
        <f>+SpcDB!A62</f>
        <v>Menaquinone (red)</v>
      </c>
      <c r="BR54" s="324" t="str">
        <f>+SpcDB!B62</f>
        <v>MQred</v>
      </c>
      <c r="BS54" s="324" t="str">
        <f>+SpcDB!C62</f>
        <v>MQred</v>
      </c>
      <c r="BT54" s="413">
        <f>+SpcDB!D62</f>
        <v>-64.429884956272204</v>
      </c>
      <c r="BU54" s="324" t="str">
        <f>+SpcDB!E62</f>
        <v>NA</v>
      </c>
      <c r="BV54" s="324" t="str">
        <f>+SpcDB!F62</f>
        <v>NA</v>
      </c>
      <c r="BW54" s="324" t="str">
        <f>+SpcDB!G62</f>
        <v>NA</v>
      </c>
      <c r="BX54" s="324">
        <f>+SpcDB!H62</f>
        <v>0</v>
      </c>
      <c r="BY54" s="324">
        <f>+SpcDB!I62</f>
        <v>2</v>
      </c>
      <c r="BZ54" s="324">
        <f>+SpcDB!J62</f>
        <v>0</v>
      </c>
      <c r="CA54" s="324">
        <f>+SpcDB!K62</f>
        <v>0</v>
      </c>
      <c r="CB54" s="324">
        <f>+SpcDB!L62</f>
        <v>0</v>
      </c>
      <c r="CC54" s="324">
        <f>+SpcDB!M62</f>
        <v>0</v>
      </c>
      <c r="CD54" s="324">
        <f>+SpcDB!N62</f>
        <v>0</v>
      </c>
      <c r="CE54" s="324">
        <f>+SpcDB!O62</f>
        <v>0</v>
      </c>
      <c r="CF54" s="324">
        <f>+SpcDB!P62</f>
        <v>0</v>
      </c>
      <c r="CG54" s="324">
        <f>+SpcDB!Q62</f>
        <v>1</v>
      </c>
      <c r="CH54" s="324">
        <f>+SpcDB!R62</f>
        <v>0</v>
      </c>
      <c r="CI54" s="324">
        <f>+SpcDB!S62</f>
        <v>0</v>
      </c>
      <c r="CJ54" s="324">
        <f>+SpcDB!T62</f>
        <v>0</v>
      </c>
      <c r="CK54" s="324">
        <f>+SpcDB!U62</f>
        <v>0</v>
      </c>
      <c r="CL54" s="301">
        <f>+SpcDB!V62</f>
        <v>2</v>
      </c>
      <c r="CM54" s="301">
        <f>+SpcDB!W62</f>
        <v>2</v>
      </c>
      <c r="CN54" s="342" t="str">
        <f t="shared" si="7"/>
        <v>NA</v>
      </c>
      <c r="CO54" s="388"/>
      <c r="CP54" s="332"/>
      <c r="CQ54" s="389"/>
      <c r="CR54" s="389"/>
      <c r="CS54" s="327"/>
      <c r="CT54" s="390"/>
      <c r="CU54" s="329"/>
    </row>
    <row r="55" spans="1:99" ht="15" customHeight="1" x14ac:dyDescent="0.3">
      <c r="A55" s="630" t="s">
        <v>710</v>
      </c>
      <c r="B55" s="630" t="s">
        <v>711</v>
      </c>
      <c r="C55" s="630" t="s">
        <v>750</v>
      </c>
      <c r="D55" s="272" t="str">
        <f t="shared" si="11"/>
        <v>CO2</v>
      </c>
      <c r="E55" s="414">
        <f t="shared" si="2"/>
        <v>-385.06758343115882</v>
      </c>
      <c r="F55" s="415">
        <f t="shared" si="12"/>
        <v>0</v>
      </c>
      <c r="G55" s="415">
        <f>ProDegPaths!CL55</f>
        <v>44</v>
      </c>
      <c r="H55" s="415">
        <f>ProDegPaths!CM55</f>
        <v>0</v>
      </c>
      <c r="I55" s="416">
        <f>ProDegPaths!CN55</f>
        <v>0</v>
      </c>
      <c r="J55" s="627" t="s">
        <v>755</v>
      </c>
      <c r="L55" s="304" t="s">
        <v>38</v>
      </c>
      <c r="M55" s="305" t="s">
        <v>38</v>
      </c>
      <c r="N55" s="417">
        <f t="shared" si="8"/>
        <v>0.01</v>
      </c>
      <c r="O55" s="347">
        <f t="shared" si="4"/>
        <v>1</v>
      </c>
      <c r="P55" s="348">
        <v>5.4140775796411733E-21</v>
      </c>
      <c r="Q55" s="418">
        <v>0.01</v>
      </c>
      <c r="R55" s="349">
        <v>0</v>
      </c>
      <c r="S55" s="350">
        <f t="shared" si="9"/>
        <v>-396.86584109619969</v>
      </c>
      <c r="T55" s="647"/>
      <c r="U55" s="271">
        <v>0</v>
      </c>
      <c r="V55" s="312">
        <v>0</v>
      </c>
      <c r="W55" s="333">
        <v>0</v>
      </c>
      <c r="X55" s="333">
        <v>0</v>
      </c>
      <c r="Y55" s="333">
        <v>-1</v>
      </c>
      <c r="Z55" s="333">
        <v>0</v>
      </c>
      <c r="AA55" s="333">
        <v>0</v>
      </c>
      <c r="AB55" s="333">
        <v>0</v>
      </c>
      <c r="AC55" s="333">
        <v>0</v>
      </c>
      <c r="AD55" s="333">
        <v>0</v>
      </c>
      <c r="AE55" s="333">
        <v>0</v>
      </c>
      <c r="AF55" s="333">
        <v>0</v>
      </c>
      <c r="AG55" s="333">
        <v>0</v>
      </c>
      <c r="AH55" s="419">
        <v>1</v>
      </c>
      <c r="AI55" s="333">
        <v>1</v>
      </c>
      <c r="AJ55" s="333">
        <v>0</v>
      </c>
      <c r="AK55" s="333">
        <v>0</v>
      </c>
      <c r="AL55" s="333">
        <v>0</v>
      </c>
      <c r="AM55" s="333">
        <v>0</v>
      </c>
      <c r="AN55" s="333">
        <v>0</v>
      </c>
      <c r="AO55" s="333">
        <v>0</v>
      </c>
      <c r="AP55" s="333">
        <v>0</v>
      </c>
      <c r="AQ55" s="333">
        <v>0</v>
      </c>
      <c r="AR55" s="333">
        <v>1</v>
      </c>
      <c r="AS55" s="333">
        <v>0</v>
      </c>
      <c r="AT55" s="334">
        <v>0</v>
      </c>
      <c r="AU55" s="335">
        <v>0</v>
      </c>
      <c r="AV55" s="335">
        <v>0</v>
      </c>
      <c r="AW55" s="336">
        <v>0</v>
      </c>
      <c r="AX55" s="335">
        <v>0</v>
      </c>
      <c r="AY55" s="336">
        <v>0</v>
      </c>
      <c r="AZ55" s="337">
        <f t="array" ref="AZ55">SUM((IF($V$20:$AY$20&gt;0,1,0)*V55:AY55))</f>
        <v>1</v>
      </c>
      <c r="BA55" s="319"/>
      <c r="BB55" s="295"/>
      <c r="BD55" s="382">
        <v>0</v>
      </c>
      <c r="BE55" s="383">
        <v>0</v>
      </c>
      <c r="BF55" s="383">
        <v>0</v>
      </c>
      <c r="BG55" s="383">
        <v>0</v>
      </c>
      <c r="BH55" s="333">
        <v>0</v>
      </c>
      <c r="BI55" s="340">
        <v>0</v>
      </c>
      <c r="BJ55" s="340">
        <v>0</v>
      </c>
      <c r="BK55" s="340">
        <v>-1</v>
      </c>
      <c r="BL55" s="340">
        <v>0</v>
      </c>
      <c r="BN55" s="295"/>
      <c r="BQ55" s="324" t="str">
        <f>+SpcDB!A30</f>
        <v>Carbon Dioxide</v>
      </c>
      <c r="BR55" s="324" t="str">
        <f>+SpcDB!B30</f>
        <v>CO2</v>
      </c>
      <c r="BS55" s="324" t="str">
        <f>+SpcDB!C30</f>
        <v>CO2</v>
      </c>
      <c r="BT55" s="324">
        <f>+SpcDB!D30</f>
        <v>-386</v>
      </c>
      <c r="BU55" s="324">
        <f>+SpcDB!E30</f>
        <v>-413.8</v>
      </c>
      <c r="BV55" s="324">
        <f>+SpcDB!F30</f>
        <v>117.6</v>
      </c>
      <c r="BW55" s="325">
        <f>+SpcDB!G30</f>
        <v>9.3288590604026889E-2</v>
      </c>
      <c r="BX55" s="324">
        <f>+SpcDB!H30</f>
        <v>1</v>
      </c>
      <c r="BY55" s="324">
        <f>+SpcDB!I30</f>
        <v>0</v>
      </c>
      <c r="BZ55" s="324">
        <f>+SpcDB!J30</f>
        <v>2</v>
      </c>
      <c r="CA55" s="324">
        <f>+SpcDB!K30</f>
        <v>0</v>
      </c>
      <c r="CB55" s="324">
        <f>+SpcDB!L30</f>
        <v>0</v>
      </c>
      <c r="CC55" s="324">
        <f>+SpcDB!M30</f>
        <v>0</v>
      </c>
      <c r="CD55" s="324">
        <f>+SpcDB!N30</f>
        <v>0</v>
      </c>
      <c r="CE55" s="324">
        <f>+SpcDB!O30</f>
        <v>0</v>
      </c>
      <c r="CF55" s="324">
        <f>+SpcDB!P30</f>
        <v>0</v>
      </c>
      <c r="CG55" s="324">
        <f>+SpcDB!Q30</f>
        <v>0</v>
      </c>
      <c r="CH55" s="324">
        <f>+SpcDB!R30</f>
        <v>0</v>
      </c>
      <c r="CI55" s="324">
        <f>+SpcDB!S30</f>
        <v>0</v>
      </c>
      <c r="CJ55" s="324">
        <f>+SpcDB!T30</f>
        <v>0</v>
      </c>
      <c r="CK55" s="324">
        <f>+SpcDB!U30</f>
        <v>0</v>
      </c>
      <c r="CL55" s="301">
        <f t="shared" ref="CL55:CL65" si="13">+SUMPRODUCT(BX55:CK55,$BX$66:$CK$66)</f>
        <v>44</v>
      </c>
      <c r="CM55" s="301">
        <f t="shared" ref="CM55:CM65" si="14">+SUMPRODUCT(BX55:CK55,$BX$67:$CK$67)</f>
        <v>0</v>
      </c>
      <c r="CN55" s="342">
        <f t="shared" si="7"/>
        <v>0</v>
      </c>
      <c r="CO55" s="388"/>
      <c r="CP55" s="332"/>
      <c r="CQ55" s="389">
        <f>-LOG10(CT55)</f>
        <v>10.340817083171462</v>
      </c>
      <c r="CR55" s="389">
        <f>-LOG10(CU55)</f>
        <v>6.355358130728769</v>
      </c>
      <c r="CS55" s="327"/>
      <c r="CT55" s="420">
        <v>4.5622903074694715E-11</v>
      </c>
      <c r="CU55" s="420">
        <v>4.4120646676542567E-7</v>
      </c>
    </row>
    <row r="56" spans="1:99" ht="15" customHeight="1" x14ac:dyDescent="0.3">
      <c r="A56" s="630" t="s">
        <v>710</v>
      </c>
      <c r="B56" s="630" t="s">
        <v>711</v>
      </c>
      <c r="C56" s="630" t="s">
        <v>750</v>
      </c>
      <c r="D56" s="272" t="str">
        <f t="shared" si="11"/>
        <v>H2O</v>
      </c>
      <c r="E56" s="414">
        <f t="shared" si="2"/>
        <v>-235.54927720945832</v>
      </c>
      <c r="F56" s="415">
        <f t="shared" si="12"/>
        <v>0</v>
      </c>
      <c r="G56" s="415">
        <f>ProDegPaths!CL56</f>
        <v>18</v>
      </c>
      <c r="H56" s="415">
        <f>ProDegPaths!CM56</f>
        <v>0</v>
      </c>
      <c r="I56" s="416" t="str">
        <f>ProDegPaths!CN56</f>
        <v>NA</v>
      </c>
      <c r="J56" s="627" t="s">
        <v>755</v>
      </c>
      <c r="L56" s="304" t="s">
        <v>38</v>
      </c>
      <c r="M56" s="305" t="s">
        <v>38</v>
      </c>
      <c r="N56" s="421">
        <f t="shared" si="8"/>
        <v>1</v>
      </c>
      <c r="O56" s="347">
        <f t="shared" si="4"/>
        <v>1</v>
      </c>
      <c r="P56" s="348">
        <v>9.9999999999999972E-22</v>
      </c>
      <c r="Q56" s="421">
        <v>1</v>
      </c>
      <c r="R56" s="349">
        <v>0</v>
      </c>
      <c r="S56" s="350">
        <f t="shared" si="9"/>
        <v>-235.54927720945832</v>
      </c>
      <c r="T56" s="647"/>
      <c r="U56" s="271">
        <v>0</v>
      </c>
      <c r="V56" s="312">
        <v>0</v>
      </c>
      <c r="W56" s="333">
        <v>1</v>
      </c>
      <c r="X56" s="333">
        <v>0</v>
      </c>
      <c r="Y56" s="333">
        <v>0</v>
      </c>
      <c r="Z56" s="333">
        <v>0</v>
      </c>
      <c r="AA56" s="333">
        <v>0</v>
      </c>
      <c r="AB56" s="333">
        <v>-1</v>
      </c>
      <c r="AC56" s="333">
        <v>0</v>
      </c>
      <c r="AD56" s="333">
        <v>0</v>
      </c>
      <c r="AE56" s="333">
        <v>-1</v>
      </c>
      <c r="AF56" s="333">
        <v>0</v>
      </c>
      <c r="AG56" s="333">
        <v>0</v>
      </c>
      <c r="AH56" s="333">
        <v>0</v>
      </c>
      <c r="AI56" s="333">
        <v>0</v>
      </c>
      <c r="AJ56" s="333">
        <v>0</v>
      </c>
      <c r="AK56" s="333">
        <v>0</v>
      </c>
      <c r="AL56" s="333">
        <v>0</v>
      </c>
      <c r="AM56" s="333">
        <v>-1</v>
      </c>
      <c r="AN56" s="333">
        <v>0</v>
      </c>
      <c r="AO56" s="333">
        <v>-1</v>
      </c>
      <c r="AP56" s="333">
        <v>-1</v>
      </c>
      <c r="AQ56" s="333">
        <v>0</v>
      </c>
      <c r="AR56" s="333">
        <v>0</v>
      </c>
      <c r="AS56" s="333">
        <v>-1</v>
      </c>
      <c r="AT56" s="334">
        <v>0</v>
      </c>
      <c r="AU56" s="335">
        <v>0</v>
      </c>
      <c r="AV56" s="335">
        <v>0</v>
      </c>
      <c r="AW56" s="336">
        <v>0</v>
      </c>
      <c r="AX56" s="335">
        <v>0</v>
      </c>
      <c r="AY56" s="336">
        <v>0</v>
      </c>
      <c r="AZ56" s="337">
        <f t="array" ref="AZ56">SUM((IF($V$20:$AY$20&gt;0,1,0)*V56:AY56))</f>
        <v>-2</v>
      </c>
      <c r="BA56" s="319"/>
      <c r="BB56" s="295"/>
      <c r="BD56" s="382">
        <v>0</v>
      </c>
      <c r="BE56" s="383">
        <v>0</v>
      </c>
      <c r="BF56" s="383">
        <v>0</v>
      </c>
      <c r="BG56" s="383">
        <v>0</v>
      </c>
      <c r="BH56" s="333">
        <v>0</v>
      </c>
      <c r="BI56" s="340">
        <v>0</v>
      </c>
      <c r="BJ56" s="340">
        <v>0</v>
      </c>
      <c r="BK56" s="340">
        <v>0</v>
      </c>
      <c r="BL56" s="340">
        <v>0</v>
      </c>
      <c r="BN56" s="295"/>
      <c r="BQ56" s="324" t="str">
        <f>+SpcDB!A115</f>
        <v>Water</v>
      </c>
      <c r="BR56" s="324" t="str">
        <f>+SpcDB!B115</f>
        <v>H2O</v>
      </c>
      <c r="BS56" s="324" t="str">
        <f>+SpcDB!C115</f>
        <v>H2O</v>
      </c>
      <c r="BT56" s="324">
        <f>+SpcDB!D115</f>
        <v>-237.18</v>
      </c>
      <c r="BU56" s="324">
        <f>+SpcDB!E115</f>
        <v>-285.8</v>
      </c>
      <c r="BV56" s="324">
        <f>+SpcDB!F115</f>
        <v>69.900000000000006</v>
      </c>
      <c r="BW56" s="325">
        <f>+SpcDB!G115</f>
        <v>0.1631543624161074</v>
      </c>
      <c r="BX56" s="324">
        <f>+SpcDB!H115</f>
        <v>0</v>
      </c>
      <c r="BY56" s="324">
        <f>+SpcDB!I115</f>
        <v>2</v>
      </c>
      <c r="BZ56" s="324">
        <f>+SpcDB!J115</f>
        <v>1</v>
      </c>
      <c r="CA56" s="324">
        <f>+SpcDB!K115</f>
        <v>0</v>
      </c>
      <c r="CB56" s="324">
        <f>+SpcDB!L115</f>
        <v>0</v>
      </c>
      <c r="CC56" s="324">
        <f>+SpcDB!M115</f>
        <v>0</v>
      </c>
      <c r="CD56" s="324">
        <f>+SpcDB!N115</f>
        <v>0</v>
      </c>
      <c r="CE56" s="324">
        <f>+SpcDB!O115</f>
        <v>0</v>
      </c>
      <c r="CF56" s="324">
        <f>+SpcDB!P115</f>
        <v>0</v>
      </c>
      <c r="CG56" s="324">
        <f>+SpcDB!Q115</f>
        <v>0</v>
      </c>
      <c r="CH56" s="324">
        <f>+SpcDB!R115</f>
        <v>0</v>
      </c>
      <c r="CI56" s="324">
        <f>+SpcDB!S115</f>
        <v>0</v>
      </c>
      <c r="CJ56" s="324">
        <f>+SpcDB!T115</f>
        <v>0</v>
      </c>
      <c r="CK56" s="324">
        <f>+SpcDB!U115</f>
        <v>0</v>
      </c>
      <c r="CL56" s="301">
        <f t="shared" si="13"/>
        <v>18</v>
      </c>
      <c r="CM56" s="301">
        <f t="shared" si="14"/>
        <v>0</v>
      </c>
      <c r="CN56" s="342" t="str">
        <f t="shared" si="7"/>
        <v>NA</v>
      </c>
      <c r="CO56" s="388"/>
      <c r="CP56" s="332"/>
      <c r="CQ56" s="389"/>
      <c r="CR56" s="389"/>
      <c r="CS56" s="327"/>
      <c r="CT56" s="390"/>
      <c r="CU56" s="329"/>
    </row>
    <row r="57" spans="1:99" ht="15" customHeight="1" x14ac:dyDescent="0.3">
      <c r="A57" s="630" t="s">
        <v>710</v>
      </c>
      <c r="B57" s="630" t="s">
        <v>711</v>
      </c>
      <c r="C57" s="630" t="s">
        <v>750</v>
      </c>
      <c r="D57" s="272" t="str">
        <f t="shared" si="11"/>
        <v>For-</v>
      </c>
      <c r="E57" s="414">
        <f t="shared" si="2"/>
        <v>-349.02113030353848</v>
      </c>
      <c r="F57" s="415">
        <f t="shared" si="12"/>
        <v>-1</v>
      </c>
      <c r="G57" s="415">
        <f>ProDegPaths!CL57</f>
        <v>45</v>
      </c>
      <c r="H57" s="415">
        <f>ProDegPaths!CM57</f>
        <v>2</v>
      </c>
      <c r="I57" s="416">
        <f>ProDegPaths!CN57</f>
        <v>1</v>
      </c>
      <c r="J57" s="627" t="s">
        <v>755</v>
      </c>
      <c r="L57" s="304" t="s">
        <v>38</v>
      </c>
      <c r="M57" s="305" t="s">
        <v>38</v>
      </c>
      <c r="N57" s="417">
        <f t="shared" si="8"/>
        <v>9.7270161810612295E-5</v>
      </c>
      <c r="O57" s="347">
        <f t="shared" si="4"/>
        <v>1</v>
      </c>
      <c r="P57" s="348">
        <v>1.0056234132519032E-21</v>
      </c>
      <c r="Q57" s="418">
        <v>9.7270161810612295E-5</v>
      </c>
      <c r="R57" s="349">
        <v>0</v>
      </c>
      <c r="S57" s="350">
        <f t="shared" si="9"/>
        <v>-372.6885552957101</v>
      </c>
      <c r="T57" s="647"/>
      <c r="U57" s="271">
        <v>0</v>
      </c>
      <c r="V57" s="312">
        <v>0</v>
      </c>
      <c r="W57" s="333">
        <v>0</v>
      </c>
      <c r="X57" s="333">
        <v>0</v>
      </c>
      <c r="Y57" s="333">
        <v>0</v>
      </c>
      <c r="Z57" s="333">
        <v>0</v>
      </c>
      <c r="AA57" s="333">
        <v>0</v>
      </c>
      <c r="AB57" s="333">
        <v>0</v>
      </c>
      <c r="AC57" s="333">
        <v>0</v>
      </c>
      <c r="AD57" s="333">
        <v>0</v>
      </c>
      <c r="AE57" s="333">
        <v>0</v>
      </c>
      <c r="AF57" s="333">
        <v>0</v>
      </c>
      <c r="AG57" s="333">
        <v>0</v>
      </c>
      <c r="AH57" s="333">
        <v>0</v>
      </c>
      <c r="AI57" s="333">
        <v>0</v>
      </c>
      <c r="AJ57" s="333">
        <v>0</v>
      </c>
      <c r="AK57" s="333">
        <v>0</v>
      </c>
      <c r="AL57" s="333">
        <v>0</v>
      </c>
      <c r="AM57" s="333">
        <v>0</v>
      </c>
      <c r="AN57" s="333">
        <v>0</v>
      </c>
      <c r="AO57" s="333">
        <v>0</v>
      </c>
      <c r="AP57" s="333">
        <v>0</v>
      </c>
      <c r="AQ57" s="333">
        <v>0</v>
      </c>
      <c r="AR57" s="333">
        <v>0</v>
      </c>
      <c r="AS57" s="333">
        <v>0</v>
      </c>
      <c r="AT57" s="334">
        <v>0</v>
      </c>
      <c r="AU57" s="335">
        <v>0</v>
      </c>
      <c r="AV57" s="335">
        <v>0</v>
      </c>
      <c r="AW57" s="336">
        <v>0</v>
      </c>
      <c r="AX57" s="335">
        <v>0</v>
      </c>
      <c r="AY57" s="336">
        <v>0</v>
      </c>
      <c r="AZ57" s="337">
        <f t="array" ref="AZ57">SUM((IF($V$20:$AY$20&gt;0,1,0)*V57:AY57))</f>
        <v>0</v>
      </c>
      <c r="BA57" s="319"/>
      <c r="BB57" s="295"/>
      <c r="BD57" s="382">
        <v>0</v>
      </c>
      <c r="BE57" s="383">
        <v>0</v>
      </c>
      <c r="BF57" s="383">
        <v>0</v>
      </c>
      <c r="BG57" s="383">
        <v>0</v>
      </c>
      <c r="BH57" s="333">
        <v>0</v>
      </c>
      <c r="BI57" s="340">
        <v>0</v>
      </c>
      <c r="BJ57" s="340">
        <v>0</v>
      </c>
      <c r="BK57" s="340">
        <v>1</v>
      </c>
      <c r="BL57" s="340">
        <v>0</v>
      </c>
      <c r="BN57" s="295"/>
      <c r="BQ57" s="324" t="str">
        <f>+SpcDB!A43</f>
        <v>Formate</v>
      </c>
      <c r="BR57" s="324" t="str">
        <f>+SpcDB!B43</f>
        <v>For-</v>
      </c>
      <c r="BS57" s="324" t="str">
        <f>+SpcDB!C43</f>
        <v>CHO2-</v>
      </c>
      <c r="BT57" s="324">
        <f>+SpcDB!D43</f>
        <v>-351</v>
      </c>
      <c r="BU57" s="324">
        <f>+SpcDB!E43</f>
        <v>-410</v>
      </c>
      <c r="BV57" s="324">
        <f>+SpcDB!F43</f>
        <v>92</v>
      </c>
      <c r="BW57" s="324">
        <f>+SpcDB!G43</f>
        <v>0.19798657718120805</v>
      </c>
      <c r="BX57" s="324">
        <f>+SpcDB!H43</f>
        <v>1</v>
      </c>
      <c r="BY57" s="324">
        <f>+SpcDB!I43</f>
        <v>1</v>
      </c>
      <c r="BZ57" s="324">
        <f>+SpcDB!J43</f>
        <v>2</v>
      </c>
      <c r="CA57" s="324">
        <f>+SpcDB!K43</f>
        <v>0</v>
      </c>
      <c r="CB57" s="324">
        <f>+SpcDB!L43</f>
        <v>0</v>
      </c>
      <c r="CC57" s="324">
        <f>+SpcDB!M43</f>
        <v>0</v>
      </c>
      <c r="CD57" s="324">
        <f>+SpcDB!N43</f>
        <v>0</v>
      </c>
      <c r="CE57" s="324">
        <f>+SpcDB!O43</f>
        <v>0</v>
      </c>
      <c r="CF57" s="324">
        <f>+SpcDB!P43</f>
        <v>0</v>
      </c>
      <c r="CG57" s="324">
        <f>+SpcDB!Q43</f>
        <v>0</v>
      </c>
      <c r="CH57" s="324">
        <f>+SpcDB!R43</f>
        <v>0</v>
      </c>
      <c r="CI57" s="324">
        <f>+SpcDB!S43</f>
        <v>0</v>
      </c>
      <c r="CJ57" s="324">
        <f>+SpcDB!T43</f>
        <v>0</v>
      </c>
      <c r="CK57" s="324">
        <f>+SpcDB!U43</f>
        <v>-1</v>
      </c>
      <c r="CL57" s="301">
        <f t="shared" si="13"/>
        <v>45</v>
      </c>
      <c r="CM57" s="301">
        <f t="shared" si="14"/>
        <v>2</v>
      </c>
      <c r="CN57" s="342">
        <f t="shared" si="7"/>
        <v>1</v>
      </c>
      <c r="CO57" s="388"/>
      <c r="CP57" s="332"/>
      <c r="CQ57" s="389"/>
      <c r="CR57" s="389">
        <v>9.25</v>
      </c>
      <c r="CS57" s="327"/>
      <c r="CT57" s="390"/>
      <c r="CU57" s="422">
        <f>10^-CR57</f>
        <v>5.6234132519034889E-10</v>
      </c>
    </row>
    <row r="58" spans="1:99" ht="14.25" customHeight="1" x14ac:dyDescent="0.3">
      <c r="A58" s="633" t="s">
        <v>710</v>
      </c>
      <c r="B58" s="633" t="s">
        <v>103</v>
      </c>
      <c r="C58" s="633" t="s">
        <v>750</v>
      </c>
      <c r="D58" s="423" t="str">
        <f t="shared" si="11"/>
        <v>CoA-SH</v>
      </c>
      <c r="E58" s="424">
        <f t="shared" si="2"/>
        <v>0</v>
      </c>
      <c r="F58" s="423">
        <f t="shared" si="12"/>
        <v>0</v>
      </c>
      <c r="G58" s="423">
        <f>ProDegPaths!CL58</f>
        <v>1</v>
      </c>
      <c r="H58" s="423">
        <f>ProDegPaths!CM58</f>
        <v>1</v>
      </c>
      <c r="I58" s="425" t="str">
        <f>ProDegPaths!CN58</f>
        <v>NA</v>
      </c>
      <c r="J58" s="627" t="s">
        <v>755</v>
      </c>
      <c r="L58" s="426" t="s">
        <v>38</v>
      </c>
      <c r="M58" s="427" t="s">
        <v>38</v>
      </c>
      <c r="N58" s="428">
        <f t="shared" si="8"/>
        <v>1E-3</v>
      </c>
      <c r="O58" s="429">
        <f t="shared" si="4"/>
        <v>1</v>
      </c>
      <c r="P58" s="430">
        <v>9.9999999999999972E-22</v>
      </c>
      <c r="Q58" s="428">
        <v>1E-3</v>
      </c>
      <c r="R58" s="431">
        <v>0</v>
      </c>
      <c r="S58" s="432">
        <f t="shared" si="9"/>
        <v>-17.697386497561322</v>
      </c>
      <c r="T58" s="647"/>
      <c r="U58" s="271">
        <v>0</v>
      </c>
      <c r="V58" s="403">
        <v>0</v>
      </c>
      <c r="W58" s="405">
        <v>-1</v>
      </c>
      <c r="X58" s="405">
        <v>0</v>
      </c>
      <c r="Y58" s="405">
        <v>0</v>
      </c>
      <c r="Z58" s="405">
        <v>0</v>
      </c>
      <c r="AA58" s="405">
        <v>0</v>
      </c>
      <c r="AB58" s="405">
        <v>1</v>
      </c>
      <c r="AC58" s="405">
        <v>0</v>
      </c>
      <c r="AD58" s="405">
        <v>0</v>
      </c>
      <c r="AE58" s="405">
        <v>0</v>
      </c>
      <c r="AF58" s="405">
        <v>0</v>
      </c>
      <c r="AG58" s="405">
        <v>0</v>
      </c>
      <c r="AH58" s="405">
        <v>0</v>
      </c>
      <c r="AI58" s="405">
        <v>-1</v>
      </c>
      <c r="AJ58" s="405">
        <v>0</v>
      </c>
      <c r="AK58" s="405">
        <v>0</v>
      </c>
      <c r="AL58" s="405">
        <v>0</v>
      </c>
      <c r="AM58" s="405">
        <v>0</v>
      </c>
      <c r="AN58" s="405">
        <v>0</v>
      </c>
      <c r="AO58" s="405">
        <v>0</v>
      </c>
      <c r="AP58" s="405">
        <v>1</v>
      </c>
      <c r="AQ58" s="405">
        <v>0</v>
      </c>
      <c r="AR58" s="405">
        <v>-1</v>
      </c>
      <c r="AS58" s="405">
        <v>1</v>
      </c>
      <c r="AT58" s="406">
        <v>0</v>
      </c>
      <c r="AU58" s="407">
        <v>0</v>
      </c>
      <c r="AV58" s="407">
        <v>0</v>
      </c>
      <c r="AW58" s="408">
        <v>0</v>
      </c>
      <c r="AX58" s="407">
        <v>0</v>
      </c>
      <c r="AY58" s="408">
        <v>0</v>
      </c>
      <c r="AZ58" s="409">
        <f t="array" ref="AZ58">SUM((IF($V$20:$AY$20&gt;0,1,0)*V58:AY58))</f>
        <v>0</v>
      </c>
      <c r="BA58" s="319"/>
      <c r="BB58" s="295"/>
      <c r="BD58" s="410">
        <v>0</v>
      </c>
      <c r="BE58" s="411">
        <v>0</v>
      </c>
      <c r="BF58" s="411">
        <v>0</v>
      </c>
      <c r="BG58" s="411">
        <v>0</v>
      </c>
      <c r="BH58" s="405">
        <v>0</v>
      </c>
      <c r="BI58" s="412">
        <v>0</v>
      </c>
      <c r="BJ58" s="412">
        <v>0</v>
      </c>
      <c r="BK58" s="412">
        <v>0</v>
      </c>
      <c r="BL58" s="412">
        <v>0</v>
      </c>
      <c r="BN58" s="295"/>
      <c r="BQ58" s="324" t="str">
        <f>+SpcDB!A35</f>
        <v>Coenzyme A</v>
      </c>
      <c r="BR58" s="324" t="str">
        <f>+SpcDB!B35</f>
        <v>CoA-SH</v>
      </c>
      <c r="BS58" s="324" t="str">
        <f>+SpcDB!C35</f>
        <v>CoA-SH</v>
      </c>
      <c r="BT58" s="324">
        <f>+SpcDB!D35</f>
        <v>0</v>
      </c>
      <c r="BU58" s="324">
        <f>+SpcDB!E35</f>
        <v>0</v>
      </c>
      <c r="BV58" s="325" t="str">
        <f>+SpcDB!F35</f>
        <v>NA</v>
      </c>
      <c r="BW58" s="324">
        <f>+SpcDB!G35</f>
        <v>0</v>
      </c>
      <c r="BX58" s="324">
        <f>+SpcDB!H35</f>
        <v>0</v>
      </c>
      <c r="BY58" s="324">
        <f>+SpcDB!I35</f>
        <v>1</v>
      </c>
      <c r="BZ58" s="324">
        <f>+SpcDB!J35</f>
        <v>0</v>
      </c>
      <c r="CA58" s="324">
        <f>+SpcDB!K35</f>
        <v>0</v>
      </c>
      <c r="CB58" s="324">
        <f>+SpcDB!L35</f>
        <v>0</v>
      </c>
      <c r="CC58" s="324">
        <f>+SpcDB!M35</f>
        <v>0</v>
      </c>
      <c r="CD58" s="324">
        <f>+SpcDB!N35</f>
        <v>0</v>
      </c>
      <c r="CE58" s="324">
        <f>+SpcDB!O35</f>
        <v>0</v>
      </c>
      <c r="CF58" s="324">
        <f>+SpcDB!P35</f>
        <v>0</v>
      </c>
      <c r="CG58" s="324">
        <f>+SpcDB!Q35</f>
        <v>0</v>
      </c>
      <c r="CH58" s="324">
        <f>+SpcDB!R35</f>
        <v>0</v>
      </c>
      <c r="CI58" s="324">
        <f>+SpcDB!S35</f>
        <v>1</v>
      </c>
      <c r="CJ58" s="324">
        <f>+SpcDB!T35</f>
        <v>0</v>
      </c>
      <c r="CK58" s="324">
        <f>+SpcDB!U35</f>
        <v>0</v>
      </c>
      <c r="CL58" s="301">
        <f t="shared" si="13"/>
        <v>1</v>
      </c>
      <c r="CM58" s="301">
        <f t="shared" si="14"/>
        <v>1</v>
      </c>
      <c r="CN58" s="342" t="str">
        <f t="shared" si="7"/>
        <v>NA</v>
      </c>
      <c r="CO58" s="388"/>
      <c r="CP58" s="433"/>
      <c r="CQ58" s="433"/>
      <c r="CR58" s="433"/>
      <c r="CS58" s="433"/>
      <c r="CT58" s="433"/>
      <c r="CU58" s="433"/>
    </row>
    <row r="59" spans="1:99" ht="15" customHeight="1" thickBot="1" x14ac:dyDescent="0.35">
      <c r="A59" s="634" t="s">
        <v>710</v>
      </c>
      <c r="B59" s="634" t="s">
        <v>711</v>
      </c>
      <c r="C59" s="634" t="s">
        <v>750</v>
      </c>
      <c r="D59" s="434" t="str">
        <f t="shared" si="11"/>
        <v>H+</v>
      </c>
      <c r="E59" s="435">
        <f t="shared" si="2"/>
        <v>0</v>
      </c>
      <c r="F59" s="434">
        <f t="shared" si="12"/>
        <v>1</v>
      </c>
      <c r="G59" s="434">
        <f>ProDegPaths!CL59</f>
        <v>1</v>
      </c>
      <c r="H59" s="434">
        <f>ProDegPaths!CM59</f>
        <v>0</v>
      </c>
      <c r="I59" s="436" t="str">
        <f>ProDegPaths!CN59</f>
        <v>NA</v>
      </c>
      <c r="J59" s="627" t="s">
        <v>755</v>
      </c>
      <c r="L59" s="437" t="s">
        <v>38</v>
      </c>
      <c r="M59" s="438" t="s">
        <v>38</v>
      </c>
      <c r="N59" s="439">
        <f>+Q59/O59</f>
        <v>9.9999999999999995E-8</v>
      </c>
      <c r="O59" s="440">
        <f t="shared" si="4"/>
        <v>1</v>
      </c>
      <c r="P59" s="441">
        <v>9.9999999999999972E-22</v>
      </c>
      <c r="Q59" s="442">
        <v>9.9999999999999995E-8</v>
      </c>
      <c r="R59" s="443">
        <v>0</v>
      </c>
      <c r="S59" s="444">
        <f t="shared" si="9"/>
        <v>-41.29390182764309</v>
      </c>
      <c r="T59" s="647"/>
      <c r="U59" s="271">
        <v>0</v>
      </c>
      <c r="V59" s="445">
        <f>-(SUMPRODUCT(V$25:V$58,ProDegPaths!$BY$25:$BY$58)+SUMPRODUCT(V$60:V$64,ProDegPaths!$BY$60:$BY$64))</f>
        <v>1</v>
      </c>
      <c r="W59" s="446">
        <f>-(SUMPRODUCT(W$25:W$58,ProDegPaths!$BY$25:$BY$58)+SUMPRODUCT(W$60:W$64,ProDegPaths!$BY$60:$BY$64))</f>
        <v>-1</v>
      </c>
      <c r="X59" s="446">
        <f>-(SUMPRODUCT(X$25:X$58,ProDegPaths!$BY$25:$BY$58)+SUMPRODUCT(X$60:X$64,ProDegPaths!$BY$60:$BY$64))</f>
        <v>0</v>
      </c>
      <c r="Y59" s="446">
        <f>-(SUMPRODUCT(Y$25:Y$58,ProDegPaths!$BY$25:$BY$58)+SUMPRODUCT(Y$60:Y$64,ProDegPaths!$BY$60:$BY$64))</f>
        <v>0</v>
      </c>
      <c r="Z59" s="446">
        <f>-(SUMPRODUCT(Z$25:Z$58,ProDegPaths!$BY$25:$BY$58)+SUMPRODUCT(Z$60:Z$64,ProDegPaths!$BY$60:$BY$64))</f>
        <v>-1</v>
      </c>
      <c r="AA59" s="446">
        <f>-(SUMPRODUCT(AA$25:AA$58,ProDegPaths!$BY$25:$BY$58)+SUMPRODUCT(AA$60:AA$64,ProDegPaths!$BY$60:$BY$64))</f>
        <v>0</v>
      </c>
      <c r="AB59" s="446">
        <f>-(SUMPRODUCT(AB$25:AB$58,ProDegPaths!$BY$25:$BY$58)+SUMPRODUCT(AB$60:AB$64,ProDegPaths!$BY$60:$BY$64))</f>
        <v>2</v>
      </c>
      <c r="AC59" s="446">
        <f>-(SUMPRODUCT(AC$25:AC$58,ProDegPaths!$BY$25:$BY$58)+SUMPRODUCT(AC$60:AC$64,ProDegPaths!$BY$60:$BY$64))</f>
        <v>0</v>
      </c>
      <c r="AD59" s="446">
        <f>-(SUMPRODUCT(AD$25:AD$58,ProDegPaths!$BY$25:$BY$58)+SUMPRODUCT(AD$60:AD$64,ProDegPaths!$BY$60:$BY$64))</f>
        <v>0</v>
      </c>
      <c r="AE59" s="446">
        <f>-(SUMPRODUCT(AE$25:AE$58,ProDegPaths!$BY$25:$BY$58)+SUMPRODUCT(AE$60:AE$64,ProDegPaths!$BY$60:$BY$64))</f>
        <v>0</v>
      </c>
      <c r="AF59" s="446">
        <f>-(SUMPRODUCT(AF$25:AF$58,ProDegPaths!$BY$25:$BY$58)+SUMPRODUCT(AF$60:AF$64,ProDegPaths!$BY$60:$BY$64))</f>
        <v>0</v>
      </c>
      <c r="AG59" s="446">
        <f>-(SUMPRODUCT(AG$25:AG$58,ProDegPaths!$BY$25:$BY$58)+SUMPRODUCT(AG$60:AG$64,ProDegPaths!$BY$60:$BY$64))</f>
        <v>1</v>
      </c>
      <c r="AH59" s="446">
        <f>-(SUMPRODUCT(AH$25:AH$58,ProDegPaths!$BY$25:$BY$58)+SUMPRODUCT(AH$60:AH$64,ProDegPaths!$BY$60:$BY$64))</f>
        <v>-1</v>
      </c>
      <c r="AI59" s="446">
        <f>-(SUMPRODUCT(AI$25:AI$58,ProDegPaths!$BY$25:$BY$58)+SUMPRODUCT(AI$60:AI$64,ProDegPaths!$BY$60:$BY$64))</f>
        <v>1</v>
      </c>
      <c r="AJ59" s="446">
        <f>-(SUMPRODUCT(AJ$25:AJ$58,ProDegPaths!$BY$25:$BY$58)+SUMPRODUCT(AJ$60:AJ$64,ProDegPaths!$BY$60:$BY$64))</f>
        <v>0</v>
      </c>
      <c r="AK59" s="446">
        <f>-(SUMPRODUCT(AK$25:AK$58,ProDegPaths!$BY$25:$BY$58)+SUMPRODUCT(AK$60:AK$64,ProDegPaths!$BY$60:$BY$64))</f>
        <v>0</v>
      </c>
      <c r="AL59" s="446">
        <f>-(SUMPRODUCT(AL$25:AL$58,ProDegPaths!$BY$25:$BY$58)+SUMPRODUCT(AL$60:AL$64,ProDegPaths!$BY$60:$BY$64))</f>
        <v>1</v>
      </c>
      <c r="AM59" s="446">
        <f>-(SUMPRODUCT(AM$25:AM$58,ProDegPaths!$BY$25:$BY$58)+SUMPRODUCT(AM$60:AM$64,ProDegPaths!$BY$60:$BY$64))</f>
        <v>0</v>
      </c>
      <c r="AN59" s="446">
        <f>-(SUMPRODUCT(AN$25:AN$58,ProDegPaths!$BY$25:$BY$58)+SUMPRODUCT(AN$60:AN$64,ProDegPaths!$BY$60:$BY$64))</f>
        <v>1</v>
      </c>
      <c r="AO59" s="446">
        <f>-(SUMPRODUCT(AO$25:AO$58,ProDegPaths!$BY$25:$BY$58)+SUMPRODUCT(AO$60:AO$64,ProDegPaths!$BY$60:$BY$64))</f>
        <v>0</v>
      </c>
      <c r="AP59" s="446">
        <f>-(SUMPRODUCT(AP$25:AP$58,ProDegPaths!$BY$25:$BY$58)+SUMPRODUCT(AP$60:AP$64,ProDegPaths!$BY$60:$BY$64))</f>
        <v>1</v>
      </c>
      <c r="AQ59" s="446">
        <f>-(SUMPRODUCT(AQ$25:AQ$58,ProDegPaths!$BY$25:$BY$58)+SUMPRODUCT(AQ$60:AQ$64,ProDegPaths!$BY$60:$BY$64))</f>
        <v>1</v>
      </c>
      <c r="AR59" s="446">
        <f>-(SUMPRODUCT(AR$25:AR$58,ProDegPaths!$BY$25:$BY$58)+SUMPRODUCT(AR$60:AR$64,ProDegPaths!$BY$60:$BY$64))</f>
        <v>0</v>
      </c>
      <c r="AS59" s="446">
        <f>-(SUMPRODUCT(AS$25:AS$58,ProDegPaths!$BY$25:$BY$58)+SUMPRODUCT(AS$60:AS$64,ProDegPaths!$BY$60:$BY$64))</f>
        <v>1</v>
      </c>
      <c r="AT59" s="446">
        <f>-(SUMPRODUCT(AT$25:AT$58,ProDegPaths!$BY$25:$BY$58)+SUMPRODUCT(AT$60:AT$64,ProDegPaths!$BY$60:$BY$64))</f>
        <v>-1</v>
      </c>
      <c r="AU59" s="446">
        <f>-(SUMPRODUCT(AU$25:AU$58,ProDegPaths!$BY$25:$BY$58)+SUMPRODUCT(AU$60:AU$64,ProDegPaths!$BY$60:$BY$64))</f>
        <v>1</v>
      </c>
      <c r="AV59" s="446">
        <f>-(SUMPRODUCT(AV$25:AV$58,ProDegPaths!$BY$25:$BY$58)+SUMPRODUCT(AV$60:AV$64,ProDegPaths!$BY$60:$BY$64))</f>
        <v>1</v>
      </c>
      <c r="AW59" s="446">
        <f>-(SUMPRODUCT(AW$25:AW$58,ProDegPaths!$BY$25:$BY$58)+SUMPRODUCT(AW$60:AW$64,ProDegPaths!$BY$60:$BY$64))</f>
        <v>-2</v>
      </c>
      <c r="AX59" s="446">
        <f>-(SUMPRODUCT(AX$25:AX$58,ProDegPaths!$BY$25:$BY$58)+SUMPRODUCT(AX$60:AX$64,ProDegPaths!$BY$60:$BY$64))</f>
        <v>-2</v>
      </c>
      <c r="AY59" s="446">
        <f>-(SUMPRODUCT(AY$25:AY$58,ProDegPaths!$BY$25:$BY$58)+SUMPRODUCT(AY$60:AY$64,ProDegPaths!$BY$60:$BY$64))</f>
        <v>0</v>
      </c>
      <c r="AZ59" s="447">
        <f t="array" ref="AZ59">SUM((IF($V$20:$AY$20&gt;0,1,0)*V59:AY59))</f>
        <v>0</v>
      </c>
      <c r="BA59" s="319"/>
      <c r="BB59" s="295"/>
      <c r="BD59" s="445">
        <f>-(SUMPRODUCT(BD$25:BD$58,ProDegPaths!$BY$25:$BY$58)+SUMPRODUCT(BD$60:BD$64,ProDegPaths!$BY$60:$BY$64))</f>
        <v>-1</v>
      </c>
      <c r="BE59" s="446">
        <f>-(SUMPRODUCT(BE$25:BE$58,ProDegPaths!$BY$25:$BY$58)+SUMPRODUCT(BE$60:BE$64,ProDegPaths!$BY$60:$BY$64))</f>
        <v>-1</v>
      </c>
      <c r="BF59" s="446">
        <f>-(SUMPRODUCT(BF$25:BF$58,ProDegPaths!$BY$25:$BY$58)+SUMPRODUCT(BF$60:BF$64,ProDegPaths!$BY$60:$BY$64))</f>
        <v>-2</v>
      </c>
      <c r="BG59" s="446">
        <f>-(SUMPRODUCT(BG$25:BG$58,ProDegPaths!$BY$25:$BY$58)+SUMPRODUCT(BG$60:BG$64,ProDegPaths!$BY$60:$BY$64))</f>
        <v>-4</v>
      </c>
      <c r="BH59" s="446">
        <f>-(SUMPRODUCT(BH$25:BH$58,ProDegPaths!$BY$25:$BY$58)+SUMPRODUCT(BH$60:BH$64,ProDegPaths!$BY$60:$BY$64))</f>
        <v>0</v>
      </c>
      <c r="BI59" s="446">
        <f>-(SUMPRODUCT(BI$25:BI$58,ProDegPaths!$BY$25:$BY$58)+SUMPRODUCT(BI$60:BI$64,ProDegPaths!$BY$60:$BY$64))</f>
        <v>-2</v>
      </c>
      <c r="BJ59" s="446">
        <f>-(SUMPRODUCT(BJ$25:BJ$58,ProDegPaths!$BY$25:$BY$58)+SUMPRODUCT(BJ$60:BJ$64,ProDegPaths!$BY$60:$BY$64))</f>
        <v>-2</v>
      </c>
      <c r="BK59" s="448">
        <f>-(SUMPRODUCT(BK$25:BK$58,ProDegPaths!$BY$25:$BY$58)+SUMPRODUCT(BK$60:BK$64,ProDegPaths!$BY$60:$BY$64))</f>
        <v>1</v>
      </c>
      <c r="BL59" s="448">
        <f>-(SUMPRODUCT(BL$25:BL$58,ProDegPaths!$BY$25:$BY$58)+SUMPRODUCT(BL$60:BL$64,ProDegPaths!$BY$60:$BY$64))</f>
        <v>2</v>
      </c>
      <c r="BM59" s="301"/>
      <c r="BN59" s="295"/>
      <c r="BQ59" s="324" t="str">
        <f>SpcDB!A87</f>
        <v>Proton</v>
      </c>
      <c r="BR59" s="324" t="str">
        <f>SpcDB!B87</f>
        <v>H+</v>
      </c>
      <c r="BS59" s="324" t="str">
        <f>SpcDB!C87</f>
        <v>H+</v>
      </c>
      <c r="BT59" s="324">
        <f>SpcDB!D87</f>
        <v>0</v>
      </c>
      <c r="BU59" s="324">
        <f>SpcDB!E87</f>
        <v>0</v>
      </c>
      <c r="BV59" s="325">
        <f>SpcDB!F87</f>
        <v>0</v>
      </c>
      <c r="BW59" s="324">
        <f>SpcDB!G87</f>
        <v>0</v>
      </c>
      <c r="BX59" s="324">
        <f>SpcDB!H87</f>
        <v>0</v>
      </c>
      <c r="BY59" s="324">
        <f>SpcDB!I87</f>
        <v>1</v>
      </c>
      <c r="BZ59" s="324">
        <f>SpcDB!J87</f>
        <v>0</v>
      </c>
      <c r="CA59" s="324">
        <f>SpcDB!K87</f>
        <v>0</v>
      </c>
      <c r="CB59" s="324">
        <f>SpcDB!L87</f>
        <v>0</v>
      </c>
      <c r="CC59" s="324">
        <f>SpcDB!M87</f>
        <v>0</v>
      </c>
      <c r="CD59" s="324">
        <f>SpcDB!N87</f>
        <v>0</v>
      </c>
      <c r="CE59" s="324">
        <f>SpcDB!O87</f>
        <v>0</v>
      </c>
      <c r="CF59" s="324">
        <f>SpcDB!P87</f>
        <v>0</v>
      </c>
      <c r="CG59" s="324">
        <f>SpcDB!Q87</f>
        <v>0</v>
      </c>
      <c r="CH59" s="324">
        <f>SpcDB!R87</f>
        <v>0</v>
      </c>
      <c r="CI59" s="324">
        <f>SpcDB!S87</f>
        <v>0</v>
      </c>
      <c r="CJ59" s="324">
        <f>SpcDB!T87</f>
        <v>0</v>
      </c>
      <c r="CK59" s="324">
        <f>SpcDB!U87</f>
        <v>1</v>
      </c>
      <c r="CL59" s="301">
        <f t="shared" si="13"/>
        <v>1</v>
      </c>
      <c r="CM59" s="301">
        <f t="shared" si="14"/>
        <v>0</v>
      </c>
      <c r="CN59" s="342" t="str">
        <f t="shared" si="7"/>
        <v>NA</v>
      </c>
      <c r="CO59" s="388"/>
      <c r="CP59" s="327"/>
      <c r="CQ59" s="327"/>
      <c r="CR59" s="327"/>
      <c r="CS59" s="327"/>
      <c r="CT59" s="327"/>
      <c r="CU59" s="327"/>
    </row>
    <row r="60" spans="1:99" ht="15" customHeight="1" thickBot="1" x14ac:dyDescent="0.35">
      <c r="A60" s="637" t="s">
        <v>710</v>
      </c>
      <c r="B60" s="637" t="s">
        <v>711</v>
      </c>
      <c r="C60" s="637" t="s">
        <v>750</v>
      </c>
      <c r="D60" s="449" t="str">
        <f t="shared" si="11"/>
        <v>X</v>
      </c>
      <c r="E60" s="450">
        <f t="shared" si="2"/>
        <v>-66.195036055676667</v>
      </c>
      <c r="F60" s="449">
        <f t="shared" si="12"/>
        <v>0</v>
      </c>
      <c r="G60" s="449">
        <f>ProDegPaths!CL60</f>
        <v>24.6</v>
      </c>
      <c r="H60" s="451">
        <f>ProDegPaths!CM60</f>
        <v>4.1999999999999993</v>
      </c>
      <c r="I60" s="452">
        <f>ProDegPaths!CN60</f>
        <v>4.1999999999999993</v>
      </c>
      <c r="J60" s="626" t="s">
        <v>755</v>
      </c>
      <c r="K60" s="343"/>
      <c r="L60" s="453" t="s">
        <v>38</v>
      </c>
      <c r="M60" s="454" t="s">
        <v>38</v>
      </c>
      <c r="N60" s="454">
        <v>1</v>
      </c>
      <c r="O60" s="455">
        <f t="shared" si="4"/>
        <v>1</v>
      </c>
      <c r="P60" s="456">
        <v>9.9999999999999972E-22</v>
      </c>
      <c r="Q60" s="457">
        <v>1</v>
      </c>
      <c r="R60" s="454">
        <v>0</v>
      </c>
      <c r="S60" s="458">
        <f t="shared" si="9"/>
        <v>-66.195036055676667</v>
      </c>
      <c r="T60" s="647"/>
      <c r="U60" s="271">
        <v>0</v>
      </c>
      <c r="V60" s="459">
        <v>0</v>
      </c>
      <c r="W60" s="460">
        <v>0</v>
      </c>
      <c r="X60" s="460">
        <v>0</v>
      </c>
      <c r="Y60" s="460">
        <v>0</v>
      </c>
      <c r="Z60" s="460">
        <v>0</v>
      </c>
      <c r="AA60" s="460">
        <v>0</v>
      </c>
      <c r="AB60" s="460">
        <f>+IF(AA$65&lt;=0,W60,Y60)</f>
        <v>0</v>
      </c>
      <c r="AC60" s="460">
        <v>0</v>
      </c>
      <c r="AD60" s="460">
        <v>0</v>
      </c>
      <c r="AE60" s="460">
        <v>0</v>
      </c>
      <c r="AF60" s="460">
        <v>0</v>
      </c>
      <c r="AG60" s="460">
        <v>0</v>
      </c>
      <c r="AH60" s="460">
        <v>0</v>
      </c>
      <c r="AI60" s="460">
        <v>0</v>
      </c>
      <c r="AJ60" s="460">
        <v>0</v>
      </c>
      <c r="AK60" s="460">
        <v>0</v>
      </c>
      <c r="AL60" s="460">
        <v>0</v>
      </c>
      <c r="AM60" s="460">
        <v>0</v>
      </c>
      <c r="AN60" s="460">
        <v>0</v>
      </c>
      <c r="AO60" s="460">
        <v>0</v>
      </c>
      <c r="AP60" s="460">
        <v>0</v>
      </c>
      <c r="AQ60" s="460">
        <v>0</v>
      </c>
      <c r="AR60" s="460">
        <v>0</v>
      </c>
      <c r="AS60" s="460">
        <v>0</v>
      </c>
      <c r="AT60" s="460">
        <v>0</v>
      </c>
      <c r="AU60" s="460">
        <v>0</v>
      </c>
      <c r="AV60" s="460">
        <v>0</v>
      </c>
      <c r="AW60" s="460">
        <v>0</v>
      </c>
      <c r="AX60" s="461">
        <v>0</v>
      </c>
      <c r="AY60" s="460">
        <v>0</v>
      </c>
      <c r="AZ60" s="462">
        <f t="array" ref="AZ60">SUM((IF($V$20:$AY$20&gt;0,1,0)*V60:AY60))</f>
        <v>0</v>
      </c>
      <c r="BA60" s="319"/>
      <c r="BB60" s="295"/>
      <c r="BD60" s="459">
        <f>+AC60</f>
        <v>0</v>
      </c>
      <c r="BE60" s="463">
        <v>0</v>
      </c>
      <c r="BF60" s="463">
        <v>0</v>
      </c>
      <c r="BG60" s="463">
        <v>0</v>
      </c>
      <c r="BH60" s="460">
        <v>0</v>
      </c>
      <c r="BI60" s="464">
        <v>0</v>
      </c>
      <c r="BJ60" s="464">
        <v>0</v>
      </c>
      <c r="BK60" s="464">
        <v>0</v>
      </c>
      <c r="BL60" s="464">
        <v>0</v>
      </c>
      <c r="BM60" s="301"/>
      <c r="BN60" s="295"/>
      <c r="BQ60" s="465" t="str">
        <f>SpcDB!A20</f>
        <v>Biomass (NH4 source)</v>
      </c>
      <c r="BR60" s="466" t="str">
        <f>SpcDB!B20</f>
        <v>X</v>
      </c>
      <c r="BS60" s="466" t="str">
        <f>SpcDB!C20</f>
        <v>CH1.8O0.5N0.2</v>
      </c>
      <c r="BT60" s="467">
        <f>SpcDB!D20</f>
        <v>-67</v>
      </c>
      <c r="BU60" s="466">
        <f>SpcDB!E20</f>
        <v>-91</v>
      </c>
      <c r="BV60" s="466" t="str">
        <f>SpcDB!F20</f>
        <v>NA</v>
      </c>
      <c r="BW60" s="468">
        <f>SpcDB!G20</f>
        <v>8.0536912751677847E-2</v>
      </c>
      <c r="BX60" s="466">
        <f>SpcDB!H20</f>
        <v>1</v>
      </c>
      <c r="BY60" s="466">
        <f>SpcDB!I20</f>
        <v>1.8</v>
      </c>
      <c r="BZ60" s="466">
        <f>SpcDB!J20</f>
        <v>0.5</v>
      </c>
      <c r="CA60" s="469">
        <f>SpcDB!K20</f>
        <v>0.2</v>
      </c>
      <c r="CB60" s="466">
        <f>SpcDB!L20</f>
        <v>0</v>
      </c>
      <c r="CC60" s="466">
        <f>SpcDB!M20</f>
        <v>0</v>
      </c>
      <c r="CD60" s="466">
        <f>SpcDB!N20</f>
        <v>0</v>
      </c>
      <c r="CE60" s="466">
        <f>SpcDB!O20</f>
        <v>0</v>
      </c>
      <c r="CF60" s="466">
        <f>SpcDB!P20</f>
        <v>0</v>
      </c>
      <c r="CG60" s="466">
        <f>SpcDB!Q20</f>
        <v>0</v>
      </c>
      <c r="CH60" s="466">
        <f>SpcDB!R20</f>
        <v>0</v>
      </c>
      <c r="CI60" s="466">
        <f>SpcDB!S20</f>
        <v>0</v>
      </c>
      <c r="CJ60" s="466">
        <f>SpcDB!T20</f>
        <v>0</v>
      </c>
      <c r="CK60" s="466">
        <f>SpcDB!U20</f>
        <v>0</v>
      </c>
      <c r="CL60" s="466">
        <f t="shared" si="13"/>
        <v>24.6</v>
      </c>
      <c r="CM60" s="470">
        <f t="shared" si="14"/>
        <v>4.1999999999999993</v>
      </c>
      <c r="CN60" s="471">
        <f t="shared" si="7"/>
        <v>4.1999999999999993</v>
      </c>
      <c r="CO60" s="388"/>
      <c r="CP60" s="454"/>
      <c r="CQ60" s="454"/>
      <c r="CR60" s="454"/>
      <c r="CS60" s="454"/>
      <c r="CT60" s="454"/>
      <c r="CU60" s="454"/>
    </row>
    <row r="61" spans="1:99" ht="15" customHeight="1" x14ac:dyDescent="0.3">
      <c r="A61" s="635" t="s">
        <v>712</v>
      </c>
      <c r="B61" s="635" t="s">
        <v>711</v>
      </c>
      <c r="C61" s="635" t="s">
        <v>750</v>
      </c>
      <c r="D61" s="472" t="str">
        <f t="shared" si="11"/>
        <v>H+</v>
      </c>
      <c r="E61" s="473">
        <f t="shared" si="2"/>
        <v>0</v>
      </c>
      <c r="F61" s="472">
        <f t="shared" si="12"/>
        <v>1</v>
      </c>
      <c r="G61" s="472">
        <f>ProDegPaths!CL61</f>
        <v>1</v>
      </c>
      <c r="H61" s="472">
        <f>ProDegPaths!CM61</f>
        <v>0</v>
      </c>
      <c r="I61" s="474" t="str">
        <f>ProDegPaths!CN61</f>
        <v>NA</v>
      </c>
      <c r="J61" s="627" t="s">
        <v>755</v>
      </c>
      <c r="L61" s="475" t="s">
        <v>38</v>
      </c>
      <c r="M61" s="476" t="s">
        <v>38</v>
      </c>
      <c r="N61" s="476">
        <f>+Q61/O61</f>
        <v>3.4276778654645042E-8</v>
      </c>
      <c r="O61" s="476">
        <f t="shared" si="4"/>
        <v>1</v>
      </c>
      <c r="P61" s="476">
        <v>9.9999999999999972E-22</v>
      </c>
      <c r="Q61" s="477">
        <f>10^-7.465</f>
        <v>3.4276778654645042E-8</v>
      </c>
      <c r="R61" s="478">
        <v>0</v>
      </c>
      <c r="S61" s="479">
        <f t="shared" si="9"/>
        <v>-44.03699673476509</v>
      </c>
      <c r="T61" s="647"/>
      <c r="U61" s="271">
        <v>0</v>
      </c>
      <c r="V61" s="403">
        <v>-1</v>
      </c>
      <c r="W61" s="405">
        <v>0</v>
      </c>
      <c r="X61" s="405">
        <v>0</v>
      </c>
      <c r="Y61" s="405">
        <v>0</v>
      </c>
      <c r="Z61" s="405">
        <v>0</v>
      </c>
      <c r="AA61" s="405">
        <v>0</v>
      </c>
      <c r="AB61" s="405">
        <v>0</v>
      </c>
      <c r="AC61" s="405">
        <v>0</v>
      </c>
      <c r="AD61" s="405">
        <v>0</v>
      </c>
      <c r="AE61" s="405">
        <v>0</v>
      </c>
      <c r="AF61" s="405">
        <v>0</v>
      </c>
      <c r="AG61" s="405">
        <v>0</v>
      </c>
      <c r="AH61" s="405">
        <v>0</v>
      </c>
      <c r="AI61" s="405">
        <v>0</v>
      </c>
      <c r="AJ61" s="405">
        <v>0</v>
      </c>
      <c r="AK61" s="405">
        <v>0</v>
      </c>
      <c r="AL61" s="405">
        <v>0</v>
      </c>
      <c r="AM61" s="405">
        <v>0</v>
      </c>
      <c r="AN61" s="405">
        <v>0</v>
      </c>
      <c r="AO61" s="405">
        <v>0</v>
      </c>
      <c r="AP61" s="405">
        <v>0</v>
      </c>
      <c r="AQ61" s="405">
        <v>0</v>
      </c>
      <c r="AR61" s="405">
        <v>0</v>
      </c>
      <c r="AS61" s="405">
        <v>0</v>
      </c>
      <c r="AT61" s="480">
        <v>1</v>
      </c>
      <c r="AU61" s="407">
        <v>0</v>
      </c>
      <c r="AV61" s="407">
        <v>0</v>
      </c>
      <c r="AW61" s="408">
        <v>0</v>
      </c>
      <c r="AX61" s="407">
        <v>0</v>
      </c>
      <c r="AY61" s="408">
        <v>0</v>
      </c>
      <c r="AZ61" s="481">
        <f t="array" ref="AZ61">SUM((IF($V$20:$AY$20&gt;0,1,0)*V61:AY61))</f>
        <v>0</v>
      </c>
      <c r="BA61" s="319"/>
      <c r="BB61" s="295"/>
      <c r="BD61" s="410">
        <v>0</v>
      </c>
      <c r="BE61" s="411">
        <v>0</v>
      </c>
      <c r="BF61" s="411">
        <v>0</v>
      </c>
      <c r="BG61" s="411">
        <v>0</v>
      </c>
      <c r="BH61" s="405">
        <v>0</v>
      </c>
      <c r="BI61" s="412">
        <v>0</v>
      </c>
      <c r="BJ61" s="412">
        <v>0</v>
      </c>
      <c r="BK61" s="412">
        <v>0</v>
      </c>
      <c r="BL61" s="412">
        <v>0</v>
      </c>
      <c r="BM61" s="301"/>
      <c r="BN61" s="295"/>
      <c r="BQ61" s="324" t="str">
        <f>SpcDB!A87</f>
        <v>Proton</v>
      </c>
      <c r="BR61" s="324" t="str">
        <f>SpcDB!B87</f>
        <v>H+</v>
      </c>
      <c r="BS61" s="324" t="str">
        <f>SpcDB!C87</f>
        <v>H+</v>
      </c>
      <c r="BT61" s="324">
        <f>SpcDB!D87</f>
        <v>0</v>
      </c>
      <c r="BU61" s="324">
        <f>SpcDB!E87</f>
        <v>0</v>
      </c>
      <c r="BV61" s="324">
        <f>SpcDB!F87</f>
        <v>0</v>
      </c>
      <c r="BW61" s="324">
        <f>SpcDB!G87</f>
        <v>0</v>
      </c>
      <c r="BX61" s="324">
        <f>SpcDB!H87</f>
        <v>0</v>
      </c>
      <c r="BY61" s="324">
        <f>SpcDB!I87</f>
        <v>1</v>
      </c>
      <c r="BZ61" s="324">
        <f>SpcDB!J87</f>
        <v>0</v>
      </c>
      <c r="CA61" s="324">
        <f>SpcDB!K87</f>
        <v>0</v>
      </c>
      <c r="CB61" s="324">
        <f>SpcDB!L87</f>
        <v>0</v>
      </c>
      <c r="CC61" s="324">
        <f>SpcDB!M87</f>
        <v>0</v>
      </c>
      <c r="CD61" s="324">
        <f>SpcDB!N87</f>
        <v>0</v>
      </c>
      <c r="CE61" s="324">
        <f>SpcDB!O87</f>
        <v>0</v>
      </c>
      <c r="CF61" s="324">
        <f>SpcDB!P87</f>
        <v>0</v>
      </c>
      <c r="CG61" s="324">
        <f>SpcDB!Q87</f>
        <v>0</v>
      </c>
      <c r="CH61" s="324">
        <f>SpcDB!R87</f>
        <v>0</v>
      </c>
      <c r="CI61" s="324">
        <f>SpcDB!S87</f>
        <v>0</v>
      </c>
      <c r="CJ61" s="324">
        <f>SpcDB!T87</f>
        <v>0</v>
      </c>
      <c r="CK61" s="324">
        <f>SpcDB!U87</f>
        <v>1</v>
      </c>
      <c r="CL61" s="301">
        <f t="shared" si="13"/>
        <v>1</v>
      </c>
      <c r="CM61" s="301">
        <f t="shared" si="14"/>
        <v>0</v>
      </c>
      <c r="CN61" s="342" t="str">
        <f t="shared" si="7"/>
        <v>NA</v>
      </c>
      <c r="CO61" s="388"/>
      <c r="CP61" s="482"/>
      <c r="CQ61" s="482"/>
      <c r="CR61" s="482"/>
      <c r="CS61" s="482"/>
      <c r="CT61" s="482"/>
      <c r="CU61" s="482"/>
    </row>
    <row r="62" spans="1:99" ht="15" customHeight="1" x14ac:dyDescent="0.3">
      <c r="A62" s="635" t="s">
        <v>712</v>
      </c>
      <c r="B62" s="635" t="s">
        <v>711</v>
      </c>
      <c r="C62" s="635" t="s">
        <v>749</v>
      </c>
      <c r="D62" s="472" t="str">
        <f t="shared" si="11"/>
        <v>Pro-</v>
      </c>
      <c r="E62" s="473">
        <f t="shared" si="2"/>
        <v>-356.07178265973499</v>
      </c>
      <c r="F62" s="472">
        <f t="shared" si="12"/>
        <v>-1</v>
      </c>
      <c r="G62" s="472">
        <f>ProDegPaths!CL62</f>
        <v>73</v>
      </c>
      <c r="H62" s="472">
        <f>ProDegPaths!CM62</f>
        <v>14</v>
      </c>
      <c r="I62" s="483">
        <f>ProDegPaths!CN62</f>
        <v>4.333333333333333</v>
      </c>
      <c r="J62" s="626" t="s">
        <v>754</v>
      </c>
      <c r="K62" s="343"/>
      <c r="L62" s="475" t="s">
        <v>38</v>
      </c>
      <c r="M62" s="476" t="s">
        <v>38</v>
      </c>
      <c r="N62" s="484">
        <f>+Q62/O62</f>
        <v>1.39879059366114E-4</v>
      </c>
      <c r="O62" s="476">
        <f t="shared" si="4"/>
        <v>1</v>
      </c>
      <c r="P62" s="476">
        <v>1.3465955165464412E-19</v>
      </c>
      <c r="Q62" s="477">
        <v>1.39879059366114E-4</v>
      </c>
      <c r="R62" s="478">
        <v>0</v>
      </c>
      <c r="S62" s="479">
        <f t="shared" si="9"/>
        <v>-378.8084840160667</v>
      </c>
      <c r="T62" s="647"/>
      <c r="U62" s="271">
        <v>1</v>
      </c>
      <c r="V62" s="312">
        <v>-1</v>
      </c>
      <c r="W62" s="333">
        <v>0</v>
      </c>
      <c r="X62" s="333">
        <v>0</v>
      </c>
      <c r="Y62" s="333">
        <v>0</v>
      </c>
      <c r="Z62" s="333">
        <v>0</v>
      </c>
      <c r="AA62" s="333">
        <v>0</v>
      </c>
      <c r="AB62" s="333">
        <v>0</v>
      </c>
      <c r="AC62" s="333">
        <v>0</v>
      </c>
      <c r="AD62" s="333">
        <v>0</v>
      </c>
      <c r="AE62" s="333">
        <v>0</v>
      </c>
      <c r="AF62" s="333">
        <v>0</v>
      </c>
      <c r="AG62" s="333">
        <v>0</v>
      </c>
      <c r="AH62" s="333">
        <v>0</v>
      </c>
      <c r="AI62" s="333">
        <v>0</v>
      </c>
      <c r="AJ62" s="333">
        <v>0</v>
      </c>
      <c r="AK62" s="333">
        <v>0</v>
      </c>
      <c r="AL62" s="333">
        <v>0</v>
      </c>
      <c r="AM62" s="333">
        <v>0</v>
      </c>
      <c r="AN62" s="333">
        <v>0</v>
      </c>
      <c r="AO62" s="333">
        <v>0</v>
      </c>
      <c r="AP62" s="333">
        <v>0</v>
      </c>
      <c r="AQ62" s="333">
        <v>0</v>
      </c>
      <c r="AR62" s="333">
        <v>0</v>
      </c>
      <c r="AS62" s="333">
        <v>0</v>
      </c>
      <c r="AT62" s="334">
        <v>0</v>
      </c>
      <c r="AU62" s="335">
        <v>0</v>
      </c>
      <c r="AV62" s="335">
        <v>0</v>
      </c>
      <c r="AW62" s="336">
        <v>0</v>
      </c>
      <c r="AX62" s="335">
        <v>0</v>
      </c>
      <c r="AY62" s="336">
        <v>0</v>
      </c>
      <c r="AZ62" s="485">
        <f t="array" ref="AZ62">SUM((IF($V$20:$AY$20&gt;0,1,0)*V62:AY62))</f>
        <v>-1</v>
      </c>
      <c r="BA62" s="319"/>
      <c r="BB62" s="295"/>
      <c r="BD62" s="382">
        <v>0</v>
      </c>
      <c r="BE62" s="383">
        <v>0</v>
      </c>
      <c r="BF62" s="383">
        <v>0</v>
      </c>
      <c r="BG62" s="383">
        <v>0</v>
      </c>
      <c r="BH62" s="333">
        <v>0</v>
      </c>
      <c r="BI62" s="340">
        <v>0</v>
      </c>
      <c r="BJ62" s="340">
        <v>0</v>
      </c>
      <c r="BK62" s="340">
        <v>0</v>
      </c>
      <c r="BL62" s="340">
        <v>0</v>
      </c>
      <c r="BM62" s="301"/>
      <c r="BN62" s="295"/>
      <c r="BQ62" s="324" t="str">
        <f>+SpcDB!A85</f>
        <v>Propionate</v>
      </c>
      <c r="BR62" s="324" t="str">
        <f>+SpcDB!B85</f>
        <v>Pro-</v>
      </c>
      <c r="BS62" s="324" t="str">
        <f>+SpcDB!C85</f>
        <v>C3H5O2-</v>
      </c>
      <c r="BT62" s="324">
        <f>+SpcDB!D85</f>
        <v>-361.08</v>
      </c>
      <c r="BU62" s="324">
        <f>+SpcDB!E85</f>
        <v>-510.4</v>
      </c>
      <c r="BV62" s="324" t="str">
        <f>+SpcDB!F85</f>
        <v>NA</v>
      </c>
      <c r="BW62" s="324">
        <f>+SpcDB!G85</f>
        <v>0.50107382550335566</v>
      </c>
      <c r="BX62" s="324">
        <f>+SpcDB!H85</f>
        <v>3</v>
      </c>
      <c r="BY62" s="324">
        <f>+SpcDB!I85</f>
        <v>5</v>
      </c>
      <c r="BZ62" s="324">
        <f>+SpcDB!J85</f>
        <v>2</v>
      </c>
      <c r="CA62" s="324">
        <f>+SpcDB!K85</f>
        <v>0</v>
      </c>
      <c r="CB62" s="324">
        <f>+SpcDB!L85</f>
        <v>0</v>
      </c>
      <c r="CC62" s="324">
        <f>+SpcDB!M85</f>
        <v>0</v>
      </c>
      <c r="CD62" s="324">
        <f>+SpcDB!N85</f>
        <v>0</v>
      </c>
      <c r="CE62" s="324">
        <f>+SpcDB!O85</f>
        <v>0</v>
      </c>
      <c r="CF62" s="324">
        <f>+SpcDB!P85</f>
        <v>0</v>
      </c>
      <c r="CG62" s="324">
        <f>+SpcDB!Q85</f>
        <v>0</v>
      </c>
      <c r="CH62" s="324">
        <f>+SpcDB!R85</f>
        <v>0</v>
      </c>
      <c r="CI62" s="324">
        <f>+SpcDB!S85</f>
        <v>0</v>
      </c>
      <c r="CJ62" s="324">
        <f>+SpcDB!T85</f>
        <v>0</v>
      </c>
      <c r="CK62" s="324">
        <f>+SpcDB!U85</f>
        <v>-1</v>
      </c>
      <c r="CL62" s="301">
        <f t="shared" si="13"/>
        <v>73</v>
      </c>
      <c r="CM62" s="301">
        <f t="shared" si="14"/>
        <v>14</v>
      </c>
      <c r="CN62" s="342">
        <f t="shared" si="7"/>
        <v>4.333333333333333</v>
      </c>
      <c r="CO62" s="388"/>
      <c r="CP62" s="327"/>
      <c r="CQ62" s="327"/>
      <c r="CR62" s="328">
        <v>4.8739999999999997</v>
      </c>
      <c r="CS62" s="327"/>
      <c r="CT62" s="327"/>
      <c r="CU62" s="329">
        <f>10^-CR62</f>
        <v>1.3365955165464412E-5</v>
      </c>
    </row>
    <row r="63" spans="1:99" ht="15" customHeight="1" x14ac:dyDescent="0.3">
      <c r="A63" s="635" t="s">
        <v>712</v>
      </c>
      <c r="B63" s="635" t="s">
        <v>711</v>
      </c>
      <c r="C63" s="635" t="s">
        <v>749</v>
      </c>
      <c r="D63" s="472" t="str">
        <f t="shared" si="11"/>
        <v>Ac-</v>
      </c>
      <c r="E63" s="473">
        <f t="shared" si="2"/>
        <v>-365.49955223880602</v>
      </c>
      <c r="F63" s="472">
        <f t="shared" si="12"/>
        <v>-1</v>
      </c>
      <c r="G63" s="472">
        <f>ProDegPaths!CL63</f>
        <v>59</v>
      </c>
      <c r="H63" s="472">
        <f>ProDegPaths!CM63</f>
        <v>8</v>
      </c>
      <c r="I63" s="474">
        <f>ProDegPaths!CN63</f>
        <v>3.5</v>
      </c>
      <c r="J63" s="627" t="s">
        <v>754</v>
      </c>
      <c r="L63" s="475" t="s">
        <v>38</v>
      </c>
      <c r="M63" s="476" t="s">
        <v>38</v>
      </c>
      <c r="N63" s="486">
        <f>+Q63/O63</f>
        <v>3.0704175468117801E-3</v>
      </c>
      <c r="O63" s="487">
        <f t="shared" si="4"/>
        <v>1</v>
      </c>
      <c r="P63" s="488">
        <v>1.7598466886246562E-19</v>
      </c>
      <c r="Q63" s="477">
        <v>3.0704175468117801E-3</v>
      </c>
      <c r="R63" s="478">
        <v>0</v>
      </c>
      <c r="S63" s="479">
        <f t="shared" si="9"/>
        <v>-380.32289827504417</v>
      </c>
      <c r="T63" s="647"/>
      <c r="U63" s="271">
        <v>0</v>
      </c>
      <c r="V63" s="312">
        <v>0</v>
      </c>
      <c r="W63" s="333">
        <v>0</v>
      </c>
      <c r="X63" s="333">
        <v>0</v>
      </c>
      <c r="Y63" s="333">
        <v>0</v>
      </c>
      <c r="Z63" s="333">
        <v>0</v>
      </c>
      <c r="AA63" s="333">
        <v>0</v>
      </c>
      <c r="AB63" s="333">
        <v>0</v>
      </c>
      <c r="AC63" s="333">
        <v>0</v>
      </c>
      <c r="AD63" s="333">
        <v>0</v>
      </c>
      <c r="AE63" s="333">
        <v>0</v>
      </c>
      <c r="AF63" s="333">
        <v>0</v>
      </c>
      <c r="AG63" s="333">
        <v>0</v>
      </c>
      <c r="AH63" s="333">
        <v>0</v>
      </c>
      <c r="AI63" s="333">
        <v>0</v>
      </c>
      <c r="AJ63" s="333">
        <v>0</v>
      </c>
      <c r="AK63" s="333">
        <v>0</v>
      </c>
      <c r="AL63" s="333">
        <v>0</v>
      </c>
      <c r="AM63" s="333">
        <v>0</v>
      </c>
      <c r="AN63" s="333">
        <v>0</v>
      </c>
      <c r="AO63" s="333">
        <v>0</v>
      </c>
      <c r="AP63" s="333">
        <v>0</v>
      </c>
      <c r="AQ63" s="333">
        <v>0</v>
      </c>
      <c r="AR63" s="333">
        <v>0</v>
      </c>
      <c r="AS63" s="333">
        <v>0</v>
      </c>
      <c r="AT63" s="334">
        <v>1</v>
      </c>
      <c r="AU63" s="335">
        <v>0</v>
      </c>
      <c r="AV63" s="335">
        <v>0</v>
      </c>
      <c r="AW63" s="336">
        <v>0</v>
      </c>
      <c r="AX63" s="335">
        <v>0</v>
      </c>
      <c r="AY63" s="336">
        <v>0</v>
      </c>
      <c r="AZ63" s="485">
        <f t="array" ref="AZ63">SUM((IF($V$20:$AY$20&gt;0,1,0)*V63:AY63))</f>
        <v>1</v>
      </c>
      <c r="BA63" s="319"/>
      <c r="BB63" s="295"/>
      <c r="BD63" s="382">
        <v>0</v>
      </c>
      <c r="BE63" s="383">
        <v>0</v>
      </c>
      <c r="BF63" s="383">
        <v>0</v>
      </c>
      <c r="BG63" s="383">
        <v>0</v>
      </c>
      <c r="BH63" s="333">
        <v>0</v>
      </c>
      <c r="BI63" s="340">
        <v>0</v>
      </c>
      <c r="BJ63" s="340">
        <v>0</v>
      </c>
      <c r="BK63" s="340">
        <v>0</v>
      </c>
      <c r="BL63" s="340">
        <v>0</v>
      </c>
      <c r="BM63" s="301"/>
      <c r="BN63" s="295"/>
      <c r="BQ63" s="324" t="str">
        <f>+SpcDB!A5</f>
        <v>Acetate</v>
      </c>
      <c r="BR63" s="324" t="str">
        <f>+SpcDB!B5</f>
        <v>Ac-</v>
      </c>
      <c r="BS63" s="324" t="str">
        <f>+SpcDB!C5</f>
        <v>C2H3O2-</v>
      </c>
      <c r="BT63" s="324">
        <f>+SpcDB!D5</f>
        <v>-369.41</v>
      </c>
      <c r="BU63" s="324">
        <f>+SpcDB!E5</f>
        <v>-486</v>
      </c>
      <c r="BV63" s="324">
        <f>+SpcDB!F5</f>
        <v>86.6</v>
      </c>
      <c r="BW63" s="324">
        <f>+SpcDB!G5</f>
        <v>0.39124161073825497</v>
      </c>
      <c r="BX63" s="324">
        <f>+SpcDB!H5</f>
        <v>2</v>
      </c>
      <c r="BY63" s="324">
        <f>+SpcDB!I5</f>
        <v>3</v>
      </c>
      <c r="BZ63" s="324">
        <f>+SpcDB!J5</f>
        <v>2</v>
      </c>
      <c r="CA63" s="324">
        <f>+SpcDB!K5</f>
        <v>0</v>
      </c>
      <c r="CB63" s="324">
        <f>+SpcDB!L5</f>
        <v>0</v>
      </c>
      <c r="CC63" s="324">
        <f>+SpcDB!M5</f>
        <v>0</v>
      </c>
      <c r="CD63" s="324">
        <f>+SpcDB!N5</f>
        <v>0</v>
      </c>
      <c r="CE63" s="324">
        <f>+SpcDB!O5</f>
        <v>0</v>
      </c>
      <c r="CF63" s="324">
        <f>+SpcDB!P5</f>
        <v>0</v>
      </c>
      <c r="CG63" s="324">
        <f>+SpcDB!Q5</f>
        <v>0</v>
      </c>
      <c r="CH63" s="324">
        <f>+SpcDB!R5</f>
        <v>0</v>
      </c>
      <c r="CI63" s="324">
        <f>+SpcDB!S5</f>
        <v>0</v>
      </c>
      <c r="CJ63" s="324">
        <f>+SpcDB!T5</f>
        <v>0</v>
      </c>
      <c r="CK63" s="324">
        <f>+SpcDB!U5</f>
        <v>-1</v>
      </c>
      <c r="CL63" s="301">
        <f t="shared" si="13"/>
        <v>59</v>
      </c>
      <c r="CM63" s="301">
        <f t="shared" si="14"/>
        <v>8</v>
      </c>
      <c r="CN63" s="342">
        <f t="shared" si="7"/>
        <v>3.5</v>
      </c>
      <c r="CO63" s="388"/>
      <c r="CP63" s="327"/>
      <c r="CQ63" s="327"/>
      <c r="CR63" s="328">
        <v>4.7569999999999997</v>
      </c>
      <c r="CS63" s="327"/>
      <c r="CT63" s="327"/>
      <c r="CU63" s="329">
        <f>10^-CR63</f>
        <v>1.7498466886246563E-5</v>
      </c>
    </row>
    <row r="64" spans="1:99" ht="15" customHeight="1" x14ac:dyDescent="0.3">
      <c r="A64" s="635" t="s">
        <v>712</v>
      </c>
      <c r="B64" s="635" t="s">
        <v>711</v>
      </c>
      <c r="C64" s="635" t="s">
        <v>750</v>
      </c>
      <c r="D64" s="472" t="str">
        <f t="shared" si="11"/>
        <v>Lac-</v>
      </c>
      <c r="E64" s="473">
        <f t="shared" si="2"/>
        <v>-512.13533959416395</v>
      </c>
      <c r="F64" s="472">
        <f t="shared" si="12"/>
        <v>-1</v>
      </c>
      <c r="G64" s="472">
        <f>ProDegPaths!CL64</f>
        <v>89</v>
      </c>
      <c r="H64" s="472">
        <f>ProDegPaths!CM64</f>
        <v>12</v>
      </c>
      <c r="I64" s="483">
        <f>ProDegPaths!CN64</f>
        <v>3.6666666666666665</v>
      </c>
      <c r="J64" s="626" t="s">
        <v>755</v>
      </c>
      <c r="L64" s="475" t="s">
        <v>38</v>
      </c>
      <c r="M64" s="476" t="s">
        <v>38</v>
      </c>
      <c r="N64" s="484">
        <f>+Q64/O64</f>
        <v>3.7691795401149199E-3</v>
      </c>
      <c r="O64" s="487">
        <f t="shared" si="4"/>
        <v>1</v>
      </c>
      <c r="P64" s="488">
        <v>1.3813842646028843E-18</v>
      </c>
      <c r="Q64" s="477">
        <v>3.7691795401149199E-3</v>
      </c>
      <c r="R64" s="478">
        <v>0</v>
      </c>
      <c r="S64" s="479">
        <f t="shared" si="9"/>
        <v>-526.43337183164635</v>
      </c>
      <c r="T64" s="647"/>
      <c r="U64" s="271">
        <v>0</v>
      </c>
      <c r="V64" s="312">
        <v>0</v>
      </c>
      <c r="W64" s="333">
        <v>0</v>
      </c>
      <c r="X64" s="333">
        <v>0</v>
      </c>
      <c r="Y64" s="333">
        <v>0</v>
      </c>
      <c r="Z64" s="333">
        <v>0</v>
      </c>
      <c r="AA64" s="333">
        <v>0</v>
      </c>
      <c r="AB64" s="333">
        <v>0</v>
      </c>
      <c r="AC64" s="333">
        <v>0</v>
      </c>
      <c r="AD64" s="333">
        <v>0</v>
      </c>
      <c r="AE64" s="333">
        <v>0</v>
      </c>
      <c r="AF64" s="333">
        <v>0</v>
      </c>
      <c r="AG64" s="333">
        <v>0</v>
      </c>
      <c r="AH64" s="333">
        <v>0</v>
      </c>
      <c r="AI64" s="333">
        <v>0</v>
      </c>
      <c r="AJ64" s="333">
        <v>0</v>
      </c>
      <c r="AK64" s="333">
        <v>0</v>
      </c>
      <c r="AL64" s="333">
        <v>0</v>
      </c>
      <c r="AM64" s="333">
        <v>0</v>
      </c>
      <c r="AN64" s="333">
        <v>0</v>
      </c>
      <c r="AO64" s="333">
        <v>0</v>
      </c>
      <c r="AP64" s="333">
        <v>0</v>
      </c>
      <c r="AQ64" s="333">
        <v>0</v>
      </c>
      <c r="AR64" s="333">
        <v>0</v>
      </c>
      <c r="AS64" s="333">
        <v>0</v>
      </c>
      <c r="AT64" s="334">
        <v>0</v>
      </c>
      <c r="AU64" s="335">
        <v>0</v>
      </c>
      <c r="AV64" s="335">
        <v>0</v>
      </c>
      <c r="AW64" s="336">
        <v>0</v>
      </c>
      <c r="AX64" s="335">
        <v>0</v>
      </c>
      <c r="AY64" s="336">
        <v>0</v>
      </c>
      <c r="AZ64" s="485">
        <f t="array" ref="AZ64">SUM((IF($V$20:$AY$20&gt;0,1,0)*V64:AY64))</f>
        <v>0</v>
      </c>
      <c r="BA64" s="319"/>
      <c r="BB64" s="295"/>
      <c r="BD64" s="382">
        <v>0</v>
      </c>
      <c r="BE64" s="383">
        <v>0</v>
      </c>
      <c r="BF64" s="383">
        <v>0</v>
      </c>
      <c r="BG64" s="383">
        <v>0</v>
      </c>
      <c r="BH64" s="333">
        <v>0</v>
      </c>
      <c r="BI64" s="340">
        <v>0</v>
      </c>
      <c r="BJ64" s="340">
        <v>0</v>
      </c>
      <c r="BK64" s="340">
        <v>0</v>
      </c>
      <c r="BL64" s="340">
        <v>0</v>
      </c>
      <c r="BM64" s="301"/>
      <c r="BN64" s="295"/>
      <c r="BQ64" s="324" t="str">
        <f>+SpcDB!A57</f>
        <v>Lactate</v>
      </c>
      <c r="BR64" s="324" t="str">
        <f>+SpcDB!B57</f>
        <v>Lac-</v>
      </c>
      <c r="BS64" s="324" t="str">
        <f>+SpcDB!C57</f>
        <v>C3H5O3-</v>
      </c>
      <c r="BT64" s="324">
        <f>+SpcDB!D57</f>
        <v>-517.80999999999995</v>
      </c>
      <c r="BU64" s="324">
        <f>+SpcDB!E57</f>
        <v>-687</v>
      </c>
      <c r="BV64" s="324" t="str">
        <f>+SpcDB!F57</f>
        <v>NA</v>
      </c>
      <c r="BW64" s="324">
        <f>+SpcDB!G57</f>
        <v>0.56775167785234915</v>
      </c>
      <c r="BX64" s="324">
        <f>+SpcDB!H57</f>
        <v>3</v>
      </c>
      <c r="BY64" s="324">
        <f>+SpcDB!I57</f>
        <v>5</v>
      </c>
      <c r="BZ64" s="324">
        <f>+SpcDB!J57</f>
        <v>3</v>
      </c>
      <c r="CA64" s="324">
        <f>+SpcDB!K57</f>
        <v>0</v>
      </c>
      <c r="CB64" s="324">
        <f>+SpcDB!L57</f>
        <v>0</v>
      </c>
      <c r="CC64" s="324">
        <f>+SpcDB!M57</f>
        <v>0</v>
      </c>
      <c r="CD64" s="324">
        <f>+SpcDB!N57</f>
        <v>0</v>
      </c>
      <c r="CE64" s="324">
        <f>+SpcDB!O57</f>
        <v>0</v>
      </c>
      <c r="CF64" s="324">
        <f>+SpcDB!P57</f>
        <v>0</v>
      </c>
      <c r="CG64" s="324">
        <f>+SpcDB!Q57</f>
        <v>0</v>
      </c>
      <c r="CH64" s="324">
        <f>+SpcDB!R57</f>
        <v>0</v>
      </c>
      <c r="CI64" s="324">
        <f>+SpcDB!S57</f>
        <v>0</v>
      </c>
      <c r="CJ64" s="324">
        <f>+SpcDB!T57</f>
        <v>0</v>
      </c>
      <c r="CK64" s="324">
        <f>+SpcDB!U57</f>
        <v>-1</v>
      </c>
      <c r="CL64" s="301">
        <f t="shared" si="13"/>
        <v>89</v>
      </c>
      <c r="CM64" s="301">
        <f t="shared" si="14"/>
        <v>12</v>
      </c>
      <c r="CN64" s="342">
        <f t="shared" si="7"/>
        <v>3.6666666666666665</v>
      </c>
      <c r="CO64" s="388"/>
      <c r="CP64" s="327"/>
      <c r="CQ64" s="327"/>
      <c r="CR64" s="328">
        <v>3.86</v>
      </c>
      <c r="CS64" s="327"/>
      <c r="CT64" s="327"/>
      <c r="CU64" s="329">
        <f>10^-CR64</f>
        <v>1.3803842646028844E-4</v>
      </c>
    </row>
    <row r="65" spans="1:99" ht="15.75" customHeight="1" thickBot="1" x14ac:dyDescent="0.35">
      <c r="A65" s="636" t="s">
        <v>710</v>
      </c>
      <c r="B65" s="636" t="s">
        <v>711</v>
      </c>
      <c r="C65" s="636" t="s">
        <v>750</v>
      </c>
      <c r="D65" s="489" t="str">
        <f t="shared" si="11"/>
        <v>e-</v>
      </c>
      <c r="E65" s="490">
        <f t="shared" si="2"/>
        <v>0</v>
      </c>
      <c r="F65" s="489">
        <f t="shared" si="12"/>
        <v>-1</v>
      </c>
      <c r="G65" s="489">
        <f>ProDegPaths!CL65</f>
        <v>0</v>
      </c>
      <c r="H65" s="489">
        <f>ProDegPaths!CM65</f>
        <v>1</v>
      </c>
      <c r="I65" s="491" t="str">
        <f>ProDegPaths!CN65</f>
        <v>NA</v>
      </c>
      <c r="J65" s="628" t="s">
        <v>755</v>
      </c>
      <c r="L65" s="492" t="s">
        <v>38</v>
      </c>
      <c r="M65" s="493">
        <v>0</v>
      </c>
      <c r="N65" s="494">
        <v>1</v>
      </c>
      <c r="O65" s="495">
        <v>1</v>
      </c>
      <c r="P65" s="496">
        <v>9.9999999999999972E-22</v>
      </c>
      <c r="Q65" s="497">
        <v>1</v>
      </c>
      <c r="R65" s="494">
        <v>0</v>
      </c>
      <c r="S65" s="498">
        <f t="shared" si="9"/>
        <v>0</v>
      </c>
      <c r="T65" s="647"/>
      <c r="U65" s="271">
        <v>0</v>
      </c>
      <c r="V65" s="499">
        <v>0</v>
      </c>
      <c r="W65" s="500">
        <v>0</v>
      </c>
      <c r="X65" s="500">
        <v>0</v>
      </c>
      <c r="Y65" s="500">
        <v>0</v>
      </c>
      <c r="Z65" s="500">
        <v>0</v>
      </c>
      <c r="AA65" s="500">
        <v>0</v>
      </c>
      <c r="AB65" s="500">
        <v>0</v>
      </c>
      <c r="AC65" s="500">
        <v>0</v>
      </c>
      <c r="AD65" s="500">
        <v>0</v>
      </c>
      <c r="AE65" s="500">
        <v>0</v>
      </c>
      <c r="AF65" s="500">
        <v>0</v>
      </c>
      <c r="AG65" s="500">
        <v>0</v>
      </c>
      <c r="AH65" s="500">
        <v>0</v>
      </c>
      <c r="AI65" s="500">
        <v>0</v>
      </c>
      <c r="AJ65" s="500">
        <v>0</v>
      </c>
      <c r="AK65" s="500">
        <v>0</v>
      </c>
      <c r="AL65" s="500">
        <v>0</v>
      </c>
      <c r="AM65" s="501">
        <v>0</v>
      </c>
      <c r="AN65" s="501">
        <v>0</v>
      </c>
      <c r="AO65" s="501">
        <v>0</v>
      </c>
      <c r="AP65" s="501">
        <v>0</v>
      </c>
      <c r="AQ65" s="501">
        <v>0</v>
      </c>
      <c r="AR65" s="501">
        <v>0</v>
      </c>
      <c r="AS65" s="500">
        <v>0</v>
      </c>
      <c r="AT65" s="502">
        <v>0</v>
      </c>
      <c r="AU65" s="503">
        <v>0</v>
      </c>
      <c r="AV65" s="503">
        <v>0</v>
      </c>
      <c r="AW65" s="503">
        <v>0</v>
      </c>
      <c r="AX65" s="504">
        <v>0</v>
      </c>
      <c r="AY65" s="503">
        <v>0</v>
      </c>
      <c r="AZ65" s="505">
        <f t="array" ref="AZ65">SUM((IF($V$20:$AY$20&gt;0,1,0)*V65:AY65))</f>
        <v>0</v>
      </c>
      <c r="BA65" s="319"/>
      <c r="BB65" s="295"/>
      <c r="BD65" s="506">
        <f>+SUMPRODUCT(BD$25:BD$61,ProDegPaths!$CK$25:$CK$61)</f>
        <v>-2</v>
      </c>
      <c r="BE65" s="507">
        <f>+SUMPRODUCT(BE$25:BE$61,ProDegPaths!$CK$25:$CK$61)</f>
        <v>-2</v>
      </c>
      <c r="BF65" s="507">
        <f>+SUMPRODUCT(BF$25:BF$61,ProDegPaths!$CK$25:$CK$61)</f>
        <v>-2</v>
      </c>
      <c r="BG65" s="507">
        <f>+SUMPRODUCT(BG$25:BG$61,ProDegPaths!$CK$25:$CK$61)</f>
        <v>-6</v>
      </c>
      <c r="BH65" s="501">
        <f>+SUMPRODUCT(BH$25:BH$61,ProDegPaths!$CK$25:$CK$61)</f>
        <v>-2</v>
      </c>
      <c r="BI65" s="508">
        <f>+SUMPRODUCT(BI$25:BI$61,ProDegPaths!$CK$25:$CK$61)</f>
        <v>-2</v>
      </c>
      <c r="BJ65" s="508">
        <f>+SUMPRODUCT(BJ$25:BJ$61,ProDegPaths!$CK$25:$CK$61)</f>
        <v>-2</v>
      </c>
      <c r="BK65" s="508">
        <f>+SUMPRODUCT(BK$25:BK$61,ProDegPaths!$CK$25:$CK$61)</f>
        <v>0</v>
      </c>
      <c r="BL65" s="508">
        <f>+SUMPRODUCT(BL$25:BL$61,ProDegPaths!$CK$25:$CK$61)</f>
        <v>2</v>
      </c>
      <c r="BM65" s="301"/>
      <c r="BN65" s="295"/>
      <c r="BQ65" s="509" t="str">
        <f>+SpcDB!A37</f>
        <v>Electron</v>
      </c>
      <c r="BR65" s="509" t="str">
        <f>+SpcDB!B37</f>
        <v>e-</v>
      </c>
      <c r="BS65" s="509" t="str">
        <f>+SpcDB!C37</f>
        <v>e-</v>
      </c>
      <c r="BT65" s="509">
        <f>+SpcDB!D37</f>
        <v>0</v>
      </c>
      <c r="BU65" s="509">
        <f>+SpcDB!E37</f>
        <v>0</v>
      </c>
      <c r="BV65" s="509">
        <f>+SpcDB!F37</f>
        <v>65.25</v>
      </c>
      <c r="BW65" s="509">
        <f>+SpcDB!G37</f>
        <v>0</v>
      </c>
      <c r="BX65" s="509">
        <f>+SpcDB!H37</f>
        <v>0</v>
      </c>
      <c r="BY65" s="509">
        <f>+SpcDB!I37</f>
        <v>0</v>
      </c>
      <c r="BZ65" s="509">
        <f>+SpcDB!J37</f>
        <v>0</v>
      </c>
      <c r="CA65" s="509">
        <f>+SpcDB!K37</f>
        <v>0</v>
      </c>
      <c r="CB65" s="509">
        <f>+SpcDB!L37</f>
        <v>0</v>
      </c>
      <c r="CC65" s="509">
        <f>+SpcDB!M37</f>
        <v>0</v>
      </c>
      <c r="CD65" s="509">
        <f>+SpcDB!N37</f>
        <v>0</v>
      </c>
      <c r="CE65" s="509">
        <f>+SpcDB!O37</f>
        <v>0</v>
      </c>
      <c r="CF65" s="509">
        <f>+SpcDB!P37</f>
        <v>0</v>
      </c>
      <c r="CG65" s="509">
        <f>+SpcDB!Q37</f>
        <v>0</v>
      </c>
      <c r="CH65" s="509">
        <f>+SpcDB!R37</f>
        <v>0</v>
      </c>
      <c r="CI65" s="509">
        <f>+SpcDB!S37</f>
        <v>0</v>
      </c>
      <c r="CJ65" s="509">
        <f>+SpcDB!T37</f>
        <v>0</v>
      </c>
      <c r="CK65" s="509">
        <f>+SpcDB!U37</f>
        <v>-1</v>
      </c>
      <c r="CL65" s="489">
        <f t="shared" si="13"/>
        <v>0</v>
      </c>
      <c r="CM65" s="489">
        <f t="shared" si="14"/>
        <v>1</v>
      </c>
      <c r="CN65" s="510" t="str">
        <f t="shared" si="7"/>
        <v>NA</v>
      </c>
      <c r="CO65" s="388"/>
      <c r="CP65" s="511"/>
      <c r="CQ65" s="511"/>
      <c r="CR65" s="511"/>
      <c r="CS65" s="511"/>
      <c r="CT65" s="511"/>
      <c r="CU65" s="511"/>
    </row>
    <row r="66" spans="1:99" ht="15.75" customHeight="1" thickTop="1" x14ac:dyDescent="0.3">
      <c r="A66" s="512"/>
      <c r="B66" s="512"/>
      <c r="C66" s="512"/>
      <c r="D66" s="301"/>
      <c r="E66" s="302"/>
      <c r="F66" s="301"/>
      <c r="G66" s="301"/>
      <c r="H66" s="301"/>
      <c r="I66" s="330"/>
      <c r="J66" s="330"/>
      <c r="K66" s="513"/>
      <c r="L66" s="514"/>
      <c r="M66" s="515"/>
      <c r="N66" s="301"/>
      <c r="O66" s="516"/>
      <c r="P66" s="517"/>
      <c r="Q66" s="518"/>
      <c r="R66" s="301"/>
      <c r="S66" s="649" t="s">
        <v>39</v>
      </c>
      <c r="T66" s="647"/>
      <c r="U66" s="519" t="s">
        <v>40</v>
      </c>
      <c r="V66" s="520">
        <v>-2</v>
      </c>
      <c r="W66" s="520">
        <v>0</v>
      </c>
      <c r="X66" s="520">
        <v>0</v>
      </c>
      <c r="Y66" s="520">
        <v>-1</v>
      </c>
      <c r="Z66" s="520">
        <v>0</v>
      </c>
      <c r="AA66" s="520">
        <v>0</v>
      </c>
      <c r="AB66" s="520">
        <v>0</v>
      </c>
      <c r="AC66" s="520">
        <v>-2</v>
      </c>
      <c r="AD66" s="520">
        <v>-1</v>
      </c>
      <c r="AE66" s="520">
        <v>0</v>
      </c>
      <c r="AF66" s="520">
        <v>-2</v>
      </c>
      <c r="AG66" s="520">
        <v>-2</v>
      </c>
      <c r="AH66" s="520">
        <v>-1</v>
      </c>
      <c r="AI66" s="520">
        <v>1</v>
      </c>
      <c r="AJ66" s="520">
        <v>0</v>
      </c>
      <c r="AK66" s="520">
        <v>-2</v>
      </c>
      <c r="AL66" s="520">
        <v>-2</v>
      </c>
      <c r="AM66" s="520">
        <v>0</v>
      </c>
      <c r="AN66" s="520">
        <v>0</v>
      </c>
      <c r="AO66" s="520">
        <v>0</v>
      </c>
      <c r="AP66" s="520">
        <v>0</v>
      </c>
      <c r="AQ66" s="520">
        <v>0</v>
      </c>
      <c r="AR66" s="520">
        <v>0</v>
      </c>
      <c r="AS66" s="520">
        <v>0</v>
      </c>
      <c r="AT66" s="520">
        <v>-1</v>
      </c>
      <c r="AU66" s="520">
        <v>-1</v>
      </c>
      <c r="AV66" s="520">
        <v>-1</v>
      </c>
      <c r="AW66" s="520">
        <v>-1</v>
      </c>
      <c r="AX66" s="520">
        <v>-1</v>
      </c>
      <c r="AY66" s="520">
        <v>0</v>
      </c>
      <c r="AZ66" s="520">
        <v>0</v>
      </c>
      <c r="BA66" s="319"/>
      <c r="BB66" s="295"/>
      <c r="BD66" s="521"/>
      <c r="BE66" s="521"/>
      <c r="BF66" s="521"/>
      <c r="BG66" s="521"/>
      <c r="BH66" s="522"/>
      <c r="BI66" s="522"/>
      <c r="BJ66" s="522"/>
      <c r="BK66" s="522"/>
      <c r="BL66" s="522"/>
      <c r="BM66" s="301"/>
      <c r="BN66" s="295"/>
      <c r="BW66" s="523" t="s">
        <v>66</v>
      </c>
      <c r="BX66" s="524">
        <f>SpcDB!H273</f>
        <v>12</v>
      </c>
      <c r="BY66" s="525">
        <f>SpcDB!I273</f>
        <v>1</v>
      </c>
      <c r="BZ66" s="525">
        <f>SpcDB!J273</f>
        <v>16</v>
      </c>
      <c r="CA66" s="525">
        <f>SpcDB!K273</f>
        <v>14</v>
      </c>
      <c r="CB66" s="526">
        <f>SpcDB!L273</f>
        <v>31</v>
      </c>
      <c r="CC66" s="526">
        <f>SpcDB!M273</f>
        <v>32</v>
      </c>
      <c r="CD66" s="526">
        <f>SpcDB!N273</f>
        <v>35.5</v>
      </c>
      <c r="CE66" s="526">
        <f>SpcDB!O273</f>
        <v>56</v>
      </c>
      <c r="CF66" s="526">
        <f>SpcDB!P273</f>
        <v>0</v>
      </c>
      <c r="CG66" s="526">
        <f>SpcDB!Q273</f>
        <v>0</v>
      </c>
      <c r="CH66" s="526">
        <f>SpcDB!R273</f>
        <v>0</v>
      </c>
      <c r="CI66" s="526">
        <f>SpcDB!S273</f>
        <v>0</v>
      </c>
      <c r="CJ66" s="526">
        <f>SpcDB!T273</f>
        <v>0</v>
      </c>
      <c r="CK66" s="527">
        <f>SpcDB!U273</f>
        <v>0</v>
      </c>
    </row>
    <row r="67" spans="1:99" ht="15.75" customHeight="1" thickBot="1" x14ac:dyDescent="0.35">
      <c r="K67" s="513"/>
      <c r="Q67" s="343"/>
      <c r="S67" s="649"/>
      <c r="T67" s="647"/>
      <c r="U67" s="519" t="s">
        <v>41</v>
      </c>
      <c r="V67" s="520">
        <v>0</v>
      </c>
      <c r="W67" s="520">
        <v>0</v>
      </c>
      <c r="X67" s="520">
        <v>0</v>
      </c>
      <c r="Y67" s="520">
        <v>1</v>
      </c>
      <c r="Z67" s="520">
        <v>0</v>
      </c>
      <c r="AA67" s="520">
        <v>0</v>
      </c>
      <c r="AB67" s="520">
        <v>0</v>
      </c>
      <c r="AC67" s="520">
        <v>0</v>
      </c>
      <c r="AD67" s="520">
        <v>1</v>
      </c>
      <c r="AE67" s="520">
        <v>0</v>
      </c>
      <c r="AF67" s="520">
        <v>1</v>
      </c>
      <c r="AG67" s="520">
        <v>1</v>
      </c>
      <c r="AH67" s="520">
        <v>1</v>
      </c>
      <c r="AI67" s="520">
        <v>1</v>
      </c>
      <c r="AJ67" s="520">
        <v>0</v>
      </c>
      <c r="AK67" s="520">
        <v>0</v>
      </c>
      <c r="AL67" s="520">
        <v>0</v>
      </c>
      <c r="AM67" s="520">
        <v>0</v>
      </c>
      <c r="AN67" s="520">
        <v>0</v>
      </c>
      <c r="AO67" s="520">
        <v>0</v>
      </c>
      <c r="AP67" s="520">
        <v>0</v>
      </c>
      <c r="AQ67" s="520">
        <v>0</v>
      </c>
      <c r="AR67" s="520">
        <v>0</v>
      </c>
      <c r="AS67" s="520">
        <v>0</v>
      </c>
      <c r="AT67" s="520">
        <v>0</v>
      </c>
      <c r="AU67" s="520">
        <v>1</v>
      </c>
      <c r="AV67" s="520">
        <v>1</v>
      </c>
      <c r="AW67" s="520">
        <v>1</v>
      </c>
      <c r="AX67" s="520">
        <v>1</v>
      </c>
      <c r="AY67" s="520">
        <v>0</v>
      </c>
      <c r="AZ67" s="520">
        <v>0</v>
      </c>
      <c r="BA67" s="319"/>
      <c r="BB67" s="295"/>
      <c r="BD67" s="528"/>
      <c r="BE67" s="528"/>
      <c r="BF67" s="528"/>
      <c r="BG67" s="528"/>
      <c r="BI67" s="528"/>
      <c r="BJ67" s="528"/>
      <c r="BK67" s="301"/>
      <c r="BL67" s="301"/>
      <c r="BN67" s="295"/>
      <c r="BW67" s="529" t="s">
        <v>67</v>
      </c>
      <c r="BX67" s="530">
        <f>SpcDB!H274</f>
        <v>4</v>
      </c>
      <c r="BY67" s="531">
        <f>SpcDB!I274</f>
        <v>1</v>
      </c>
      <c r="BZ67" s="531">
        <f>SpcDB!J274</f>
        <v>-2</v>
      </c>
      <c r="CA67" s="531">
        <f>SpcDB!K274</f>
        <v>-3</v>
      </c>
      <c r="CB67" s="532">
        <f>SpcDB!L274</f>
        <v>5</v>
      </c>
      <c r="CC67" s="532">
        <f>SpcDB!M274</f>
        <v>6</v>
      </c>
      <c r="CD67" s="532">
        <f>SpcDB!N274</f>
        <v>-1</v>
      </c>
      <c r="CE67" s="532">
        <f>SpcDB!O274</f>
        <v>3</v>
      </c>
      <c r="CF67" s="532">
        <f>SpcDB!P274</f>
        <v>0</v>
      </c>
      <c r="CG67" s="532">
        <f>SpcDB!Q274</f>
        <v>0</v>
      </c>
      <c r="CH67" s="532">
        <f>SpcDB!R274</f>
        <v>-2</v>
      </c>
      <c r="CI67" s="532">
        <f>SpcDB!S274</f>
        <v>0</v>
      </c>
      <c r="CJ67" s="532">
        <f>SpcDB!T274</f>
        <v>0</v>
      </c>
      <c r="CK67" s="533">
        <f>SpcDB!U274</f>
        <v>-1</v>
      </c>
    </row>
    <row r="68" spans="1:99" ht="15.75" customHeight="1" thickTop="1" thickBot="1" x14ac:dyDescent="0.35">
      <c r="B68" s="534" t="s">
        <v>756</v>
      </c>
      <c r="C68" s="535"/>
      <c r="D68" s="638">
        <v>96.484999999999999</v>
      </c>
      <c r="E68" s="536" t="s">
        <v>757</v>
      </c>
      <c r="G68" s="534" t="s">
        <v>953</v>
      </c>
      <c r="H68" s="641">
        <v>0</v>
      </c>
      <c r="I68" s="536" t="s">
        <v>68</v>
      </c>
      <c r="J68" s="301"/>
      <c r="L68" s="537"/>
      <c r="M68" s="538"/>
      <c r="N68" s="343"/>
      <c r="S68" s="519" t="s">
        <v>42</v>
      </c>
      <c r="T68" s="647"/>
      <c r="V68" s="539">
        <v>0</v>
      </c>
      <c r="W68" s="539">
        <v>-1</v>
      </c>
      <c r="X68" s="539">
        <v>0</v>
      </c>
      <c r="Y68" s="539">
        <v>-1</v>
      </c>
      <c r="Z68" s="539">
        <v>0</v>
      </c>
      <c r="AA68" s="539">
        <v>0</v>
      </c>
      <c r="AB68" s="539">
        <v>1</v>
      </c>
      <c r="AC68" s="539">
        <v>0</v>
      </c>
      <c r="AD68" s="539">
        <v>0</v>
      </c>
      <c r="AE68" s="539">
        <v>0</v>
      </c>
      <c r="AF68" s="539">
        <v>0</v>
      </c>
      <c r="AG68" s="539">
        <v>0</v>
      </c>
      <c r="AH68" s="539">
        <v>1</v>
      </c>
      <c r="AI68" s="539">
        <v>0</v>
      </c>
      <c r="AJ68" s="539">
        <v>0</v>
      </c>
      <c r="AK68" s="539">
        <v>0</v>
      </c>
      <c r="AL68" s="539">
        <v>0</v>
      </c>
      <c r="AM68" s="539">
        <v>0</v>
      </c>
      <c r="AN68" s="539">
        <v>0</v>
      </c>
      <c r="AO68" s="539">
        <v>0</v>
      </c>
      <c r="AP68" s="539">
        <v>1</v>
      </c>
      <c r="AQ68" s="539">
        <v>0</v>
      </c>
      <c r="AR68" s="539">
        <v>0</v>
      </c>
      <c r="AS68" s="539">
        <v>1</v>
      </c>
      <c r="AT68" s="539">
        <v>0</v>
      </c>
      <c r="AU68" s="539">
        <v>0</v>
      </c>
      <c r="AV68" s="539">
        <v>0</v>
      </c>
      <c r="AW68" s="539">
        <v>0</v>
      </c>
      <c r="AX68" s="539">
        <v>0</v>
      </c>
      <c r="AY68" s="539">
        <v>0</v>
      </c>
      <c r="AZ68" s="539">
        <v>0</v>
      </c>
      <c r="BA68" s="272"/>
      <c r="BB68" s="295"/>
      <c r="BD68" s="528"/>
      <c r="BF68" s="528"/>
      <c r="BG68" s="528"/>
      <c r="BI68" s="528"/>
      <c r="BJ68" s="540"/>
      <c r="BK68" s="301"/>
      <c r="BL68" s="301"/>
      <c r="BN68" s="295"/>
    </row>
    <row r="69" spans="1:99" ht="15.75" customHeight="1" thickBot="1" x14ac:dyDescent="0.35">
      <c r="B69" s="541" t="s">
        <v>758</v>
      </c>
      <c r="C69" s="542"/>
      <c r="D69" s="639">
        <v>8.3140000000000002E-3</v>
      </c>
      <c r="E69" s="543" t="s">
        <v>72</v>
      </c>
      <c r="G69" s="541" t="s">
        <v>69</v>
      </c>
      <c r="H69" s="544">
        <f>87.74 - 0.4008 * (D70-273.15) + 0.0009398 * (D70-273.15)^2 - 0.00000141 * (D70-273.15)^3</f>
        <v>74.802801250000002</v>
      </c>
      <c r="I69" s="543"/>
      <c r="J69" s="301"/>
      <c r="K69" s="513"/>
      <c r="L69" s="301"/>
      <c r="M69" s="538"/>
      <c r="S69" s="542" t="s">
        <v>942</v>
      </c>
      <c r="T69" s="647"/>
      <c r="V69" s="545">
        <f t="shared" ref="V69:AJ69" si="15">+V71-V68*$H$73-V67*-15</f>
        <v>13.681538598412828</v>
      </c>
      <c r="W69" s="546">
        <f t="shared" si="15"/>
        <v>-8.3184265833986899</v>
      </c>
      <c r="X69" s="546">
        <f t="shared" si="15"/>
        <v>1.0645463692771386</v>
      </c>
      <c r="Y69" s="546">
        <f t="shared" si="15"/>
        <v>25.514185012295798</v>
      </c>
      <c r="Z69" s="546">
        <f t="shared" si="15"/>
        <v>35.079198619808331</v>
      </c>
      <c r="AA69" s="546">
        <f t="shared" si="15"/>
        <v>-7.8363441220861887</v>
      </c>
      <c r="AB69" s="546">
        <f t="shared" si="15"/>
        <v>-32.20032012098433</v>
      </c>
      <c r="AC69" s="546">
        <f t="shared" si="15"/>
        <v>48.428922945605336</v>
      </c>
      <c r="AD69" s="546">
        <f t="shared" si="15"/>
        <v>49.031775186491302</v>
      </c>
      <c r="AE69" s="546">
        <f t="shared" si="15"/>
        <v>-3.3571205768907646</v>
      </c>
      <c r="AF69" s="546">
        <f t="shared" si="15"/>
        <v>8.8610356258674869</v>
      </c>
      <c r="AG69" s="546">
        <f t="shared" si="15"/>
        <v>23.839745615334508</v>
      </c>
      <c r="AH69" s="546">
        <f t="shared" si="15"/>
        <v>39.565013607512533</v>
      </c>
      <c r="AI69" s="546">
        <f t="shared" si="15"/>
        <v>-8.7991456285672989</v>
      </c>
      <c r="AJ69" s="546">
        <f t="shared" si="15"/>
        <v>-23.844564969524981</v>
      </c>
      <c r="AK69" s="546">
        <f>+AK71-AK68*$H$73-AK67*-15</f>
        <v>28.186346710891854</v>
      </c>
      <c r="AL69" s="546">
        <f t="shared" ref="AL69:AZ69" si="16">+AL71-AL68*$H$73-AL67*-15</f>
        <v>43.165056700358882</v>
      </c>
      <c r="AM69" s="546">
        <f t="shared" si="16"/>
        <v>-1.627294985745408</v>
      </c>
      <c r="AN69" s="546">
        <f t="shared" si="16"/>
        <v>23.52402126265266</v>
      </c>
      <c r="AO69" s="546">
        <f t="shared" si="16"/>
        <v>-4.5516795620189612</v>
      </c>
      <c r="AP69" s="546">
        <f t="shared" si="16"/>
        <v>4.5666757868197578</v>
      </c>
      <c r="AQ69" s="546">
        <f t="shared" si="16"/>
        <v>8.1716590817105299</v>
      </c>
      <c r="AR69" s="546">
        <f t="shared" si="16"/>
        <v>-39.041903488588986</v>
      </c>
      <c r="AS69" s="547">
        <f t="shared" si="16"/>
        <v>9.3829729526758285</v>
      </c>
      <c r="AT69" s="546">
        <f t="shared" si="16"/>
        <v>0.13094555420116194</v>
      </c>
      <c r="AU69" s="546">
        <f t="shared" si="16"/>
        <v>29.978709989467021</v>
      </c>
      <c r="AV69" s="546">
        <f t="shared" si="16"/>
        <v>15.581562230352993</v>
      </c>
      <c r="AW69" s="546">
        <f t="shared" si="16"/>
        <v>13.596137152404012</v>
      </c>
      <c r="AX69" s="546">
        <f t="shared" si="16"/>
        <v>57.158784345411249</v>
      </c>
      <c r="AY69" s="548">
        <f t="shared" si="16"/>
        <v>0</v>
      </c>
      <c r="AZ69" s="549">
        <f t="shared" si="16"/>
        <v>21.368450982279001</v>
      </c>
      <c r="BA69" s="528"/>
      <c r="BB69" s="295"/>
      <c r="BD69" s="528"/>
      <c r="BE69" s="528"/>
      <c r="BF69" s="528"/>
      <c r="BG69" s="528"/>
      <c r="BI69" s="528"/>
      <c r="BJ69" s="540"/>
      <c r="BK69" s="528"/>
      <c r="BL69" s="528"/>
      <c r="BN69" s="295"/>
    </row>
    <row r="70" spans="1:99" ht="15.75" customHeight="1" thickBot="1" x14ac:dyDescent="0.35">
      <c r="B70" s="550" t="s">
        <v>671</v>
      </c>
      <c r="C70" s="551"/>
      <c r="D70" s="640">
        <v>308.14999999999998</v>
      </c>
      <c r="E70" s="552" t="s">
        <v>672</v>
      </c>
      <c r="G70" s="550" t="s">
        <v>70</v>
      </c>
      <c r="H70" s="553">
        <f>1820000 * (H69*D70)^(-3/2)</f>
        <v>0.52005746792238383</v>
      </c>
      <c r="I70" s="552"/>
      <c r="J70" s="301"/>
      <c r="K70" s="513"/>
      <c r="M70" s="554"/>
      <c r="S70" s="323"/>
      <c r="T70" s="647"/>
      <c r="V70" s="555"/>
      <c r="W70" s="555"/>
      <c r="X70" s="555"/>
      <c r="Y70" s="555"/>
      <c r="Z70" s="555"/>
      <c r="AA70" s="555"/>
      <c r="AB70" s="555"/>
      <c r="AC70" s="555"/>
      <c r="AD70" s="555"/>
      <c r="AE70" s="555"/>
      <c r="AF70" s="555"/>
      <c r="AG70" s="555"/>
      <c r="AH70" s="555"/>
      <c r="AI70" s="555"/>
      <c r="AK70" s="555"/>
      <c r="AL70" s="555"/>
      <c r="AM70" s="555"/>
      <c r="AN70" s="555"/>
      <c r="AO70" s="555"/>
      <c r="AP70" s="555"/>
      <c r="AQ70" s="555"/>
      <c r="AR70" s="555"/>
      <c r="AS70" s="555"/>
      <c r="AT70" s="555"/>
      <c r="AU70" s="555"/>
      <c r="AV70" s="555"/>
      <c r="AW70" s="555"/>
      <c r="AX70" s="555"/>
      <c r="AY70" s="555"/>
      <c r="BA70" s="272"/>
      <c r="BB70" s="295"/>
      <c r="BN70" s="295"/>
    </row>
    <row r="71" spans="1:99" ht="13.5" customHeight="1" thickTop="1" thickBot="1" x14ac:dyDescent="0.35">
      <c r="D71" s="623" t="s">
        <v>955</v>
      </c>
      <c r="K71" s="513"/>
      <c r="L71" s="556"/>
      <c r="S71" s="623" t="s">
        <v>955</v>
      </c>
      <c r="T71" s="647"/>
      <c r="V71" s="545">
        <f t="shared" ref="V71:AZ71" si="17">+SUMPRODUCT($S$25:$S$65,V$25:V$65)</f>
        <v>13.681538598412828</v>
      </c>
      <c r="W71" s="546">
        <f t="shared" si="17"/>
        <v>51.68157341660131</v>
      </c>
      <c r="X71" s="546">
        <f t="shared" si="17"/>
        <v>1.0645463692771386</v>
      </c>
      <c r="Y71" s="546">
        <f t="shared" si="17"/>
        <v>70.514185012295798</v>
      </c>
      <c r="Z71" s="546">
        <f t="shared" si="17"/>
        <v>35.079198619808331</v>
      </c>
      <c r="AA71" s="546">
        <f t="shared" si="17"/>
        <v>-7.8363441220861887</v>
      </c>
      <c r="AB71" s="546">
        <f t="shared" si="17"/>
        <v>-92.20032012098433</v>
      </c>
      <c r="AC71" s="546">
        <f t="shared" si="17"/>
        <v>48.428922945605336</v>
      </c>
      <c r="AD71" s="546">
        <f t="shared" si="17"/>
        <v>34.031775186491302</v>
      </c>
      <c r="AE71" s="546">
        <f t="shared" si="17"/>
        <v>-3.3571205768907646</v>
      </c>
      <c r="AF71" s="546">
        <f t="shared" si="17"/>
        <v>-6.1389643741325131</v>
      </c>
      <c r="AG71" s="546">
        <f t="shared" si="17"/>
        <v>8.8397456153345075</v>
      </c>
      <c r="AH71" s="546">
        <f t="shared" si="17"/>
        <v>-35.434986392487467</v>
      </c>
      <c r="AI71" s="546">
        <f t="shared" si="17"/>
        <v>-23.799145628567299</v>
      </c>
      <c r="AJ71" s="546">
        <f t="shared" si="17"/>
        <v>-23.844564969524981</v>
      </c>
      <c r="AK71" s="546">
        <f t="shared" si="17"/>
        <v>28.186346710891854</v>
      </c>
      <c r="AL71" s="546">
        <f t="shared" si="17"/>
        <v>43.165056700358882</v>
      </c>
      <c r="AM71" s="546">
        <f t="shared" si="17"/>
        <v>-1.627294985745408</v>
      </c>
      <c r="AN71" s="546">
        <f t="shared" si="17"/>
        <v>23.52402126265266</v>
      </c>
      <c r="AO71" s="546">
        <f t="shared" si="17"/>
        <v>-4.5516795620189612</v>
      </c>
      <c r="AP71" s="546">
        <f t="shared" si="17"/>
        <v>-55.433324213180242</v>
      </c>
      <c r="AQ71" s="546">
        <f t="shared" si="17"/>
        <v>8.1716590817105299</v>
      </c>
      <c r="AR71" s="546">
        <f t="shared" si="17"/>
        <v>-39.041903488588986</v>
      </c>
      <c r="AS71" s="547">
        <f t="shared" si="17"/>
        <v>-50.617027047324171</v>
      </c>
      <c r="AT71" s="546">
        <f t="shared" si="17"/>
        <v>0.13094555420116194</v>
      </c>
      <c r="AU71" s="546">
        <f t="shared" si="17"/>
        <v>14.978709989467021</v>
      </c>
      <c r="AV71" s="546">
        <f t="shared" si="17"/>
        <v>0.58156223035299348</v>
      </c>
      <c r="AW71" s="546">
        <f t="shared" si="17"/>
        <v>-1.4038628475959882</v>
      </c>
      <c r="AX71" s="546">
        <f t="shared" si="17"/>
        <v>42.158784345411249</v>
      </c>
      <c r="AY71" s="548">
        <f t="shared" si="17"/>
        <v>0</v>
      </c>
      <c r="AZ71" s="549">
        <f t="shared" si="17"/>
        <v>21.368450982279001</v>
      </c>
      <c r="BA71" s="557"/>
      <c r="BB71" s="295"/>
      <c r="BD71" s="558">
        <f t="shared" ref="BD71:BL71" si="18">+SUMPRODUCT($S$25:$S$65,BD$25:BD$65)</f>
        <v>44.391795455427058</v>
      </c>
      <c r="BE71" s="547">
        <f t="shared" si="18"/>
        <v>53.448360031437339</v>
      </c>
      <c r="BF71" s="547">
        <f t="shared" si="18"/>
        <v>29.413085465960037</v>
      </c>
      <c r="BG71" s="547">
        <f t="shared" si="18"/>
        <v>161.75932356982139</v>
      </c>
      <c r="BH71" s="547">
        <f t="shared" si="18"/>
        <v>66.875050475728671</v>
      </c>
      <c r="BI71" s="559">
        <f t="shared" si="18"/>
        <v>43.810233225074064</v>
      </c>
      <c r="BJ71" s="559">
        <f t="shared" si="18"/>
        <v>43.810233225074064</v>
      </c>
      <c r="BK71" s="559">
        <f>+SUMPRODUCT($S$25:$S$65,BK$25:BK$65)</f>
        <v>-7.1054273576010019E-15</v>
      </c>
      <c r="BL71" s="559">
        <f t="shared" si="18"/>
        <v>-65.471187628132682</v>
      </c>
      <c r="BM71" s="560"/>
      <c r="BN71" s="295"/>
    </row>
    <row r="72" spans="1:99" ht="13.5" customHeight="1" thickTop="1" thickBot="1" x14ac:dyDescent="0.35">
      <c r="D72" s="623" t="s">
        <v>956</v>
      </c>
      <c r="G72" s="534" t="s">
        <v>943</v>
      </c>
      <c r="H72" s="561">
        <v>0</v>
      </c>
      <c r="I72" s="536" t="s">
        <v>71</v>
      </c>
      <c r="J72" s="301"/>
      <c r="K72" s="562"/>
      <c r="L72" s="513"/>
      <c r="S72" s="623" t="s">
        <v>956</v>
      </c>
      <c r="T72" s="647"/>
      <c r="V72" s="545">
        <f t="shared" ref="V72:AZ72" si="19">+V76+V59*$D$69*298*LN(10^(-7))</f>
        <v>-39.933742478136104</v>
      </c>
      <c r="W72" s="546">
        <f t="shared" si="19"/>
        <v>32.624027569533034</v>
      </c>
      <c r="X72" s="546">
        <f t="shared" si="19"/>
        <v>1.0645463692771386</v>
      </c>
      <c r="Y72" s="546">
        <f t="shared" si="19"/>
        <v>64.615056179775308</v>
      </c>
      <c r="Z72" s="546">
        <f t="shared" si="19"/>
        <v>39.61816810282172</v>
      </c>
      <c r="AA72" s="546">
        <f t="shared" si="19"/>
        <v>-7.8363441220861887</v>
      </c>
      <c r="AB72" s="546">
        <f t="shared" si="19"/>
        <v>-71.782614924409032</v>
      </c>
      <c r="AC72" s="546">
        <f t="shared" si="19"/>
        <v>22.776608419545241</v>
      </c>
      <c r="AD72" s="546">
        <f t="shared" si="19"/>
        <v>49.806493375817446</v>
      </c>
      <c r="AE72" s="546">
        <f t="shared" si="19"/>
        <v>-3.3571205768907646</v>
      </c>
      <c r="AF72" s="546">
        <f t="shared" si="19"/>
        <v>9.6357538151936311</v>
      </c>
      <c r="AG72" s="546">
        <f t="shared" si="19"/>
        <v>28.932011337057524</v>
      </c>
      <c r="AH72" s="546">
        <f t="shared" si="19"/>
        <v>-24.996888076953589</v>
      </c>
      <c r="AI72" s="546">
        <f t="shared" si="19"/>
        <v>-16.095465587309342</v>
      </c>
      <c r="AJ72" s="546">
        <f t="shared" si="19"/>
        <v>-0.24804963944319525</v>
      </c>
      <c r="AK72" s="546">
        <f t="shared" si="19"/>
        <v>43.961064900217998</v>
      </c>
      <c r="AL72" s="546">
        <f t="shared" ref="AL72" si="20">+AL76+AL59*$D$69*298*LN(10^(-7))</f>
        <v>63.257322422081891</v>
      </c>
      <c r="AM72" s="546">
        <f t="shared" si="19"/>
        <v>-1.6272949857454364</v>
      </c>
      <c r="AN72" s="546">
        <f t="shared" si="19"/>
        <v>25.918900486814373</v>
      </c>
      <c r="AO72" s="546">
        <f t="shared" si="19"/>
        <v>1.3474492705014427</v>
      </c>
      <c r="AP72" s="546">
        <f t="shared" si="19"/>
        <v>-36.375778366111938</v>
      </c>
      <c r="AQ72" s="546">
        <f t="shared" si="19"/>
        <v>28.263924803433547</v>
      </c>
      <c r="AR72" s="546">
        <f t="shared" si="19"/>
        <v>-35.265490524903612</v>
      </c>
      <c r="AS72" s="546">
        <f t="shared" si="19"/>
        <v>-31.559481200255895</v>
      </c>
      <c r="AT72" s="546">
        <f t="shared" si="19"/>
        <v>39.933742478136104</v>
      </c>
      <c r="AU72" s="546">
        <f t="shared" si="19"/>
        <v>19.296257521863893</v>
      </c>
      <c r="AV72" s="546">
        <f t="shared" si="19"/>
        <v>46.326142478136099</v>
      </c>
      <c r="AW72" s="546">
        <f t="shared" si="19"/>
        <v>19.027941924241354</v>
      </c>
      <c r="AX72" s="546">
        <f t="shared" si="19"/>
        <v>72.763798892210502</v>
      </c>
      <c r="AY72" s="563">
        <f t="shared" si="19"/>
        <v>0</v>
      </c>
      <c r="AZ72" s="549">
        <f t="shared" si="19"/>
        <v>131.43767231259426</v>
      </c>
      <c r="BA72" s="557"/>
      <c r="BB72" s="295"/>
      <c r="BD72" s="558">
        <f t="shared" ref="BD72:BJ72" si="21">+BD76+BD59*$D$69*298*LN(10^(-7))</f>
        <v>61.763742478136102</v>
      </c>
      <c r="BE72" s="547">
        <f t="shared" si="21"/>
        <v>61.763742478136102</v>
      </c>
      <c r="BF72" s="547">
        <f t="shared" si="21"/>
        <v>42.467484956272209</v>
      </c>
      <c r="BG72" s="547">
        <f t="shared" si="21"/>
        <v>219.73082688051358</v>
      </c>
      <c r="BH72" s="547">
        <f t="shared" si="21"/>
        <v>79.117699999999999</v>
      </c>
      <c r="BI72" s="559">
        <f t="shared" si="21"/>
        <v>15.437600000000003</v>
      </c>
      <c r="BJ72" s="559">
        <f t="shared" si="21"/>
        <v>15.437600000000003</v>
      </c>
      <c r="BK72" s="559">
        <f>+BK76+BK59*$D$69*298*LN(10^(-7))</f>
        <v>-22.165446318484918</v>
      </c>
      <c r="BL72" s="559">
        <f t="shared" ref="BL72" si="22">+BL76+BL59*$D$69*298*LN(10^(-7))</f>
        <v>-98.145641924241346</v>
      </c>
      <c r="BM72" s="560"/>
      <c r="BN72" s="295"/>
    </row>
    <row r="73" spans="1:99" ht="13.5" customHeight="1" thickTop="1" thickBot="1" x14ac:dyDescent="0.35">
      <c r="D73" s="623" t="s">
        <v>957</v>
      </c>
      <c r="G73" s="550" t="s">
        <v>954</v>
      </c>
      <c r="H73" s="564">
        <v>-60</v>
      </c>
      <c r="I73" s="552" t="s">
        <v>72</v>
      </c>
      <c r="J73" s="301"/>
      <c r="K73" s="565"/>
      <c r="M73" s="554"/>
      <c r="P73" s="538"/>
      <c r="Q73" s="343"/>
      <c r="S73" s="623" t="s">
        <v>957</v>
      </c>
      <c r="T73" s="647"/>
      <c r="V73" s="545" t="str">
        <f t="shared" ref="V73:AX73" si="23">IF(V$65&lt;&gt;0,-(V$71/ABS(V$65))/$D$68,"NA")</f>
        <v>NA</v>
      </c>
      <c r="W73" s="546" t="str">
        <f t="shared" si="23"/>
        <v>NA</v>
      </c>
      <c r="X73" s="546" t="str">
        <f>IF(X$65&lt;&gt;0,-(X$71/ABS(X$65))/$D$68,"NA")</f>
        <v>NA</v>
      </c>
      <c r="Y73" s="546" t="str">
        <f t="shared" si="23"/>
        <v>NA</v>
      </c>
      <c r="Z73" s="546" t="str">
        <f>IF(Z$65&lt;&gt;0,-(Z$71/ABS(Z$65))/$D$68,"NA")</f>
        <v>NA</v>
      </c>
      <c r="AA73" s="546" t="str">
        <f t="shared" si="23"/>
        <v>NA</v>
      </c>
      <c r="AB73" s="546" t="str">
        <f t="shared" si="23"/>
        <v>NA</v>
      </c>
      <c r="AC73" s="546" t="str">
        <f t="shared" si="23"/>
        <v>NA</v>
      </c>
      <c r="AD73" s="546" t="str">
        <f t="shared" si="23"/>
        <v>NA</v>
      </c>
      <c r="AE73" s="546" t="str">
        <f t="shared" si="23"/>
        <v>NA</v>
      </c>
      <c r="AF73" s="546" t="str">
        <f t="shared" si="23"/>
        <v>NA</v>
      </c>
      <c r="AG73" s="546" t="str">
        <f t="shared" si="23"/>
        <v>NA</v>
      </c>
      <c r="AH73" s="546" t="str">
        <f t="shared" si="23"/>
        <v>NA</v>
      </c>
      <c r="AI73" s="546" t="str">
        <f t="shared" si="23"/>
        <v>NA</v>
      </c>
      <c r="AJ73" s="546" t="str">
        <f t="shared" si="23"/>
        <v>NA</v>
      </c>
      <c r="AK73" s="546" t="str">
        <f t="shared" si="23"/>
        <v>NA</v>
      </c>
      <c r="AL73" s="546" t="str">
        <f t="shared" si="23"/>
        <v>NA</v>
      </c>
      <c r="AM73" s="546" t="str">
        <f t="shared" si="23"/>
        <v>NA</v>
      </c>
      <c r="AN73" s="546" t="str">
        <f t="shared" si="23"/>
        <v>NA</v>
      </c>
      <c r="AO73" s="546" t="str">
        <f t="shared" si="23"/>
        <v>NA</v>
      </c>
      <c r="AP73" s="546" t="str">
        <f t="shared" si="23"/>
        <v>NA</v>
      </c>
      <c r="AQ73" s="546" t="str">
        <f t="shared" si="23"/>
        <v>NA</v>
      </c>
      <c r="AR73" s="546" t="str">
        <f t="shared" si="23"/>
        <v>NA</v>
      </c>
      <c r="AS73" s="546" t="str">
        <f t="shared" si="23"/>
        <v>NA</v>
      </c>
      <c r="AT73" s="546" t="str">
        <f t="shared" si="23"/>
        <v>NA</v>
      </c>
      <c r="AU73" s="546" t="str">
        <f t="shared" si="23"/>
        <v>NA</v>
      </c>
      <c r="AV73" s="546" t="str">
        <f t="shared" si="23"/>
        <v>NA</v>
      </c>
      <c r="AW73" s="546" t="str">
        <f>IF(AW$65&lt;&gt;0,-(AW$71/ABS(AW$65))/$D$68,"NA")</f>
        <v>NA</v>
      </c>
      <c r="AX73" s="546" t="str">
        <f t="shared" si="23"/>
        <v>NA</v>
      </c>
      <c r="AY73" s="546" t="str">
        <f>IF(AY$65&lt;&gt;0,-(AY$71/ABS(AY$65))/$D$68,"NA")</f>
        <v>NA</v>
      </c>
      <c r="AZ73" s="549" t="str">
        <f>IF(AZ$65&lt;&gt;0,-(AZ$71/ABS(AZ$65))/$D$68,"NA")</f>
        <v>NA</v>
      </c>
      <c r="BA73" s="557"/>
      <c r="BB73" s="295"/>
      <c r="BD73" s="558">
        <f t="shared" ref="BD73:BK73" si="24">IF(BD$65&lt;&gt;0,-(BD$71/ABS(BD$65))/$D$68,"NA")</f>
        <v>-0.2300450611775253</v>
      </c>
      <c r="BE73" s="566">
        <f t="shared" si="24"/>
        <v>-0.27697756144186836</v>
      </c>
      <c r="BF73" s="566">
        <f t="shared" si="24"/>
        <v>-0.15242309926910938</v>
      </c>
      <c r="BG73" s="566">
        <f t="shared" si="24"/>
        <v>-0.27942050330763224</v>
      </c>
      <c r="BH73" s="566">
        <f t="shared" si="24"/>
        <v>-0.34655672112623037</v>
      </c>
      <c r="BI73" s="567">
        <f t="shared" si="24"/>
        <v>-0.22703131691493011</v>
      </c>
      <c r="BJ73" s="559">
        <f t="shared" si="24"/>
        <v>-0.22703131691493011</v>
      </c>
      <c r="BK73" s="559" t="str">
        <f t="shared" si="24"/>
        <v>NA</v>
      </c>
      <c r="BL73" s="559">
        <f>IF(BL$65&lt;&gt;0,-(BL$71/ABS(BL$65))/$D$68,"NA")</f>
        <v>0.33928168952755705</v>
      </c>
      <c r="BM73" s="560"/>
      <c r="BN73" s="295"/>
    </row>
    <row r="74" spans="1:99" ht="13.5" customHeight="1" thickTop="1" thickBot="1" x14ac:dyDescent="0.35">
      <c r="D74" s="623" t="s">
        <v>958</v>
      </c>
      <c r="P74" s="538"/>
      <c r="S74" s="623" t="s">
        <v>958</v>
      </c>
      <c r="T74" s="647"/>
      <c r="V74" s="545" t="str">
        <f t="shared" ref="V74:AX74" si="25">IF(V$65&lt;&gt;0,-(V$72/ABS(V$65))/$D$68,"NA")</f>
        <v>NA</v>
      </c>
      <c r="W74" s="546" t="str">
        <f t="shared" si="25"/>
        <v>NA</v>
      </c>
      <c r="X74" s="546" t="str">
        <f>IF(X$65&lt;&gt;0,-(X$72/ABS(X$65))/$D$68,"NA")</f>
        <v>NA</v>
      </c>
      <c r="Y74" s="546" t="str">
        <f t="shared" si="25"/>
        <v>NA</v>
      </c>
      <c r="Z74" s="546" t="str">
        <f>IF(Z$65&lt;&gt;0,-(Z$72/ABS(Z$65))/$D$68,"NA")</f>
        <v>NA</v>
      </c>
      <c r="AA74" s="546" t="str">
        <f t="shared" si="25"/>
        <v>NA</v>
      </c>
      <c r="AB74" s="546" t="str">
        <f t="shared" si="25"/>
        <v>NA</v>
      </c>
      <c r="AC74" s="546" t="str">
        <f t="shared" si="25"/>
        <v>NA</v>
      </c>
      <c r="AD74" s="546" t="str">
        <f t="shared" si="25"/>
        <v>NA</v>
      </c>
      <c r="AE74" s="546" t="str">
        <f t="shared" si="25"/>
        <v>NA</v>
      </c>
      <c r="AF74" s="546" t="str">
        <f t="shared" si="25"/>
        <v>NA</v>
      </c>
      <c r="AG74" s="546" t="str">
        <f t="shared" si="25"/>
        <v>NA</v>
      </c>
      <c r="AH74" s="546" t="str">
        <f t="shared" si="25"/>
        <v>NA</v>
      </c>
      <c r="AI74" s="546" t="str">
        <f t="shared" si="25"/>
        <v>NA</v>
      </c>
      <c r="AJ74" s="546" t="str">
        <f t="shared" si="25"/>
        <v>NA</v>
      </c>
      <c r="AK74" s="546" t="str">
        <f t="shared" si="25"/>
        <v>NA</v>
      </c>
      <c r="AL74" s="546" t="str">
        <f t="shared" si="25"/>
        <v>NA</v>
      </c>
      <c r="AM74" s="546" t="str">
        <f t="shared" si="25"/>
        <v>NA</v>
      </c>
      <c r="AN74" s="546" t="str">
        <f t="shared" si="25"/>
        <v>NA</v>
      </c>
      <c r="AO74" s="546" t="str">
        <f t="shared" si="25"/>
        <v>NA</v>
      </c>
      <c r="AP74" s="546" t="str">
        <f t="shared" si="25"/>
        <v>NA</v>
      </c>
      <c r="AQ74" s="546" t="str">
        <f t="shared" si="25"/>
        <v>NA</v>
      </c>
      <c r="AR74" s="546" t="str">
        <f t="shared" si="25"/>
        <v>NA</v>
      </c>
      <c r="AS74" s="546" t="str">
        <f t="shared" si="25"/>
        <v>NA</v>
      </c>
      <c r="AT74" s="546" t="str">
        <f t="shared" si="25"/>
        <v>NA</v>
      </c>
      <c r="AU74" s="546" t="str">
        <f t="shared" si="25"/>
        <v>NA</v>
      </c>
      <c r="AV74" s="546" t="str">
        <f t="shared" si="25"/>
        <v>NA</v>
      </c>
      <c r="AW74" s="546" t="str">
        <f>IF(AW$65&lt;&gt;0,-(AW$72/ABS(AW$65))/$D$68,"NA")</f>
        <v>NA</v>
      </c>
      <c r="AX74" s="546" t="str">
        <f t="shared" si="25"/>
        <v>NA</v>
      </c>
      <c r="AY74" s="546" t="str">
        <f>IF(AY$65&lt;&gt;0,-(AY$72/ABS(AY$65))/$D$68,"NA")</f>
        <v>NA</v>
      </c>
      <c r="AZ74" s="549" t="str">
        <f>IF(AZ$65&lt;&gt;0,-(AZ$72/ABS(AZ$65))/$D$68,"NA")</f>
        <v>NA</v>
      </c>
      <c r="BA74" s="557"/>
      <c r="BB74" s="295"/>
      <c r="BD74" s="568">
        <f t="shared" ref="BD74:BL74" si="26">IF(BD$65&lt;&gt;0,-(BD$72/ABS(BD$65))/$D$68,"NA")</f>
        <v>-0.32006914275864695</v>
      </c>
      <c r="BE74" s="566">
        <f t="shared" si="26"/>
        <v>-0.32006914275864695</v>
      </c>
      <c r="BF74" s="566">
        <f t="shared" si="26"/>
        <v>-0.2200729903936996</v>
      </c>
      <c r="BG74" s="566">
        <f t="shared" si="26"/>
        <v>-0.3795595634563465</v>
      </c>
      <c r="BH74" s="566">
        <f t="shared" si="26"/>
        <v>-0.41</v>
      </c>
      <c r="BI74" s="567">
        <f t="shared" si="26"/>
        <v>-8.0000000000000016E-2</v>
      </c>
      <c r="BJ74" s="567">
        <f t="shared" si="26"/>
        <v>-8.0000000000000016E-2</v>
      </c>
      <c r="BK74" s="559" t="str">
        <f t="shared" si="26"/>
        <v>NA</v>
      </c>
      <c r="BL74" s="559">
        <f t="shared" si="26"/>
        <v>0.50860569997533989</v>
      </c>
      <c r="BM74" s="560"/>
      <c r="BN74" s="295"/>
    </row>
    <row r="75" spans="1:99" ht="13.5" customHeight="1" thickTop="1" thickBot="1" x14ac:dyDescent="0.35">
      <c r="D75" s="623" t="s">
        <v>959</v>
      </c>
      <c r="G75" s="650" t="s">
        <v>73</v>
      </c>
      <c r="H75" s="651"/>
      <c r="I75" s="652"/>
      <c r="J75" s="542"/>
      <c r="Q75" s="538"/>
      <c r="S75" s="623" t="s">
        <v>959</v>
      </c>
      <c r="T75" s="647"/>
      <c r="V75" s="545" t="str">
        <f t="shared" ref="V75:AX75" si="27">IF(V$65&lt;&gt;0,-(V$76/ABS(V$65))/$D$68,"NA")</f>
        <v>NA</v>
      </c>
      <c r="W75" s="546" t="str">
        <f t="shared" si="27"/>
        <v>NA</v>
      </c>
      <c r="X75" s="546" t="str">
        <f>IF(X$65&lt;&gt;0,-(X$76/ABS(X$65))/$D$68,"NA")</f>
        <v>NA</v>
      </c>
      <c r="Y75" s="546" t="str">
        <f t="shared" si="27"/>
        <v>NA</v>
      </c>
      <c r="Z75" s="546" t="str">
        <f>IF(Z$65&lt;&gt;0,-(Z$76/ABS(Z$65))/$D$68,"NA")</f>
        <v>NA</v>
      </c>
      <c r="AA75" s="546" t="str">
        <f t="shared" si="27"/>
        <v>NA</v>
      </c>
      <c r="AB75" s="546" t="str">
        <f t="shared" si="27"/>
        <v>NA</v>
      </c>
      <c r="AC75" s="546" t="str">
        <f t="shared" si="27"/>
        <v>NA</v>
      </c>
      <c r="AD75" s="546" t="str">
        <f t="shared" si="27"/>
        <v>NA</v>
      </c>
      <c r="AE75" s="546" t="str">
        <f t="shared" si="27"/>
        <v>NA</v>
      </c>
      <c r="AF75" s="546" t="str">
        <f t="shared" si="27"/>
        <v>NA</v>
      </c>
      <c r="AG75" s="546" t="str">
        <f t="shared" si="27"/>
        <v>NA</v>
      </c>
      <c r="AH75" s="546" t="str">
        <f t="shared" si="27"/>
        <v>NA</v>
      </c>
      <c r="AI75" s="546" t="str">
        <f t="shared" si="27"/>
        <v>NA</v>
      </c>
      <c r="AJ75" s="546" t="str">
        <f t="shared" si="27"/>
        <v>NA</v>
      </c>
      <c r="AK75" s="546" t="str">
        <f t="shared" si="27"/>
        <v>NA</v>
      </c>
      <c r="AL75" s="546" t="str">
        <f t="shared" si="27"/>
        <v>NA</v>
      </c>
      <c r="AM75" s="546" t="str">
        <f t="shared" si="27"/>
        <v>NA</v>
      </c>
      <c r="AN75" s="546" t="str">
        <f t="shared" si="27"/>
        <v>NA</v>
      </c>
      <c r="AO75" s="546" t="str">
        <f t="shared" si="27"/>
        <v>NA</v>
      </c>
      <c r="AP75" s="546" t="str">
        <f t="shared" si="27"/>
        <v>NA</v>
      </c>
      <c r="AQ75" s="546" t="str">
        <f t="shared" si="27"/>
        <v>NA</v>
      </c>
      <c r="AR75" s="546" t="str">
        <f t="shared" si="27"/>
        <v>NA</v>
      </c>
      <c r="AS75" s="546" t="str">
        <f t="shared" si="27"/>
        <v>NA</v>
      </c>
      <c r="AT75" s="546" t="str">
        <f t="shared" si="27"/>
        <v>NA</v>
      </c>
      <c r="AU75" s="546" t="str">
        <f t="shared" si="27"/>
        <v>NA</v>
      </c>
      <c r="AV75" s="546" t="str">
        <f t="shared" si="27"/>
        <v>NA</v>
      </c>
      <c r="AW75" s="546" t="str">
        <f>IF(AW$65&lt;&gt;0,-(AW$76/ABS(AW$65))/$D$68,"NA")</f>
        <v>NA</v>
      </c>
      <c r="AX75" s="546" t="str">
        <f t="shared" si="27"/>
        <v>NA</v>
      </c>
      <c r="AY75" s="546" t="str">
        <f>IF(AY$65&lt;&gt;0,-(AY$76/ABS(AY$65))/$D$68,"NA")</f>
        <v>NA</v>
      </c>
      <c r="AZ75" s="549" t="str">
        <f>IF(AZ$65&lt;&gt;0,-(AZ$76/ABS(AZ$65))/$D$68,"NA")</f>
        <v>NA</v>
      </c>
      <c r="BA75" s="557"/>
      <c r="BB75" s="295"/>
      <c r="BD75" s="558">
        <f t="shared" ref="BD75:BL75" si="28">IF(BD$65&lt;&gt;0,-(BD$76/ABS(BD$65))/$D$68,"NA")</f>
        <v>-0.11312639270352903</v>
      </c>
      <c r="BE75" s="566">
        <f t="shared" si="28"/>
        <v>-0.11312639270352903</v>
      </c>
      <c r="BF75" s="566">
        <f t="shared" si="28"/>
        <v>0.19381250971653624</v>
      </c>
      <c r="BG75" s="566">
        <f t="shared" si="28"/>
        <v>-0.10363589671618929</v>
      </c>
      <c r="BH75" s="566">
        <f t="shared" si="28"/>
        <v>-0.41</v>
      </c>
      <c r="BI75" s="567">
        <f t="shared" si="28"/>
        <v>0.33388550011023582</v>
      </c>
      <c r="BJ75" s="559">
        <f t="shared" si="28"/>
        <v>0.33388550011023582</v>
      </c>
      <c r="BK75" s="559" t="str">
        <f t="shared" si="28"/>
        <v>NA</v>
      </c>
      <c r="BL75" s="559">
        <f t="shared" si="28"/>
        <v>9.4720199865104146E-2</v>
      </c>
      <c r="BM75" s="560"/>
      <c r="BN75" s="295"/>
    </row>
    <row r="76" spans="1:99" ht="13.5" customHeight="1" thickTop="1" thickBot="1" x14ac:dyDescent="0.35">
      <c r="D76" s="623" t="s">
        <v>960</v>
      </c>
      <c r="G76" s="569" t="s">
        <v>40</v>
      </c>
      <c r="H76" s="570">
        <v>9.9999999999999995E-7</v>
      </c>
      <c r="I76" s="543" t="s">
        <v>68</v>
      </c>
      <c r="J76" s="301"/>
      <c r="Q76" s="538"/>
      <c r="S76" s="623" t="s">
        <v>960</v>
      </c>
      <c r="T76" s="647"/>
      <c r="V76" s="545">
        <f t="shared" ref="V76" si="29">+SUMPRODUCT($E$25:$E$65,V$25:V$65)</f>
        <v>0</v>
      </c>
      <c r="W76" s="546">
        <f>+SUMPRODUCT($E$25:$E$65,W$25:W$65)</f>
        <v>-7.3097149086030697</v>
      </c>
      <c r="X76" s="546">
        <f t="shared" ref="X76:AZ76" si="30">+SUMPRODUCT($E$25:$E$65,X$25:X$65)</f>
        <v>1.0645463692771386</v>
      </c>
      <c r="Y76" s="546">
        <f t="shared" si="30"/>
        <v>64.615056179775308</v>
      </c>
      <c r="Z76" s="546">
        <f t="shared" si="30"/>
        <v>-0.31557437531438381</v>
      </c>
      <c r="AA76" s="546">
        <f t="shared" si="30"/>
        <v>-7.8363441220861887</v>
      </c>
      <c r="AB76" s="546">
        <f t="shared" si="30"/>
        <v>8.0848700318631757</v>
      </c>
      <c r="AC76" s="546">
        <f t="shared" si="30"/>
        <v>22.776608419545241</v>
      </c>
      <c r="AD76" s="546">
        <f t="shared" si="30"/>
        <v>49.806493375817446</v>
      </c>
      <c r="AE76" s="546">
        <f t="shared" si="30"/>
        <v>-3.3571205768907646</v>
      </c>
      <c r="AF76" s="546">
        <f t="shared" si="30"/>
        <v>9.6357538151936311</v>
      </c>
      <c r="AG76" s="546">
        <f t="shared" si="30"/>
        <v>68.865753815193628</v>
      </c>
      <c r="AH76" s="546">
        <f t="shared" si="30"/>
        <v>-64.930630555089692</v>
      </c>
      <c r="AI76" s="546">
        <f t="shared" si="30"/>
        <v>23.838276890826762</v>
      </c>
      <c r="AJ76" s="546">
        <f t="shared" si="30"/>
        <v>-0.24804963944319525</v>
      </c>
      <c r="AK76" s="546">
        <f t="shared" si="30"/>
        <v>43.961064900217998</v>
      </c>
      <c r="AL76" s="546">
        <f t="shared" si="30"/>
        <v>103.191064900218</v>
      </c>
      <c r="AM76" s="546">
        <f t="shared" si="30"/>
        <v>-1.6272949857454364</v>
      </c>
      <c r="AN76" s="546">
        <f t="shared" si="30"/>
        <v>65.852642964950476</v>
      </c>
      <c r="AO76" s="546">
        <f t="shared" si="30"/>
        <v>1.3474492705014427</v>
      </c>
      <c r="AP76" s="546">
        <f t="shared" si="30"/>
        <v>3.5579641120241661</v>
      </c>
      <c r="AQ76" s="546">
        <f t="shared" si="30"/>
        <v>68.19766728156965</v>
      </c>
      <c r="AR76" s="546">
        <f t="shared" si="30"/>
        <v>-35.265490524903612</v>
      </c>
      <c r="AS76" s="546">
        <f t="shared" si="30"/>
        <v>8.3742612778802084</v>
      </c>
      <c r="AT76" s="546">
        <f t="shared" si="30"/>
        <v>0</v>
      </c>
      <c r="AU76" s="546">
        <f t="shared" si="30"/>
        <v>59.23</v>
      </c>
      <c r="AV76" s="546">
        <f t="shared" si="30"/>
        <v>86.259884956272202</v>
      </c>
      <c r="AW76" s="546">
        <f t="shared" si="30"/>
        <v>-60.839543032030853</v>
      </c>
      <c r="AX76" s="546">
        <f t="shared" si="30"/>
        <v>-7.103686064061705</v>
      </c>
      <c r="AY76" s="563">
        <f t="shared" si="30"/>
        <v>0</v>
      </c>
      <c r="AZ76" s="549">
        <f t="shared" si="30"/>
        <v>131.43767231259426</v>
      </c>
      <c r="BA76" s="557"/>
      <c r="BB76" s="295"/>
      <c r="BD76" s="558">
        <f t="shared" ref="BD76:BL76" si="31">+SUMPRODUCT($E$25:$E$65,BD$25:BD$65)</f>
        <v>21.83</v>
      </c>
      <c r="BE76" s="547">
        <f t="shared" si="31"/>
        <v>21.83</v>
      </c>
      <c r="BF76" s="547">
        <f t="shared" si="31"/>
        <v>-37.4</v>
      </c>
      <c r="BG76" s="547">
        <f t="shared" si="31"/>
        <v>59.995856967969146</v>
      </c>
      <c r="BH76" s="547">
        <f t="shared" si="31"/>
        <v>79.117699999999999</v>
      </c>
      <c r="BI76" s="559">
        <f t="shared" si="31"/>
        <v>-64.429884956272204</v>
      </c>
      <c r="BJ76" s="559">
        <f t="shared" si="31"/>
        <v>-64.429884956272204</v>
      </c>
      <c r="BK76" s="571">
        <f t="shared" si="31"/>
        <v>17.768296159651186</v>
      </c>
      <c r="BL76" s="559">
        <f t="shared" si="31"/>
        <v>-18.278156967969146</v>
      </c>
      <c r="BM76" s="560"/>
      <c r="BN76" s="295"/>
    </row>
    <row r="77" spans="1:99" ht="13.5" customHeight="1" thickTop="1" thickBot="1" x14ac:dyDescent="0.35">
      <c r="B77" s="572"/>
      <c r="C77" s="572"/>
      <c r="D77" s="624" t="s">
        <v>43</v>
      </c>
      <c r="G77" s="573" t="s">
        <v>41</v>
      </c>
      <c r="H77" s="574">
        <v>0.01</v>
      </c>
      <c r="I77" s="552" t="s">
        <v>68</v>
      </c>
      <c r="J77" s="301"/>
      <c r="L77" s="575" t="s">
        <v>74</v>
      </c>
      <c r="Q77" s="538"/>
      <c r="S77" s="624" t="s">
        <v>43</v>
      </c>
      <c r="T77" s="647"/>
      <c r="V77" s="580">
        <f>+SUMPRODUCT(ProDegPaths!$BX$25:$BX$65,V$25:V$65)</f>
        <v>0</v>
      </c>
      <c r="W77" s="581">
        <f>+SUMPRODUCT(ProDegPaths!$BX$25:$BX$65,W$25:W$65)</f>
        <v>0</v>
      </c>
      <c r="X77" s="581">
        <f>+SUMPRODUCT(ProDegPaths!$BX$25:$BX$65,X$25:X$65)</f>
        <v>0</v>
      </c>
      <c r="Y77" s="581">
        <f>+SUMPRODUCT(ProDegPaths!$BX$25:$BX$65,Y$25:Y$65)</f>
        <v>0</v>
      </c>
      <c r="Z77" s="581">
        <f>+SUMPRODUCT(ProDegPaths!$BX$25:$BX$65,Z$25:Z$65)</f>
        <v>0</v>
      </c>
      <c r="AA77" s="581">
        <f>+SUMPRODUCT(ProDegPaths!$BX$25:$BX$65,AA$25:AA$65)</f>
        <v>0</v>
      </c>
      <c r="AB77" s="581">
        <f>+SUMPRODUCT(ProDegPaths!$BX$25:$BX$65,AB$25:AB$65)</f>
        <v>0</v>
      </c>
      <c r="AC77" s="581">
        <f>+SUMPRODUCT(ProDegPaths!$BX$25:$BX$65,AC$25:AC$65)</f>
        <v>0</v>
      </c>
      <c r="AD77" s="581">
        <f>+SUMPRODUCT(ProDegPaths!$BX$25:$BX$65,AD$25:AD$65)</f>
        <v>0</v>
      </c>
      <c r="AE77" s="581">
        <f>+SUMPRODUCT(ProDegPaths!$BX$25:$BX$65,AE$25:AE$65)</f>
        <v>0</v>
      </c>
      <c r="AF77" s="581">
        <f>+SUMPRODUCT(ProDegPaths!$BX$25:$BX$65,AF$25:AF$65)</f>
        <v>0</v>
      </c>
      <c r="AG77" s="581">
        <f>+SUMPRODUCT(ProDegPaths!$BX$25:$BX$65,AG$25:AG$65)</f>
        <v>0</v>
      </c>
      <c r="AH77" s="581">
        <f>+SUMPRODUCT(ProDegPaths!$BX$25:$BX$65,AH$25:AH$65)</f>
        <v>0</v>
      </c>
      <c r="AI77" s="581">
        <f>+SUMPRODUCT(ProDegPaths!$BX$25:$BX$65,AI$25:AI$65)</f>
        <v>0</v>
      </c>
      <c r="AJ77" s="581">
        <f>+SUMPRODUCT(ProDegPaths!$BX$25:$BX$65,AJ$25:AJ$65)</f>
        <v>0</v>
      </c>
      <c r="AK77" s="581">
        <f>+SUMPRODUCT(ProDegPaths!$BX$25:$BX$65,AK$25:AK$65)</f>
        <v>0</v>
      </c>
      <c r="AL77" s="581">
        <f>+SUMPRODUCT(ProDegPaths!$BX$25:$BX$65,AL$25:AL$65)</f>
        <v>0</v>
      </c>
      <c r="AM77" s="581">
        <f>+SUMPRODUCT(ProDegPaths!$BX$25:$BX$65,AM$25:AM$65)</f>
        <v>0</v>
      </c>
      <c r="AN77" s="581">
        <f>+SUMPRODUCT(ProDegPaths!$BX$25:$BX$65,AN$25:AN$65)</f>
        <v>0</v>
      </c>
      <c r="AO77" s="581">
        <f>+SUMPRODUCT(ProDegPaths!$BX$25:$BX$65,AO$25:AO$65)</f>
        <v>0</v>
      </c>
      <c r="AP77" s="581">
        <f>+SUMPRODUCT(ProDegPaths!$BX$25:$BX$65,AP$25:AP$65)</f>
        <v>0</v>
      </c>
      <c r="AQ77" s="581">
        <f>+SUMPRODUCT(ProDegPaths!$BX$25:$BX$65,AQ$25:AQ$65)</f>
        <v>0</v>
      </c>
      <c r="AR77" s="581">
        <f>+SUMPRODUCT(ProDegPaths!$BX$25:$BX$65,AR$25:AR$65)</f>
        <v>0</v>
      </c>
      <c r="AS77" s="581">
        <f>+SUMPRODUCT(ProDegPaths!$BX$25:$BX$65,AS$25:AS$65)</f>
        <v>0</v>
      </c>
      <c r="AT77" s="581">
        <f>+SUMPRODUCT(ProDegPaths!$BX$25:$BX$65,AT$25:AT$65)</f>
        <v>0</v>
      </c>
      <c r="AU77" s="581">
        <f>+SUMPRODUCT(ProDegPaths!$BX$25:$BX$65,AU$25:AU$65)</f>
        <v>0</v>
      </c>
      <c r="AV77" s="581">
        <f>+SUMPRODUCT(ProDegPaths!$BX$25:$BX$65,AV$25:AV$65)</f>
        <v>0</v>
      </c>
      <c r="AW77" s="581">
        <f>+SUMPRODUCT(ProDegPaths!$BX$25:$BX$65,AW$25:AW$65)</f>
        <v>0</v>
      </c>
      <c r="AX77" s="581">
        <f>+SUMPRODUCT(ProDegPaths!$BX$25:$BX$65,AX$25:AX$65)</f>
        <v>0</v>
      </c>
      <c r="AY77" s="581">
        <f>+SUMPRODUCT(ProDegPaths!$BX$25:$BX$65,AY$25:AY$65)</f>
        <v>0</v>
      </c>
      <c r="AZ77" s="582">
        <f>+SUMPRODUCT(ProDegPaths!$BX$25:$BX$65,AZ$25:AZ$65)</f>
        <v>0</v>
      </c>
      <c r="BA77" s="557"/>
      <c r="BB77" s="295"/>
      <c r="BD77" s="580">
        <f>+SUMPRODUCT(ProDegPaths!$BX$25:$BX$65,BD$25:BD$65)</f>
        <v>0</v>
      </c>
      <c r="BE77" s="581">
        <f>+SUMPRODUCT(ProDegPaths!$BX$25:$BX$65,BE$25:BE$65)</f>
        <v>0</v>
      </c>
      <c r="BF77" s="581">
        <f>+SUMPRODUCT(ProDegPaths!$BX$25:$BX$65,BF$25:BF$65)</f>
        <v>0</v>
      </c>
      <c r="BG77" s="581">
        <f>+SUMPRODUCT(ProDegPaths!$BX$25:$BX$65,BG$25:BG$65)</f>
        <v>0</v>
      </c>
      <c r="BH77" s="581">
        <f>+SUMPRODUCT(ProDegPaths!$BX$25:$BX$65,BH$25:BH$65)</f>
        <v>0</v>
      </c>
      <c r="BI77" s="582">
        <f>+SUMPRODUCT(ProDegPaths!$BX$25:$BX$65,BI$25:BI$65)</f>
        <v>0</v>
      </c>
      <c r="BJ77" s="582">
        <f>+SUMPRODUCT(ProDegPaths!$BX$25:$BX$65,BJ$25:BJ$65)</f>
        <v>0</v>
      </c>
      <c r="BK77" s="582">
        <f>+SUMPRODUCT(ProDegPaths!$BX$25:$BX$65,BK$25:BK$65)</f>
        <v>0</v>
      </c>
      <c r="BL77" s="582">
        <f>+SUMPRODUCT(ProDegPaths!$BX$25:$BX$65,BL$25:BL$65)</f>
        <v>0</v>
      </c>
      <c r="BM77" s="560"/>
      <c r="BN77" s="295"/>
    </row>
    <row r="78" spans="1:99" ht="13.5" customHeight="1" thickBot="1" x14ac:dyDescent="0.35">
      <c r="B78" s="572"/>
      <c r="C78" s="572"/>
      <c r="D78" s="624" t="s">
        <v>44</v>
      </c>
      <c r="M78" s="576"/>
      <c r="O78" s="577">
        <v>70</v>
      </c>
      <c r="P78" s="578">
        <v>60</v>
      </c>
      <c r="Q78" s="579">
        <v>50</v>
      </c>
      <c r="S78" s="624" t="s">
        <v>44</v>
      </c>
      <c r="T78" s="647"/>
      <c r="V78" s="587">
        <f>+SUMPRODUCT(ProDegPaths!$BY$25:$BY$65,V$25:V$65)</f>
        <v>0</v>
      </c>
      <c r="W78" s="588">
        <f>+SUMPRODUCT(ProDegPaths!$BY$25:$BY$65,W$25:W$65)</f>
        <v>0</v>
      </c>
      <c r="X78" s="588">
        <f>+SUMPRODUCT(ProDegPaths!$BY$25:$BY$65,X$25:X$65)</f>
        <v>0</v>
      </c>
      <c r="Y78" s="588">
        <f>+SUMPRODUCT(ProDegPaths!$BY$25:$BY$65,Y$25:Y$65)</f>
        <v>0</v>
      </c>
      <c r="Z78" s="588">
        <f>+SUMPRODUCT(ProDegPaths!$BY$25:$BY$65,Z$25:Z$65)</f>
        <v>0</v>
      </c>
      <c r="AA78" s="588">
        <f>+SUMPRODUCT(ProDegPaths!$BY$25:$BY$65,AA$25:AA$65)</f>
        <v>0</v>
      </c>
      <c r="AB78" s="588">
        <f>+SUMPRODUCT(ProDegPaths!$BY$25:$BY$65,AB$25:AB$65)</f>
        <v>0</v>
      </c>
      <c r="AC78" s="588">
        <f>+SUMPRODUCT(ProDegPaths!$BY$25:$BY$65,AC$25:AC$65)</f>
        <v>0</v>
      </c>
      <c r="AD78" s="588">
        <f>+SUMPRODUCT(ProDegPaths!$BY$25:$BY$65,AD$25:AD$65)</f>
        <v>0</v>
      </c>
      <c r="AE78" s="588">
        <f>+SUMPRODUCT(ProDegPaths!$BY$25:$BY$65,AE$25:AE$65)</f>
        <v>0</v>
      </c>
      <c r="AF78" s="588">
        <f>+SUMPRODUCT(ProDegPaths!$BY$25:$BY$65,AF$25:AF$65)</f>
        <v>0</v>
      </c>
      <c r="AG78" s="588">
        <f>+SUMPRODUCT(ProDegPaths!$BY$25:$BY$65,AG$25:AG$65)</f>
        <v>0</v>
      </c>
      <c r="AH78" s="588">
        <f>+SUMPRODUCT(ProDegPaths!$BY$25:$BY$65,AH$25:AH$65)</f>
        <v>0</v>
      </c>
      <c r="AI78" s="588">
        <f>+SUMPRODUCT(ProDegPaths!$BY$25:$BY$65,AI$25:AI$65)</f>
        <v>0</v>
      </c>
      <c r="AJ78" s="588">
        <f>+SUMPRODUCT(ProDegPaths!$BY$25:$BY$65,AJ$25:AJ$65)</f>
        <v>0</v>
      </c>
      <c r="AK78" s="588">
        <f>+SUMPRODUCT(ProDegPaths!$BY$25:$BY$65,AK$25:AK$65)</f>
        <v>0</v>
      </c>
      <c r="AL78" s="588">
        <f>+SUMPRODUCT(ProDegPaths!$BY$25:$BY$65,AL$25:AL$65)</f>
        <v>0</v>
      </c>
      <c r="AM78" s="588">
        <f>+SUMPRODUCT(ProDegPaths!$BY$25:$BY$65,AM$25:AM$65)</f>
        <v>0</v>
      </c>
      <c r="AN78" s="588">
        <f>+SUMPRODUCT(ProDegPaths!$BY$25:$BY$65,AN$25:AN$65)</f>
        <v>0</v>
      </c>
      <c r="AO78" s="588">
        <f>+SUMPRODUCT(ProDegPaths!$BY$25:$BY$65,AO$25:AO$65)</f>
        <v>0</v>
      </c>
      <c r="AP78" s="588">
        <f>+SUMPRODUCT(ProDegPaths!$BY$25:$BY$65,AP$25:AP$65)</f>
        <v>0</v>
      </c>
      <c r="AQ78" s="588">
        <f>+SUMPRODUCT(ProDegPaths!$BY$25:$BY$65,AQ$25:AQ$65)</f>
        <v>0</v>
      </c>
      <c r="AR78" s="588">
        <f>+SUMPRODUCT(ProDegPaths!$BY$25:$BY$65,AR$25:AR$65)</f>
        <v>0</v>
      </c>
      <c r="AS78" s="588">
        <f>+SUMPRODUCT(ProDegPaths!$BY$25:$BY$65,AS$25:AS$65)</f>
        <v>0</v>
      </c>
      <c r="AT78" s="588">
        <f>+SUMPRODUCT(ProDegPaths!$BY$25:$BY$65,AT$25:AT$65)</f>
        <v>0</v>
      </c>
      <c r="AU78" s="588">
        <f>+SUMPRODUCT(ProDegPaths!$BY$25:$BY$65,AU$25:AU$65)</f>
        <v>0</v>
      </c>
      <c r="AV78" s="588">
        <f>+SUMPRODUCT(ProDegPaths!$BY$25:$BY$65,AV$25:AV$65)</f>
        <v>0</v>
      </c>
      <c r="AW78" s="588">
        <f>+SUMPRODUCT(ProDegPaths!$BY$25:$BY$65,AW$25:AW$65)</f>
        <v>0</v>
      </c>
      <c r="AX78" s="588">
        <f>+SUMPRODUCT(ProDegPaths!$BY$25:$BY$65,AX$25:AX$65)</f>
        <v>0</v>
      </c>
      <c r="AY78" s="588">
        <f>+SUMPRODUCT(ProDegPaths!$BY$25:$BY$65,AY$25:AY$65)</f>
        <v>0</v>
      </c>
      <c r="AZ78" s="589">
        <f>+SUMPRODUCT(ProDegPaths!$BY$25:$BY$65,AZ$25:AZ$65)</f>
        <v>0</v>
      </c>
      <c r="BA78" s="415"/>
      <c r="BB78" s="295"/>
      <c r="BD78" s="587">
        <f>+SUMPRODUCT(ProDegPaths!$BY$25:$BY$65,BD$25:BD$65)</f>
        <v>0</v>
      </c>
      <c r="BE78" s="588">
        <f>+SUMPRODUCT(ProDegPaths!$BY$25:$BY$65,BE$25:BE$65)</f>
        <v>0</v>
      </c>
      <c r="BF78" s="588">
        <f>+SUMPRODUCT(ProDegPaths!$BY$25:$BY$65,BF$25:BF$65)</f>
        <v>0</v>
      </c>
      <c r="BG78" s="588">
        <f>+SUMPRODUCT(ProDegPaths!$BY$25:$BY$65,BG$25:BG$65)</f>
        <v>0</v>
      </c>
      <c r="BH78" s="588">
        <f>+SUMPRODUCT(ProDegPaths!$BY$25:$BY$65,BH$25:BH$65)</f>
        <v>0</v>
      </c>
      <c r="BI78" s="589">
        <f>+SUMPRODUCT(ProDegPaths!$BY$25:$BY$65,BI$25:BI$65)</f>
        <v>0</v>
      </c>
      <c r="BJ78" s="589">
        <f>+SUMPRODUCT(ProDegPaths!$BY$25:$BY$65,BJ$25:BJ$65)</f>
        <v>0</v>
      </c>
      <c r="BK78" s="589">
        <f>+SUMPRODUCT(ProDegPaths!$BY$25:$BY$65,BK$25:BK$65)</f>
        <v>0</v>
      </c>
      <c r="BL78" s="589">
        <f>+SUMPRODUCT(ProDegPaths!$BY$25:$BY$65,BL$25:BL$65)</f>
        <v>0</v>
      </c>
      <c r="BM78" s="301"/>
      <c r="BN78" s="295"/>
    </row>
    <row r="79" spans="1:99" ht="13.5" customHeight="1" x14ac:dyDescent="0.3">
      <c r="B79" s="572"/>
      <c r="C79" s="572"/>
      <c r="D79" s="624" t="s">
        <v>45</v>
      </c>
      <c r="G79" s="653"/>
      <c r="H79" s="653"/>
      <c r="L79" s="534" t="s">
        <v>75</v>
      </c>
      <c r="M79" s="583" t="s">
        <v>76</v>
      </c>
      <c r="N79" s="584" t="s">
        <v>77</v>
      </c>
      <c r="O79" s="535" t="s">
        <v>78</v>
      </c>
      <c r="P79" s="585"/>
      <c r="Q79" s="586"/>
      <c r="S79" s="624" t="s">
        <v>45</v>
      </c>
      <c r="T79" s="647"/>
      <c r="V79" s="587">
        <f>+SUMPRODUCT(ProDegPaths!$BZ$25:$BZ$65,V$25:V$65)</f>
        <v>0</v>
      </c>
      <c r="W79" s="588">
        <f>+SUMPRODUCT(ProDegPaths!$BZ$25:$BZ$65,W$25:W$65)</f>
        <v>0</v>
      </c>
      <c r="X79" s="588">
        <f>+SUMPRODUCT(ProDegPaths!$BZ$25:$BZ$65,X$25:X$65)</f>
        <v>0</v>
      </c>
      <c r="Y79" s="588">
        <f>+SUMPRODUCT(ProDegPaths!$BZ$25:$BZ$65,Y$25:Y$65)</f>
        <v>0</v>
      </c>
      <c r="Z79" s="588">
        <f>+SUMPRODUCT(ProDegPaths!$BZ$25:$BZ$65,Z$25:Z$65)</f>
        <v>0</v>
      </c>
      <c r="AA79" s="588">
        <f>+SUMPRODUCT(ProDegPaths!$BZ$25:$BZ$65,AA$25:AA$65)</f>
        <v>0</v>
      </c>
      <c r="AB79" s="588">
        <f>+SUMPRODUCT(ProDegPaths!$BZ$25:$BZ$65,AB$25:AB$65)</f>
        <v>0</v>
      </c>
      <c r="AC79" s="588">
        <f>+SUMPRODUCT(ProDegPaths!$BZ$25:$BZ$65,AC$25:AC$65)</f>
        <v>0</v>
      </c>
      <c r="AD79" s="588">
        <f>+SUMPRODUCT(ProDegPaths!$BZ$25:$BZ$65,AD$25:AD$65)</f>
        <v>0</v>
      </c>
      <c r="AE79" s="588">
        <f>+SUMPRODUCT(ProDegPaths!$BZ$25:$BZ$65,AE$25:AE$65)</f>
        <v>0</v>
      </c>
      <c r="AF79" s="588">
        <f>+SUMPRODUCT(ProDegPaths!$BZ$25:$BZ$65,AF$25:AF$65)</f>
        <v>0</v>
      </c>
      <c r="AG79" s="588">
        <f>+SUMPRODUCT(ProDegPaths!$BZ$25:$BZ$65,AG$25:AG$65)</f>
        <v>0</v>
      </c>
      <c r="AH79" s="588">
        <f>+SUMPRODUCT(ProDegPaths!$BZ$25:$BZ$65,AH$25:AH$65)</f>
        <v>0</v>
      </c>
      <c r="AI79" s="588">
        <f>+SUMPRODUCT(ProDegPaths!$BZ$25:$BZ$65,AI$25:AI$65)</f>
        <v>0</v>
      </c>
      <c r="AJ79" s="588">
        <f>+SUMPRODUCT(ProDegPaths!$BZ$25:$BZ$65,AJ$25:AJ$65)</f>
        <v>0</v>
      </c>
      <c r="AK79" s="588">
        <f>+SUMPRODUCT(ProDegPaths!$BZ$25:$BZ$65,AK$25:AK$65)</f>
        <v>0</v>
      </c>
      <c r="AL79" s="588">
        <f>+SUMPRODUCT(ProDegPaths!$BZ$25:$BZ$65,AL$25:AL$65)</f>
        <v>0</v>
      </c>
      <c r="AM79" s="588">
        <f>+SUMPRODUCT(ProDegPaths!$BZ$25:$BZ$65,AM$25:AM$65)</f>
        <v>0</v>
      </c>
      <c r="AN79" s="588">
        <f>+SUMPRODUCT(ProDegPaths!$BZ$25:$BZ$65,AN$25:AN$65)</f>
        <v>0</v>
      </c>
      <c r="AO79" s="588">
        <f>+SUMPRODUCT(ProDegPaths!$BZ$25:$BZ$65,AO$25:AO$65)</f>
        <v>0</v>
      </c>
      <c r="AP79" s="588">
        <f>+SUMPRODUCT(ProDegPaths!$BZ$25:$BZ$65,AP$25:AP$65)</f>
        <v>0</v>
      </c>
      <c r="AQ79" s="588">
        <f>+SUMPRODUCT(ProDegPaths!$BZ$25:$BZ$65,AQ$25:AQ$65)</f>
        <v>0</v>
      </c>
      <c r="AR79" s="588">
        <f>+SUMPRODUCT(ProDegPaths!$BZ$25:$BZ$65,AR$25:AR$65)</f>
        <v>0</v>
      </c>
      <c r="AS79" s="588">
        <f>+SUMPRODUCT(ProDegPaths!$BZ$25:$BZ$65,AS$25:AS$65)</f>
        <v>0</v>
      </c>
      <c r="AT79" s="588">
        <f>+SUMPRODUCT(ProDegPaths!$BZ$25:$BZ$65,AT$25:AT$65)</f>
        <v>0</v>
      </c>
      <c r="AU79" s="588">
        <f>+SUMPRODUCT(ProDegPaths!$BZ$25:$BZ$65,AU$25:AU$65)</f>
        <v>0</v>
      </c>
      <c r="AV79" s="588">
        <f>+SUMPRODUCT(ProDegPaths!$BZ$25:$BZ$65,AV$25:AV$65)</f>
        <v>0</v>
      </c>
      <c r="AW79" s="588">
        <f>+SUMPRODUCT(ProDegPaths!$BZ$25:$BZ$65,AW$25:AW$65)</f>
        <v>0</v>
      </c>
      <c r="AX79" s="588">
        <f>+SUMPRODUCT(ProDegPaths!$BZ$25:$BZ$65,AX$25:AX$65)</f>
        <v>0</v>
      </c>
      <c r="AY79" s="588">
        <f>+SUMPRODUCT(ProDegPaths!$BZ$25:$BZ$65,AY$25:AY$65)</f>
        <v>0</v>
      </c>
      <c r="AZ79" s="589">
        <f>+SUMPRODUCT(ProDegPaths!$BZ$25:$BZ$65,AZ$25:AZ$65)</f>
        <v>0</v>
      </c>
      <c r="BA79" s="415"/>
      <c r="BB79" s="295"/>
      <c r="BD79" s="587">
        <f>+SUMPRODUCT(ProDegPaths!$BZ$25:$BZ$65,BD$25:BD$65)</f>
        <v>0</v>
      </c>
      <c r="BE79" s="588">
        <f>+SUMPRODUCT(ProDegPaths!$BZ$25:$BZ$65,BE$25:BE$65)</f>
        <v>0</v>
      </c>
      <c r="BF79" s="588">
        <f>+SUMPRODUCT(ProDegPaths!$BZ$25:$BZ$65,BF$25:BF$65)</f>
        <v>0</v>
      </c>
      <c r="BG79" s="588">
        <f>+SUMPRODUCT(ProDegPaths!$BZ$25:$BZ$65,BG$25:BG$65)</f>
        <v>0</v>
      </c>
      <c r="BH79" s="588">
        <f>+SUMPRODUCT(ProDegPaths!$BZ$25:$BZ$65,BH$25:BH$65)</f>
        <v>0</v>
      </c>
      <c r="BI79" s="589">
        <f>+SUMPRODUCT(ProDegPaths!$BZ$25:$BZ$65,BI$25:BI$65)</f>
        <v>0</v>
      </c>
      <c r="BJ79" s="589">
        <f>+SUMPRODUCT(ProDegPaths!$BZ$25:$BZ$65,BJ$25:BJ$65)</f>
        <v>0</v>
      </c>
      <c r="BK79" s="589">
        <f>+SUMPRODUCT(ProDegPaths!$BZ$25:$BZ$65,BK$25:BK$65)</f>
        <v>0</v>
      </c>
      <c r="BL79" s="589">
        <f>+SUMPRODUCT(ProDegPaths!$BZ$25:$BZ$65,BL$25:BL$65)</f>
        <v>0</v>
      </c>
      <c r="BM79" s="301"/>
      <c r="BN79" s="295"/>
    </row>
    <row r="80" spans="1:99" ht="13.5" customHeight="1" x14ac:dyDescent="0.3">
      <c r="D80" s="624" t="s">
        <v>46</v>
      </c>
      <c r="G80" s="590"/>
      <c r="H80" s="415"/>
      <c r="L80" s="569">
        <v>9</v>
      </c>
      <c r="M80" s="301">
        <v>3</v>
      </c>
      <c r="N80" s="591">
        <f t="shared" ref="N80:N86" si="32">+M80/L80</f>
        <v>0.33333333333333331</v>
      </c>
      <c r="O80" s="302">
        <f>+$N80*O$78</f>
        <v>23.333333333333332</v>
      </c>
      <c r="P80" s="302">
        <f>+$N80*P$78</f>
        <v>20</v>
      </c>
      <c r="Q80" s="592">
        <f>+$N80*Q$78</f>
        <v>16.666666666666664</v>
      </c>
      <c r="S80" s="624" t="s">
        <v>46</v>
      </c>
      <c r="T80" s="647"/>
      <c r="V80" s="587">
        <f>+SUMPRODUCT(ProDegPaths!$CA$25:$CA$65,V$25:V$65)</f>
        <v>0</v>
      </c>
      <c r="W80" s="588">
        <f>+SUMPRODUCT(ProDegPaths!$CA$25:$CA$65,W$25:W$65)</f>
        <v>0</v>
      </c>
      <c r="X80" s="588">
        <f>+SUMPRODUCT(ProDegPaths!$CA$25:$CA$65,X$25:X$65)</f>
        <v>0</v>
      </c>
      <c r="Y80" s="588">
        <f>+SUMPRODUCT(ProDegPaths!$CA$25:$CA$65,Y$25:Y$65)</f>
        <v>0</v>
      </c>
      <c r="Z80" s="588">
        <f>+SUMPRODUCT(ProDegPaths!$CA$25:$CA$65,Z$25:Z$65)</f>
        <v>0</v>
      </c>
      <c r="AA80" s="588">
        <f>+SUMPRODUCT(ProDegPaths!$CA$25:$CA$65,AA$25:AA$65)</f>
        <v>0</v>
      </c>
      <c r="AB80" s="588">
        <f>+SUMPRODUCT(ProDegPaths!$CA$25:$CA$65,AB$25:AB$65)</f>
        <v>0</v>
      </c>
      <c r="AC80" s="588">
        <f>+SUMPRODUCT(ProDegPaths!$CA$25:$CA$65,AC$25:AC$65)</f>
        <v>0</v>
      </c>
      <c r="AD80" s="588">
        <f>+SUMPRODUCT(ProDegPaths!$CA$25:$CA$65,AD$25:AD$65)</f>
        <v>0</v>
      </c>
      <c r="AE80" s="588">
        <f>+SUMPRODUCT(ProDegPaths!$CA$25:$CA$65,AE$25:AE$65)</f>
        <v>0</v>
      </c>
      <c r="AF80" s="588">
        <f>+SUMPRODUCT(ProDegPaths!$CA$25:$CA$65,AF$25:AF$65)</f>
        <v>0</v>
      </c>
      <c r="AG80" s="588">
        <f>+SUMPRODUCT(ProDegPaths!$CA$25:$CA$65,AG$25:AG$65)</f>
        <v>0</v>
      </c>
      <c r="AH80" s="588">
        <f>+SUMPRODUCT(ProDegPaths!$CA$25:$CA$65,AH$25:AH$65)</f>
        <v>0</v>
      </c>
      <c r="AI80" s="588">
        <f>+SUMPRODUCT(ProDegPaths!$CA$25:$CA$65,AI$25:AI$65)</f>
        <v>0</v>
      </c>
      <c r="AJ80" s="588">
        <f>+SUMPRODUCT(ProDegPaths!$CA$25:$CA$65,AJ$25:AJ$65)</f>
        <v>0</v>
      </c>
      <c r="AK80" s="588">
        <f>+SUMPRODUCT(ProDegPaths!$CA$25:$CA$65,AK$25:AK$65)</f>
        <v>0</v>
      </c>
      <c r="AL80" s="588">
        <f>+SUMPRODUCT(ProDegPaths!$CA$25:$CA$65,AL$25:AL$65)</f>
        <v>0</v>
      </c>
      <c r="AM80" s="588">
        <f>+SUMPRODUCT(ProDegPaths!$CA$25:$CA$65,AM$25:AM$65)</f>
        <v>0</v>
      </c>
      <c r="AN80" s="588">
        <f>+SUMPRODUCT(ProDegPaths!$CA$25:$CA$65,AN$25:AN$65)</f>
        <v>0</v>
      </c>
      <c r="AO80" s="588">
        <f>+SUMPRODUCT(ProDegPaths!$CA$25:$CA$65,AO$25:AO$65)</f>
        <v>0</v>
      </c>
      <c r="AP80" s="588">
        <f>+SUMPRODUCT(ProDegPaths!$CA$25:$CA$65,AP$25:AP$65)</f>
        <v>0</v>
      </c>
      <c r="AQ80" s="588">
        <f>+SUMPRODUCT(ProDegPaths!$CA$25:$CA$65,AQ$25:AQ$65)</f>
        <v>0</v>
      </c>
      <c r="AR80" s="588">
        <f>+SUMPRODUCT(ProDegPaths!$CA$25:$CA$65,AR$25:AR$65)</f>
        <v>0</v>
      </c>
      <c r="AS80" s="588">
        <f>+SUMPRODUCT(ProDegPaths!$CA$25:$CA$65,AS$25:AS$65)</f>
        <v>0</v>
      </c>
      <c r="AT80" s="588">
        <f>+SUMPRODUCT(ProDegPaths!$CA$25:$CA$65,AT$25:AT$65)</f>
        <v>0</v>
      </c>
      <c r="AU80" s="588">
        <f>+SUMPRODUCT(ProDegPaths!$CA$25:$CA$65,AU$25:AU$65)</f>
        <v>0</v>
      </c>
      <c r="AV80" s="588">
        <f>+SUMPRODUCT(ProDegPaths!$CA$25:$CA$65,AV$25:AV$65)</f>
        <v>0</v>
      </c>
      <c r="AW80" s="588">
        <f>+SUMPRODUCT(ProDegPaths!$CA$25:$CA$65,AW$25:AW$65)</f>
        <v>0</v>
      </c>
      <c r="AX80" s="588">
        <f>+SUMPRODUCT(ProDegPaths!$CA$25:$CA$65,AX$25:AX$65)</f>
        <v>0</v>
      </c>
      <c r="AY80" s="588">
        <f>+SUMPRODUCT(ProDegPaths!$CA$25:$CA$65,AY$25:AY$65)</f>
        <v>0</v>
      </c>
      <c r="AZ80" s="589">
        <f>+SUMPRODUCT(ProDegPaths!$CA$25:$CA$65,AZ$25:AZ$65)</f>
        <v>0</v>
      </c>
      <c r="BA80" s="415"/>
      <c r="BB80" s="295"/>
      <c r="BD80" s="587">
        <f>+SUMPRODUCT(ProDegPaths!$CA$25:$CA$65,BD$25:BD$65)</f>
        <v>0</v>
      </c>
      <c r="BE80" s="588">
        <f>+SUMPRODUCT(ProDegPaths!$CA$25:$CA$65,BE$25:BE$65)</f>
        <v>0</v>
      </c>
      <c r="BF80" s="588">
        <f>+SUMPRODUCT(ProDegPaths!$CA$25:$CA$65,BF$25:BF$65)</f>
        <v>0</v>
      </c>
      <c r="BG80" s="588">
        <f>+SUMPRODUCT(ProDegPaths!$CA$25:$CA$65,BG$25:BG$65)</f>
        <v>0</v>
      </c>
      <c r="BH80" s="588">
        <f>+SUMPRODUCT(ProDegPaths!$CA$25:$CA$65,BH$25:BH$65)</f>
        <v>0</v>
      </c>
      <c r="BI80" s="589">
        <f>+SUMPRODUCT(ProDegPaths!$CA$25:$CA$65,BI$25:BI$65)</f>
        <v>0</v>
      </c>
      <c r="BJ80" s="589">
        <f>+SUMPRODUCT(ProDegPaths!$CA$25:$CA$65,BJ$25:BJ$65)</f>
        <v>0</v>
      </c>
      <c r="BK80" s="589">
        <f>+SUMPRODUCT(ProDegPaths!$CA$25:$CA$65,BK$25:BK$65)</f>
        <v>0</v>
      </c>
      <c r="BL80" s="589">
        <f>+SUMPRODUCT(ProDegPaths!$CA$25:$CA$65,BL$25:BL$65)</f>
        <v>0</v>
      </c>
      <c r="BM80" s="301"/>
      <c r="BN80" s="295"/>
    </row>
    <row r="81" spans="4:66" ht="13.5" customHeight="1" x14ac:dyDescent="0.3">
      <c r="D81" s="624" t="s">
        <v>47</v>
      </c>
      <c r="G81" s="590"/>
      <c r="H81" s="593"/>
      <c r="L81" s="594">
        <f t="shared" ref="L81:L86" si="33">+L80+1</f>
        <v>10</v>
      </c>
      <c r="M81" s="301">
        <v>3</v>
      </c>
      <c r="N81" s="591">
        <f t="shared" si="32"/>
        <v>0.3</v>
      </c>
      <c r="O81" s="302">
        <f t="shared" ref="O81:O86" si="34">+N81*$O$78</f>
        <v>21</v>
      </c>
      <c r="P81" s="302">
        <f t="shared" ref="P81:Q86" si="35">+$N81*P$78</f>
        <v>18</v>
      </c>
      <c r="Q81" s="592">
        <f t="shared" si="35"/>
        <v>15</v>
      </c>
      <c r="S81" s="624" t="s">
        <v>47</v>
      </c>
      <c r="T81" s="647"/>
      <c r="V81" s="587">
        <f>+SUMPRODUCT(ProDegPaths!$CB$25:$CB$65,V$25:V$65)</f>
        <v>0</v>
      </c>
      <c r="W81" s="588">
        <f>+SUMPRODUCT(ProDegPaths!$CB$25:$CB$65,W$25:W$65)</f>
        <v>0</v>
      </c>
      <c r="X81" s="588">
        <f>+SUMPRODUCT(ProDegPaths!$CB$25:$CB$65,X$25:X$65)</f>
        <v>0</v>
      </c>
      <c r="Y81" s="588">
        <f>+SUMPRODUCT(ProDegPaths!$CB$25:$CB$65,Y$25:Y$65)</f>
        <v>0</v>
      </c>
      <c r="Z81" s="588">
        <f>+SUMPRODUCT(ProDegPaths!$CB$25:$CB$65,Z$25:Z$65)</f>
        <v>0</v>
      </c>
      <c r="AA81" s="588">
        <f>+SUMPRODUCT(ProDegPaths!$CB$25:$CB$65,AA$25:AA$65)</f>
        <v>0</v>
      </c>
      <c r="AB81" s="588">
        <f>+SUMPRODUCT(ProDegPaths!$CB$25:$CB$65,AB$25:AB$65)</f>
        <v>0</v>
      </c>
      <c r="AC81" s="588">
        <f>+SUMPRODUCT(ProDegPaths!$CB$25:$CB$65,AC$25:AC$65)</f>
        <v>0</v>
      </c>
      <c r="AD81" s="588">
        <f>+SUMPRODUCT(ProDegPaths!$CB$25:$CB$65,AD$25:AD$65)</f>
        <v>0</v>
      </c>
      <c r="AE81" s="588">
        <f>+SUMPRODUCT(ProDegPaths!$CB$25:$CB$65,AE$25:AE$65)</f>
        <v>0</v>
      </c>
      <c r="AF81" s="588">
        <f>+SUMPRODUCT(ProDegPaths!$CB$25:$CB$65,AF$25:AF$65)</f>
        <v>0</v>
      </c>
      <c r="AG81" s="588">
        <f>+SUMPRODUCT(ProDegPaths!$CB$25:$CB$65,AG$25:AG$65)</f>
        <v>0</v>
      </c>
      <c r="AH81" s="588">
        <f>+SUMPRODUCT(ProDegPaths!$CB$25:$CB$65,AH$25:AH$65)</f>
        <v>0</v>
      </c>
      <c r="AI81" s="588">
        <f>+SUMPRODUCT(ProDegPaths!$CB$25:$CB$65,AI$25:AI$65)</f>
        <v>0</v>
      </c>
      <c r="AJ81" s="588">
        <f>+SUMPRODUCT(ProDegPaths!$CB$25:$CB$65,AJ$25:AJ$65)</f>
        <v>0</v>
      </c>
      <c r="AK81" s="588">
        <f>+SUMPRODUCT(ProDegPaths!$CB$25:$CB$65,AK$25:AK$65)</f>
        <v>0</v>
      </c>
      <c r="AL81" s="588">
        <f>+SUMPRODUCT(ProDegPaths!$CB$25:$CB$65,AL$25:AL$65)</f>
        <v>0</v>
      </c>
      <c r="AM81" s="588">
        <f>+SUMPRODUCT(ProDegPaths!$CB$25:$CB$65,AM$25:AM$65)</f>
        <v>0</v>
      </c>
      <c r="AN81" s="588">
        <f>+SUMPRODUCT(ProDegPaths!$CB$25:$CB$65,AN$25:AN$65)</f>
        <v>0</v>
      </c>
      <c r="AO81" s="588">
        <f>+SUMPRODUCT(ProDegPaths!$CB$25:$CB$65,AO$25:AO$65)</f>
        <v>0</v>
      </c>
      <c r="AP81" s="588">
        <f>+SUMPRODUCT(ProDegPaths!$CB$25:$CB$65,AP$25:AP$65)</f>
        <v>0</v>
      </c>
      <c r="AQ81" s="588">
        <f>+SUMPRODUCT(ProDegPaths!$CB$25:$CB$65,AQ$25:AQ$65)</f>
        <v>0</v>
      </c>
      <c r="AR81" s="588">
        <f>+SUMPRODUCT(ProDegPaths!$CB$25:$CB$65,AR$25:AR$65)</f>
        <v>0</v>
      </c>
      <c r="AS81" s="588">
        <f>+SUMPRODUCT(ProDegPaths!$CB$25:$CB$65,AS$25:AS$65)</f>
        <v>0</v>
      </c>
      <c r="AT81" s="588">
        <f>+SUMPRODUCT(ProDegPaths!$CB$25:$CB$65,AT$25:AT$65)</f>
        <v>0</v>
      </c>
      <c r="AU81" s="588">
        <f>+SUMPRODUCT(ProDegPaths!$CB$25:$CB$65,AU$25:AU$65)</f>
        <v>0</v>
      </c>
      <c r="AV81" s="588">
        <f>+SUMPRODUCT(ProDegPaths!$CB$25:$CB$65,AV$25:AV$65)</f>
        <v>0</v>
      </c>
      <c r="AW81" s="588">
        <f>+SUMPRODUCT(ProDegPaths!$CB$25:$CB$65,AW$25:AW$65)</f>
        <v>0</v>
      </c>
      <c r="AX81" s="588">
        <f>+SUMPRODUCT(ProDegPaths!$CB$25:$CB$65,AX$25:AX$65)</f>
        <v>0</v>
      </c>
      <c r="AY81" s="588">
        <f>+SUMPRODUCT(ProDegPaths!$CB$25:$CB$65,AY$25:AY$65)</f>
        <v>0</v>
      </c>
      <c r="AZ81" s="589">
        <f>+SUMPRODUCT(ProDegPaths!$CB$25:$CB$65,AZ$25:AZ$65)</f>
        <v>0</v>
      </c>
      <c r="BA81" s="415"/>
      <c r="BB81" s="295"/>
      <c r="BD81" s="587">
        <f>+SUMPRODUCT(ProDegPaths!$CB$25:$CB$65,BD$25:BD$65)</f>
        <v>0</v>
      </c>
      <c r="BE81" s="588">
        <f>+SUMPRODUCT(ProDegPaths!$CB$25:$CB$65,BE$25:BE$65)</f>
        <v>0</v>
      </c>
      <c r="BF81" s="588">
        <f>+SUMPRODUCT(ProDegPaths!$CB$25:$CB$65,BF$25:BF$65)</f>
        <v>0</v>
      </c>
      <c r="BG81" s="588">
        <f>+SUMPRODUCT(ProDegPaths!$CB$25:$CB$65,BG$25:BG$65)</f>
        <v>0</v>
      </c>
      <c r="BH81" s="588">
        <f>+SUMPRODUCT(ProDegPaths!$CB$25:$CB$65,BH$25:BH$65)</f>
        <v>0</v>
      </c>
      <c r="BI81" s="589">
        <f>+SUMPRODUCT(ProDegPaths!$CB$25:$CB$65,BI$25:BI$65)</f>
        <v>0</v>
      </c>
      <c r="BJ81" s="589">
        <f>+SUMPRODUCT(ProDegPaths!$CB$25:$CB$65,BJ$25:BJ$65)</f>
        <v>0</v>
      </c>
      <c r="BK81" s="589">
        <f>+SUMPRODUCT(ProDegPaths!$CB$25:$CB$65,BK$25:BK$65)</f>
        <v>0</v>
      </c>
      <c r="BL81" s="589">
        <f>+SUMPRODUCT(ProDegPaths!$CB$25:$CB$65,BL$25:BL$65)</f>
        <v>0</v>
      </c>
      <c r="BM81" s="301"/>
      <c r="BN81" s="295"/>
    </row>
    <row r="82" spans="4:66" ht="13.5" customHeight="1" x14ac:dyDescent="0.3">
      <c r="D82" s="624" t="s">
        <v>48</v>
      </c>
      <c r="G82" s="590"/>
      <c r="H82" s="595"/>
      <c r="L82" s="594">
        <f t="shared" si="33"/>
        <v>11</v>
      </c>
      <c r="M82" s="301">
        <v>3</v>
      </c>
      <c r="N82" s="591">
        <f t="shared" si="32"/>
        <v>0.27272727272727271</v>
      </c>
      <c r="O82" s="302">
        <f t="shared" si="34"/>
        <v>19.09090909090909</v>
      </c>
      <c r="P82" s="302">
        <f t="shared" si="35"/>
        <v>16.363636363636363</v>
      </c>
      <c r="Q82" s="592">
        <f t="shared" si="35"/>
        <v>13.636363636363635</v>
      </c>
      <c r="S82" s="624" t="s">
        <v>48</v>
      </c>
      <c r="T82" s="647"/>
      <c r="V82" s="587">
        <f>+SUMPRODUCT(ProDegPaths!$CC$25:$CC$65,V$25:V$65)</f>
        <v>0</v>
      </c>
      <c r="W82" s="588">
        <f>+SUMPRODUCT(ProDegPaths!$CC$25:$CC$65,W$25:W$65)</f>
        <v>0</v>
      </c>
      <c r="X82" s="588">
        <f>+SUMPRODUCT(ProDegPaths!$CC$25:$CC$65,X$25:X$65)</f>
        <v>0</v>
      </c>
      <c r="Y82" s="588">
        <f>+SUMPRODUCT(ProDegPaths!$CC$25:$CC$65,Y$25:Y$65)</f>
        <v>0</v>
      </c>
      <c r="Z82" s="588">
        <f>+SUMPRODUCT(ProDegPaths!$CC$25:$CC$65,Z$25:Z$65)</f>
        <v>0</v>
      </c>
      <c r="AA82" s="588">
        <f>+SUMPRODUCT(ProDegPaths!$CC$25:$CC$65,AA$25:AA$65)</f>
        <v>0</v>
      </c>
      <c r="AB82" s="588">
        <f>+SUMPRODUCT(ProDegPaths!$CC$25:$CC$65,AB$25:AB$65)</f>
        <v>0</v>
      </c>
      <c r="AC82" s="588">
        <f>+SUMPRODUCT(ProDegPaths!$CC$25:$CC$65,AC$25:AC$65)</f>
        <v>0</v>
      </c>
      <c r="AD82" s="588">
        <f>+SUMPRODUCT(ProDegPaths!$CC$25:$CC$65,AD$25:AD$65)</f>
        <v>0</v>
      </c>
      <c r="AE82" s="588">
        <f>+SUMPRODUCT(ProDegPaths!$CC$25:$CC$65,AE$25:AE$65)</f>
        <v>0</v>
      </c>
      <c r="AF82" s="588">
        <f>+SUMPRODUCT(ProDegPaths!$CC$25:$CC$65,AF$25:AF$65)</f>
        <v>0</v>
      </c>
      <c r="AG82" s="588">
        <f>+SUMPRODUCT(ProDegPaths!$CC$25:$CC$65,AG$25:AG$65)</f>
        <v>0</v>
      </c>
      <c r="AH82" s="588">
        <f>+SUMPRODUCT(ProDegPaths!$CC$25:$CC$65,AH$25:AH$65)</f>
        <v>0</v>
      </c>
      <c r="AI82" s="588">
        <f>+SUMPRODUCT(ProDegPaths!$CC$25:$CC$65,AI$25:AI$65)</f>
        <v>0</v>
      </c>
      <c r="AJ82" s="588">
        <f>+SUMPRODUCT(ProDegPaths!$CC$25:$CC$65,AJ$25:AJ$65)</f>
        <v>0</v>
      </c>
      <c r="AK82" s="588">
        <f>+SUMPRODUCT(ProDegPaths!$CC$25:$CC$65,AK$25:AK$65)</f>
        <v>0</v>
      </c>
      <c r="AL82" s="588">
        <f>+SUMPRODUCT(ProDegPaths!$CC$25:$CC$65,AL$25:AL$65)</f>
        <v>0</v>
      </c>
      <c r="AM82" s="588">
        <f>+SUMPRODUCT(ProDegPaths!$CC$25:$CC$65,AM$25:AM$65)</f>
        <v>0</v>
      </c>
      <c r="AN82" s="588">
        <f>+SUMPRODUCT(ProDegPaths!$CC$25:$CC$65,AN$25:AN$65)</f>
        <v>0</v>
      </c>
      <c r="AO82" s="588">
        <f>+SUMPRODUCT(ProDegPaths!$CC$25:$CC$65,AO$25:AO$65)</f>
        <v>0</v>
      </c>
      <c r="AP82" s="588">
        <f>+SUMPRODUCT(ProDegPaths!$CC$25:$CC$65,AP$25:AP$65)</f>
        <v>0</v>
      </c>
      <c r="AQ82" s="588">
        <f>+SUMPRODUCT(ProDegPaths!$CC$25:$CC$65,AQ$25:AQ$65)</f>
        <v>0</v>
      </c>
      <c r="AR82" s="588">
        <f>+SUMPRODUCT(ProDegPaths!$CC$25:$CC$65,AR$25:AR$65)</f>
        <v>0</v>
      </c>
      <c r="AS82" s="588">
        <f>+SUMPRODUCT(ProDegPaths!$CC$25:$CC$65,AS$25:AS$65)</f>
        <v>0</v>
      </c>
      <c r="AT82" s="588">
        <f>+SUMPRODUCT(ProDegPaths!$CC$25:$CC$65,AT$25:AT$65)</f>
        <v>0</v>
      </c>
      <c r="AU82" s="588">
        <f>+SUMPRODUCT(ProDegPaths!$CC$25:$CC$65,AU$25:AU$65)</f>
        <v>0</v>
      </c>
      <c r="AV82" s="588">
        <f>+SUMPRODUCT(ProDegPaths!$CC$25:$CC$65,AV$25:AV$65)</f>
        <v>0</v>
      </c>
      <c r="AW82" s="588">
        <f>+SUMPRODUCT(ProDegPaths!$CC$25:$CC$65,AW$25:AW$65)</f>
        <v>0</v>
      </c>
      <c r="AX82" s="588">
        <f>+SUMPRODUCT(ProDegPaths!$CC$25:$CC$65,AX$25:AX$65)</f>
        <v>0</v>
      </c>
      <c r="AY82" s="588">
        <f>+SUMPRODUCT(ProDegPaths!$CC$25:$CC$65,AY$25:AY$65)</f>
        <v>0</v>
      </c>
      <c r="AZ82" s="589">
        <f>+SUMPRODUCT(ProDegPaths!$CC$25:$CC$65,AZ$25:AZ$65)</f>
        <v>0</v>
      </c>
      <c r="BA82" s="415"/>
      <c r="BB82" s="295"/>
      <c r="BD82" s="587">
        <f>+SUMPRODUCT(ProDegPaths!$CC$25:$CC$65,BD$25:BD$65)</f>
        <v>0</v>
      </c>
      <c r="BE82" s="588">
        <f>+SUMPRODUCT(ProDegPaths!$CC$25:$CC$65,BE$25:BE$65)</f>
        <v>0</v>
      </c>
      <c r="BF82" s="588">
        <f>+SUMPRODUCT(ProDegPaths!$CC$25:$CC$65,BF$25:BF$65)</f>
        <v>0</v>
      </c>
      <c r="BG82" s="588">
        <f>+SUMPRODUCT(ProDegPaths!$CC$25:$CC$65,BG$25:BG$65)</f>
        <v>0</v>
      </c>
      <c r="BH82" s="588">
        <f>+SUMPRODUCT(ProDegPaths!$CC$25:$CC$65,BH$25:BH$65)</f>
        <v>0</v>
      </c>
      <c r="BI82" s="589">
        <f>+SUMPRODUCT(ProDegPaths!$CC$25:$CC$65,BI$25:BI$65)</f>
        <v>0</v>
      </c>
      <c r="BJ82" s="589">
        <f>+SUMPRODUCT(ProDegPaths!$CC$25:$CC$65,BJ$25:BJ$65)</f>
        <v>0</v>
      </c>
      <c r="BK82" s="589">
        <f>+SUMPRODUCT(ProDegPaths!$CC$25:$CC$65,BK$25:BK$65)</f>
        <v>0</v>
      </c>
      <c r="BL82" s="589">
        <f>+SUMPRODUCT(ProDegPaths!$CC$25:$CC$65,BL$25:BL$65)</f>
        <v>0</v>
      </c>
      <c r="BM82" s="301"/>
      <c r="BN82" s="295"/>
    </row>
    <row r="83" spans="4:66" ht="13.5" customHeight="1" x14ac:dyDescent="0.3">
      <c r="D83" s="624" t="s">
        <v>49</v>
      </c>
      <c r="G83" s="590"/>
      <c r="H83" s="595"/>
      <c r="L83" s="594">
        <f t="shared" si="33"/>
        <v>12</v>
      </c>
      <c r="M83" s="301">
        <v>3</v>
      </c>
      <c r="N83" s="591">
        <f t="shared" si="32"/>
        <v>0.25</v>
      </c>
      <c r="O83" s="302">
        <f t="shared" si="34"/>
        <v>17.5</v>
      </c>
      <c r="P83" s="302">
        <f t="shared" si="35"/>
        <v>15</v>
      </c>
      <c r="Q83" s="592">
        <f t="shared" si="35"/>
        <v>12.5</v>
      </c>
      <c r="S83" s="624" t="s">
        <v>49</v>
      </c>
      <c r="T83" s="647"/>
      <c r="V83" s="587">
        <f>+SUMPRODUCT(ProDegPaths!$CD$25:$CD$65,V$25:V$65)</f>
        <v>0</v>
      </c>
      <c r="W83" s="588">
        <f>+SUMPRODUCT(ProDegPaths!$CD$25:$CD$65,W$25:W$65)</f>
        <v>0</v>
      </c>
      <c r="X83" s="588">
        <f>+SUMPRODUCT(ProDegPaths!$CD$25:$CD$65,X$25:X$65)</f>
        <v>0</v>
      </c>
      <c r="Y83" s="588">
        <f>+SUMPRODUCT(ProDegPaths!$CD$25:$CD$65,Y$25:Y$65)</f>
        <v>0</v>
      </c>
      <c r="Z83" s="588">
        <f>+SUMPRODUCT(ProDegPaths!$CD$25:$CD$65,Z$25:Z$65)</f>
        <v>0</v>
      </c>
      <c r="AA83" s="588">
        <f>+SUMPRODUCT(ProDegPaths!$CD$25:$CD$65,AA$25:AA$65)</f>
        <v>0</v>
      </c>
      <c r="AB83" s="588">
        <f>+SUMPRODUCT(ProDegPaths!$CD$25:$CD$65,AB$25:AB$65)</f>
        <v>0</v>
      </c>
      <c r="AC83" s="588">
        <f>+SUMPRODUCT(ProDegPaths!$CD$25:$CD$65,AC$25:AC$65)</f>
        <v>0</v>
      </c>
      <c r="AD83" s="588">
        <f>+SUMPRODUCT(ProDegPaths!$CD$25:$CD$65,AD$25:AD$65)</f>
        <v>0</v>
      </c>
      <c r="AE83" s="588">
        <f>+SUMPRODUCT(ProDegPaths!$CD$25:$CD$65,AE$25:AE$65)</f>
        <v>0</v>
      </c>
      <c r="AF83" s="588">
        <f>+SUMPRODUCT(ProDegPaths!$CD$25:$CD$65,AF$25:AF$65)</f>
        <v>0</v>
      </c>
      <c r="AG83" s="588">
        <f>+SUMPRODUCT(ProDegPaths!$CD$25:$CD$65,AG$25:AG$65)</f>
        <v>0</v>
      </c>
      <c r="AH83" s="588">
        <f>+SUMPRODUCT(ProDegPaths!$CD$25:$CD$65,AH$25:AH$65)</f>
        <v>0</v>
      </c>
      <c r="AI83" s="588">
        <f>+SUMPRODUCT(ProDegPaths!$CD$25:$CD$65,AI$25:AI$65)</f>
        <v>0</v>
      </c>
      <c r="AJ83" s="588">
        <f>+SUMPRODUCT(ProDegPaths!$CD$25:$CD$65,AJ$25:AJ$65)</f>
        <v>0</v>
      </c>
      <c r="AK83" s="588">
        <f>+SUMPRODUCT(ProDegPaths!$CD$25:$CD$65,AK$25:AK$65)</f>
        <v>0</v>
      </c>
      <c r="AL83" s="588">
        <f>+SUMPRODUCT(ProDegPaths!$CD$25:$CD$65,AL$25:AL$65)</f>
        <v>0</v>
      </c>
      <c r="AM83" s="588">
        <f>+SUMPRODUCT(ProDegPaths!$CD$25:$CD$65,AM$25:AM$65)</f>
        <v>0</v>
      </c>
      <c r="AN83" s="588">
        <f>+SUMPRODUCT(ProDegPaths!$CD$25:$CD$65,AN$25:AN$65)</f>
        <v>0</v>
      </c>
      <c r="AO83" s="588">
        <f>+SUMPRODUCT(ProDegPaths!$CD$25:$CD$65,AO$25:AO$65)</f>
        <v>0</v>
      </c>
      <c r="AP83" s="588">
        <f>+SUMPRODUCT(ProDegPaths!$CD$25:$CD$65,AP$25:AP$65)</f>
        <v>0</v>
      </c>
      <c r="AQ83" s="588">
        <f>+SUMPRODUCT(ProDegPaths!$CD$25:$CD$65,AQ$25:AQ$65)</f>
        <v>0</v>
      </c>
      <c r="AR83" s="588">
        <f>+SUMPRODUCT(ProDegPaths!$CD$25:$CD$65,AR$25:AR$65)</f>
        <v>0</v>
      </c>
      <c r="AS83" s="588">
        <f>+SUMPRODUCT(ProDegPaths!$CD$25:$CD$65,AS$25:AS$65)</f>
        <v>0</v>
      </c>
      <c r="AT83" s="588">
        <f>+SUMPRODUCT(ProDegPaths!$CD$25:$CD$65,AT$25:AT$65)</f>
        <v>0</v>
      </c>
      <c r="AU83" s="588">
        <f>+SUMPRODUCT(ProDegPaths!$CD$25:$CD$65,AU$25:AU$65)</f>
        <v>0</v>
      </c>
      <c r="AV83" s="588">
        <f>+SUMPRODUCT(ProDegPaths!$CD$25:$CD$65,AV$25:AV$65)</f>
        <v>0</v>
      </c>
      <c r="AW83" s="588">
        <f>+SUMPRODUCT(ProDegPaths!$CD$25:$CD$65,AW$25:AW$65)</f>
        <v>0</v>
      </c>
      <c r="AX83" s="588">
        <f>+SUMPRODUCT(ProDegPaths!$CD$25:$CD$65,AX$25:AX$65)</f>
        <v>0</v>
      </c>
      <c r="AY83" s="588">
        <f>+SUMPRODUCT(ProDegPaths!$CD$25:$CD$65,AY$25:AY$65)</f>
        <v>0</v>
      </c>
      <c r="AZ83" s="589">
        <f>+SUMPRODUCT(ProDegPaths!$CD$25:$CD$65,AZ$25:AZ$65)</f>
        <v>0</v>
      </c>
      <c r="BA83" s="415"/>
      <c r="BB83" s="295"/>
      <c r="BD83" s="587">
        <f>+SUMPRODUCT(ProDegPaths!$CD$25:$CD$65,BD$25:BD$65)</f>
        <v>0</v>
      </c>
      <c r="BE83" s="588">
        <f>+SUMPRODUCT(ProDegPaths!$CD$25:$CD$65,BE$25:BE$65)</f>
        <v>0</v>
      </c>
      <c r="BF83" s="588">
        <f>+SUMPRODUCT(ProDegPaths!$CD$25:$CD$65,BF$25:BF$65)</f>
        <v>0</v>
      </c>
      <c r="BG83" s="588">
        <f>+SUMPRODUCT(ProDegPaths!$CD$25:$CD$65,BG$25:BG$65)</f>
        <v>0</v>
      </c>
      <c r="BH83" s="588">
        <f>+SUMPRODUCT(ProDegPaths!$CD$25:$CD$65,BH$25:BH$65)</f>
        <v>0</v>
      </c>
      <c r="BI83" s="589">
        <f>+SUMPRODUCT(ProDegPaths!$CD$25:$CD$65,BI$25:BI$65)</f>
        <v>0</v>
      </c>
      <c r="BJ83" s="589">
        <f>+SUMPRODUCT(ProDegPaths!$CD$25:$CD$65,BJ$25:BJ$65)</f>
        <v>0</v>
      </c>
      <c r="BK83" s="589">
        <f>+SUMPRODUCT(ProDegPaths!$CD$25:$CD$65,BK$25:BK$65)</f>
        <v>0</v>
      </c>
      <c r="BL83" s="589">
        <f>+SUMPRODUCT(ProDegPaths!$CD$25:$CD$65,BL$25:BL$65)</f>
        <v>0</v>
      </c>
      <c r="BM83" s="301"/>
      <c r="BN83" s="295"/>
    </row>
    <row r="84" spans="4:66" ht="13.5" customHeight="1" x14ac:dyDescent="0.3">
      <c r="D84" s="624" t="s">
        <v>50</v>
      </c>
      <c r="G84" s="590"/>
      <c r="H84" s="595"/>
      <c r="L84" s="594">
        <f t="shared" si="33"/>
        <v>13</v>
      </c>
      <c r="M84" s="301">
        <v>3</v>
      </c>
      <c r="N84" s="591">
        <f t="shared" si="32"/>
        <v>0.23076923076923078</v>
      </c>
      <c r="O84" s="302">
        <f t="shared" si="34"/>
        <v>16.153846153846153</v>
      </c>
      <c r="P84" s="302">
        <f t="shared" si="35"/>
        <v>13.846153846153847</v>
      </c>
      <c r="Q84" s="592">
        <f t="shared" si="35"/>
        <v>11.538461538461538</v>
      </c>
      <c r="S84" s="624" t="s">
        <v>50</v>
      </c>
      <c r="T84" s="647"/>
      <c r="V84" s="587">
        <f>+SUMPRODUCT(ProDegPaths!$CE$25:$CE$65,V$25:V$65)</f>
        <v>0</v>
      </c>
      <c r="W84" s="588">
        <f>+SUMPRODUCT(ProDegPaths!$CE$25:$CE$65,W$25:W$65)</f>
        <v>0</v>
      </c>
      <c r="X84" s="588">
        <f>+SUMPRODUCT(ProDegPaths!$CE$25:$CE$65,X$25:X$65)</f>
        <v>0</v>
      </c>
      <c r="Y84" s="588">
        <f>+SUMPRODUCT(ProDegPaths!$CE$25:$CE$65,Y$25:Y$65)</f>
        <v>0</v>
      </c>
      <c r="Z84" s="588">
        <f>+SUMPRODUCT(ProDegPaths!$CE$25:$CE$65,Z$25:Z$65)</f>
        <v>0</v>
      </c>
      <c r="AA84" s="588">
        <f>+SUMPRODUCT(ProDegPaths!$CE$25:$CE$65,AA$25:AA$65)</f>
        <v>0</v>
      </c>
      <c r="AB84" s="588">
        <f>+SUMPRODUCT(ProDegPaths!$CE$25:$CE$65,AB$25:AB$65)</f>
        <v>0</v>
      </c>
      <c r="AC84" s="588">
        <f>+SUMPRODUCT(ProDegPaths!$CE$25:$CE$65,AC$25:AC$65)</f>
        <v>0</v>
      </c>
      <c r="AD84" s="588">
        <f>+SUMPRODUCT(ProDegPaths!$CE$25:$CE$65,AD$25:AD$65)</f>
        <v>0</v>
      </c>
      <c r="AE84" s="588">
        <f>+SUMPRODUCT(ProDegPaths!$CE$25:$CE$65,AE$25:AE$65)</f>
        <v>0</v>
      </c>
      <c r="AF84" s="588">
        <f>+SUMPRODUCT(ProDegPaths!$CE$25:$CE$65,AF$25:AF$65)</f>
        <v>0</v>
      </c>
      <c r="AG84" s="588">
        <f>+SUMPRODUCT(ProDegPaths!$CE$25:$CE$65,AG$25:AG$65)</f>
        <v>0</v>
      </c>
      <c r="AH84" s="588">
        <f>+SUMPRODUCT(ProDegPaths!$CE$25:$CE$65,AH$25:AH$65)</f>
        <v>0</v>
      </c>
      <c r="AI84" s="588">
        <f>+SUMPRODUCT(ProDegPaths!$CE$25:$CE$65,AI$25:AI$65)</f>
        <v>0</v>
      </c>
      <c r="AJ84" s="588">
        <f>+SUMPRODUCT(ProDegPaths!$CE$25:$CE$65,AJ$25:AJ$65)</f>
        <v>0</v>
      </c>
      <c r="AK84" s="588">
        <f>+SUMPRODUCT(ProDegPaths!$CE$25:$CE$65,AK$25:AK$65)</f>
        <v>0</v>
      </c>
      <c r="AL84" s="588">
        <f>+SUMPRODUCT(ProDegPaths!$CE$25:$CE$65,AL$25:AL$65)</f>
        <v>0</v>
      </c>
      <c r="AM84" s="588">
        <f>+SUMPRODUCT(ProDegPaths!$CE$25:$CE$65,AM$25:AM$65)</f>
        <v>0</v>
      </c>
      <c r="AN84" s="588">
        <f>+SUMPRODUCT(ProDegPaths!$CE$25:$CE$65,AN$25:AN$65)</f>
        <v>0</v>
      </c>
      <c r="AO84" s="588">
        <f>+SUMPRODUCT(ProDegPaths!$CE$25:$CE$65,AO$25:AO$65)</f>
        <v>0</v>
      </c>
      <c r="AP84" s="588">
        <f>+SUMPRODUCT(ProDegPaths!$CE$25:$CE$65,AP$25:AP$65)</f>
        <v>0</v>
      </c>
      <c r="AQ84" s="588">
        <f>+SUMPRODUCT(ProDegPaths!$CE$25:$CE$65,AQ$25:AQ$65)</f>
        <v>0</v>
      </c>
      <c r="AR84" s="588">
        <f>+SUMPRODUCT(ProDegPaths!$CE$25:$CE$65,AR$25:AR$65)</f>
        <v>0</v>
      </c>
      <c r="AS84" s="588">
        <f>+SUMPRODUCT(ProDegPaths!$CE$25:$CE$65,AS$25:AS$65)</f>
        <v>0</v>
      </c>
      <c r="AT84" s="588">
        <f>+SUMPRODUCT(ProDegPaths!$CE$25:$CE$65,AT$25:AT$65)</f>
        <v>0</v>
      </c>
      <c r="AU84" s="588">
        <f>+SUMPRODUCT(ProDegPaths!$CE$25:$CE$65,AU$25:AU$65)</f>
        <v>0</v>
      </c>
      <c r="AV84" s="588">
        <f>+SUMPRODUCT(ProDegPaths!$CE$25:$CE$65,AV$25:AV$65)</f>
        <v>0</v>
      </c>
      <c r="AW84" s="588">
        <f>+SUMPRODUCT(ProDegPaths!$CE$25:$CE$65,AW$25:AW$65)</f>
        <v>0</v>
      </c>
      <c r="AX84" s="588">
        <f>+SUMPRODUCT(ProDegPaths!$CE$25:$CE$65,AX$25:AX$65)</f>
        <v>0</v>
      </c>
      <c r="AY84" s="588">
        <f>+SUMPRODUCT(ProDegPaths!$CE$25:$CE$65,AY$25:AY$65)</f>
        <v>0</v>
      </c>
      <c r="AZ84" s="589">
        <f>+SUMPRODUCT(ProDegPaths!$CE$25:$CE$65,AZ$25:AZ$65)</f>
        <v>0</v>
      </c>
      <c r="BA84" s="415"/>
      <c r="BB84" s="295"/>
      <c r="BD84" s="587">
        <f>+SUMPRODUCT(ProDegPaths!$CE$25:$CE$65,BD$25:BD$65)</f>
        <v>0</v>
      </c>
      <c r="BE84" s="588">
        <f>+SUMPRODUCT(ProDegPaths!$CE$25:$CE$65,BE$25:BE$65)</f>
        <v>0</v>
      </c>
      <c r="BF84" s="588">
        <f>+SUMPRODUCT(ProDegPaths!$CE$25:$CE$65,BF$25:BF$65)</f>
        <v>0</v>
      </c>
      <c r="BG84" s="588">
        <f>+SUMPRODUCT(ProDegPaths!$CE$25:$CE$65,BG$25:BG$65)</f>
        <v>0</v>
      </c>
      <c r="BH84" s="588">
        <f>+SUMPRODUCT(ProDegPaths!$CE$25:$CE$65,BH$25:BH$65)</f>
        <v>0</v>
      </c>
      <c r="BI84" s="589">
        <f>+SUMPRODUCT(ProDegPaths!$CE$25:$CE$65,BI$25:BI$65)</f>
        <v>0</v>
      </c>
      <c r="BJ84" s="589">
        <f>+SUMPRODUCT(ProDegPaths!$CE$25:$CE$65,BJ$25:BJ$65)</f>
        <v>0</v>
      </c>
      <c r="BK84" s="589">
        <f>+SUMPRODUCT(ProDegPaths!$CE$25:$CE$65,BK$25:BK$65)</f>
        <v>0</v>
      </c>
      <c r="BL84" s="589">
        <f>+SUMPRODUCT(ProDegPaths!$CE$25:$CE$65,BL$25:BL$65)</f>
        <v>0</v>
      </c>
      <c r="BM84" s="301"/>
      <c r="BN84" s="295"/>
    </row>
    <row r="85" spans="4:66" ht="13.5" customHeight="1" x14ac:dyDescent="0.3">
      <c r="D85" s="624" t="s">
        <v>51</v>
      </c>
      <c r="G85" s="590"/>
      <c r="H85" s="595"/>
      <c r="L85" s="594">
        <f t="shared" si="33"/>
        <v>14</v>
      </c>
      <c r="M85" s="301">
        <v>3</v>
      </c>
      <c r="N85" s="591">
        <f t="shared" si="32"/>
        <v>0.21428571428571427</v>
      </c>
      <c r="O85" s="302">
        <f t="shared" si="34"/>
        <v>15</v>
      </c>
      <c r="P85" s="302">
        <f t="shared" si="35"/>
        <v>12.857142857142856</v>
      </c>
      <c r="Q85" s="592">
        <f t="shared" si="35"/>
        <v>10.714285714285714</v>
      </c>
      <c r="S85" s="624" t="s">
        <v>51</v>
      </c>
      <c r="T85" s="647"/>
      <c r="V85" s="587">
        <f>+SUMPRODUCT(ProDegPaths!$CF$25:$CF$65,V$25:V$65)</f>
        <v>0</v>
      </c>
      <c r="W85" s="588">
        <f>+SUMPRODUCT(ProDegPaths!$CF$25:$CF$65,W$25:W$65)</f>
        <v>0</v>
      </c>
      <c r="X85" s="588">
        <f>+SUMPRODUCT(ProDegPaths!$CF$25:$CF$65,X$25:X$65)</f>
        <v>0</v>
      </c>
      <c r="Y85" s="588">
        <f>+SUMPRODUCT(ProDegPaths!$CF$25:$CF$65,Y$25:Y$65)</f>
        <v>0</v>
      </c>
      <c r="Z85" s="588">
        <f>+SUMPRODUCT(ProDegPaths!$CF$25:$CF$65,Z$25:Z$65)</f>
        <v>0</v>
      </c>
      <c r="AA85" s="588">
        <f>+SUMPRODUCT(ProDegPaths!$CF$25:$CF$65,AA$25:AA$65)</f>
        <v>0</v>
      </c>
      <c r="AB85" s="588">
        <f>+SUMPRODUCT(ProDegPaths!$CF$25:$CF$65,AB$25:AB$65)</f>
        <v>0</v>
      </c>
      <c r="AC85" s="588">
        <f>+SUMPRODUCT(ProDegPaths!$CF$25:$CF$65,AC$25:AC$65)</f>
        <v>0</v>
      </c>
      <c r="AD85" s="588">
        <f>+SUMPRODUCT(ProDegPaths!$CF$25:$CF$65,AD$25:AD$65)</f>
        <v>0</v>
      </c>
      <c r="AE85" s="588">
        <f>+SUMPRODUCT(ProDegPaths!$CF$25:$CF$65,AE$25:AE$65)</f>
        <v>0</v>
      </c>
      <c r="AF85" s="588">
        <f>+SUMPRODUCT(ProDegPaths!$CF$25:$CF$65,AF$25:AF$65)</f>
        <v>0</v>
      </c>
      <c r="AG85" s="588">
        <f>+SUMPRODUCT(ProDegPaths!$CF$25:$CF$65,AG$25:AG$65)</f>
        <v>0</v>
      </c>
      <c r="AH85" s="588">
        <f>+SUMPRODUCT(ProDegPaths!$CF$25:$CF$65,AH$25:AH$65)</f>
        <v>0</v>
      </c>
      <c r="AI85" s="588">
        <f>+SUMPRODUCT(ProDegPaths!$CF$25:$CF$65,AI$25:AI$65)</f>
        <v>0</v>
      </c>
      <c r="AJ85" s="588">
        <f>+SUMPRODUCT(ProDegPaths!$CF$25:$CF$65,AJ$25:AJ$65)</f>
        <v>0</v>
      </c>
      <c r="AK85" s="588">
        <f>+SUMPRODUCT(ProDegPaths!$CF$25:$CF$65,AK$25:AK$65)</f>
        <v>0</v>
      </c>
      <c r="AL85" s="588">
        <f>+SUMPRODUCT(ProDegPaths!$CF$25:$CF$65,AL$25:AL$65)</f>
        <v>0</v>
      </c>
      <c r="AM85" s="588">
        <f>+SUMPRODUCT(ProDegPaths!$CF$25:$CF$65,AM$25:AM$65)</f>
        <v>0</v>
      </c>
      <c r="AN85" s="588">
        <f>+SUMPRODUCT(ProDegPaths!$CF$25:$CF$65,AN$25:AN$65)</f>
        <v>0</v>
      </c>
      <c r="AO85" s="588">
        <f>+SUMPRODUCT(ProDegPaths!$CF$25:$CF$65,AO$25:AO$65)</f>
        <v>0</v>
      </c>
      <c r="AP85" s="588">
        <f>+SUMPRODUCT(ProDegPaths!$CF$25:$CF$65,AP$25:AP$65)</f>
        <v>0</v>
      </c>
      <c r="AQ85" s="588">
        <f>+SUMPRODUCT(ProDegPaths!$CF$25:$CF$65,AQ$25:AQ$65)</f>
        <v>0</v>
      </c>
      <c r="AR85" s="588">
        <f>+SUMPRODUCT(ProDegPaths!$CF$25:$CF$65,AR$25:AR$65)</f>
        <v>0</v>
      </c>
      <c r="AS85" s="588">
        <f>+SUMPRODUCT(ProDegPaths!$CF$25:$CF$65,AS$25:AS$65)</f>
        <v>0</v>
      </c>
      <c r="AT85" s="588">
        <f>+SUMPRODUCT(ProDegPaths!$CF$25:$CF$65,AT$25:AT$65)</f>
        <v>0</v>
      </c>
      <c r="AU85" s="588">
        <f>+SUMPRODUCT(ProDegPaths!$CF$25:$CF$65,AU$25:AU$65)</f>
        <v>0</v>
      </c>
      <c r="AV85" s="588">
        <f>+SUMPRODUCT(ProDegPaths!$CF$25:$CF$65,AV$25:AV$65)</f>
        <v>0</v>
      </c>
      <c r="AW85" s="588">
        <f>+SUMPRODUCT(ProDegPaths!$CF$25:$CF$65,AW$25:AW$65)</f>
        <v>0</v>
      </c>
      <c r="AX85" s="588">
        <f>+SUMPRODUCT(ProDegPaths!$CF$25:$CF$65,AX$25:AX$65)</f>
        <v>0</v>
      </c>
      <c r="AY85" s="588">
        <f>+SUMPRODUCT(ProDegPaths!$CF$25:$CF$65,AY$25:AY$65)</f>
        <v>0</v>
      </c>
      <c r="AZ85" s="589">
        <f>+SUMPRODUCT(ProDegPaths!$CF$25:$CF$65,AZ$25:AZ$65)</f>
        <v>0</v>
      </c>
      <c r="BA85" s="415"/>
      <c r="BB85" s="295"/>
      <c r="BD85" s="587">
        <f>+SUMPRODUCT(ProDegPaths!$CF$25:$CF$65,BD$25:BD$65)</f>
        <v>0</v>
      </c>
      <c r="BE85" s="588">
        <f>+SUMPRODUCT(ProDegPaths!$CF$25:$CF$65,BE$25:BE$65)</f>
        <v>0</v>
      </c>
      <c r="BF85" s="588">
        <f>+SUMPRODUCT(ProDegPaths!$CF$25:$CF$65,BF$25:BF$65)</f>
        <v>0</v>
      </c>
      <c r="BG85" s="588">
        <f>+SUMPRODUCT(ProDegPaths!$CF$25:$CF$65,BG$25:BG$65)</f>
        <v>0</v>
      </c>
      <c r="BH85" s="588">
        <f>+SUMPRODUCT(ProDegPaths!$CF$25:$CF$65,BH$25:BH$65)</f>
        <v>0</v>
      </c>
      <c r="BI85" s="589">
        <f>+SUMPRODUCT(ProDegPaths!$CF$25:$CF$65,BI$25:BI$65)</f>
        <v>0</v>
      </c>
      <c r="BJ85" s="589">
        <f>+SUMPRODUCT(ProDegPaths!$CF$25:$CF$65,BJ$25:BJ$65)</f>
        <v>0</v>
      </c>
      <c r="BK85" s="589">
        <f>+SUMPRODUCT(ProDegPaths!$CF$25:$CF$65,BK$25:BK$65)</f>
        <v>0</v>
      </c>
      <c r="BL85" s="589">
        <f>+SUMPRODUCT(ProDegPaths!$CF$25:$CF$65,BL$25:BL$65)</f>
        <v>0</v>
      </c>
      <c r="BM85" s="301"/>
      <c r="BN85" s="295"/>
    </row>
    <row r="86" spans="4:66" ht="13.5" customHeight="1" thickBot="1" x14ac:dyDescent="0.35">
      <c r="D86" s="624" t="s">
        <v>52</v>
      </c>
      <c r="G86" s="590"/>
      <c r="H86" s="595"/>
      <c r="L86" s="596">
        <f t="shared" si="33"/>
        <v>15</v>
      </c>
      <c r="M86" s="597">
        <v>3</v>
      </c>
      <c r="N86" s="598">
        <f t="shared" si="32"/>
        <v>0.2</v>
      </c>
      <c r="O86" s="599">
        <f t="shared" si="34"/>
        <v>14</v>
      </c>
      <c r="P86" s="599">
        <f t="shared" si="35"/>
        <v>12</v>
      </c>
      <c r="Q86" s="600">
        <f t="shared" si="35"/>
        <v>10</v>
      </c>
      <c r="S86" s="624" t="s">
        <v>52</v>
      </c>
      <c r="T86" s="647"/>
      <c r="V86" s="587">
        <f>+SUMPRODUCT(ProDegPaths!$CG$25:$CG$65,V$25:V$65)+SUMPRODUCT(ProDegPaths!$CH$25:$CH$65,V$25:V$65)</f>
        <v>0</v>
      </c>
      <c r="W86" s="588">
        <f>+SUMPRODUCT(ProDegPaths!$CG$25:$CG$65,W$25:W$65)+SUMPRODUCT(ProDegPaths!$CH$25:$CH$65,W$25:W$65)</f>
        <v>0</v>
      </c>
      <c r="X86" s="588">
        <f>+SUMPRODUCT(ProDegPaths!$CG$25:$CG$65,X$25:X$65)+SUMPRODUCT(ProDegPaths!$CH$25:$CH$65,X$25:X$65)</f>
        <v>0</v>
      </c>
      <c r="Y86" s="588">
        <f>+SUMPRODUCT(ProDegPaths!$CG$25:$CG$65,Y$25:Y$65)+SUMPRODUCT(ProDegPaths!$CH$25:$CH$65,Y$25:Y$65)</f>
        <v>0</v>
      </c>
      <c r="Z86" s="588">
        <f>+SUMPRODUCT(ProDegPaths!$CG$25:$CG$65,Z$25:Z$65)+SUMPRODUCT(ProDegPaths!$CH$25:$CH$65,Z$25:Z$65)</f>
        <v>0</v>
      </c>
      <c r="AA86" s="588">
        <f>+SUMPRODUCT(ProDegPaths!$CG$25:$CG$65,AA$25:AA$65)+SUMPRODUCT(ProDegPaths!$CH$25:$CH$65,AA$25:AA$65)</f>
        <v>0</v>
      </c>
      <c r="AB86" s="588">
        <f>+SUMPRODUCT(ProDegPaths!$CG$25:$CG$65,AB$25:AB$65)+SUMPRODUCT(ProDegPaths!$CH$25:$CH$65,AB$25:AB$65)</f>
        <v>0</v>
      </c>
      <c r="AC86" s="588">
        <f>+SUMPRODUCT(ProDegPaths!$CG$25:$CG$65,AC$25:AC$65)+SUMPRODUCT(ProDegPaths!$CH$25:$CH$65,AC$25:AC$65)</f>
        <v>0</v>
      </c>
      <c r="AD86" s="588">
        <f>+SUMPRODUCT(ProDegPaths!$CG$25:$CG$65,AD$25:AD$65)+SUMPRODUCT(ProDegPaths!$CH$25:$CH$65,AD$25:AD$65)</f>
        <v>0</v>
      </c>
      <c r="AE86" s="588">
        <f>+SUMPRODUCT(ProDegPaths!$CG$25:$CG$65,AE$25:AE$65)+SUMPRODUCT(ProDegPaths!$CH$25:$CH$65,AE$25:AE$65)</f>
        <v>0</v>
      </c>
      <c r="AF86" s="588">
        <f>+SUMPRODUCT(ProDegPaths!$CG$25:$CG$65,AF$25:AF$65)+SUMPRODUCT(ProDegPaths!$CH$25:$CH$65,AF$25:AF$65)</f>
        <v>0</v>
      </c>
      <c r="AG86" s="588">
        <f>+SUMPRODUCT(ProDegPaths!$CG$25:$CG$65,AG$25:AG$65)+SUMPRODUCT(ProDegPaths!$CH$25:$CH$65,AG$25:AG$65)</f>
        <v>0</v>
      </c>
      <c r="AH86" s="588">
        <f>+SUMPRODUCT(ProDegPaths!$CG$25:$CG$65,AH$25:AH$65)+SUMPRODUCT(ProDegPaths!$CH$25:$CH$65,AH$25:AH$65)</f>
        <v>0</v>
      </c>
      <c r="AI86" s="588">
        <f>+SUMPRODUCT(ProDegPaths!$CG$25:$CG$65,AI$25:AI$65)+SUMPRODUCT(ProDegPaths!$CH$25:$CH$65,AI$25:AI$65)</f>
        <v>0</v>
      </c>
      <c r="AJ86" s="588">
        <f>+SUMPRODUCT(ProDegPaths!$CG$25:$CG$65,AJ$25:AJ$65)+SUMPRODUCT(ProDegPaths!$CH$25:$CH$65,AJ$25:AJ$65)</f>
        <v>0</v>
      </c>
      <c r="AK86" s="588">
        <f>+SUMPRODUCT(ProDegPaths!$CG$25:$CG$65,AK$25:AK$65)+SUMPRODUCT(ProDegPaths!$CH$25:$CH$65,AK$25:AK$65)</f>
        <v>0</v>
      </c>
      <c r="AL86" s="588">
        <f>+SUMPRODUCT(ProDegPaths!$CG$25:$CG$65,AL$25:AL$65)+SUMPRODUCT(ProDegPaths!$CH$25:$CH$65,AL$25:AL$65)</f>
        <v>0</v>
      </c>
      <c r="AM86" s="588">
        <f>+SUMPRODUCT(ProDegPaths!$CG$25:$CG$65,AM$25:AM$65)+SUMPRODUCT(ProDegPaths!$CH$25:$CH$65,AM$25:AM$65)</f>
        <v>0</v>
      </c>
      <c r="AN86" s="588">
        <f>+SUMPRODUCT(ProDegPaths!$CG$25:$CG$65,AN$25:AN$65)+SUMPRODUCT(ProDegPaths!$CH$25:$CH$65,AN$25:AN$65)</f>
        <v>0</v>
      </c>
      <c r="AO86" s="588">
        <f>+SUMPRODUCT(ProDegPaths!$CG$25:$CG$65,AO$25:AO$65)+SUMPRODUCT(ProDegPaths!$CH$25:$CH$65,AO$25:AO$65)</f>
        <v>0</v>
      </c>
      <c r="AP86" s="588">
        <f>+SUMPRODUCT(ProDegPaths!$CG$25:$CG$65,AP$25:AP$65)+SUMPRODUCT(ProDegPaths!$CH$25:$CH$65,AP$25:AP$65)</f>
        <v>0</v>
      </c>
      <c r="AQ86" s="588">
        <f>+SUMPRODUCT(ProDegPaths!$CG$25:$CG$65,AQ$25:AQ$65)+SUMPRODUCT(ProDegPaths!$CH$25:$CH$65,AQ$25:AQ$65)</f>
        <v>0</v>
      </c>
      <c r="AR86" s="588">
        <f>+SUMPRODUCT(ProDegPaths!$CG$25:$CG$65,AR$25:AR$65)+SUMPRODUCT(ProDegPaths!$CH$25:$CH$65,AR$25:AR$65)</f>
        <v>0</v>
      </c>
      <c r="AS86" s="588">
        <f>+SUMPRODUCT(ProDegPaths!$CG$25:$CG$65,AS$25:AS$65)+SUMPRODUCT(ProDegPaths!$CH$25:$CH$65,AS$25:AS$65)</f>
        <v>0</v>
      </c>
      <c r="AT86" s="588">
        <f>+SUMPRODUCT(ProDegPaths!$CG$25:$CG$65,AT$25:AT$65)+SUMPRODUCT(ProDegPaths!$CH$25:$CH$65,AT$25:AT$65)</f>
        <v>0</v>
      </c>
      <c r="AU86" s="588">
        <f>+SUMPRODUCT(ProDegPaths!$CG$25:$CG$65,AU$25:AU$65)+SUMPRODUCT(ProDegPaths!$CH$25:$CH$65,AU$25:AU$65)</f>
        <v>0</v>
      </c>
      <c r="AV86" s="588">
        <f>+SUMPRODUCT(ProDegPaths!$CG$25:$CG$65,AV$25:AV$65)+SUMPRODUCT(ProDegPaths!$CH$25:$CH$65,AV$25:AV$65)</f>
        <v>0</v>
      </c>
      <c r="AW86" s="588">
        <f>+SUMPRODUCT(ProDegPaths!$CG$25:$CG$65,AW$25:AW$65)+SUMPRODUCT(ProDegPaths!$CH$25:$CH$65,AW$25:AW$65)</f>
        <v>0</v>
      </c>
      <c r="AX86" s="588">
        <f>+SUMPRODUCT(ProDegPaths!$CG$25:$CG$65,AX$25:AX$65)+SUMPRODUCT(ProDegPaths!$CH$25:$CH$65,AX$25:AX$65)</f>
        <v>0</v>
      </c>
      <c r="AY86" s="588">
        <f>+SUMPRODUCT(ProDegPaths!$CG$25:$CG$65,AY$25:AY$65)+SUMPRODUCT(ProDegPaths!$CH$25:$CH$65,AY$25:AY$65)</f>
        <v>0</v>
      </c>
      <c r="AZ86" s="589">
        <f>+SUMPRODUCT(ProDegPaths!$CG$25:$CG$65,AZ$25:AZ$65)+SUMPRODUCT(ProDegPaths!$CH$25:$CH$65,AZ$25:AZ$65)</f>
        <v>0</v>
      </c>
      <c r="BA86" s="415"/>
      <c r="BB86" s="295"/>
      <c r="BD86" s="587">
        <f>+SUMPRODUCT(ProDegPaths!$CG$25:$CG$65,BD$25:BD$65)+SUMPRODUCT(ProDegPaths!$CH$25:$CH$65,BD$25:BD$65)</f>
        <v>0</v>
      </c>
      <c r="BE86" s="588">
        <f>+SUMPRODUCT(ProDegPaths!$CG$25:$CG$65,BE$25:BE$65)+SUMPRODUCT(ProDegPaths!$CH$25:$CH$65,BE$25:BE$65)</f>
        <v>0</v>
      </c>
      <c r="BF86" s="588">
        <f>+SUMPRODUCT(ProDegPaths!$CG$25:$CG$65,BF$25:BF$65)+SUMPRODUCT(ProDegPaths!$CH$25:$CH$65,BF$25:BF$65)</f>
        <v>0</v>
      </c>
      <c r="BG86" s="588">
        <f>+SUMPRODUCT(ProDegPaths!$CG$25:$CG$65,BG$25:BG$65)+SUMPRODUCT(ProDegPaths!$CH$25:$CH$65,BG$25:BG$65)</f>
        <v>0</v>
      </c>
      <c r="BH86" s="588">
        <f>+SUMPRODUCT(ProDegPaths!$CG$25:$CG$65,BH$25:BH$65)+SUMPRODUCT(ProDegPaths!$CH$25:$CH$65,BH$25:BH$65)</f>
        <v>0</v>
      </c>
      <c r="BI86" s="589">
        <f>+SUMPRODUCT(ProDegPaths!$CG$25:$CG$65,BI$25:BI$65)+SUMPRODUCT(ProDegPaths!$CH$25:$CH$65,BI$25:BI$65)</f>
        <v>0</v>
      </c>
      <c r="BJ86" s="589">
        <f>+SUMPRODUCT(ProDegPaths!$CG$25:$CG$65,BJ$25:BJ$65)+SUMPRODUCT(ProDegPaths!$CH$25:$CH$65,BJ$25:BJ$65)</f>
        <v>0</v>
      </c>
      <c r="BK86" s="589">
        <f>+SUMPRODUCT(ProDegPaths!$CG$25:$CG$65,BK$25:BK$65)+SUMPRODUCT(ProDegPaths!$CH$25:$CH$65,BK$25:BK$65)</f>
        <v>0</v>
      </c>
      <c r="BL86" s="589">
        <f>+SUMPRODUCT(ProDegPaths!$CG$25:$CG$65,BL$25:BL$65)+SUMPRODUCT(ProDegPaths!$CH$25:$CH$65,BL$25:BL$65)</f>
        <v>0</v>
      </c>
      <c r="BM86" s="301"/>
      <c r="BN86" s="295"/>
    </row>
    <row r="87" spans="4:66" ht="13.5" customHeight="1" thickBot="1" x14ac:dyDescent="0.35">
      <c r="D87" s="624" t="s">
        <v>53</v>
      </c>
      <c r="G87" s="590"/>
      <c r="H87" s="601"/>
      <c r="L87" s="565"/>
      <c r="Q87" s="538"/>
      <c r="S87" s="624" t="s">
        <v>53</v>
      </c>
      <c r="T87" s="647"/>
      <c r="V87" s="587">
        <f>+SUMPRODUCT(ProDegPaths!$CI$25:$CI$65,V$25:V$65)</f>
        <v>0</v>
      </c>
      <c r="W87" s="588">
        <f>+SUMPRODUCT(ProDegPaths!$CI$25:$CI$65,W$25:W$65)</f>
        <v>0</v>
      </c>
      <c r="X87" s="588">
        <f>+SUMPRODUCT(ProDegPaths!$CI$25:$CI$65,X$25:X$65)</f>
        <v>0</v>
      </c>
      <c r="Y87" s="588">
        <f>+SUMPRODUCT(ProDegPaths!$CI$25:$CI$65,Y$25:Y$65)</f>
        <v>0</v>
      </c>
      <c r="Z87" s="588">
        <f>+SUMPRODUCT(ProDegPaths!$CI$25:$CI$65,Z$25:Z$65)</f>
        <v>0</v>
      </c>
      <c r="AA87" s="588">
        <f>+SUMPRODUCT(ProDegPaths!$CI$25:$CI$65,AA$25:AA$65)</f>
        <v>0</v>
      </c>
      <c r="AB87" s="588">
        <f>+SUMPRODUCT(ProDegPaths!$CI$25:$CI$65,AB$25:AB$65)</f>
        <v>0</v>
      </c>
      <c r="AC87" s="588">
        <f>+SUMPRODUCT(ProDegPaths!$CI$25:$CI$65,AC$25:AC$65)</f>
        <v>0</v>
      </c>
      <c r="AD87" s="588">
        <f>+SUMPRODUCT(ProDegPaths!$CI$25:$CI$65,AD$25:AD$65)</f>
        <v>0</v>
      </c>
      <c r="AE87" s="588">
        <f>+SUMPRODUCT(ProDegPaths!$CI$25:$CI$65,AE$25:AE$65)</f>
        <v>0</v>
      </c>
      <c r="AF87" s="588">
        <f>+SUMPRODUCT(ProDegPaths!$CI$25:$CI$65,AF$25:AF$65)</f>
        <v>0</v>
      </c>
      <c r="AG87" s="588">
        <f>+SUMPRODUCT(ProDegPaths!$CI$25:$CI$65,AG$25:AG$65)</f>
        <v>0</v>
      </c>
      <c r="AH87" s="588">
        <f>+SUMPRODUCT(ProDegPaths!$CI$25:$CI$65,AH$25:AH$65)</f>
        <v>0</v>
      </c>
      <c r="AI87" s="588">
        <f>+SUMPRODUCT(ProDegPaths!$CI$25:$CI$65,AI$25:AI$65)</f>
        <v>0</v>
      </c>
      <c r="AJ87" s="588">
        <f>+SUMPRODUCT(ProDegPaths!$CI$25:$CI$65,AJ$25:AJ$65)</f>
        <v>0</v>
      </c>
      <c r="AK87" s="588">
        <f>+SUMPRODUCT(ProDegPaths!$CI$25:$CI$65,AK$25:AK$65)</f>
        <v>0</v>
      </c>
      <c r="AL87" s="588">
        <f>+SUMPRODUCT(ProDegPaths!$CI$25:$CI$65,AL$25:AL$65)</f>
        <v>0</v>
      </c>
      <c r="AM87" s="588">
        <f>+SUMPRODUCT(ProDegPaths!$CI$25:$CI$65,AM$25:AM$65)</f>
        <v>0</v>
      </c>
      <c r="AN87" s="588">
        <f>+SUMPRODUCT(ProDegPaths!$CI$25:$CI$65,AN$25:AN$65)</f>
        <v>0</v>
      </c>
      <c r="AO87" s="588">
        <f>+SUMPRODUCT(ProDegPaths!$CI$25:$CI$65,AO$25:AO$65)</f>
        <v>0</v>
      </c>
      <c r="AP87" s="588">
        <f>+SUMPRODUCT(ProDegPaths!$CI$25:$CI$65,AP$25:AP$65)</f>
        <v>0</v>
      </c>
      <c r="AQ87" s="588">
        <f>+SUMPRODUCT(ProDegPaths!$CI$25:$CI$65,AQ$25:AQ$65)</f>
        <v>0</v>
      </c>
      <c r="AR87" s="588">
        <f>+SUMPRODUCT(ProDegPaths!$CI$25:$CI$65,AR$25:AR$65)</f>
        <v>0</v>
      </c>
      <c r="AS87" s="588">
        <f>+SUMPRODUCT(ProDegPaths!$CI$25:$CI$65,AS$25:AS$65)</f>
        <v>0</v>
      </c>
      <c r="AT87" s="588">
        <f>+SUMPRODUCT(ProDegPaths!$CI$25:$CI$65,AT$25:AT$65)</f>
        <v>0</v>
      </c>
      <c r="AU87" s="588">
        <f>+SUMPRODUCT(ProDegPaths!$CI$25:$CI$65,AU$25:AU$65)</f>
        <v>0</v>
      </c>
      <c r="AV87" s="588">
        <f>+SUMPRODUCT(ProDegPaths!$CI$25:$CI$65,AV$25:AV$65)</f>
        <v>0</v>
      </c>
      <c r="AW87" s="588">
        <f>+SUMPRODUCT(ProDegPaths!$CI$25:$CI$65,AW$25:AW$65)</f>
        <v>0</v>
      </c>
      <c r="AX87" s="588">
        <f>+SUMPRODUCT(ProDegPaths!$CI$25:$CI$65,AX$25:AX$65)</f>
        <v>0</v>
      </c>
      <c r="AY87" s="588">
        <f>+SUMPRODUCT(ProDegPaths!$CI$25:$CI$65,AY$25:AY$65)</f>
        <v>0</v>
      </c>
      <c r="AZ87" s="589">
        <f>+SUMPRODUCT(ProDegPaths!$CI$25:$CI$65,AZ$25:AZ$65)</f>
        <v>0</v>
      </c>
      <c r="BA87" s="415"/>
      <c r="BB87" s="295"/>
      <c r="BD87" s="587">
        <f>+SUMPRODUCT(ProDegPaths!$CI$25:$CI$65,BD$25:BD$65)</f>
        <v>0</v>
      </c>
      <c r="BE87" s="588">
        <f>+SUMPRODUCT(ProDegPaths!$CI$25:$CI$65,BE$25:BE$65)</f>
        <v>0</v>
      </c>
      <c r="BF87" s="588">
        <f>+SUMPRODUCT(ProDegPaths!$CI$25:$CI$65,BF$25:BF$65)</f>
        <v>0</v>
      </c>
      <c r="BG87" s="588">
        <f>+SUMPRODUCT(ProDegPaths!$CI$25:$CI$65,BG$25:BG$65)</f>
        <v>0</v>
      </c>
      <c r="BH87" s="588">
        <f>+SUMPRODUCT(ProDegPaths!$CI$25:$CI$65,BH$25:BH$65)</f>
        <v>0</v>
      </c>
      <c r="BI87" s="589">
        <f>+SUMPRODUCT(ProDegPaths!$CI$25:$CI$65,BI$25:BI$65)</f>
        <v>0</v>
      </c>
      <c r="BJ87" s="589">
        <f>+SUMPRODUCT(ProDegPaths!$CI$25:$CI$65,BJ$25:BJ$65)</f>
        <v>0</v>
      </c>
      <c r="BK87" s="589">
        <f>+SUMPRODUCT(ProDegPaths!$CI$25:$CI$65,BK$25:BK$65)</f>
        <v>0</v>
      </c>
      <c r="BL87" s="589">
        <f>+SUMPRODUCT(ProDegPaths!$CI$25:$CI$65,BL$25:BL$65)</f>
        <v>0</v>
      </c>
      <c r="BM87" s="301"/>
      <c r="BN87" s="295"/>
    </row>
    <row r="88" spans="4:66" ht="13.5" customHeight="1" x14ac:dyDescent="0.3">
      <c r="D88" s="624" t="s">
        <v>54</v>
      </c>
      <c r="L88" s="602"/>
      <c r="M88" s="585" t="s">
        <v>40</v>
      </c>
      <c r="N88" s="536" t="s">
        <v>41</v>
      </c>
      <c r="Q88" s="538"/>
      <c r="S88" s="624" t="s">
        <v>54</v>
      </c>
      <c r="T88" s="647"/>
      <c r="V88" s="587">
        <f>+SUMPRODUCT(ProDegPaths!$CJ$25:$CJ$65,V$25:V$65)</f>
        <v>0</v>
      </c>
      <c r="W88" s="588">
        <f>+SUMPRODUCT(ProDegPaths!$CJ$25:$CJ$65,W$25:W$65)</f>
        <v>0</v>
      </c>
      <c r="X88" s="588">
        <f>+SUMPRODUCT(ProDegPaths!$CJ$25:$CJ$65,X$25:X$65)</f>
        <v>0</v>
      </c>
      <c r="Y88" s="588">
        <f>+SUMPRODUCT(ProDegPaths!$CJ$25:$CJ$65,Y$25:Y$65)</f>
        <v>0</v>
      </c>
      <c r="Z88" s="588">
        <f>+SUMPRODUCT(ProDegPaths!$CJ$25:$CJ$65,Z$25:Z$65)</f>
        <v>0</v>
      </c>
      <c r="AA88" s="588">
        <f>+SUMPRODUCT(ProDegPaths!$CJ$25:$CJ$65,AA$25:AA$65)</f>
        <v>0</v>
      </c>
      <c r="AB88" s="588">
        <f>+SUMPRODUCT(ProDegPaths!$CJ$25:$CJ$65,AB$25:AB$65)</f>
        <v>0</v>
      </c>
      <c r="AC88" s="588">
        <f>+SUMPRODUCT(ProDegPaths!$CJ$25:$CJ$65,AC$25:AC$65)</f>
        <v>0</v>
      </c>
      <c r="AD88" s="588">
        <f>+SUMPRODUCT(ProDegPaths!$CJ$25:$CJ$65,AD$25:AD$65)</f>
        <v>0</v>
      </c>
      <c r="AE88" s="588">
        <f>+SUMPRODUCT(ProDegPaths!$CJ$25:$CJ$65,AE$25:AE$65)</f>
        <v>0</v>
      </c>
      <c r="AF88" s="588">
        <f>+SUMPRODUCT(ProDegPaths!$CJ$25:$CJ$65,AF$25:AF$65)</f>
        <v>0</v>
      </c>
      <c r="AG88" s="588">
        <f>+SUMPRODUCT(ProDegPaths!$CJ$25:$CJ$65,AG$25:AG$65)</f>
        <v>0</v>
      </c>
      <c r="AH88" s="588">
        <f>+SUMPRODUCT(ProDegPaths!$CJ$25:$CJ$65,AH$25:AH$65)</f>
        <v>0</v>
      </c>
      <c r="AI88" s="588">
        <f>+SUMPRODUCT(ProDegPaths!$CJ$25:$CJ$65,AI$25:AI$65)</f>
        <v>0</v>
      </c>
      <c r="AJ88" s="588">
        <f>+SUMPRODUCT(ProDegPaths!$CJ$25:$CJ$65,AJ$25:AJ$65)</f>
        <v>0</v>
      </c>
      <c r="AK88" s="588">
        <f>+SUMPRODUCT(ProDegPaths!$CJ$25:$CJ$65,AK$25:AK$65)</f>
        <v>0</v>
      </c>
      <c r="AL88" s="588">
        <f>+SUMPRODUCT(ProDegPaths!$CJ$25:$CJ$65,AL$25:AL$65)</f>
        <v>0</v>
      </c>
      <c r="AM88" s="588">
        <f>+SUMPRODUCT(ProDegPaths!$CJ$25:$CJ$65,AM$25:AM$65)</f>
        <v>0</v>
      </c>
      <c r="AN88" s="588">
        <f>+SUMPRODUCT(ProDegPaths!$CJ$25:$CJ$65,AN$25:AN$65)</f>
        <v>0</v>
      </c>
      <c r="AO88" s="588">
        <f>+SUMPRODUCT(ProDegPaths!$CJ$25:$CJ$65,AO$25:AO$65)</f>
        <v>0</v>
      </c>
      <c r="AP88" s="588">
        <f>+SUMPRODUCT(ProDegPaths!$CJ$25:$CJ$65,AP$25:AP$65)</f>
        <v>0</v>
      </c>
      <c r="AQ88" s="588">
        <f>+SUMPRODUCT(ProDegPaths!$CJ$25:$CJ$65,AQ$25:AQ$65)</f>
        <v>0</v>
      </c>
      <c r="AR88" s="588">
        <f>+SUMPRODUCT(ProDegPaths!$CJ$25:$CJ$65,AR$25:AR$65)</f>
        <v>0</v>
      </c>
      <c r="AS88" s="588">
        <f>+SUMPRODUCT(ProDegPaths!$CJ$25:$CJ$65,AS$25:AS$65)</f>
        <v>0</v>
      </c>
      <c r="AT88" s="588">
        <f>+SUMPRODUCT(ProDegPaths!$CJ$25:$CJ$65,AT$25:AT$65)</f>
        <v>0</v>
      </c>
      <c r="AU88" s="588">
        <f>+SUMPRODUCT(ProDegPaths!$CJ$25:$CJ$65,AU$25:AU$65)</f>
        <v>0</v>
      </c>
      <c r="AV88" s="588">
        <f>+SUMPRODUCT(ProDegPaths!$CJ$25:$CJ$65,AV$25:AV$65)</f>
        <v>0</v>
      </c>
      <c r="AW88" s="588">
        <f>+SUMPRODUCT(ProDegPaths!$CJ$25:$CJ$65,AW$25:AW$65)</f>
        <v>0</v>
      </c>
      <c r="AX88" s="588">
        <f>+SUMPRODUCT(ProDegPaths!$CJ$25:$CJ$65,AX$25:AX$65)</f>
        <v>0</v>
      </c>
      <c r="AY88" s="588">
        <f>+SUMPRODUCT(ProDegPaths!$CJ$25:$CJ$65,AY$25:AY$65)</f>
        <v>0</v>
      </c>
      <c r="AZ88" s="589">
        <f>+SUMPRODUCT(ProDegPaths!$CJ$25:$CJ$65,AZ$25:AZ$65)</f>
        <v>0</v>
      </c>
      <c r="BA88" s="415"/>
      <c r="BB88" s="295"/>
      <c r="BD88" s="587">
        <f>+SUMPRODUCT(ProDegPaths!$CJ$25:$CJ$65,BD$25:BD$65)</f>
        <v>0</v>
      </c>
      <c r="BE88" s="588">
        <f>+SUMPRODUCT(ProDegPaths!$CJ$25:$CJ$65,BE$25:BE$65)</f>
        <v>0</v>
      </c>
      <c r="BF88" s="588">
        <f>+SUMPRODUCT(ProDegPaths!$CJ$25:$CJ$65,BF$25:BF$65)</f>
        <v>0</v>
      </c>
      <c r="BG88" s="588">
        <f>+SUMPRODUCT(ProDegPaths!$CJ$25:$CJ$65,BG$25:BG$65)</f>
        <v>0</v>
      </c>
      <c r="BH88" s="588">
        <f>+SUMPRODUCT(ProDegPaths!$CJ$25:$CJ$65,BH$25:BH$65)</f>
        <v>0</v>
      </c>
      <c r="BI88" s="589">
        <f>+SUMPRODUCT(ProDegPaths!$CJ$25:$CJ$65,BI$25:BI$65)</f>
        <v>0</v>
      </c>
      <c r="BJ88" s="589">
        <f>+SUMPRODUCT(ProDegPaths!$CJ$25:$CJ$65,BJ$25:BJ$65)</f>
        <v>0</v>
      </c>
      <c r="BK88" s="589">
        <f>+SUMPRODUCT(ProDegPaths!$CJ$25:$CJ$65,BK$25:BK$65)</f>
        <v>0</v>
      </c>
      <c r="BL88" s="589">
        <f>+SUMPRODUCT(ProDegPaths!$CJ$25:$CJ$65,BL$25:BL$65)</f>
        <v>0</v>
      </c>
      <c r="BM88" s="301"/>
      <c r="BN88" s="295"/>
    </row>
    <row r="89" spans="4:66" ht="13.5" customHeight="1" thickBot="1" x14ac:dyDescent="0.35">
      <c r="D89" s="625" t="s">
        <v>55</v>
      </c>
      <c r="L89" s="603" t="s">
        <v>79</v>
      </c>
      <c r="M89" s="599">
        <f>+MIN(O80:Q86)</f>
        <v>10</v>
      </c>
      <c r="N89" s="600">
        <f>+MAX(O80:Q86)</f>
        <v>23.333333333333332</v>
      </c>
      <c r="Q89" s="538"/>
      <c r="S89" s="625" t="s">
        <v>55</v>
      </c>
      <c r="T89" s="647"/>
      <c r="V89" s="604">
        <f t="shared" ref="V89:AZ89" si="36">+SUMPRODUCT($F$25:$F$65,V$25:V$65)</f>
        <v>0</v>
      </c>
      <c r="W89" s="605">
        <f t="shared" si="36"/>
        <v>0</v>
      </c>
      <c r="X89" s="605">
        <f t="shared" si="36"/>
        <v>0</v>
      </c>
      <c r="Y89" s="605">
        <f t="shared" si="36"/>
        <v>0</v>
      </c>
      <c r="Z89" s="605">
        <f t="shared" si="36"/>
        <v>0</v>
      </c>
      <c r="AA89" s="605">
        <f t="shared" si="36"/>
        <v>0</v>
      </c>
      <c r="AB89" s="605">
        <f t="shared" si="36"/>
        <v>0</v>
      </c>
      <c r="AC89" s="605">
        <f t="shared" si="36"/>
        <v>0</v>
      </c>
      <c r="AD89" s="605">
        <f t="shared" si="36"/>
        <v>0</v>
      </c>
      <c r="AE89" s="605">
        <f t="shared" si="36"/>
        <v>0</v>
      </c>
      <c r="AF89" s="605">
        <f t="shared" si="36"/>
        <v>0</v>
      </c>
      <c r="AG89" s="605">
        <f t="shared" si="36"/>
        <v>0</v>
      </c>
      <c r="AH89" s="605">
        <f t="shared" si="36"/>
        <v>0</v>
      </c>
      <c r="AI89" s="605">
        <f t="shared" si="36"/>
        <v>0</v>
      </c>
      <c r="AJ89" s="605">
        <f t="shared" si="36"/>
        <v>0</v>
      </c>
      <c r="AK89" s="605">
        <f t="shared" si="36"/>
        <v>0</v>
      </c>
      <c r="AL89" s="605">
        <f t="shared" si="36"/>
        <v>0</v>
      </c>
      <c r="AM89" s="605">
        <f t="shared" si="36"/>
        <v>0</v>
      </c>
      <c r="AN89" s="605">
        <f t="shared" si="36"/>
        <v>0</v>
      </c>
      <c r="AO89" s="605">
        <f t="shared" si="36"/>
        <v>0</v>
      </c>
      <c r="AP89" s="605">
        <f t="shared" si="36"/>
        <v>0</v>
      </c>
      <c r="AQ89" s="605">
        <f t="shared" si="36"/>
        <v>0</v>
      </c>
      <c r="AR89" s="605">
        <f t="shared" si="36"/>
        <v>0</v>
      </c>
      <c r="AS89" s="605">
        <f t="shared" si="36"/>
        <v>0</v>
      </c>
      <c r="AT89" s="605">
        <f t="shared" si="36"/>
        <v>0</v>
      </c>
      <c r="AU89" s="605">
        <f t="shared" si="36"/>
        <v>0</v>
      </c>
      <c r="AV89" s="605">
        <f t="shared" si="36"/>
        <v>0</v>
      </c>
      <c r="AW89" s="605">
        <f t="shared" si="36"/>
        <v>0</v>
      </c>
      <c r="AX89" s="605">
        <f t="shared" si="36"/>
        <v>0</v>
      </c>
      <c r="AY89" s="605">
        <f t="shared" si="36"/>
        <v>0</v>
      </c>
      <c r="AZ89" s="606">
        <f t="shared" si="36"/>
        <v>0</v>
      </c>
      <c r="BA89" s="415"/>
      <c r="BB89" s="295"/>
      <c r="BD89" s="604">
        <f t="shared" ref="BD89:BL89" si="37">+SUMPRODUCT($F$25:$F$65,BD$25:BD$65)</f>
        <v>0</v>
      </c>
      <c r="BE89" s="605">
        <f t="shared" si="37"/>
        <v>0</v>
      </c>
      <c r="BF89" s="605">
        <f t="shared" si="37"/>
        <v>0</v>
      </c>
      <c r="BG89" s="605">
        <f t="shared" si="37"/>
        <v>0</v>
      </c>
      <c r="BH89" s="605">
        <f t="shared" si="37"/>
        <v>0</v>
      </c>
      <c r="BI89" s="606">
        <f t="shared" si="37"/>
        <v>0</v>
      </c>
      <c r="BJ89" s="606">
        <f t="shared" si="37"/>
        <v>0</v>
      </c>
      <c r="BK89" s="606">
        <f t="shared" si="37"/>
        <v>0</v>
      </c>
      <c r="BL89" s="606">
        <f t="shared" si="37"/>
        <v>0</v>
      </c>
      <c r="BM89" s="301"/>
      <c r="BN89" s="295"/>
    </row>
    <row r="90" spans="4:66" ht="14.4" thickTop="1" x14ac:dyDescent="0.3">
      <c r="Q90" s="538"/>
      <c r="T90" s="647"/>
      <c r="BA90" s="415"/>
      <c r="BB90" s="295"/>
      <c r="BM90" s="301"/>
      <c r="BN90" s="295"/>
    </row>
    <row r="91" spans="4:66" x14ac:dyDescent="0.3">
      <c r="Q91" s="538"/>
      <c r="T91" s="647"/>
      <c r="BA91" s="272"/>
      <c r="BB91" s="295"/>
      <c r="BN91" s="295"/>
    </row>
    <row r="92" spans="4:66" x14ac:dyDescent="0.3">
      <c r="Q92" s="538"/>
      <c r="T92" s="647"/>
      <c r="BA92" s="272"/>
      <c r="BB92" s="295"/>
      <c r="BN92" s="295"/>
    </row>
    <row r="93" spans="4:66" x14ac:dyDescent="0.3">
      <c r="Q93" s="538"/>
      <c r="T93" s="647"/>
      <c r="BB93" s="295"/>
      <c r="BN93" s="295"/>
    </row>
    <row r="94" spans="4:66" x14ac:dyDescent="0.3">
      <c r="F94" s="301"/>
      <c r="G94" s="301"/>
      <c r="T94" s="647"/>
      <c r="BB94" s="295"/>
      <c r="BN94" s="295"/>
    </row>
    <row r="95" spans="4:66" x14ac:dyDescent="0.3">
      <c r="G95" s="554"/>
      <c r="T95" s="647"/>
      <c r="BB95" s="295"/>
      <c r="BN95" s="295"/>
    </row>
    <row r="96" spans="4:66" x14ac:dyDescent="0.3">
      <c r="T96" s="647"/>
      <c r="BB96" s="295"/>
      <c r="BN96" s="295"/>
    </row>
    <row r="97" spans="20:66" x14ac:dyDescent="0.3">
      <c r="T97" s="647"/>
      <c r="BB97" s="295"/>
      <c r="BN97" s="295"/>
    </row>
    <row r="98" spans="20:66" x14ac:dyDescent="0.3">
      <c r="T98" s="647"/>
      <c r="BB98" s="295"/>
      <c r="BN98" s="295"/>
    </row>
    <row r="99" spans="20:66" x14ac:dyDescent="0.3">
      <c r="T99" s="647"/>
      <c r="BB99" s="295"/>
      <c r="BN99" s="295"/>
    </row>
    <row r="100" spans="20:66" x14ac:dyDescent="0.3">
      <c r="T100" s="647"/>
      <c r="BB100" s="295"/>
      <c r="BN100" s="295"/>
    </row>
    <row r="101" spans="20:66" x14ac:dyDescent="0.3">
      <c r="T101" s="647"/>
      <c r="BB101" s="295"/>
      <c r="BN101" s="295"/>
    </row>
    <row r="102" spans="20:66" x14ac:dyDescent="0.3">
      <c r="T102" s="647"/>
      <c r="BB102" s="295"/>
      <c r="BN102" s="295"/>
    </row>
    <row r="103" spans="20:66" x14ac:dyDescent="0.3">
      <c r="T103" s="647"/>
      <c r="BB103" s="295"/>
      <c r="BN103" s="295"/>
    </row>
    <row r="104" spans="20:66" x14ac:dyDescent="0.3">
      <c r="T104" s="647"/>
      <c r="BB104" s="295"/>
      <c r="BN104" s="295"/>
    </row>
    <row r="105" spans="20:66" x14ac:dyDescent="0.3">
      <c r="T105" s="647"/>
      <c r="BB105" s="295"/>
      <c r="BN105" s="295"/>
    </row>
    <row r="106" spans="20:66" x14ac:dyDescent="0.3">
      <c r="T106" s="647"/>
      <c r="BB106" s="295"/>
      <c r="BN106" s="295"/>
    </row>
    <row r="107" spans="20:66" x14ac:dyDescent="0.3">
      <c r="T107" s="647"/>
      <c r="BB107" s="295"/>
      <c r="BN107" s="295"/>
    </row>
    <row r="108" spans="20:66" x14ac:dyDescent="0.3">
      <c r="T108" s="647"/>
      <c r="BB108" s="295"/>
      <c r="BN108" s="295"/>
    </row>
    <row r="109" spans="20:66" x14ac:dyDescent="0.3">
      <c r="T109" s="647"/>
      <c r="BB109" s="295"/>
      <c r="BN109" s="295"/>
    </row>
    <row r="110" spans="20:66" x14ac:dyDescent="0.3">
      <c r="T110" s="647"/>
      <c r="BB110" s="295"/>
      <c r="BN110" s="295"/>
    </row>
    <row r="111" spans="20:66" ht="15.75" customHeight="1" x14ac:dyDescent="0.3">
      <c r="T111" s="647"/>
      <c r="BB111" s="295"/>
      <c r="BN111" s="295"/>
    </row>
    <row r="112" spans="20:66" x14ac:dyDescent="0.3">
      <c r="T112" s="647"/>
      <c r="BB112" s="295"/>
      <c r="BN112" s="295"/>
    </row>
    <row r="113" spans="2:82" ht="15.6" x14ac:dyDescent="0.3">
      <c r="B113" s="607"/>
      <c r="C113" s="607"/>
      <c r="H113" s="608"/>
      <c r="T113" s="647"/>
      <c r="BB113" s="295"/>
      <c r="BN113" s="295"/>
    </row>
    <row r="114" spans="2:82" x14ac:dyDescent="0.3">
      <c r="B114" s="607"/>
      <c r="C114" s="607"/>
      <c r="T114" s="647"/>
      <c r="BB114" s="295"/>
      <c r="BN114" s="295"/>
    </row>
    <row r="115" spans="2:82" x14ac:dyDescent="0.3">
      <c r="B115" s="607"/>
      <c r="C115" s="607"/>
      <c r="T115" s="647"/>
      <c r="BB115" s="295"/>
      <c r="BN115" s="295"/>
      <c r="BY115" s="415"/>
      <c r="BZ115" s="415"/>
      <c r="CA115" s="415"/>
      <c r="CB115" s="415"/>
      <c r="CC115" s="415"/>
      <c r="CD115" s="415"/>
    </row>
    <row r="116" spans="2:82" ht="14.4" thickBot="1" x14ac:dyDescent="0.35">
      <c r="B116" s="607"/>
      <c r="C116" s="607"/>
      <c r="T116" s="647"/>
      <c r="BB116" s="295"/>
      <c r="BN116" s="295"/>
      <c r="BY116" s="415"/>
      <c r="BZ116" s="415"/>
      <c r="CA116" s="415"/>
      <c r="CB116" s="415"/>
      <c r="CC116" s="415"/>
      <c r="CD116" s="415"/>
    </row>
    <row r="117" spans="2:82" ht="15.75" customHeight="1" thickBot="1" x14ac:dyDescent="0.35">
      <c r="B117" s="607"/>
      <c r="C117" s="607"/>
      <c r="D117" s="654" t="s">
        <v>922</v>
      </c>
      <c r="E117" s="655"/>
      <c r="F117" s="655"/>
      <c r="G117" s="656"/>
      <c r="T117" s="647"/>
      <c r="BB117" s="295"/>
      <c r="BN117" s="295"/>
      <c r="BY117" s="415"/>
      <c r="BZ117" s="415"/>
      <c r="CA117" s="415"/>
      <c r="CB117" s="415"/>
      <c r="CC117" s="415"/>
      <c r="CD117" s="415"/>
    </row>
    <row r="118" spans="2:82" x14ac:dyDescent="0.3">
      <c r="B118" s="607"/>
      <c r="C118" s="607"/>
      <c r="D118" s="609"/>
      <c r="E118" s="610"/>
      <c r="F118" s="610"/>
      <c r="G118" s="611"/>
      <c r="T118" s="647"/>
      <c r="BB118" s="295"/>
      <c r="BN118" s="295"/>
      <c r="BY118" s="415"/>
      <c r="BZ118" s="415"/>
      <c r="CA118" s="415"/>
      <c r="CB118" s="415"/>
      <c r="CC118" s="415"/>
      <c r="CD118" s="415"/>
    </row>
    <row r="119" spans="2:82" x14ac:dyDescent="0.3">
      <c r="B119" s="607"/>
      <c r="C119" s="607"/>
      <c r="D119" s="612" t="s">
        <v>80</v>
      </c>
      <c r="E119" s="613">
        <v>0.1</v>
      </c>
      <c r="F119" s="614" t="s">
        <v>81</v>
      </c>
      <c r="G119" s="615"/>
      <c r="T119" s="647"/>
      <c r="BB119" s="295"/>
      <c r="BN119" s="295"/>
      <c r="BY119" s="415"/>
      <c r="BZ119" s="415"/>
      <c r="CA119" s="415"/>
      <c r="CB119" s="415"/>
      <c r="CC119" s="415"/>
      <c r="CD119" s="415"/>
    </row>
    <row r="120" spans="2:82" x14ac:dyDescent="0.3">
      <c r="B120" s="607"/>
      <c r="C120" s="607"/>
      <c r="D120" s="612" t="s">
        <v>82</v>
      </c>
      <c r="E120" s="616">
        <f>1000^5</f>
        <v>1000000000000000</v>
      </c>
      <c r="F120" s="614"/>
      <c r="G120" s="615"/>
      <c r="T120" s="647"/>
      <c r="BB120" s="295"/>
      <c r="BN120" s="295"/>
      <c r="BY120" s="415"/>
      <c r="BZ120" s="415"/>
      <c r="CA120" s="415"/>
      <c r="CB120" s="415"/>
      <c r="CC120" s="415"/>
      <c r="CD120" s="415"/>
    </row>
    <row r="121" spans="2:82" x14ac:dyDescent="0.3">
      <c r="B121" s="607"/>
      <c r="C121" s="607"/>
      <c r="D121" s="612" t="s">
        <v>80</v>
      </c>
      <c r="E121" s="614">
        <f>+E119/E120</f>
        <v>1.0000000000000001E-16</v>
      </c>
      <c r="F121" s="614" t="s">
        <v>83</v>
      </c>
      <c r="G121" s="615"/>
      <c r="T121" s="647"/>
      <c r="BB121" s="295"/>
      <c r="BN121" s="295"/>
      <c r="BY121" s="415"/>
      <c r="BZ121" s="415"/>
      <c r="CA121" s="415"/>
      <c r="CB121" s="415"/>
      <c r="CC121" s="415"/>
      <c r="CD121" s="415"/>
    </row>
    <row r="122" spans="2:82" x14ac:dyDescent="0.3">
      <c r="B122" s="607"/>
      <c r="C122" s="607"/>
      <c r="D122" s="612"/>
      <c r="E122" s="614"/>
      <c r="F122" s="614" t="s">
        <v>84</v>
      </c>
      <c r="G122" s="615"/>
      <c r="T122" s="647"/>
      <c r="BB122" s="295"/>
      <c r="BN122" s="295"/>
      <c r="BY122" s="415"/>
      <c r="BZ122" s="415"/>
      <c r="CA122" s="415"/>
      <c r="CB122" s="415"/>
      <c r="CC122" s="415"/>
      <c r="CD122" s="415"/>
    </row>
    <row r="123" spans="2:82" x14ac:dyDescent="0.3">
      <c r="B123" s="607"/>
      <c r="C123" s="607"/>
      <c r="D123" s="612"/>
      <c r="E123" s="614"/>
      <c r="F123" s="614"/>
      <c r="G123" s="615"/>
      <c r="T123" s="647"/>
      <c r="BB123" s="295"/>
      <c r="BN123" s="295"/>
      <c r="BY123" s="415"/>
      <c r="BZ123" s="415"/>
      <c r="CA123" s="415"/>
      <c r="CB123" s="415"/>
      <c r="CC123" s="415"/>
      <c r="CD123" s="415"/>
    </row>
    <row r="124" spans="2:82" x14ac:dyDescent="0.3">
      <c r="B124" s="607"/>
      <c r="C124" s="607"/>
      <c r="D124" s="612" t="s">
        <v>85</v>
      </c>
      <c r="E124" s="617">
        <v>9.9999999999999995E-7</v>
      </c>
      <c r="F124" s="614" t="s">
        <v>86</v>
      </c>
      <c r="G124" s="615"/>
      <c r="T124" s="647"/>
      <c r="BB124" s="295"/>
      <c r="BN124" s="295"/>
      <c r="BY124" s="415"/>
      <c r="BZ124" s="415"/>
      <c r="CA124" s="415"/>
      <c r="CB124" s="415"/>
      <c r="CC124" s="415"/>
      <c r="CD124" s="415"/>
    </row>
    <row r="125" spans="2:82" x14ac:dyDescent="0.3">
      <c r="D125" s="612"/>
      <c r="E125" s="614"/>
      <c r="F125" s="614"/>
      <c r="G125" s="615"/>
      <c r="T125" s="647"/>
      <c r="BB125" s="295"/>
      <c r="BN125" s="295"/>
      <c r="BY125" s="415"/>
      <c r="BZ125" s="415"/>
      <c r="CA125" s="415"/>
      <c r="CB125" s="415"/>
      <c r="CC125" s="415"/>
      <c r="CD125" s="415"/>
    </row>
    <row r="126" spans="2:82" x14ac:dyDescent="0.3">
      <c r="D126" s="612" t="s">
        <v>38</v>
      </c>
      <c r="E126" s="614">
        <f>6.23*10^23</f>
        <v>6.2300000000000001E+23</v>
      </c>
      <c r="F126" s="614" t="s">
        <v>87</v>
      </c>
      <c r="G126" s="615"/>
      <c r="T126" s="647"/>
      <c r="BB126" s="295"/>
      <c r="BN126" s="295"/>
      <c r="BY126" s="415"/>
      <c r="BZ126" s="415"/>
      <c r="CA126" s="415"/>
      <c r="CB126" s="415"/>
      <c r="CC126" s="415"/>
      <c r="CD126" s="415"/>
    </row>
    <row r="127" spans="2:82" x14ac:dyDescent="0.3">
      <c r="B127" s="301"/>
      <c r="C127" s="301"/>
      <c r="D127" s="612"/>
      <c r="E127" s="614"/>
      <c r="F127" s="614"/>
      <c r="G127" s="615"/>
      <c r="BB127" s="295"/>
      <c r="BN127" s="295"/>
    </row>
    <row r="128" spans="2:82" x14ac:dyDescent="0.3">
      <c r="B128" s="301"/>
      <c r="C128" s="301"/>
      <c r="D128" s="612" t="s">
        <v>88</v>
      </c>
      <c r="E128" s="618">
        <f>+E126*E124</f>
        <v>6.23E+17</v>
      </c>
      <c r="F128" s="614" t="s">
        <v>89</v>
      </c>
      <c r="G128" s="615"/>
    </row>
    <row r="129" spans="2:19" x14ac:dyDescent="0.3">
      <c r="B129" s="301"/>
      <c r="C129" s="301"/>
      <c r="D129" s="612"/>
      <c r="E129" s="614"/>
      <c r="F129" s="614"/>
      <c r="G129" s="615"/>
    </row>
    <row r="130" spans="2:19" x14ac:dyDescent="0.3">
      <c r="B130" s="301"/>
      <c r="C130" s="301"/>
      <c r="D130" s="612" t="s">
        <v>90</v>
      </c>
      <c r="E130" s="614">
        <f>+ROUND(E128*E121,0)</f>
        <v>62</v>
      </c>
      <c r="F130" s="614" t="s">
        <v>91</v>
      </c>
      <c r="G130" s="615"/>
    </row>
    <row r="131" spans="2:19" ht="14.4" thickBot="1" x14ac:dyDescent="0.35">
      <c r="B131" s="301"/>
      <c r="C131" s="301"/>
      <c r="D131" s="619"/>
      <c r="E131" s="620"/>
      <c r="F131" s="620"/>
      <c r="G131" s="621"/>
    </row>
    <row r="132" spans="2:19" ht="18" x14ac:dyDescent="0.3">
      <c r="B132" s="301"/>
      <c r="C132" s="301"/>
      <c r="S132" s="622"/>
    </row>
    <row r="133" spans="2:19" x14ac:dyDescent="0.3">
      <c r="B133" s="301"/>
      <c r="C133" s="301"/>
    </row>
    <row r="134" spans="2:19" x14ac:dyDescent="0.3">
      <c r="B134" s="301"/>
      <c r="C134" s="301"/>
    </row>
    <row r="135" spans="2:19" x14ac:dyDescent="0.3">
      <c r="B135" s="301"/>
      <c r="C135" s="301"/>
    </row>
    <row r="136" spans="2:19" x14ac:dyDescent="0.3">
      <c r="B136" s="301"/>
      <c r="C136" s="301"/>
    </row>
    <row r="137" spans="2:19" x14ac:dyDescent="0.3">
      <c r="B137" s="301"/>
      <c r="C137" s="301"/>
    </row>
    <row r="138" spans="2:19" x14ac:dyDescent="0.3">
      <c r="B138" s="301"/>
      <c r="C138" s="301"/>
    </row>
    <row r="139" spans="2:19" x14ac:dyDescent="0.3">
      <c r="B139" s="301"/>
      <c r="C139" s="301"/>
    </row>
    <row r="140" spans="2:19" x14ac:dyDescent="0.3">
      <c r="B140" s="301"/>
      <c r="C140" s="301"/>
    </row>
    <row r="141" spans="2:19" x14ac:dyDescent="0.3">
      <c r="B141" s="301"/>
      <c r="C141" s="301"/>
    </row>
    <row r="142" spans="2:19" x14ac:dyDescent="0.3">
      <c r="B142" s="301"/>
      <c r="C142" s="301"/>
    </row>
    <row r="143" spans="2:19" x14ac:dyDescent="0.3">
      <c r="B143" s="301"/>
      <c r="C143" s="301"/>
      <c r="D143" s="319"/>
      <c r="E143" s="319"/>
      <c r="F143" s="319"/>
      <c r="G143" s="319"/>
    </row>
    <row r="144" spans="2:19" x14ac:dyDescent="0.3">
      <c r="B144" s="301"/>
      <c r="C144" s="301"/>
    </row>
  </sheetData>
  <sheetProtection formatCells="0" formatColumns="0" formatRows="0" insertColumns="0" insertRows="0" deleteColumns="0" deleteRows="0" sort="0"/>
  <dataConsolidate/>
  <mergeCells count="4">
    <mergeCell ref="S66:S67"/>
    <mergeCell ref="G75:I75"/>
    <mergeCell ref="G79:H79"/>
    <mergeCell ref="D117:G117"/>
  </mergeCells>
  <conditionalFormatting sqref="L65:O65 L25:L27 N26:N27 BB25:BB27 Q65 R45:R54 R25:R27 O45:O54 L66:Q66 BM66:BN66 L45:L56 N30:N34 M30:M31 BM29:BM31 R62 L62 N62:P62 BM59:BM65 Q61:Q63 L58 BN49:BN65 N58:R58 L59:R59 BN44:BN45 O44:P44 R29:R34 O25:P34 Q27:Q34 BN29:BN34 BB29:BB34 BC25:BC34 O43:R43 L29:L36 L37:R42 BM35:BN43 BB35:BC66 M35:R36 L43:M43 V66:AK67 U25:U65 AM66:AZ67">
    <cfRule type="cellIs" dxfId="524" priority="631" stopIfTrue="1" operator="equal">
      <formula>0</formula>
    </cfRule>
  </conditionalFormatting>
  <conditionalFormatting sqref="CP60:CU61 AK60 Q60:S60 L60:O60 Y60:AC60 AY60 AE60:AF60 AH60:AI60 AM60 AO60:AS60">
    <cfRule type="cellIs" dxfId="523" priority="632" stopIfTrue="1" operator="equal">
      <formula>0</formula>
    </cfRule>
  </conditionalFormatting>
  <conditionalFormatting sqref="BA69 BA71:BA72 BA76 AW71:AW72 AW76 Y76:AC76 Y71:AC72 AM76:AR76 AM71:AR72 AE71:AF72 AE76:AF76 AH76 AH71:AH72 BM77 BE67:BG67 BI67:BJ68 BF68:BG68 BD69:BG69 BI69:BK69">
    <cfRule type="cellIs" dxfId="522" priority="626" stopIfTrue="1" operator="lessThanOrEqual">
      <formula>-0.00001</formula>
    </cfRule>
    <cfRule type="cellIs" dxfId="521" priority="627" stopIfTrue="1" operator="greaterThan">
      <formula>0.00001</formula>
    </cfRule>
    <cfRule type="cellIs" dxfId="520" priority="628" stopIfTrue="1" operator="between">
      <formula>-0.00001</formula>
      <formula>0.00001</formula>
    </cfRule>
  </conditionalFormatting>
  <conditionalFormatting sqref="Y77:AC89 AW77:AW89 AK77:AK89 AE77:AF89 AH77:AI89 AM77:AS89 BA78:BA90 AZ77:AZ89">
    <cfRule type="cellIs" dxfId="519" priority="629" stopIfTrue="1" operator="notBetween">
      <formula>-0.000001</formula>
      <formula>0.000001</formula>
    </cfRule>
    <cfRule type="cellIs" dxfId="518" priority="630" stopIfTrue="1" operator="between">
      <formula>-0.000001</formula>
      <formula>0.000001</formula>
    </cfRule>
  </conditionalFormatting>
  <conditionalFormatting sqref="Y25:Y27 AM65 BK66 Y65:AC65 AX65 AE65:AF65 AH65:AI65 AS59 AS55:AX58 BD66:BI66 AY61:AY65 AO61:AR61 V61:AK64 AW61:AX64 BD61:BI64 V58:Z59 AM55:AN59 AY49:AY59 AA55:AI59 AJ58:AK59 AO44:AR59 Z44 AY45:AY46 AK44 AA25:AI34 V29:Z34 AJ29:AK34 V35:AK43 BG25:BI58 BD29:BF54 AM44:AN44 AM61:AN64 AS44:AV54 BK25:BK58 BK61:BK64 AO62:AV65 AM25:AY43">
    <cfRule type="cellIs" dxfId="517" priority="633" stopIfTrue="1" operator="equal">
      <formula>0</formula>
    </cfRule>
  </conditionalFormatting>
  <conditionalFormatting sqref="BA73:BA75 AW73:AW75 Y73:AC75 AM73:AR75 AE73:AF75 AH73:AH75">
    <cfRule type="cellIs" dxfId="516" priority="634" stopIfTrue="1" operator="greaterThan">
      <formula>-0.00001</formula>
    </cfRule>
    <cfRule type="cellIs" dxfId="515" priority="635" stopIfTrue="1" operator="lessThanOrEqual">
      <formula>0.00001</formula>
    </cfRule>
    <cfRule type="cellIs" dxfId="514" priority="636" stopIfTrue="1" operator="between">
      <formula>-0.00001</formula>
      <formula>0.00001</formula>
    </cfRule>
  </conditionalFormatting>
  <conditionalFormatting sqref="CP65:CU65 CP25:CU59">
    <cfRule type="cellIs" dxfId="513" priority="624" stopIfTrue="1" operator="equal">
      <formula>"NA"</formula>
    </cfRule>
    <cfRule type="cellIs" dxfId="512" priority="625" stopIfTrue="1" operator="equal">
      <formula>0</formula>
    </cfRule>
  </conditionalFormatting>
  <conditionalFormatting sqref="BB28 L28 N28 R28">
    <cfRule type="cellIs" dxfId="511" priority="622" stopIfTrue="1" operator="equal">
      <formula>0</formula>
    </cfRule>
  </conditionalFormatting>
  <conditionalFormatting sqref="Y28">
    <cfRule type="cellIs" dxfId="510" priority="623" stopIfTrue="1" operator="equal">
      <formula>0</formula>
    </cfRule>
  </conditionalFormatting>
  <conditionalFormatting sqref="Y55">
    <cfRule type="cellIs" dxfId="509" priority="621" stopIfTrue="1" operator="equal">
      <formula>0</formula>
    </cfRule>
  </conditionalFormatting>
  <conditionalFormatting sqref="L55 O55 R55">
    <cfRule type="cellIs" dxfId="508" priority="620" stopIfTrue="1" operator="equal">
      <formula>0</formula>
    </cfRule>
  </conditionalFormatting>
  <conditionalFormatting sqref="AK56:AK57">
    <cfRule type="cellIs" dxfId="507" priority="602" stopIfTrue="1" operator="equal">
      <formula>0</formula>
    </cfRule>
  </conditionalFormatting>
  <conditionalFormatting sqref="AI71:AI72 AI76 AS76 AS71:AS72">
    <cfRule type="cellIs" dxfId="506" priority="614" stopIfTrue="1" operator="lessThanOrEqual">
      <formula>-0.00001</formula>
    </cfRule>
    <cfRule type="cellIs" dxfId="505" priority="615" stopIfTrue="1" operator="greaterThan">
      <formula>0.00001</formula>
    </cfRule>
    <cfRule type="cellIs" dxfId="504" priority="616" stopIfTrue="1" operator="between">
      <formula>-0.00001</formula>
      <formula>0.00001</formula>
    </cfRule>
  </conditionalFormatting>
  <conditionalFormatting sqref="AI73:AI75 AS73:AS75">
    <cfRule type="cellIs" dxfId="503" priority="617" stopIfTrue="1" operator="greaterThan">
      <formula>-0.00001</formula>
    </cfRule>
    <cfRule type="cellIs" dxfId="502" priority="618" stopIfTrue="1" operator="lessThanOrEqual">
      <formula>0.00001</formula>
    </cfRule>
    <cfRule type="cellIs" dxfId="501" priority="619" stopIfTrue="1" operator="between">
      <formula>-0.00001</formula>
      <formula>0.00001</formula>
    </cfRule>
  </conditionalFormatting>
  <conditionalFormatting sqref="Y56:Y57">
    <cfRule type="cellIs" dxfId="500" priority="613" stopIfTrue="1" operator="equal">
      <formula>0</formula>
    </cfRule>
  </conditionalFormatting>
  <conditionalFormatting sqref="L56 N56:O56 Q56:R56">
    <cfRule type="cellIs" dxfId="499" priority="612" stopIfTrue="1" operator="equal">
      <formula>0</formula>
    </cfRule>
  </conditionalFormatting>
  <conditionalFormatting sqref="AK76 AK71:AK72">
    <cfRule type="cellIs" dxfId="498" priority="605" stopIfTrue="1" operator="lessThanOrEqual">
      <formula>-0.00001</formula>
    </cfRule>
    <cfRule type="cellIs" dxfId="497" priority="606" stopIfTrue="1" operator="greaterThan">
      <formula>0.00001</formula>
    </cfRule>
    <cfRule type="cellIs" dxfId="496" priority="607" stopIfTrue="1" operator="between">
      <formula>-0.00001</formula>
      <formula>0.00001</formula>
    </cfRule>
  </conditionalFormatting>
  <conditionalFormatting sqref="AK25:AK27 AK65">
    <cfRule type="cellIs" dxfId="495" priority="608" stopIfTrue="1" operator="equal">
      <formula>0</formula>
    </cfRule>
  </conditionalFormatting>
  <conditionalFormatting sqref="AK73:AK75">
    <cfRule type="cellIs" dxfId="494" priority="609" stopIfTrue="1" operator="greaterThan">
      <formula>-0.00001</formula>
    </cfRule>
    <cfRule type="cellIs" dxfId="493" priority="610" stopIfTrue="1" operator="lessThanOrEqual">
      <formula>0.00001</formula>
    </cfRule>
    <cfRule type="cellIs" dxfId="492" priority="611" stopIfTrue="1" operator="between">
      <formula>-0.00001</formula>
      <formula>0.00001</formula>
    </cfRule>
  </conditionalFormatting>
  <conditionalFormatting sqref="AK28">
    <cfRule type="cellIs" dxfId="491" priority="604" stopIfTrue="1" operator="equal">
      <formula>0</formula>
    </cfRule>
  </conditionalFormatting>
  <conditionalFormatting sqref="AK55">
    <cfRule type="cellIs" dxfId="490" priority="603" stopIfTrue="1" operator="equal">
      <formula>0</formula>
    </cfRule>
  </conditionalFormatting>
  <conditionalFormatting sqref="BB113:BB127">
    <cfRule type="cellIs" dxfId="489" priority="601" stopIfTrue="1" operator="equal">
      <formula>0</formula>
    </cfRule>
  </conditionalFormatting>
  <conditionalFormatting sqref="BB98:BB112">
    <cfRule type="cellIs" dxfId="488" priority="600" stopIfTrue="1" operator="equal">
      <formula>0</formula>
    </cfRule>
  </conditionalFormatting>
  <conditionalFormatting sqref="BB94:BB96">
    <cfRule type="cellIs" dxfId="487" priority="599" stopIfTrue="1" operator="equal">
      <formula>0</formula>
    </cfRule>
  </conditionalFormatting>
  <conditionalFormatting sqref="BB97">
    <cfRule type="cellIs" dxfId="486" priority="598" stopIfTrue="1" operator="equal">
      <formula>0</formula>
    </cfRule>
  </conditionalFormatting>
  <conditionalFormatting sqref="AZ71:AZ72 AZ76">
    <cfRule type="cellIs" dxfId="485" priority="592" stopIfTrue="1" operator="lessThanOrEqual">
      <formula>-0.00001</formula>
    </cfRule>
    <cfRule type="cellIs" dxfId="484" priority="593" stopIfTrue="1" operator="greaterThan">
      <formula>0.00001</formula>
    </cfRule>
    <cfRule type="cellIs" dxfId="483" priority="594" stopIfTrue="1" operator="between">
      <formula>-0.00001</formula>
      <formula>0.00001</formula>
    </cfRule>
  </conditionalFormatting>
  <conditionalFormatting sqref="AZ73:AZ75">
    <cfRule type="cellIs" dxfId="482" priority="595" stopIfTrue="1" operator="greaterThan">
      <formula>-0.00001</formula>
    </cfRule>
    <cfRule type="cellIs" dxfId="481" priority="596" stopIfTrue="1" operator="lessThanOrEqual">
      <formula>0.00001</formula>
    </cfRule>
    <cfRule type="cellIs" dxfId="480" priority="597" stopIfTrue="1" operator="between">
      <formula>-0.00001</formula>
      <formula>0.00001</formula>
    </cfRule>
  </conditionalFormatting>
  <conditionalFormatting sqref="R44">
    <cfRule type="cellIs" dxfId="479" priority="591" stopIfTrue="1" operator="equal">
      <formula>0</formula>
    </cfRule>
  </conditionalFormatting>
  <conditionalFormatting sqref="Z25:Z27">
    <cfRule type="cellIs" dxfId="478" priority="590" stopIfTrue="1" operator="equal">
      <formula>0</formula>
    </cfRule>
  </conditionalFormatting>
  <conditionalFormatting sqref="Z28">
    <cfRule type="cellIs" dxfId="477" priority="589" stopIfTrue="1" operator="equal">
      <formula>0</formula>
    </cfRule>
  </conditionalFormatting>
  <conditionalFormatting sqref="Z55">
    <cfRule type="cellIs" dxfId="476" priority="588" stopIfTrue="1" operator="equal">
      <formula>0</formula>
    </cfRule>
  </conditionalFormatting>
  <conditionalFormatting sqref="Z56:Z57">
    <cfRule type="cellIs" dxfId="475" priority="587" stopIfTrue="1" operator="equal">
      <formula>0</formula>
    </cfRule>
  </conditionalFormatting>
  <conditionalFormatting sqref="H68">
    <cfRule type="cellIs" dxfId="474" priority="586" operator="greaterThan">
      <formula>0.5</formula>
    </cfRule>
  </conditionalFormatting>
  <conditionalFormatting sqref="M25">
    <cfRule type="cellIs" dxfId="473" priority="585" stopIfTrue="1" operator="equal">
      <formula>0</formula>
    </cfRule>
  </conditionalFormatting>
  <conditionalFormatting sqref="M29">
    <cfRule type="cellIs" dxfId="472" priority="584" stopIfTrue="1" operator="equal">
      <formula>0</formula>
    </cfRule>
  </conditionalFormatting>
  <conditionalFormatting sqref="Q25">
    <cfRule type="cellIs" dxfId="471" priority="583" stopIfTrue="1" operator="equal">
      <formula>0</formula>
    </cfRule>
  </conditionalFormatting>
  <conditionalFormatting sqref="Q26:Q28">
    <cfRule type="cellIs" dxfId="470" priority="582" stopIfTrue="1" operator="equal">
      <formula>0</formula>
    </cfRule>
  </conditionalFormatting>
  <conditionalFormatting sqref="N25:N44">
    <cfRule type="cellIs" dxfId="469" priority="581" stopIfTrue="1" operator="equal">
      <formula>0</formula>
    </cfRule>
  </conditionalFormatting>
  <conditionalFormatting sqref="N43">
    <cfRule type="cellIs" dxfId="468" priority="580" stopIfTrue="1" operator="equal">
      <formula>0</formula>
    </cfRule>
  </conditionalFormatting>
  <conditionalFormatting sqref="N29">
    <cfRule type="cellIs" dxfId="467" priority="579" stopIfTrue="1" operator="equal">
      <formula>0</formula>
    </cfRule>
  </conditionalFormatting>
  <conditionalFormatting sqref="Q43">
    <cfRule type="cellIs" dxfId="466" priority="578" stopIfTrue="1" operator="equal">
      <formula>0</formula>
    </cfRule>
  </conditionalFormatting>
  <conditionalFormatting sqref="Q32:Q34">
    <cfRule type="cellIs" dxfId="465" priority="577" stopIfTrue="1" operator="equal">
      <formula>0</formula>
    </cfRule>
  </conditionalFormatting>
  <conditionalFormatting sqref="N44">
    <cfRule type="cellIs" dxfId="464" priority="575" stopIfTrue="1" operator="equal">
      <formula>0</formula>
    </cfRule>
  </conditionalFormatting>
  <conditionalFormatting sqref="M25:M30">
    <cfRule type="cellIs" dxfId="463" priority="569" stopIfTrue="1" operator="equal">
      <formula>0</formula>
    </cfRule>
  </conditionalFormatting>
  <conditionalFormatting sqref="M56 M44:M54">
    <cfRule type="cellIs" dxfId="462" priority="568" stopIfTrue="1" operator="equal">
      <formula>0</formula>
    </cfRule>
  </conditionalFormatting>
  <conditionalFormatting sqref="N32:N34">
    <cfRule type="cellIs" dxfId="461" priority="567" stopIfTrue="1" operator="equal">
      <formula>0</formula>
    </cfRule>
  </conditionalFormatting>
  <conditionalFormatting sqref="M32:M34">
    <cfRule type="cellIs" dxfId="460" priority="566" stopIfTrue="1" operator="equal">
      <formula>0</formula>
    </cfRule>
  </conditionalFormatting>
  <conditionalFormatting sqref="Q26">
    <cfRule type="cellIs" dxfId="459" priority="562" stopIfTrue="1" operator="equal">
      <formula>0</formula>
    </cfRule>
  </conditionalFormatting>
  <conditionalFormatting sqref="N55">
    <cfRule type="cellIs" dxfId="458" priority="564" stopIfTrue="1" operator="equal">
      <formula>0</formula>
    </cfRule>
  </conditionalFormatting>
  <conditionalFormatting sqref="Q55">
    <cfRule type="cellIs" dxfId="457" priority="563" stopIfTrue="1" operator="equal">
      <formula>0</formula>
    </cfRule>
  </conditionalFormatting>
  <conditionalFormatting sqref="P65 P45:P54">
    <cfRule type="cellIs" dxfId="456" priority="560" stopIfTrue="1" operator="equal">
      <formula>0</formula>
    </cfRule>
  </conditionalFormatting>
  <conditionalFormatting sqref="P60">
    <cfRule type="cellIs" dxfId="455" priority="561" stopIfTrue="1" operator="equal">
      <formula>0</formula>
    </cfRule>
  </conditionalFormatting>
  <conditionalFormatting sqref="P55">
    <cfRule type="cellIs" dxfId="454" priority="559" stopIfTrue="1" operator="equal">
      <formula>0</formula>
    </cfRule>
  </conditionalFormatting>
  <conditionalFormatting sqref="P56">
    <cfRule type="cellIs" dxfId="453" priority="558" stopIfTrue="1" operator="equal">
      <formula>0</formula>
    </cfRule>
  </conditionalFormatting>
  <conditionalFormatting sqref="Q45:Q54">
    <cfRule type="cellIs" dxfId="452" priority="557" stopIfTrue="1" operator="equal">
      <formula>0</formula>
    </cfRule>
  </conditionalFormatting>
  <conditionalFormatting sqref="Q44">
    <cfRule type="cellIs" dxfId="451" priority="556" stopIfTrue="1" operator="equal">
      <formula>0</formula>
    </cfRule>
  </conditionalFormatting>
  <conditionalFormatting sqref="Q44">
    <cfRule type="cellIs" dxfId="450" priority="555" stopIfTrue="1" operator="equal">
      <formula>0</formula>
    </cfRule>
  </conditionalFormatting>
  <conditionalFormatting sqref="Y44:Y54 AA44:AC54 AX44 AE44:AF54 AH44:AI54 AX47:AX54">
    <cfRule type="cellIs" dxfId="449" priority="552" stopIfTrue="1" operator="equal">
      <formula>0</formula>
    </cfRule>
  </conditionalFormatting>
  <conditionalFormatting sqref="AK45:AK54 AM45:AM54">
    <cfRule type="cellIs" dxfId="448" priority="554" stopIfTrue="1" operator="equal">
      <formula>0</formula>
    </cfRule>
  </conditionalFormatting>
  <conditionalFormatting sqref="Z45:Z54">
    <cfRule type="cellIs" dxfId="447" priority="553" stopIfTrue="1" operator="equal">
      <formula>0</formula>
    </cfRule>
  </conditionalFormatting>
  <conditionalFormatting sqref="BN98:BN112">
    <cfRule type="cellIs" dxfId="446" priority="522" stopIfTrue="1" operator="equal">
      <formula>0</formula>
    </cfRule>
  </conditionalFormatting>
  <conditionalFormatting sqref="AS61 AU61:AV61">
    <cfRule type="cellIs" dxfId="445" priority="551" stopIfTrue="1" operator="equal">
      <formula>0</formula>
    </cfRule>
  </conditionalFormatting>
  <conditionalFormatting sqref="BD25:BD27 BD65 BD58">
    <cfRule type="cellIs" dxfId="444" priority="528" stopIfTrue="1" operator="equal">
      <formula>0</formula>
    </cfRule>
  </conditionalFormatting>
  <conditionalFormatting sqref="BD77:BF89 BK77:BK89 BH77:BH89 BM78:BM90">
    <cfRule type="cellIs" dxfId="443" priority="549" stopIfTrue="1" operator="notBetween">
      <formula>-0.000001</formula>
      <formula>0.000001</formula>
    </cfRule>
    <cfRule type="cellIs" dxfId="442" priority="550" stopIfTrue="1" operator="between">
      <formula>-0.000001</formula>
      <formula>0.000001</formula>
    </cfRule>
  </conditionalFormatting>
  <conditionalFormatting sqref="BC113:BC127">
    <cfRule type="cellIs" dxfId="441" priority="548" stopIfTrue="1" operator="equal">
      <formula>0</formula>
    </cfRule>
  </conditionalFormatting>
  <conditionalFormatting sqref="BC98:BC112">
    <cfRule type="cellIs" dxfId="440" priority="547" stopIfTrue="1" operator="equal">
      <formula>0</formula>
    </cfRule>
  </conditionalFormatting>
  <conditionalFormatting sqref="BC94:BC96">
    <cfRule type="cellIs" dxfId="439" priority="546" stopIfTrue="1" operator="equal">
      <formula>0</formula>
    </cfRule>
  </conditionalFormatting>
  <conditionalFormatting sqref="BC97">
    <cfRule type="cellIs" dxfId="438" priority="545" stopIfTrue="1" operator="equal">
      <formula>0</formula>
    </cfRule>
  </conditionalFormatting>
  <conditionalFormatting sqref="BM49:BM51 BM46:BN46 BM44">
    <cfRule type="cellIs" dxfId="437" priority="539" stopIfTrue="1" operator="equal">
      <formula>0</formula>
    </cfRule>
  </conditionalFormatting>
  <conditionalFormatting sqref="BE60:BF60 BH60">
    <cfRule type="cellIs" dxfId="436" priority="540" stopIfTrue="1" operator="equal">
      <formula>0</formula>
    </cfRule>
  </conditionalFormatting>
  <conditionalFormatting sqref="BD76:BE76 BD71:BE72 BH71:BH72 BH76">
    <cfRule type="cellIs" dxfId="435" priority="536" stopIfTrue="1" operator="lessThanOrEqual">
      <formula>-0.00001</formula>
    </cfRule>
    <cfRule type="cellIs" dxfId="434" priority="537" stopIfTrue="1" operator="greaterThan">
      <formula>0.00001</formula>
    </cfRule>
    <cfRule type="cellIs" dxfId="433" priority="538" stopIfTrue="1" operator="between">
      <formula>-0.00001</formula>
      <formula>0.00001</formula>
    </cfRule>
  </conditionalFormatting>
  <conditionalFormatting sqref="BE25:BF28 BE55:BF58 BE65:BF65 BH65">
    <cfRule type="cellIs" dxfId="432" priority="541" stopIfTrue="1" operator="equal">
      <formula>0</formula>
    </cfRule>
  </conditionalFormatting>
  <conditionalFormatting sqref="BD73:BE75 BH73:BH75">
    <cfRule type="cellIs" dxfId="431" priority="542" stopIfTrue="1" operator="greaterThan">
      <formula>-0.00001</formula>
    </cfRule>
    <cfRule type="cellIs" dxfId="430" priority="543" stopIfTrue="1" operator="lessThanOrEqual">
      <formula>0.00001</formula>
    </cfRule>
    <cfRule type="cellIs" dxfId="429" priority="544" stopIfTrue="1" operator="between">
      <formula>-0.00001</formula>
      <formula>0.00001</formula>
    </cfRule>
  </conditionalFormatting>
  <conditionalFormatting sqref="BN47:BN48">
    <cfRule type="cellIs" dxfId="428" priority="535" stopIfTrue="1" operator="equal">
      <formula>0</formula>
    </cfRule>
  </conditionalFormatting>
  <conditionalFormatting sqref="BD56:BD57">
    <cfRule type="cellIs" dxfId="427" priority="524" stopIfTrue="1" operator="equal">
      <formula>0</formula>
    </cfRule>
  </conditionalFormatting>
  <conditionalFormatting sqref="BM48 BM25:BN27">
    <cfRule type="cellIs" dxfId="426" priority="533" stopIfTrue="1" operator="equal">
      <formula>0</formula>
    </cfRule>
  </conditionalFormatting>
  <conditionalFormatting sqref="BD60">
    <cfRule type="cellIs" dxfId="425" priority="534" stopIfTrue="1" operator="equal">
      <formula>0</formula>
    </cfRule>
  </conditionalFormatting>
  <conditionalFormatting sqref="BM71:BM76">
    <cfRule type="cellIs" dxfId="424" priority="530" stopIfTrue="1" operator="lessThanOrEqual">
      <formula>-0.00001</formula>
    </cfRule>
    <cfRule type="cellIs" dxfId="423" priority="531" stopIfTrue="1" operator="greaterThan">
      <formula>0.00001</formula>
    </cfRule>
    <cfRule type="cellIs" dxfId="422" priority="532" stopIfTrue="1" operator="between">
      <formula>-0.00001</formula>
      <formula>0.00001</formula>
    </cfRule>
  </conditionalFormatting>
  <conditionalFormatting sqref="BM28:BN28">
    <cfRule type="cellIs" dxfId="421" priority="529" stopIfTrue="1" operator="equal">
      <formula>0</formula>
    </cfRule>
  </conditionalFormatting>
  <conditionalFormatting sqref="BD28">
    <cfRule type="cellIs" dxfId="420" priority="526" stopIfTrue="1" operator="equal">
      <formula>0</formula>
    </cfRule>
  </conditionalFormatting>
  <conditionalFormatting sqref="BD55">
    <cfRule type="cellIs" dxfId="419" priority="525" stopIfTrue="1" operator="equal">
      <formula>0</formula>
    </cfRule>
  </conditionalFormatting>
  <conditionalFormatting sqref="BD60">
    <cfRule type="cellIs" dxfId="418" priority="527" stopIfTrue="1" operator="equal">
      <formula>0</formula>
    </cfRule>
  </conditionalFormatting>
  <conditionalFormatting sqref="BN113:BN127">
    <cfRule type="cellIs" dxfId="417" priority="523" stopIfTrue="1" operator="equal">
      <formula>0</formula>
    </cfRule>
  </conditionalFormatting>
  <conditionalFormatting sqref="BN94:BN96">
    <cfRule type="cellIs" dxfId="416" priority="521" stopIfTrue="1" operator="equal">
      <formula>0</formula>
    </cfRule>
  </conditionalFormatting>
  <conditionalFormatting sqref="BN97">
    <cfRule type="cellIs" dxfId="415" priority="520" stopIfTrue="1" operator="equal">
      <formula>0</formula>
    </cfRule>
  </conditionalFormatting>
  <conditionalFormatting sqref="BK71:BK72 BK76">
    <cfRule type="cellIs" dxfId="414" priority="514" stopIfTrue="1" operator="lessThanOrEqual">
      <formula>-0.00001</formula>
    </cfRule>
    <cfRule type="cellIs" dxfId="413" priority="515" stopIfTrue="1" operator="greaterThan">
      <formula>0.00001</formula>
    </cfRule>
    <cfRule type="cellIs" dxfId="412" priority="516" stopIfTrue="1" operator="between">
      <formula>-0.00001</formula>
      <formula>0.00001</formula>
    </cfRule>
  </conditionalFormatting>
  <conditionalFormatting sqref="BK73:BK75">
    <cfRule type="cellIs" dxfId="411" priority="517" stopIfTrue="1" operator="greaterThan">
      <formula>-0.00001</formula>
    </cfRule>
    <cfRule type="cellIs" dxfId="410" priority="518" stopIfTrue="1" operator="lessThanOrEqual">
      <formula>0.00001</formula>
    </cfRule>
    <cfRule type="cellIs" dxfId="409" priority="519" stopIfTrue="1" operator="between">
      <formula>-0.00001</formula>
      <formula>0.00001</formula>
    </cfRule>
  </conditionalFormatting>
  <conditionalFormatting sqref="BK60">
    <cfRule type="cellIs" dxfId="408" priority="512" stopIfTrue="1" operator="equal">
      <formula>0</formula>
    </cfRule>
  </conditionalFormatting>
  <conditionalFormatting sqref="BK65">
    <cfRule type="cellIs" dxfId="407" priority="513" stopIfTrue="1" operator="equal">
      <formula>0</formula>
    </cfRule>
  </conditionalFormatting>
  <conditionalFormatting sqref="BF76 BF71:BF72">
    <cfRule type="cellIs" dxfId="406" priority="503" stopIfTrue="1" operator="lessThanOrEqual">
      <formula>-0.00001</formula>
    </cfRule>
    <cfRule type="cellIs" dxfId="405" priority="504" stopIfTrue="1" operator="greaterThan">
      <formula>0.00001</formula>
    </cfRule>
    <cfRule type="cellIs" dxfId="404" priority="505" stopIfTrue="1" operator="between">
      <formula>-0.00001</formula>
      <formula>0.00001</formula>
    </cfRule>
  </conditionalFormatting>
  <conditionalFormatting sqref="BF73:BF75">
    <cfRule type="cellIs" dxfId="403" priority="506" stopIfTrue="1" operator="greaterThan">
      <formula>-0.00001</formula>
    </cfRule>
    <cfRule type="cellIs" dxfId="402" priority="507" stopIfTrue="1" operator="lessThanOrEqual">
      <formula>0.00001</formula>
    </cfRule>
    <cfRule type="cellIs" dxfId="401" priority="508" stopIfTrue="1" operator="between">
      <formula>-0.00001</formula>
      <formula>0.00001</formula>
    </cfRule>
  </conditionalFormatting>
  <conditionalFormatting sqref="BE59:BF59 BK59 BH59">
    <cfRule type="cellIs" dxfId="400" priority="502" stopIfTrue="1" operator="equal">
      <formula>0</formula>
    </cfRule>
  </conditionalFormatting>
  <conditionalFormatting sqref="BI77:BI89">
    <cfRule type="cellIs" dxfId="399" priority="500" stopIfTrue="1" operator="notBetween">
      <formula>-0.000001</formula>
      <formula>0.000001</formula>
    </cfRule>
    <cfRule type="cellIs" dxfId="398" priority="501" stopIfTrue="1" operator="between">
      <formula>-0.000001</formula>
      <formula>0.000001</formula>
    </cfRule>
  </conditionalFormatting>
  <conditionalFormatting sqref="BI71:BI72 BI76">
    <cfRule type="cellIs" dxfId="397" priority="494" stopIfTrue="1" operator="lessThanOrEqual">
      <formula>-0.00001</formula>
    </cfRule>
    <cfRule type="cellIs" dxfId="396" priority="495" stopIfTrue="1" operator="greaterThan">
      <formula>0.00001</formula>
    </cfRule>
    <cfRule type="cellIs" dxfId="395" priority="496" stopIfTrue="1" operator="between">
      <formula>-0.00001</formula>
      <formula>0.00001</formula>
    </cfRule>
  </conditionalFormatting>
  <conditionalFormatting sqref="BI73:BI75">
    <cfRule type="cellIs" dxfId="394" priority="497" stopIfTrue="1" operator="greaterThan">
      <formula>-0.00001</formula>
    </cfRule>
    <cfRule type="cellIs" dxfId="393" priority="498" stopIfTrue="1" operator="lessThanOrEqual">
      <formula>0.00001</formula>
    </cfRule>
    <cfRule type="cellIs" dxfId="392" priority="499" stopIfTrue="1" operator="between">
      <formula>-0.00001</formula>
      <formula>0.00001</formula>
    </cfRule>
  </conditionalFormatting>
  <conditionalFormatting sqref="BI60">
    <cfRule type="cellIs" dxfId="391" priority="492" stopIfTrue="1" operator="equal">
      <formula>0</formula>
    </cfRule>
  </conditionalFormatting>
  <conditionalFormatting sqref="BI65">
    <cfRule type="cellIs" dxfId="390" priority="493" stopIfTrue="1" operator="equal">
      <formula>0</formula>
    </cfRule>
  </conditionalFormatting>
  <conditionalFormatting sqref="BI59">
    <cfRule type="cellIs" dxfId="389" priority="491" stopIfTrue="1" operator="equal">
      <formula>0</formula>
    </cfRule>
  </conditionalFormatting>
  <conditionalFormatting sqref="BG77:BG89">
    <cfRule type="cellIs" dxfId="388" priority="489" stopIfTrue="1" operator="notBetween">
      <formula>-0.000001</formula>
      <formula>0.000001</formula>
    </cfRule>
    <cfRule type="cellIs" dxfId="387" priority="490" stopIfTrue="1" operator="between">
      <formula>-0.000001</formula>
      <formula>0.000001</formula>
    </cfRule>
  </conditionalFormatting>
  <conditionalFormatting sqref="BG60">
    <cfRule type="cellIs" dxfId="386" priority="487" stopIfTrue="1" operator="equal">
      <formula>0</formula>
    </cfRule>
  </conditionalFormatting>
  <conditionalFormatting sqref="BG65">
    <cfRule type="cellIs" dxfId="385" priority="488" stopIfTrue="1" operator="equal">
      <formula>0</formula>
    </cfRule>
  </conditionalFormatting>
  <conditionalFormatting sqref="BG76 BG71:BG72">
    <cfRule type="cellIs" dxfId="384" priority="481" stopIfTrue="1" operator="lessThanOrEqual">
      <formula>-0.00001</formula>
    </cfRule>
    <cfRule type="cellIs" dxfId="383" priority="482" stopIfTrue="1" operator="greaterThan">
      <formula>0.00001</formula>
    </cfRule>
    <cfRule type="cellIs" dxfId="382" priority="483" stopIfTrue="1" operator="between">
      <formula>-0.00001</formula>
      <formula>0.00001</formula>
    </cfRule>
  </conditionalFormatting>
  <conditionalFormatting sqref="BG73:BG75">
    <cfRule type="cellIs" dxfId="381" priority="484" stopIfTrue="1" operator="greaterThan">
      <formula>-0.00001</formula>
    </cfRule>
    <cfRule type="cellIs" dxfId="380" priority="485" stopIfTrue="1" operator="lessThanOrEqual">
      <formula>0.00001</formula>
    </cfRule>
    <cfRule type="cellIs" dxfId="379" priority="486" stopIfTrue="1" operator="between">
      <formula>-0.00001</formula>
      <formula>0.00001</formula>
    </cfRule>
  </conditionalFormatting>
  <conditionalFormatting sqref="BG59">
    <cfRule type="cellIs" dxfId="378" priority="480" stopIfTrue="1" operator="equal">
      <formula>0</formula>
    </cfRule>
  </conditionalFormatting>
  <conditionalFormatting sqref="AU77:AU89">
    <cfRule type="cellIs" dxfId="377" priority="478" stopIfTrue="1" operator="notBetween">
      <formula>-0.000001</formula>
      <formula>0.000001</formula>
    </cfRule>
    <cfRule type="cellIs" dxfId="376" priority="479" stopIfTrue="1" operator="between">
      <formula>-0.000001</formula>
      <formula>0.000001</formula>
    </cfRule>
  </conditionalFormatting>
  <conditionalFormatting sqref="AU71:AU72 AU76">
    <cfRule type="cellIs" dxfId="375" priority="472" stopIfTrue="1" operator="lessThanOrEqual">
      <formula>-0.00001</formula>
    </cfRule>
    <cfRule type="cellIs" dxfId="374" priority="473" stopIfTrue="1" operator="greaterThan">
      <formula>0.00001</formula>
    </cfRule>
    <cfRule type="cellIs" dxfId="373" priority="474" stopIfTrue="1" operator="between">
      <formula>-0.00001</formula>
      <formula>0.00001</formula>
    </cfRule>
  </conditionalFormatting>
  <conditionalFormatting sqref="AU73:AU75">
    <cfRule type="cellIs" dxfId="372" priority="475" stopIfTrue="1" operator="greaterThan">
      <formula>-0.00001</formula>
    </cfRule>
    <cfRule type="cellIs" dxfId="371" priority="476" stopIfTrue="1" operator="lessThanOrEqual">
      <formula>0.00001</formula>
    </cfRule>
    <cfRule type="cellIs" dxfId="370" priority="477" stopIfTrue="1" operator="between">
      <formula>-0.00001</formula>
      <formula>0.00001</formula>
    </cfRule>
  </conditionalFormatting>
  <conditionalFormatting sqref="AV77:AV89">
    <cfRule type="cellIs" dxfId="369" priority="470" stopIfTrue="1" operator="notBetween">
      <formula>-0.000001</formula>
      <formula>0.000001</formula>
    </cfRule>
    <cfRule type="cellIs" dxfId="368" priority="471" stopIfTrue="1" operator="between">
      <formula>-0.000001</formula>
      <formula>0.000001</formula>
    </cfRule>
  </conditionalFormatting>
  <conditionalFormatting sqref="AV71:AV72 AV76">
    <cfRule type="cellIs" dxfId="367" priority="464" stopIfTrue="1" operator="lessThanOrEqual">
      <formula>-0.00001</formula>
    </cfRule>
    <cfRule type="cellIs" dxfId="366" priority="465" stopIfTrue="1" operator="greaterThan">
      <formula>0.00001</formula>
    </cfRule>
    <cfRule type="cellIs" dxfId="365" priority="466" stopIfTrue="1" operator="between">
      <formula>-0.00001</formula>
      <formula>0.00001</formula>
    </cfRule>
  </conditionalFormatting>
  <conditionalFormatting sqref="AV73:AV75">
    <cfRule type="cellIs" dxfId="364" priority="467" stopIfTrue="1" operator="greaterThan">
      <formula>-0.00001</formula>
    </cfRule>
    <cfRule type="cellIs" dxfId="363" priority="468" stopIfTrue="1" operator="lessThanOrEqual">
      <formula>0.00001</formula>
    </cfRule>
    <cfRule type="cellIs" dxfId="362" priority="469" stopIfTrue="1" operator="between">
      <formula>-0.00001</formula>
      <formula>0.00001</formula>
    </cfRule>
  </conditionalFormatting>
  <conditionalFormatting sqref="AU60:AV60">
    <cfRule type="cellIs" dxfId="361" priority="462" stopIfTrue="1" operator="equal">
      <formula>0</formula>
    </cfRule>
  </conditionalFormatting>
  <conditionalFormatting sqref="AU59:AV59">
    <cfRule type="cellIs" dxfId="360" priority="463" stopIfTrue="1" operator="equal">
      <formula>0</formula>
    </cfRule>
  </conditionalFormatting>
  <conditionalFormatting sqref="AW60">
    <cfRule type="cellIs" dxfId="359" priority="460" stopIfTrue="1" operator="equal">
      <formula>0</formula>
    </cfRule>
  </conditionalFormatting>
  <conditionalFormatting sqref="AW65">
    <cfRule type="cellIs" dxfId="358" priority="461" stopIfTrue="1" operator="equal">
      <formula>0</formula>
    </cfRule>
  </conditionalFormatting>
  <conditionalFormatting sqref="AW45:AW50">
    <cfRule type="cellIs" dxfId="357" priority="459" stopIfTrue="1" operator="equal">
      <formula>0</formula>
    </cfRule>
  </conditionalFormatting>
  <conditionalFormatting sqref="AW44">
    <cfRule type="cellIs" dxfId="356" priority="458" stopIfTrue="1" operator="equal">
      <formula>0</formula>
    </cfRule>
  </conditionalFormatting>
  <conditionalFormatting sqref="AN60">
    <cfRule type="cellIs" dxfId="355" priority="456" stopIfTrue="1" operator="equal">
      <formula>0</formula>
    </cfRule>
  </conditionalFormatting>
  <conditionalFormatting sqref="AN65">
    <cfRule type="cellIs" dxfId="354" priority="457" stopIfTrue="1" operator="equal">
      <formula>0</formula>
    </cfRule>
  </conditionalFormatting>
  <conditionalFormatting sqref="AN45:AN54">
    <cfRule type="cellIs" dxfId="353" priority="455" stopIfTrue="1" operator="equal">
      <formula>0</formula>
    </cfRule>
  </conditionalFormatting>
  <conditionalFormatting sqref="AY77:AY89">
    <cfRule type="cellIs" dxfId="352" priority="453" stopIfTrue="1" operator="notBetween">
      <formula>-0.000001</formula>
      <formula>0.000001</formula>
    </cfRule>
    <cfRule type="cellIs" dxfId="351" priority="454" stopIfTrue="1" operator="between">
      <formula>-0.000001</formula>
      <formula>0.000001</formula>
    </cfRule>
  </conditionalFormatting>
  <conditionalFormatting sqref="AY71:AY72 AY76">
    <cfRule type="cellIs" dxfId="350" priority="447" stopIfTrue="1" operator="lessThanOrEqual">
      <formula>-0.00001</formula>
    </cfRule>
    <cfRule type="cellIs" dxfId="349" priority="448" stopIfTrue="1" operator="greaterThan">
      <formula>0.00001</formula>
    </cfRule>
    <cfRule type="cellIs" dxfId="348" priority="449" stopIfTrue="1" operator="between">
      <formula>-0.00001</formula>
      <formula>0.00001</formula>
    </cfRule>
  </conditionalFormatting>
  <conditionalFormatting sqref="AY73:AY75">
    <cfRule type="cellIs" dxfId="347" priority="450" stopIfTrue="1" operator="greaterThan">
      <formula>-0.00001</formula>
    </cfRule>
    <cfRule type="cellIs" dxfId="346" priority="451" stopIfTrue="1" operator="lessThanOrEqual">
      <formula>0.00001</formula>
    </cfRule>
    <cfRule type="cellIs" dxfId="345" priority="452" stopIfTrue="1" operator="between">
      <formula>-0.00001</formula>
      <formula>0.00001</formula>
    </cfRule>
  </conditionalFormatting>
  <conditionalFormatting sqref="AA67:AC67 AB66:AC66 Y66:Z67 AK67 AE66:AF67 AH66:AI67 AM66:AS67">
    <cfRule type="cellIs" dxfId="344" priority="445" operator="equal">
      <formula>"Y"</formula>
    </cfRule>
    <cfRule type="cellIs" dxfId="343" priority="446" operator="equal">
      <formula>"N"</formula>
    </cfRule>
  </conditionalFormatting>
  <conditionalFormatting sqref="L57">
    <cfRule type="cellIs" dxfId="342" priority="444" stopIfTrue="1" operator="equal">
      <formula>0</formula>
    </cfRule>
  </conditionalFormatting>
  <conditionalFormatting sqref="L57 O57 R57">
    <cfRule type="cellIs" dxfId="341" priority="443" stopIfTrue="1" operator="equal">
      <formula>0</formula>
    </cfRule>
  </conditionalFormatting>
  <conditionalFormatting sqref="P57">
    <cfRule type="cellIs" dxfId="340" priority="442" stopIfTrue="1" operator="equal">
      <formula>0</formula>
    </cfRule>
  </conditionalFormatting>
  <conditionalFormatting sqref="N57">
    <cfRule type="cellIs" dxfId="339" priority="438" stopIfTrue="1" operator="equal">
      <formula>0</formula>
    </cfRule>
  </conditionalFormatting>
  <conditionalFormatting sqref="Q57">
    <cfRule type="cellIs" dxfId="338" priority="440" stopIfTrue="1" operator="equal">
      <formula>0</formula>
    </cfRule>
  </conditionalFormatting>
  <conditionalFormatting sqref="BD59">
    <cfRule type="cellIs" dxfId="337" priority="439" stopIfTrue="1" operator="equal">
      <formula>0</formula>
    </cfRule>
  </conditionalFormatting>
  <conditionalFormatting sqref="AA66">
    <cfRule type="cellIs" dxfId="336" priority="436" operator="equal">
      <formula>"Y"</formula>
    </cfRule>
    <cfRule type="cellIs" dxfId="335" priority="437" operator="equal">
      <formula>"N"</formula>
    </cfRule>
  </conditionalFormatting>
  <conditionalFormatting sqref="AK66">
    <cfRule type="cellIs" dxfId="334" priority="433" operator="equal">
      <formula>"Y"</formula>
    </cfRule>
    <cfRule type="cellIs" dxfId="333" priority="434" operator="equal">
      <formula>"N"</formula>
    </cfRule>
  </conditionalFormatting>
  <conditionalFormatting sqref="AX60">
    <cfRule type="cellIs" dxfId="332" priority="371" stopIfTrue="1" operator="equal">
      <formula>0</formula>
    </cfRule>
  </conditionalFormatting>
  <conditionalFormatting sqref="AX59">
    <cfRule type="cellIs" dxfId="331" priority="372" stopIfTrue="1" operator="equal">
      <formula>0</formula>
    </cfRule>
  </conditionalFormatting>
  <conditionalFormatting sqref="AX77:AX89">
    <cfRule type="cellIs" dxfId="330" priority="369" stopIfTrue="1" operator="notBetween">
      <formula>-0.000001</formula>
      <formula>0.000001</formula>
    </cfRule>
    <cfRule type="cellIs" dxfId="329" priority="370" stopIfTrue="1" operator="between">
      <formula>-0.000001</formula>
      <formula>0.000001</formula>
    </cfRule>
  </conditionalFormatting>
  <conditionalFormatting sqref="AX71:AX72 AX76">
    <cfRule type="cellIs" dxfId="328" priority="363" stopIfTrue="1" operator="lessThanOrEqual">
      <formula>-0.00001</formula>
    </cfRule>
    <cfRule type="cellIs" dxfId="327" priority="364" stopIfTrue="1" operator="greaterThan">
      <formula>0.00001</formula>
    </cfRule>
    <cfRule type="cellIs" dxfId="326" priority="365" stopIfTrue="1" operator="between">
      <formula>-0.00001</formula>
      <formula>0.00001</formula>
    </cfRule>
  </conditionalFormatting>
  <conditionalFormatting sqref="AX73:AX75">
    <cfRule type="cellIs" dxfId="325" priority="366" stopIfTrue="1" operator="greaterThan">
      <formula>-0.00001</formula>
    </cfRule>
    <cfRule type="cellIs" dxfId="324" priority="367" stopIfTrue="1" operator="lessThanOrEqual">
      <formula>0.00001</formula>
    </cfRule>
    <cfRule type="cellIs" dxfId="323" priority="368" stopIfTrue="1" operator="between">
      <formula>-0.00001</formula>
      <formula>0.00001</formula>
    </cfRule>
  </conditionalFormatting>
  <conditionalFormatting sqref="M58">
    <cfRule type="cellIs" dxfId="322" priority="362" stopIfTrue="1" operator="equal">
      <formula>0</formula>
    </cfRule>
  </conditionalFormatting>
  <conditionalFormatting sqref="P63">
    <cfRule type="cellIs" dxfId="321" priority="346" stopIfTrue="1" operator="equal">
      <formula>0</formula>
    </cfRule>
  </conditionalFormatting>
  <conditionalFormatting sqref="N61:P61">
    <cfRule type="cellIs" dxfId="320" priority="343" stopIfTrue="1" operator="equal">
      <formula>0</formula>
    </cfRule>
  </conditionalFormatting>
  <conditionalFormatting sqref="CP62:CU62">
    <cfRule type="cellIs" dxfId="319" priority="360" stopIfTrue="1" operator="equal">
      <formula>"NA"</formula>
    </cfRule>
    <cfRule type="cellIs" dxfId="318" priority="361" stopIfTrue="1" operator="equal">
      <formula>0</formula>
    </cfRule>
  </conditionalFormatting>
  <conditionalFormatting sqref="CP64:CU64">
    <cfRule type="cellIs" dxfId="317" priority="358" stopIfTrue="1" operator="equal">
      <formula>"NA"</formula>
    </cfRule>
    <cfRule type="cellIs" dxfId="316" priority="359" stopIfTrue="1" operator="equal">
      <formula>0</formula>
    </cfRule>
  </conditionalFormatting>
  <conditionalFormatting sqref="CP63:CU63">
    <cfRule type="cellIs" dxfId="315" priority="356" stopIfTrue="1" operator="equal">
      <formula>"NA"</formula>
    </cfRule>
    <cfRule type="cellIs" dxfId="314" priority="357" stopIfTrue="1" operator="equal">
      <formula>0</formula>
    </cfRule>
  </conditionalFormatting>
  <conditionalFormatting sqref="R64 L64">
    <cfRule type="cellIs" dxfId="313" priority="355" stopIfTrue="1" operator="equal">
      <formula>0</formula>
    </cfRule>
  </conditionalFormatting>
  <conditionalFormatting sqref="M64">
    <cfRule type="cellIs" dxfId="312" priority="354" stopIfTrue="1" operator="equal">
      <formula>0</formula>
    </cfRule>
  </conditionalFormatting>
  <conditionalFormatting sqref="O64">
    <cfRule type="cellIs" dxfId="311" priority="353" stopIfTrue="1" operator="equal">
      <formula>0</formula>
    </cfRule>
  </conditionalFormatting>
  <conditionalFormatting sqref="N64">
    <cfRule type="cellIs" dxfId="310" priority="352" stopIfTrue="1" operator="equal">
      <formula>0</formula>
    </cfRule>
  </conditionalFormatting>
  <conditionalFormatting sqref="Q64">
    <cfRule type="cellIs" dxfId="309" priority="351" stopIfTrue="1" operator="equal">
      <formula>0</formula>
    </cfRule>
  </conditionalFormatting>
  <conditionalFormatting sqref="P64">
    <cfRule type="cellIs" dxfId="308" priority="350" stopIfTrue="1" operator="equal">
      <formula>0</formula>
    </cfRule>
  </conditionalFormatting>
  <conditionalFormatting sqref="L63:M63 R63">
    <cfRule type="cellIs" dxfId="307" priority="349" stopIfTrue="1" operator="equal">
      <formula>0</formula>
    </cfRule>
  </conditionalFormatting>
  <conditionalFormatting sqref="O63">
    <cfRule type="cellIs" dxfId="306" priority="348" stopIfTrue="1" operator="equal">
      <formula>0</formula>
    </cfRule>
  </conditionalFormatting>
  <conditionalFormatting sqref="N63">
    <cfRule type="cellIs" dxfId="305" priority="347" stopIfTrue="1" operator="equal">
      <formula>0</formula>
    </cfRule>
  </conditionalFormatting>
  <conditionalFormatting sqref="R61 L61">
    <cfRule type="cellIs" dxfId="304" priority="345" stopIfTrue="1" operator="equal">
      <formula>0</formula>
    </cfRule>
  </conditionalFormatting>
  <conditionalFormatting sqref="M61:M64">
    <cfRule type="cellIs" dxfId="303" priority="344" stopIfTrue="1" operator="equal">
      <formula>0</formula>
    </cfRule>
  </conditionalFormatting>
  <conditionalFormatting sqref="AT77:AT89">
    <cfRule type="cellIs" dxfId="302" priority="341" stopIfTrue="1" operator="notBetween">
      <formula>-0.000001</formula>
      <formula>0.000001</formula>
    </cfRule>
    <cfRule type="cellIs" dxfId="301" priority="342" stopIfTrue="1" operator="between">
      <formula>-0.000001</formula>
      <formula>0.000001</formula>
    </cfRule>
  </conditionalFormatting>
  <conditionalFormatting sqref="AT71:AT72 AT76">
    <cfRule type="cellIs" dxfId="300" priority="335" stopIfTrue="1" operator="lessThanOrEqual">
      <formula>-0.00001</formula>
    </cfRule>
    <cfRule type="cellIs" dxfId="299" priority="336" stopIfTrue="1" operator="greaterThan">
      <formula>0.00001</formula>
    </cfRule>
    <cfRule type="cellIs" dxfId="298" priority="337" stopIfTrue="1" operator="between">
      <formula>-0.00001</formula>
      <formula>0.00001</formula>
    </cfRule>
  </conditionalFormatting>
  <conditionalFormatting sqref="AT73:AT75">
    <cfRule type="cellIs" dxfId="297" priority="338" stopIfTrue="1" operator="greaterThan">
      <formula>-0.00001</formula>
    </cfRule>
    <cfRule type="cellIs" dxfId="296" priority="339" stopIfTrue="1" operator="lessThanOrEqual">
      <formula>0.00001</formula>
    </cfRule>
    <cfRule type="cellIs" dxfId="295" priority="340" stopIfTrue="1" operator="between">
      <formula>-0.00001</formula>
      <formula>0.00001</formula>
    </cfRule>
  </conditionalFormatting>
  <conditionalFormatting sqref="W56:W57">
    <cfRule type="cellIs" dxfId="294" priority="304" stopIfTrue="1" operator="equal">
      <formula>0</formula>
    </cfRule>
  </conditionalFormatting>
  <conditionalFormatting sqref="AT67">
    <cfRule type="cellIs" dxfId="293" priority="299" operator="equal">
      <formula>"Y"</formula>
    </cfRule>
    <cfRule type="cellIs" dxfId="292" priority="300" operator="equal">
      <formula>"N"</formula>
    </cfRule>
  </conditionalFormatting>
  <conditionalFormatting sqref="AT66">
    <cfRule type="cellIs" dxfId="291" priority="297" operator="equal">
      <formula>"Y"</formula>
    </cfRule>
    <cfRule type="cellIs" dxfId="290" priority="298" operator="equal">
      <formula>"N"</formula>
    </cfRule>
  </conditionalFormatting>
  <conditionalFormatting sqref="V60">
    <cfRule type="cellIs" dxfId="289" priority="330" stopIfTrue="1" operator="equal">
      <formula>0</formula>
    </cfRule>
  </conditionalFormatting>
  <conditionalFormatting sqref="V76 V71:V72">
    <cfRule type="cellIs" dxfId="288" priority="325" stopIfTrue="1" operator="lessThanOrEqual">
      <formula>-0.00001</formula>
    </cfRule>
    <cfRule type="cellIs" dxfId="287" priority="326" stopIfTrue="1" operator="greaterThan">
      <formula>0.00001</formula>
    </cfRule>
    <cfRule type="cellIs" dxfId="286" priority="327" stopIfTrue="1" operator="between">
      <formula>-0.00001</formula>
      <formula>0.00001</formula>
    </cfRule>
  </conditionalFormatting>
  <conditionalFormatting sqref="V77:V89">
    <cfRule type="cellIs" dxfId="285" priority="328" stopIfTrue="1" operator="notBetween">
      <formula>-0.000001</formula>
      <formula>0.000001</formula>
    </cfRule>
    <cfRule type="cellIs" dxfId="284" priority="329" stopIfTrue="1" operator="between">
      <formula>-0.000001</formula>
      <formula>0.000001</formula>
    </cfRule>
  </conditionalFormatting>
  <conditionalFormatting sqref="V25:V27 V65">
    <cfRule type="cellIs" dxfId="283" priority="331" stopIfTrue="1" operator="equal">
      <formula>0</formula>
    </cfRule>
  </conditionalFormatting>
  <conditionalFormatting sqref="V73:V75">
    <cfRule type="cellIs" dxfId="282" priority="332" stopIfTrue="1" operator="greaterThan">
      <formula>-0.00001</formula>
    </cfRule>
    <cfRule type="cellIs" dxfId="281" priority="333" stopIfTrue="1" operator="lessThanOrEqual">
      <formula>0.00001</formula>
    </cfRule>
    <cfRule type="cellIs" dxfId="280" priority="334" stopIfTrue="1" operator="between">
      <formula>-0.00001</formula>
      <formula>0.00001</formula>
    </cfRule>
  </conditionalFormatting>
  <conditionalFormatting sqref="V28">
    <cfRule type="cellIs" dxfId="279" priority="324" stopIfTrue="1" operator="equal">
      <formula>0</formula>
    </cfRule>
  </conditionalFormatting>
  <conditionalFormatting sqref="V55">
    <cfRule type="cellIs" dxfId="278" priority="323" stopIfTrue="1" operator="equal">
      <formula>0</formula>
    </cfRule>
  </conditionalFormatting>
  <conditionalFormatting sqref="V56:V57">
    <cfRule type="cellIs" dxfId="277" priority="322" stopIfTrue="1" operator="equal">
      <formula>0</formula>
    </cfRule>
  </conditionalFormatting>
  <conditionalFormatting sqref="V44:V54">
    <cfRule type="cellIs" dxfId="276" priority="321" stopIfTrue="1" operator="equal">
      <formula>0</formula>
    </cfRule>
  </conditionalFormatting>
  <conditionalFormatting sqref="V67">
    <cfRule type="cellIs" dxfId="275" priority="319" operator="equal">
      <formula>"Y"</formula>
    </cfRule>
    <cfRule type="cellIs" dxfId="274" priority="320" operator="equal">
      <formula>"N"</formula>
    </cfRule>
  </conditionalFormatting>
  <conditionalFormatting sqref="V66">
    <cfRule type="cellIs" dxfId="273" priority="317" operator="equal">
      <formula>"Y"</formula>
    </cfRule>
    <cfRule type="cellIs" dxfId="272" priority="318" operator="equal">
      <formula>"N"</formula>
    </cfRule>
  </conditionalFormatting>
  <conditionalFormatting sqref="W60">
    <cfRule type="cellIs" dxfId="271" priority="312" stopIfTrue="1" operator="equal">
      <formula>0</formula>
    </cfRule>
  </conditionalFormatting>
  <conditionalFormatting sqref="W76 W71:W72">
    <cfRule type="cellIs" dxfId="270" priority="307" stopIfTrue="1" operator="lessThanOrEqual">
      <formula>-0.00001</formula>
    </cfRule>
    <cfRule type="cellIs" dxfId="269" priority="308" stopIfTrue="1" operator="greaterThan">
      <formula>0.00001</formula>
    </cfRule>
    <cfRule type="cellIs" dxfId="268" priority="309" stopIfTrue="1" operator="between">
      <formula>-0.00001</formula>
      <formula>0.00001</formula>
    </cfRule>
  </conditionalFormatting>
  <conditionalFormatting sqref="W77:W89">
    <cfRule type="cellIs" dxfId="267" priority="310" stopIfTrue="1" operator="notBetween">
      <formula>-0.000001</formula>
      <formula>0.000001</formula>
    </cfRule>
    <cfRule type="cellIs" dxfId="266" priority="311" stopIfTrue="1" operator="between">
      <formula>-0.000001</formula>
      <formula>0.000001</formula>
    </cfRule>
  </conditionalFormatting>
  <conditionalFormatting sqref="W25:W27 W65">
    <cfRule type="cellIs" dxfId="265" priority="313" stopIfTrue="1" operator="equal">
      <formula>0</formula>
    </cfRule>
  </conditionalFormatting>
  <conditionalFormatting sqref="W73:W75">
    <cfRule type="cellIs" dxfId="264" priority="314" stopIfTrue="1" operator="greaterThan">
      <formula>-0.00001</formula>
    </cfRule>
    <cfRule type="cellIs" dxfId="263" priority="315" stopIfTrue="1" operator="lessThanOrEqual">
      <formula>0.00001</formula>
    </cfRule>
    <cfRule type="cellIs" dxfId="262" priority="316" stopIfTrue="1" operator="between">
      <formula>-0.00001</formula>
      <formula>0.00001</formula>
    </cfRule>
  </conditionalFormatting>
  <conditionalFormatting sqref="W28">
    <cfRule type="cellIs" dxfId="261" priority="306" stopIfTrue="1" operator="equal">
      <formula>0</formula>
    </cfRule>
  </conditionalFormatting>
  <conditionalFormatting sqref="W55">
    <cfRule type="cellIs" dxfId="260" priority="305" stopIfTrue="1" operator="equal">
      <formula>0</formula>
    </cfRule>
  </conditionalFormatting>
  <conditionalFormatting sqref="W44:W54">
    <cfRule type="cellIs" dxfId="259" priority="303" stopIfTrue="1" operator="equal">
      <formula>0</formula>
    </cfRule>
  </conditionalFormatting>
  <conditionalFormatting sqref="W66:W67">
    <cfRule type="cellIs" dxfId="258" priority="301" operator="equal">
      <formula>"Y"</formula>
    </cfRule>
    <cfRule type="cellIs" dxfId="257" priority="302" operator="equal">
      <formula>"N"</formula>
    </cfRule>
  </conditionalFormatting>
  <conditionalFormatting sqref="X60">
    <cfRule type="cellIs" dxfId="256" priority="295" stopIfTrue="1" operator="equal">
      <formula>0</formula>
    </cfRule>
  </conditionalFormatting>
  <conditionalFormatting sqref="X77:X89">
    <cfRule type="cellIs" dxfId="255" priority="293" stopIfTrue="1" operator="notBetween">
      <formula>-0.000001</formula>
      <formula>0.000001</formula>
    </cfRule>
    <cfRule type="cellIs" dxfId="254" priority="294" stopIfTrue="1" operator="between">
      <formula>-0.000001</formula>
      <formula>0.000001</formula>
    </cfRule>
  </conditionalFormatting>
  <conditionalFormatting sqref="X65">
    <cfRule type="cellIs" dxfId="253" priority="296" stopIfTrue="1" operator="equal">
      <formula>0</formula>
    </cfRule>
  </conditionalFormatting>
  <conditionalFormatting sqref="X25:X27">
    <cfRule type="cellIs" dxfId="252" priority="289" stopIfTrue="1" operator="equal">
      <formula>0</formula>
    </cfRule>
  </conditionalFormatting>
  <conditionalFormatting sqref="X76 X71:X72">
    <cfRule type="cellIs" dxfId="251" priority="286" stopIfTrue="1" operator="lessThanOrEqual">
      <formula>-0.00001</formula>
    </cfRule>
    <cfRule type="cellIs" dxfId="250" priority="287" stopIfTrue="1" operator="greaterThan">
      <formula>0.00001</formula>
    </cfRule>
    <cfRule type="cellIs" dxfId="249" priority="288" stopIfTrue="1" operator="between">
      <formula>-0.00001</formula>
      <formula>0.00001</formula>
    </cfRule>
  </conditionalFormatting>
  <conditionalFormatting sqref="X73:X75">
    <cfRule type="cellIs" dxfId="248" priority="290" stopIfTrue="1" operator="greaterThan">
      <formula>-0.00001</formula>
    </cfRule>
    <cfRule type="cellIs" dxfId="247" priority="291" stopIfTrue="1" operator="lessThanOrEqual">
      <formula>0.00001</formula>
    </cfRule>
    <cfRule type="cellIs" dxfId="246" priority="292" stopIfTrue="1" operator="between">
      <formula>-0.00001</formula>
      <formula>0.00001</formula>
    </cfRule>
  </conditionalFormatting>
  <conditionalFormatting sqref="X28">
    <cfRule type="cellIs" dxfId="245" priority="285" stopIfTrue="1" operator="equal">
      <formula>0</formula>
    </cfRule>
  </conditionalFormatting>
  <conditionalFormatting sqref="X55">
    <cfRule type="cellIs" dxfId="244" priority="284" stopIfTrue="1" operator="equal">
      <formula>0</formula>
    </cfRule>
  </conditionalFormatting>
  <conditionalFormatting sqref="X56:X57">
    <cfRule type="cellIs" dxfId="243" priority="283" stopIfTrue="1" operator="equal">
      <formula>0</formula>
    </cfRule>
  </conditionalFormatting>
  <conditionalFormatting sqref="X44:X54">
    <cfRule type="cellIs" dxfId="242" priority="282" stopIfTrue="1" operator="equal">
      <formula>0</formula>
    </cfRule>
  </conditionalFormatting>
  <conditionalFormatting sqref="X67">
    <cfRule type="cellIs" dxfId="241" priority="280" operator="equal">
      <formula>"Y"</formula>
    </cfRule>
    <cfRule type="cellIs" dxfId="240" priority="281" operator="equal">
      <formula>"N"</formula>
    </cfRule>
  </conditionalFormatting>
  <conditionalFormatting sqref="X66">
    <cfRule type="cellIs" dxfId="239" priority="278" operator="equal">
      <formula>"Y"</formula>
    </cfRule>
    <cfRule type="cellIs" dxfId="238" priority="279" operator="equal">
      <formula>"N"</formula>
    </cfRule>
  </conditionalFormatting>
  <conditionalFormatting sqref="AJ60">
    <cfRule type="cellIs" dxfId="237" priority="276" stopIfTrue="1" operator="equal">
      <formula>0</formula>
    </cfRule>
  </conditionalFormatting>
  <conditionalFormatting sqref="AJ77:AJ89">
    <cfRule type="cellIs" dxfId="236" priority="274" stopIfTrue="1" operator="notBetween">
      <formula>-0.000001</formula>
      <formula>0.000001</formula>
    </cfRule>
    <cfRule type="cellIs" dxfId="235" priority="275" stopIfTrue="1" operator="between">
      <formula>-0.000001</formula>
      <formula>0.000001</formula>
    </cfRule>
  </conditionalFormatting>
  <conditionalFormatting sqref="AJ65">
    <cfRule type="cellIs" dxfId="234" priority="277" stopIfTrue="1" operator="equal">
      <formula>0</formula>
    </cfRule>
  </conditionalFormatting>
  <conditionalFormatting sqref="AJ25:AJ27">
    <cfRule type="cellIs" dxfId="233" priority="270" stopIfTrue="1" operator="equal">
      <formula>0</formula>
    </cfRule>
  </conditionalFormatting>
  <conditionalFormatting sqref="AJ76 AJ71:AJ72">
    <cfRule type="cellIs" dxfId="232" priority="267" stopIfTrue="1" operator="lessThanOrEqual">
      <formula>-0.00001</formula>
    </cfRule>
    <cfRule type="cellIs" dxfId="231" priority="268" stopIfTrue="1" operator="greaterThan">
      <formula>0.00001</formula>
    </cfRule>
    <cfRule type="cellIs" dxfId="230" priority="269" stopIfTrue="1" operator="between">
      <formula>-0.00001</formula>
      <formula>0.00001</formula>
    </cfRule>
  </conditionalFormatting>
  <conditionalFormatting sqref="AJ73:AJ75">
    <cfRule type="cellIs" dxfId="229" priority="271" stopIfTrue="1" operator="greaterThan">
      <formula>-0.00001</formula>
    </cfRule>
    <cfRule type="cellIs" dxfId="228" priority="272" stopIfTrue="1" operator="lessThanOrEqual">
      <formula>0.00001</formula>
    </cfRule>
    <cfRule type="cellIs" dxfId="227" priority="273" stopIfTrue="1" operator="between">
      <formula>-0.00001</formula>
      <formula>0.00001</formula>
    </cfRule>
  </conditionalFormatting>
  <conditionalFormatting sqref="AJ28">
    <cfRule type="cellIs" dxfId="226" priority="266" stopIfTrue="1" operator="equal">
      <formula>0</formula>
    </cfRule>
  </conditionalFormatting>
  <conditionalFormatting sqref="AJ55">
    <cfRule type="cellIs" dxfId="225" priority="265" stopIfTrue="1" operator="equal">
      <formula>0</formula>
    </cfRule>
  </conditionalFormatting>
  <conditionalFormatting sqref="AJ56:AJ57">
    <cfRule type="cellIs" dxfId="224" priority="264" stopIfTrue="1" operator="equal">
      <formula>0</formula>
    </cfRule>
  </conditionalFormatting>
  <conditionalFormatting sqref="AJ44:AJ54">
    <cfRule type="cellIs" dxfId="223" priority="263" stopIfTrue="1" operator="equal">
      <formula>0</formula>
    </cfRule>
  </conditionalFormatting>
  <conditionalFormatting sqref="AJ67">
    <cfRule type="cellIs" dxfId="222" priority="261" operator="equal">
      <formula>"Y"</formula>
    </cfRule>
    <cfRule type="cellIs" dxfId="221" priority="262" operator="equal">
      <formula>"N"</formula>
    </cfRule>
  </conditionalFormatting>
  <conditionalFormatting sqref="AJ66">
    <cfRule type="cellIs" dxfId="220" priority="259" operator="equal">
      <formula>"Y"</formula>
    </cfRule>
    <cfRule type="cellIs" dxfId="219" priority="260" operator="equal">
      <formula>"N"</formula>
    </cfRule>
  </conditionalFormatting>
  <conditionalFormatting sqref="M62">
    <cfRule type="cellIs" dxfId="218" priority="258" stopIfTrue="1" operator="equal">
      <formula>0</formula>
    </cfRule>
  </conditionalFormatting>
  <conditionalFormatting sqref="BJ66">
    <cfRule type="cellIs" dxfId="217" priority="257" stopIfTrue="1" operator="equal">
      <formula>0</formula>
    </cfRule>
  </conditionalFormatting>
  <conditionalFormatting sqref="BJ77:BJ89">
    <cfRule type="cellIs" dxfId="216" priority="255" stopIfTrue="1" operator="notBetween">
      <formula>-0.000001</formula>
      <formula>0.000001</formula>
    </cfRule>
    <cfRule type="cellIs" dxfId="215" priority="256" stopIfTrue="1" operator="between">
      <formula>-0.000001</formula>
      <formula>0.000001</formula>
    </cfRule>
  </conditionalFormatting>
  <conditionalFormatting sqref="BJ71:BJ72 BJ76">
    <cfRule type="cellIs" dxfId="214" priority="249" stopIfTrue="1" operator="lessThanOrEqual">
      <formula>-0.00001</formula>
    </cfRule>
    <cfRule type="cellIs" dxfId="213" priority="250" stopIfTrue="1" operator="greaterThan">
      <formula>0.00001</formula>
    </cfRule>
    <cfRule type="cellIs" dxfId="212" priority="251" stopIfTrue="1" operator="between">
      <formula>-0.00001</formula>
      <formula>0.00001</formula>
    </cfRule>
  </conditionalFormatting>
  <conditionalFormatting sqref="BJ73 BJ75">
    <cfRule type="cellIs" dxfId="211" priority="252" stopIfTrue="1" operator="greaterThan">
      <formula>-0.00001</formula>
    </cfRule>
    <cfRule type="cellIs" dxfId="210" priority="253" stopIfTrue="1" operator="lessThanOrEqual">
      <formula>0.00001</formula>
    </cfRule>
    <cfRule type="cellIs" dxfId="209" priority="254" stopIfTrue="1" operator="between">
      <formula>-0.00001</formula>
      <formula>0.00001</formula>
    </cfRule>
  </conditionalFormatting>
  <conditionalFormatting sqref="AW53:AW54">
    <cfRule type="cellIs" dxfId="208" priority="241" stopIfTrue="1" operator="equal">
      <formula>0</formula>
    </cfRule>
  </conditionalFormatting>
  <conditionalFormatting sqref="W24:AK24 AM24:AS24 AM23:AY23">
    <cfRule type="expression" dxfId="207" priority="244">
      <formula>W$20&gt;0</formula>
    </cfRule>
  </conditionalFormatting>
  <conditionalFormatting sqref="AW59">
    <cfRule type="cellIs" dxfId="206" priority="243" stopIfTrue="1" operator="equal">
      <formula>0</formula>
    </cfRule>
  </conditionalFormatting>
  <conditionalFormatting sqref="V68:AK68 AM68:AZ68 V20:AY20 V1:AY18">
    <cfRule type="cellIs" dxfId="205" priority="238" operator="greaterThan">
      <formula>0</formula>
    </cfRule>
    <cfRule type="cellIs" dxfId="204" priority="239" operator="equal">
      <formula>0</formula>
    </cfRule>
  </conditionalFormatting>
  <conditionalFormatting sqref="AD60">
    <cfRule type="cellIs" dxfId="203" priority="233" stopIfTrue="1" operator="equal">
      <formula>0</formula>
    </cfRule>
  </conditionalFormatting>
  <conditionalFormatting sqref="AD76 AD71:AD72">
    <cfRule type="cellIs" dxfId="202" priority="228" stopIfTrue="1" operator="lessThanOrEqual">
      <formula>-0.00001</formula>
    </cfRule>
    <cfRule type="cellIs" dxfId="201" priority="229" stopIfTrue="1" operator="greaterThan">
      <formula>0.00001</formula>
    </cfRule>
    <cfRule type="cellIs" dxfId="200" priority="230" stopIfTrue="1" operator="between">
      <formula>-0.00001</formula>
      <formula>0.00001</formula>
    </cfRule>
  </conditionalFormatting>
  <conditionalFormatting sqref="AD77:AD89">
    <cfRule type="cellIs" dxfId="199" priority="231" stopIfTrue="1" operator="notBetween">
      <formula>-0.000001</formula>
      <formula>0.000001</formula>
    </cfRule>
    <cfRule type="cellIs" dxfId="198" priority="232" stopIfTrue="1" operator="between">
      <formula>-0.000001</formula>
      <formula>0.000001</formula>
    </cfRule>
  </conditionalFormatting>
  <conditionalFormatting sqref="AD65">
    <cfRule type="cellIs" dxfId="197" priority="234" stopIfTrue="1" operator="equal">
      <formula>0</formula>
    </cfRule>
  </conditionalFormatting>
  <conditionalFormatting sqref="AD73:AD75">
    <cfRule type="cellIs" dxfId="196" priority="235" stopIfTrue="1" operator="greaterThan">
      <formula>-0.00001</formula>
    </cfRule>
    <cfRule type="cellIs" dxfId="195" priority="236" stopIfTrue="1" operator="lessThanOrEqual">
      <formula>0.00001</formula>
    </cfRule>
    <cfRule type="cellIs" dxfId="194" priority="237" stopIfTrue="1" operator="between">
      <formula>-0.00001</formula>
      <formula>0.00001</formula>
    </cfRule>
  </conditionalFormatting>
  <conditionalFormatting sqref="AD44:AD54">
    <cfRule type="cellIs" dxfId="193" priority="227" stopIfTrue="1" operator="equal">
      <formula>0</formula>
    </cfRule>
  </conditionalFormatting>
  <conditionalFormatting sqref="AD66:AD67">
    <cfRule type="cellIs" dxfId="192" priority="225" operator="equal">
      <formula>"Y"</formula>
    </cfRule>
    <cfRule type="cellIs" dxfId="191" priority="226" operator="equal">
      <formula>"N"</formula>
    </cfRule>
  </conditionalFormatting>
  <conditionalFormatting sqref="AG60">
    <cfRule type="cellIs" dxfId="190" priority="220" stopIfTrue="1" operator="equal">
      <formula>0</formula>
    </cfRule>
  </conditionalFormatting>
  <conditionalFormatting sqref="AG71:AG72 AG76">
    <cfRule type="cellIs" dxfId="189" priority="215" stopIfTrue="1" operator="lessThanOrEqual">
      <formula>-0.00001</formula>
    </cfRule>
    <cfRule type="cellIs" dxfId="188" priority="216" stopIfTrue="1" operator="greaterThan">
      <formula>0.00001</formula>
    </cfRule>
    <cfRule type="cellIs" dxfId="187" priority="217" stopIfTrue="1" operator="between">
      <formula>-0.00001</formula>
      <formula>0.00001</formula>
    </cfRule>
  </conditionalFormatting>
  <conditionalFormatting sqref="AG77:AG89">
    <cfRule type="cellIs" dxfId="186" priority="218" stopIfTrue="1" operator="notBetween">
      <formula>-0.000001</formula>
      <formula>0.000001</formula>
    </cfRule>
    <cfRule type="cellIs" dxfId="185" priority="219" stopIfTrue="1" operator="between">
      <formula>-0.000001</formula>
      <formula>0.000001</formula>
    </cfRule>
  </conditionalFormatting>
  <conditionalFormatting sqref="AG65">
    <cfRule type="cellIs" dxfId="184" priority="221" stopIfTrue="1" operator="equal">
      <formula>0</formula>
    </cfRule>
  </conditionalFormatting>
  <conditionalFormatting sqref="AG73:AG75">
    <cfRule type="cellIs" dxfId="183" priority="222" stopIfTrue="1" operator="greaterThan">
      <formula>-0.00001</formula>
    </cfRule>
    <cfRule type="cellIs" dxfId="182" priority="223" stopIfTrue="1" operator="lessThanOrEqual">
      <formula>0.00001</formula>
    </cfRule>
    <cfRule type="cellIs" dxfId="181" priority="224" stopIfTrue="1" operator="between">
      <formula>-0.00001</formula>
      <formula>0.00001</formula>
    </cfRule>
  </conditionalFormatting>
  <conditionalFormatting sqref="AG44:AG54">
    <cfRule type="cellIs" dxfId="180" priority="214" stopIfTrue="1" operator="equal">
      <formula>0</formula>
    </cfRule>
  </conditionalFormatting>
  <conditionalFormatting sqref="AG66:AG67">
    <cfRule type="cellIs" dxfId="179" priority="212" operator="equal">
      <formula>"Y"</formula>
    </cfRule>
    <cfRule type="cellIs" dxfId="178" priority="213" operator="equal">
      <formula>"N"</formula>
    </cfRule>
  </conditionalFormatting>
  <conditionalFormatting sqref="AT60">
    <cfRule type="cellIs" dxfId="177" priority="210" stopIfTrue="1" operator="equal">
      <formula>0</formula>
    </cfRule>
  </conditionalFormatting>
  <conditionalFormatting sqref="AT59">
    <cfRule type="cellIs" dxfId="176" priority="211" stopIfTrue="1" operator="equal">
      <formula>0</formula>
    </cfRule>
  </conditionalFormatting>
  <conditionalFormatting sqref="AT61">
    <cfRule type="cellIs" dxfId="175" priority="209" stopIfTrue="1" operator="equal">
      <formula>0</formula>
    </cfRule>
  </conditionalFormatting>
  <conditionalFormatting sqref="AG66:AG67">
    <cfRule type="cellIs" dxfId="174" priority="205" operator="equal">
      <formula>"Y"</formula>
    </cfRule>
    <cfRule type="cellIs" dxfId="173" priority="206" operator="equal">
      <formula>"N"</formula>
    </cfRule>
  </conditionalFormatting>
  <conditionalFormatting sqref="AU24:AY24">
    <cfRule type="expression" dxfId="172" priority="204">
      <formula>AU$20&gt;0</formula>
    </cfRule>
  </conditionalFormatting>
  <conditionalFormatting sqref="V68:AK68 AM68:AZ68">
    <cfRule type="cellIs" dxfId="171" priority="203" operator="lessThan">
      <formula>0</formula>
    </cfRule>
  </conditionalFormatting>
  <conditionalFormatting sqref="AW69 Y69:AC69 AM69:AR69 AE69:AF69 AH69">
    <cfRule type="cellIs" dxfId="170" priority="200" stopIfTrue="1" operator="lessThanOrEqual">
      <formula>-0.00001</formula>
    </cfRule>
    <cfRule type="cellIs" dxfId="169" priority="201" stopIfTrue="1" operator="greaterThan">
      <formula>0.00001</formula>
    </cfRule>
    <cfRule type="cellIs" dxfId="168" priority="202" stopIfTrue="1" operator="between">
      <formula>-0.00001</formula>
      <formula>0.00001</formula>
    </cfRule>
  </conditionalFormatting>
  <conditionalFormatting sqref="AI69 AS69">
    <cfRule type="cellIs" dxfId="167" priority="197" stopIfTrue="1" operator="lessThanOrEqual">
      <formula>-0.00001</formula>
    </cfRule>
    <cfRule type="cellIs" dxfId="166" priority="198" stopIfTrue="1" operator="greaterThan">
      <formula>0.00001</formula>
    </cfRule>
    <cfRule type="cellIs" dxfId="165" priority="199" stopIfTrue="1" operator="between">
      <formula>-0.00001</formula>
      <formula>0.00001</formula>
    </cfRule>
  </conditionalFormatting>
  <conditionalFormatting sqref="AK69">
    <cfRule type="cellIs" dxfId="164" priority="194" stopIfTrue="1" operator="lessThanOrEqual">
      <formula>-0.00001</formula>
    </cfRule>
    <cfRule type="cellIs" dxfId="163" priority="195" stopIfTrue="1" operator="greaterThan">
      <formula>0.00001</formula>
    </cfRule>
    <cfRule type="cellIs" dxfId="162" priority="196" stopIfTrue="1" operator="between">
      <formula>-0.00001</formula>
      <formula>0.00001</formula>
    </cfRule>
  </conditionalFormatting>
  <conditionalFormatting sqref="AZ69">
    <cfRule type="cellIs" dxfId="161" priority="191" stopIfTrue="1" operator="lessThanOrEqual">
      <formula>-0.00001</formula>
    </cfRule>
    <cfRule type="cellIs" dxfId="160" priority="192" stopIfTrue="1" operator="greaterThan">
      <formula>0.00001</formula>
    </cfRule>
    <cfRule type="cellIs" dxfId="159" priority="193" stopIfTrue="1" operator="between">
      <formula>-0.00001</formula>
      <formula>0.00001</formula>
    </cfRule>
  </conditionalFormatting>
  <conditionalFormatting sqref="AU69">
    <cfRule type="cellIs" dxfId="158" priority="188" stopIfTrue="1" operator="lessThanOrEqual">
      <formula>-0.00001</formula>
    </cfRule>
    <cfRule type="cellIs" dxfId="157" priority="189" stopIfTrue="1" operator="greaterThan">
      <formula>0.00001</formula>
    </cfRule>
    <cfRule type="cellIs" dxfId="156" priority="190" stopIfTrue="1" operator="between">
      <formula>-0.00001</formula>
      <formula>0.00001</formula>
    </cfRule>
  </conditionalFormatting>
  <conditionalFormatting sqref="AV69">
    <cfRule type="cellIs" dxfId="155" priority="185" stopIfTrue="1" operator="lessThanOrEqual">
      <formula>-0.00001</formula>
    </cfRule>
    <cfRule type="cellIs" dxfId="154" priority="186" stopIfTrue="1" operator="greaterThan">
      <formula>0.00001</formula>
    </cfRule>
    <cfRule type="cellIs" dxfId="153" priority="187" stopIfTrue="1" operator="between">
      <formula>-0.00001</formula>
      <formula>0.00001</formula>
    </cfRule>
  </conditionalFormatting>
  <conditionalFormatting sqref="AY69">
    <cfRule type="cellIs" dxfId="152" priority="182" stopIfTrue="1" operator="lessThanOrEqual">
      <formula>-0.00001</formula>
    </cfRule>
    <cfRule type="cellIs" dxfId="151" priority="183" stopIfTrue="1" operator="greaterThan">
      <formula>0.00001</formula>
    </cfRule>
    <cfRule type="cellIs" dxfId="150" priority="184" stopIfTrue="1" operator="between">
      <formula>-0.00001</formula>
      <formula>0.00001</formula>
    </cfRule>
  </conditionalFormatting>
  <conditionalFormatting sqref="AX69">
    <cfRule type="cellIs" dxfId="149" priority="179" stopIfTrue="1" operator="lessThanOrEqual">
      <formula>-0.00001</formula>
    </cfRule>
    <cfRule type="cellIs" dxfId="148" priority="180" stopIfTrue="1" operator="greaterThan">
      <formula>0.00001</formula>
    </cfRule>
    <cfRule type="cellIs" dxfId="147" priority="181" stopIfTrue="1" operator="between">
      <formula>-0.00001</formula>
      <formula>0.00001</formula>
    </cfRule>
  </conditionalFormatting>
  <conditionalFormatting sqref="AT69">
    <cfRule type="cellIs" dxfId="146" priority="176" stopIfTrue="1" operator="lessThanOrEqual">
      <formula>-0.00001</formula>
    </cfRule>
    <cfRule type="cellIs" dxfId="145" priority="177" stopIfTrue="1" operator="greaterThan">
      <formula>0.00001</formula>
    </cfRule>
    <cfRule type="cellIs" dxfId="144" priority="178" stopIfTrue="1" operator="between">
      <formula>-0.00001</formula>
      <formula>0.00001</formula>
    </cfRule>
  </conditionalFormatting>
  <conditionalFormatting sqref="V69">
    <cfRule type="cellIs" dxfId="143" priority="173" stopIfTrue="1" operator="lessThanOrEqual">
      <formula>-0.00001</formula>
    </cfRule>
    <cfRule type="cellIs" dxfId="142" priority="174" stopIfTrue="1" operator="greaterThan">
      <formula>0.00001</formula>
    </cfRule>
    <cfRule type="cellIs" dxfId="141" priority="175" stopIfTrue="1" operator="between">
      <formula>-0.00001</formula>
      <formula>0.00001</formula>
    </cfRule>
  </conditionalFormatting>
  <conditionalFormatting sqref="W69">
    <cfRule type="cellIs" dxfId="140" priority="170" stopIfTrue="1" operator="lessThanOrEqual">
      <formula>-0.00001</formula>
    </cfRule>
    <cfRule type="cellIs" dxfId="139" priority="171" stopIfTrue="1" operator="greaterThan">
      <formula>0.00001</formula>
    </cfRule>
    <cfRule type="cellIs" dxfId="138" priority="172" stopIfTrue="1" operator="between">
      <formula>-0.00001</formula>
      <formula>0.00001</formula>
    </cfRule>
  </conditionalFormatting>
  <conditionalFormatting sqref="X69">
    <cfRule type="cellIs" dxfId="137" priority="167" stopIfTrue="1" operator="lessThanOrEqual">
      <formula>-0.00001</formula>
    </cfRule>
    <cfRule type="cellIs" dxfId="136" priority="168" stopIfTrue="1" operator="greaterThan">
      <formula>0.00001</formula>
    </cfRule>
    <cfRule type="cellIs" dxfId="135" priority="169" stopIfTrue="1" operator="between">
      <formula>-0.00001</formula>
      <formula>0.00001</formula>
    </cfRule>
  </conditionalFormatting>
  <conditionalFormatting sqref="AJ69">
    <cfRule type="cellIs" dxfId="134" priority="164" stopIfTrue="1" operator="lessThanOrEqual">
      <formula>-0.00001</formula>
    </cfRule>
    <cfRule type="cellIs" dxfId="133" priority="165" stopIfTrue="1" operator="greaterThan">
      <formula>0.00001</formula>
    </cfRule>
    <cfRule type="cellIs" dxfId="132" priority="166" stopIfTrue="1" operator="between">
      <formula>-0.00001</formula>
      <formula>0.00001</formula>
    </cfRule>
  </conditionalFormatting>
  <conditionalFormatting sqref="AD69">
    <cfRule type="cellIs" dxfId="131" priority="161" stopIfTrue="1" operator="lessThanOrEqual">
      <formula>-0.00001</formula>
    </cfRule>
    <cfRule type="cellIs" dxfId="130" priority="162" stopIfTrue="1" operator="greaterThan">
      <formula>0.00001</formula>
    </cfRule>
    <cfRule type="cellIs" dxfId="129" priority="163" stopIfTrue="1" operator="between">
      <formula>-0.00001</formula>
      <formula>0.00001</formula>
    </cfRule>
  </conditionalFormatting>
  <conditionalFormatting sqref="AG69">
    <cfRule type="cellIs" dxfId="128" priority="158" stopIfTrue="1" operator="lessThanOrEqual">
      <formula>-0.00001</formula>
    </cfRule>
    <cfRule type="cellIs" dxfId="127" priority="159" stopIfTrue="1" operator="greaterThan">
      <formula>0.00001</formula>
    </cfRule>
    <cfRule type="cellIs" dxfId="126" priority="160" stopIfTrue="1" operator="between">
      <formula>-0.00001</formula>
      <formula>0.00001</formula>
    </cfRule>
  </conditionalFormatting>
  <conditionalFormatting sqref="V23:AK23">
    <cfRule type="expression" dxfId="125" priority="157">
      <formula>V$20&gt;0</formula>
    </cfRule>
  </conditionalFormatting>
  <conditionalFormatting sqref="AL61:AL64 AL58:AL59 AL29:AL44">
    <cfRule type="cellIs" dxfId="124" priority="152" stopIfTrue="1" operator="equal">
      <formula>0</formula>
    </cfRule>
  </conditionalFormatting>
  <conditionalFormatting sqref="AL66:AL67">
    <cfRule type="cellIs" dxfId="123" priority="150" stopIfTrue="1" operator="equal">
      <formula>0</formula>
    </cfRule>
  </conditionalFormatting>
  <conditionalFormatting sqref="AL60">
    <cfRule type="cellIs" dxfId="122" priority="151" stopIfTrue="1" operator="equal">
      <formula>0</formula>
    </cfRule>
  </conditionalFormatting>
  <conditionalFormatting sqref="AL56:AL57">
    <cfRule type="cellIs" dxfId="121" priority="146" stopIfTrue="1" operator="equal">
      <formula>0</formula>
    </cfRule>
  </conditionalFormatting>
  <conditionalFormatting sqref="AL25:AL27 AL65">
    <cfRule type="cellIs" dxfId="120" priority="149" stopIfTrue="1" operator="equal">
      <formula>0</formula>
    </cfRule>
  </conditionalFormatting>
  <conditionalFormatting sqref="AL28">
    <cfRule type="cellIs" dxfId="119" priority="148" stopIfTrue="1" operator="equal">
      <formula>0</formula>
    </cfRule>
  </conditionalFormatting>
  <conditionalFormatting sqref="AL55">
    <cfRule type="cellIs" dxfId="118" priority="147" stopIfTrue="1" operator="equal">
      <formula>0</formula>
    </cfRule>
  </conditionalFormatting>
  <conditionalFormatting sqref="AL45:AL54">
    <cfRule type="cellIs" dxfId="117" priority="145" stopIfTrue="1" operator="equal">
      <formula>0</formula>
    </cfRule>
  </conditionalFormatting>
  <conditionalFormatting sqref="AL67">
    <cfRule type="cellIs" dxfId="116" priority="143" operator="equal">
      <formula>"Y"</formula>
    </cfRule>
    <cfRule type="cellIs" dxfId="115" priority="144" operator="equal">
      <formula>"N"</formula>
    </cfRule>
  </conditionalFormatting>
  <conditionalFormatting sqref="AL66">
    <cfRule type="cellIs" dxfId="114" priority="141" operator="equal">
      <formula>"Y"</formula>
    </cfRule>
    <cfRule type="cellIs" dxfId="113" priority="142" operator="equal">
      <formula>"N"</formula>
    </cfRule>
  </conditionalFormatting>
  <conditionalFormatting sqref="AL24">
    <cfRule type="expression" dxfId="112" priority="140">
      <formula>AL$20&gt;0</formula>
    </cfRule>
  </conditionalFormatting>
  <conditionalFormatting sqref="AL68">
    <cfRule type="cellIs" dxfId="111" priority="138" operator="greaterThan">
      <formula>0</formula>
    </cfRule>
    <cfRule type="cellIs" dxfId="110" priority="139" operator="equal">
      <formula>0</formula>
    </cfRule>
  </conditionalFormatting>
  <conditionalFormatting sqref="AL68">
    <cfRule type="cellIs" dxfId="109" priority="137" operator="lessThan">
      <formula>0</formula>
    </cfRule>
  </conditionalFormatting>
  <conditionalFormatting sqref="AL69">
    <cfRule type="cellIs" dxfId="108" priority="134" stopIfTrue="1" operator="lessThanOrEqual">
      <formula>-0.00001</formula>
    </cfRule>
    <cfRule type="cellIs" dxfId="107" priority="135" stopIfTrue="1" operator="greaterThan">
      <formula>0.00001</formula>
    </cfRule>
    <cfRule type="cellIs" dxfId="106" priority="136" stopIfTrue="1" operator="between">
      <formula>-0.00001</formula>
      <formula>0.00001</formula>
    </cfRule>
  </conditionalFormatting>
  <conditionalFormatting sqref="AL23">
    <cfRule type="expression" dxfId="105" priority="133">
      <formula>AL$20&gt;0</formula>
    </cfRule>
  </conditionalFormatting>
  <conditionalFormatting sqref="AL77:AL89">
    <cfRule type="cellIs" dxfId="104" priority="131" stopIfTrue="1" operator="notBetween">
      <formula>-0.000001</formula>
      <formula>0.000001</formula>
    </cfRule>
    <cfRule type="cellIs" dxfId="103" priority="132" stopIfTrue="1" operator="between">
      <formula>-0.000001</formula>
      <formula>0.000001</formula>
    </cfRule>
  </conditionalFormatting>
  <conditionalFormatting sqref="AL76 AL71:AL72">
    <cfRule type="cellIs" dxfId="102" priority="125" stopIfTrue="1" operator="lessThanOrEqual">
      <formula>-0.00001</formula>
    </cfRule>
    <cfRule type="cellIs" dxfId="101" priority="126" stopIfTrue="1" operator="greaterThan">
      <formula>0.00001</formula>
    </cfRule>
    <cfRule type="cellIs" dxfId="100" priority="127" stopIfTrue="1" operator="between">
      <formula>-0.00001</formula>
      <formula>0.00001</formula>
    </cfRule>
  </conditionalFormatting>
  <conditionalFormatting sqref="AL73:AL75">
    <cfRule type="cellIs" dxfId="99" priority="128" stopIfTrue="1" operator="greaterThan">
      <formula>-0.00001</formula>
    </cfRule>
    <cfRule type="cellIs" dxfId="98" priority="129" stopIfTrue="1" operator="lessThanOrEqual">
      <formula>0.00001</formula>
    </cfRule>
    <cfRule type="cellIs" dxfId="97" priority="130" stopIfTrue="1" operator="between">
      <formula>-0.00001</formula>
      <formula>0.00001</formula>
    </cfRule>
  </conditionalFormatting>
  <conditionalFormatting sqref="AZ61:AZ64 AZ25:AZ58">
    <cfRule type="cellIs" dxfId="96" priority="119" stopIfTrue="1" operator="equal">
      <formula>0</formula>
    </cfRule>
  </conditionalFormatting>
  <conditionalFormatting sqref="AZ65">
    <cfRule type="cellIs" dxfId="95" priority="118" stopIfTrue="1" operator="equal">
      <formula>0</formula>
    </cfRule>
  </conditionalFormatting>
  <conditionalFormatting sqref="AZ59">
    <cfRule type="cellIs" dxfId="94" priority="117" stopIfTrue="1" operator="equal">
      <formula>0</formula>
    </cfRule>
  </conditionalFormatting>
  <conditionalFormatting sqref="AZ60">
    <cfRule type="cellIs" dxfId="93" priority="116" stopIfTrue="1" operator="equal">
      <formula>0</formula>
    </cfRule>
  </conditionalFormatting>
  <conditionalFormatting sqref="AW51:AW52">
    <cfRule type="cellIs" dxfId="92" priority="115" stopIfTrue="1" operator="equal">
      <formula>0</formula>
    </cfRule>
  </conditionalFormatting>
  <conditionalFormatting sqref="AX45">
    <cfRule type="cellIs" dxfId="91" priority="114" stopIfTrue="1" operator="equal">
      <formula>0</formula>
    </cfRule>
  </conditionalFormatting>
  <conditionalFormatting sqref="AX46">
    <cfRule type="cellIs" dxfId="90" priority="112" stopIfTrue="1" operator="equal">
      <formula>0</formula>
    </cfRule>
  </conditionalFormatting>
  <conditionalFormatting sqref="AY47">
    <cfRule type="cellIs" dxfId="89" priority="111" stopIfTrue="1" operator="equal">
      <formula>0</formula>
    </cfRule>
  </conditionalFormatting>
  <conditionalFormatting sqref="AY48">
    <cfRule type="cellIs" dxfId="88" priority="110" stopIfTrue="1" operator="equal">
      <formula>0</formula>
    </cfRule>
  </conditionalFormatting>
  <conditionalFormatting sqref="AY44">
    <cfRule type="cellIs" dxfId="87" priority="109" stopIfTrue="1" operator="equal">
      <formula>0</formula>
    </cfRule>
  </conditionalFormatting>
  <conditionalFormatting sqref="BD67:BD68">
    <cfRule type="cellIs" dxfId="86" priority="103" stopIfTrue="1" operator="lessThanOrEqual">
      <formula>-0.00001</formula>
    </cfRule>
    <cfRule type="cellIs" dxfId="85" priority="104" stopIfTrue="1" operator="greaterThan">
      <formula>0.00001</formula>
    </cfRule>
    <cfRule type="cellIs" dxfId="84" priority="105" stopIfTrue="1" operator="between">
      <formula>-0.00001</formula>
      <formula>0.00001</formula>
    </cfRule>
  </conditionalFormatting>
  <conditionalFormatting sqref="BJ61:BJ64 BJ25:BJ58">
    <cfRule type="cellIs" dxfId="83" priority="100" stopIfTrue="1" operator="equal">
      <formula>0</formula>
    </cfRule>
  </conditionalFormatting>
  <conditionalFormatting sqref="BJ60">
    <cfRule type="cellIs" dxfId="82" priority="98" stopIfTrue="1" operator="equal">
      <formula>0</formula>
    </cfRule>
  </conditionalFormatting>
  <conditionalFormatting sqref="BJ65">
    <cfRule type="cellIs" dxfId="81" priority="99" stopIfTrue="1" operator="equal">
      <formula>0</formula>
    </cfRule>
  </conditionalFormatting>
  <conditionalFormatting sqref="BJ59">
    <cfRule type="cellIs" dxfId="80" priority="97" stopIfTrue="1" operator="equal">
      <formula>0</formula>
    </cfRule>
  </conditionalFormatting>
  <conditionalFormatting sqref="BJ74">
    <cfRule type="cellIs" dxfId="79" priority="94" stopIfTrue="1" operator="greaterThan">
      <formula>-0.00001</formula>
    </cfRule>
    <cfRule type="cellIs" dxfId="78" priority="95" stopIfTrue="1" operator="lessThanOrEqual">
      <formula>0.00001</formula>
    </cfRule>
    <cfRule type="cellIs" dxfId="77" priority="96" stopIfTrue="1" operator="between">
      <formula>-0.00001</formula>
      <formula>0.00001</formula>
    </cfRule>
  </conditionalFormatting>
  <conditionalFormatting sqref="V66:AZ67">
    <cfRule type="cellIs" dxfId="76" priority="92" operator="greaterThan">
      <formula>0</formula>
    </cfRule>
    <cfRule type="cellIs" dxfId="75" priority="93" operator="lessThan">
      <formula>0</formula>
    </cfRule>
  </conditionalFormatting>
  <conditionalFormatting sqref="Q27">
    <cfRule type="cellIs" dxfId="74" priority="91" stopIfTrue="1" operator="equal">
      <formula>0</formula>
    </cfRule>
  </conditionalFormatting>
  <conditionalFormatting sqref="AI66">
    <cfRule type="cellIs" dxfId="73" priority="89" operator="equal">
      <formula>"Y"</formula>
    </cfRule>
    <cfRule type="cellIs" dxfId="72" priority="90" operator="equal">
      <formula>"N"</formula>
    </cfRule>
  </conditionalFormatting>
  <conditionalFormatting sqref="BA77">
    <cfRule type="cellIs" dxfId="71" priority="86" stopIfTrue="1" operator="lessThanOrEqual">
      <formula>-0.00001</formula>
    </cfRule>
    <cfRule type="cellIs" dxfId="70" priority="87" stopIfTrue="1" operator="greaterThan">
      <formula>0.00001</formula>
    </cfRule>
    <cfRule type="cellIs" dxfId="69" priority="88" stopIfTrue="1" operator="between">
      <formula>-0.00001</formula>
      <formula>0.00001</formula>
    </cfRule>
  </conditionalFormatting>
  <conditionalFormatting sqref="BL66 BL25:BL58 BL61:BL64">
    <cfRule type="cellIs" dxfId="50" priority="22" stopIfTrue="1" operator="equal">
      <formula>0</formula>
    </cfRule>
  </conditionalFormatting>
  <conditionalFormatting sqref="BL77:BL89">
    <cfRule type="cellIs" dxfId="49" priority="20" stopIfTrue="1" operator="notBetween">
      <formula>-0.000001</formula>
      <formula>0.000001</formula>
    </cfRule>
    <cfRule type="cellIs" dxfId="48" priority="21" stopIfTrue="1" operator="between">
      <formula>-0.000001</formula>
      <formula>0.000001</formula>
    </cfRule>
  </conditionalFormatting>
  <conditionalFormatting sqref="BL71:BL72 BL76">
    <cfRule type="cellIs" dxfId="47" priority="14" stopIfTrue="1" operator="lessThanOrEqual">
      <formula>-0.00001</formula>
    </cfRule>
    <cfRule type="cellIs" dxfId="46" priority="15" stopIfTrue="1" operator="greaterThan">
      <formula>0.00001</formula>
    </cfRule>
    <cfRule type="cellIs" dxfId="45" priority="16" stopIfTrue="1" operator="between">
      <formula>-0.00001</formula>
      <formula>0.00001</formula>
    </cfRule>
  </conditionalFormatting>
  <conditionalFormatting sqref="BL73:BL75">
    <cfRule type="cellIs" dxfId="44" priority="17" stopIfTrue="1" operator="greaterThan">
      <formula>-0.00001</formula>
    </cfRule>
    <cfRule type="cellIs" dxfId="43" priority="18" stopIfTrue="1" operator="lessThanOrEqual">
      <formula>0.00001</formula>
    </cfRule>
    <cfRule type="cellIs" dxfId="42" priority="19" stopIfTrue="1" operator="between">
      <formula>-0.00001</formula>
      <formula>0.00001</formula>
    </cfRule>
  </conditionalFormatting>
  <conditionalFormatting sqref="BL60">
    <cfRule type="cellIs" dxfId="41" priority="12" stopIfTrue="1" operator="equal">
      <formula>0</formula>
    </cfRule>
  </conditionalFormatting>
  <conditionalFormatting sqref="BL65">
    <cfRule type="cellIs" dxfId="40" priority="13" stopIfTrue="1" operator="equal">
      <formula>0</formula>
    </cfRule>
  </conditionalFormatting>
  <conditionalFormatting sqref="BL69">
    <cfRule type="cellIs" dxfId="39" priority="9" stopIfTrue="1" operator="lessThanOrEqual">
      <formula>-0.00001</formula>
    </cfRule>
    <cfRule type="cellIs" dxfId="38" priority="10" stopIfTrue="1" operator="greaterThan">
      <formula>0.00001</formula>
    </cfRule>
    <cfRule type="cellIs" dxfId="37" priority="11" stopIfTrue="1" operator="between">
      <formula>-0.00001</formula>
      <formula>0.00001</formula>
    </cfRule>
  </conditionalFormatting>
  <conditionalFormatting sqref="BL59">
    <cfRule type="cellIs" dxfId="36" priority="8" stopIfTrue="1" operator="equal">
      <formula>0</formula>
    </cfRule>
  </conditionalFormatting>
  <conditionalFormatting sqref="M55">
    <cfRule type="cellIs" dxfId="32" priority="4" stopIfTrue="1" operator="equal">
      <formula>0</formula>
    </cfRule>
  </conditionalFormatting>
  <conditionalFormatting sqref="M57">
    <cfRule type="cellIs" dxfId="31" priority="3" stopIfTrue="1" operator="equal">
      <formula>0</formula>
    </cfRule>
  </conditionalFormatting>
  <conditionalFormatting sqref="N45:N54">
    <cfRule type="cellIs" dxfId="30" priority="2" stopIfTrue="1" operator="equal">
      <formula>0</formula>
    </cfRule>
  </conditionalFormatting>
  <conditionalFormatting sqref="L44">
    <cfRule type="cellIs" dxfId="29" priority="1" stopIfTrue="1" operator="equal">
      <formula>0</formula>
    </cfRule>
  </conditionalFormatting>
  <dataValidations count="1">
    <dataValidation type="list" allowBlank="1" showInputMessage="1" showErrorMessage="1" sqref="T20" xr:uid="{00000000-0002-0000-0000-000000000000}">
      <formula1>$U$1:$U$18</formula1>
    </dataValidation>
  </dataValidations>
  <printOptions verticalCentered="1"/>
  <pageMargins left="0.46" right="0.25" top="0.98425196850393704" bottom="0.98425196850393704" header="0" footer="0"/>
  <pageSetup paperSize="9" scale="19" orientation="landscape" verticalDpi="464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009E-0738-46EB-88F3-9DA058201779}">
  <sheetPr>
    <tabColor theme="4" tint="0.59999389629810485"/>
  </sheetPr>
  <dimension ref="A1:AA17"/>
  <sheetViews>
    <sheetView zoomScaleNormal="100" workbookViewId="0">
      <selection activeCell="B1" sqref="B1"/>
    </sheetView>
  </sheetViews>
  <sheetFormatPr defaultColWidth="9.109375" defaultRowHeight="14.4" x14ac:dyDescent="0.3"/>
  <cols>
    <col min="1" max="1" width="16.33203125" style="229" bestFit="1" customWidth="1"/>
    <col min="2" max="2" width="11" style="229" customWidth="1"/>
    <col min="3" max="3" width="15.44140625" style="229" bestFit="1" customWidth="1"/>
    <col min="4" max="4" width="8.33203125" style="229" bestFit="1" customWidth="1"/>
    <col min="5" max="5" width="6.109375" style="229" bestFit="1" customWidth="1"/>
    <col min="6" max="7" width="8.33203125" style="229" bestFit="1" customWidth="1"/>
    <col min="8" max="8" width="7" style="229" bestFit="1" customWidth="1"/>
    <col min="9" max="9" width="7.44140625" style="229" bestFit="1" customWidth="1"/>
    <col min="10" max="17" width="9.109375" style="229"/>
    <col min="18" max="18" width="8.109375" style="229" hidden="1" customWidth="1"/>
    <col min="19" max="19" width="12.33203125" style="229" hidden="1" customWidth="1"/>
    <col min="20" max="20" width="7.88671875" style="229" hidden="1" customWidth="1"/>
    <col min="21" max="21" width="6.109375" style="229" hidden="1" customWidth="1"/>
    <col min="22" max="22" width="3.33203125" style="229" hidden="1" customWidth="1"/>
    <col min="23" max="23" width="4.5546875" style="229" hidden="1" customWidth="1"/>
    <col min="24" max="24" width="2" style="229" hidden="1" customWidth="1"/>
    <col min="25" max="25" width="6.44140625" style="229" hidden="1" customWidth="1"/>
    <col min="26" max="26" width="0" style="229" hidden="1" customWidth="1"/>
    <col min="27" max="27" width="19.44140625" style="229" bestFit="1" customWidth="1"/>
    <col min="28" max="16384" width="9.109375" style="229"/>
  </cols>
  <sheetData>
    <row r="1" spans="1:27" x14ac:dyDescent="0.3">
      <c r="A1" s="241" t="s">
        <v>915</v>
      </c>
      <c r="B1" s="252" t="s">
        <v>917</v>
      </c>
      <c r="R1" s="254"/>
      <c r="S1" s="254"/>
      <c r="T1" s="254"/>
      <c r="U1" s="254"/>
      <c r="V1" s="254"/>
      <c r="W1" s="254"/>
      <c r="X1" s="254"/>
      <c r="Y1" s="254"/>
    </row>
    <row r="2" spans="1:27" x14ac:dyDescent="0.3">
      <c r="R2" s="254"/>
      <c r="S2" s="254"/>
      <c r="T2" s="254"/>
      <c r="U2" s="254"/>
      <c r="V2" s="254"/>
      <c r="W2" s="254"/>
      <c r="X2" s="254"/>
      <c r="Y2" s="254"/>
    </row>
    <row r="3" spans="1:27" x14ac:dyDescent="0.3">
      <c r="A3" s="240" t="s">
        <v>910</v>
      </c>
      <c r="B3" s="230">
        <v>3</v>
      </c>
      <c r="C3" s="230">
        <v>2</v>
      </c>
      <c r="D3" s="230">
        <v>4</v>
      </c>
      <c r="E3" s="230">
        <v>3</v>
      </c>
      <c r="F3" s="230">
        <v>2</v>
      </c>
      <c r="G3" s="230">
        <v>5</v>
      </c>
      <c r="H3" s="230">
        <v>2</v>
      </c>
      <c r="I3" s="231">
        <v>2</v>
      </c>
      <c r="R3" s="254" t="s">
        <v>920</v>
      </c>
      <c r="S3" s="254"/>
      <c r="T3" s="254"/>
      <c r="U3" s="254"/>
      <c r="V3" s="254"/>
      <c r="W3" s="254"/>
      <c r="X3" s="254"/>
      <c r="Y3" s="254"/>
    </row>
    <row r="4" spans="1:27" x14ac:dyDescent="0.3">
      <c r="A4" s="240" t="s">
        <v>911</v>
      </c>
      <c r="B4" s="242" t="s">
        <v>739</v>
      </c>
      <c r="C4" s="243" t="s">
        <v>912</v>
      </c>
      <c r="D4" s="243" t="s">
        <v>747</v>
      </c>
      <c r="E4" s="243" t="s">
        <v>740</v>
      </c>
      <c r="F4" s="243" t="s">
        <v>15</v>
      </c>
      <c r="G4" s="243" t="s">
        <v>738</v>
      </c>
      <c r="H4" s="243" t="s">
        <v>671</v>
      </c>
      <c r="I4" s="244" t="s">
        <v>921</v>
      </c>
      <c r="R4" s="255" t="s">
        <v>739</v>
      </c>
      <c r="S4" s="256" t="s">
        <v>912</v>
      </c>
      <c r="T4" s="256" t="s">
        <v>747</v>
      </c>
      <c r="U4" s="256" t="s">
        <v>740</v>
      </c>
      <c r="V4" s="256" t="s">
        <v>15</v>
      </c>
      <c r="W4" s="256" t="s">
        <v>738</v>
      </c>
      <c r="X4" s="256" t="s">
        <v>671</v>
      </c>
      <c r="Y4" s="257" t="s">
        <v>913</v>
      </c>
      <c r="AA4" s="250" t="s">
        <v>916</v>
      </c>
    </row>
    <row r="5" spans="1:27" x14ac:dyDescent="0.3">
      <c r="A5" s="240" t="s">
        <v>884</v>
      </c>
      <c r="B5" s="245" t="s">
        <v>72</v>
      </c>
      <c r="C5" s="246" t="s">
        <v>919</v>
      </c>
      <c r="D5" s="246" t="s">
        <v>86</v>
      </c>
      <c r="E5" s="246" t="s">
        <v>889</v>
      </c>
      <c r="F5" s="246" t="s">
        <v>86</v>
      </c>
      <c r="G5" s="246" t="s">
        <v>86</v>
      </c>
      <c r="H5" s="246" t="s">
        <v>672</v>
      </c>
      <c r="I5" s="247" t="s">
        <v>889</v>
      </c>
      <c r="R5" s="258"/>
      <c r="S5" s="259"/>
      <c r="T5" s="259"/>
      <c r="U5" s="259"/>
      <c r="V5" s="259"/>
      <c r="W5" s="259"/>
      <c r="X5" s="259"/>
      <c r="Y5" s="260"/>
      <c r="AA5" s="232" t="s">
        <v>917</v>
      </c>
    </row>
    <row r="6" spans="1:27" x14ac:dyDescent="0.3">
      <c r="A6" s="237"/>
      <c r="B6" s="232">
        <v>-40</v>
      </c>
      <c r="C6" s="234">
        <v>3</v>
      </c>
      <c r="D6" s="248">
        <v>9.9999999999999995E-7</v>
      </c>
      <c r="E6" s="232">
        <v>6</v>
      </c>
      <c r="F6" s="248">
        <v>1E-10</v>
      </c>
      <c r="G6" s="248">
        <v>9.9999999999999995E-7</v>
      </c>
      <c r="H6" s="232">
        <f>25+273.15</f>
        <v>298.14999999999998</v>
      </c>
      <c r="I6" s="232">
        <v>6</v>
      </c>
      <c r="R6" s="261">
        <f t="shared" ref="R6:Y12" si="0">+IF(INDEX(B$6:B$12,B$3)-B6&lt;&gt;0,0,1)</f>
        <v>0</v>
      </c>
      <c r="S6" s="261">
        <f t="shared" si="0"/>
        <v>0</v>
      </c>
      <c r="T6" s="261">
        <f t="shared" si="0"/>
        <v>0</v>
      </c>
      <c r="U6" s="261">
        <f t="shared" si="0"/>
        <v>0</v>
      </c>
      <c r="V6" s="261">
        <f t="shared" si="0"/>
        <v>0</v>
      </c>
      <c r="W6" s="261">
        <f t="shared" si="0"/>
        <v>0</v>
      </c>
      <c r="X6" s="261">
        <f t="shared" si="0"/>
        <v>0</v>
      </c>
      <c r="Y6" s="262">
        <f t="shared" si="0"/>
        <v>0</v>
      </c>
      <c r="AA6" s="24" t="s">
        <v>914</v>
      </c>
    </row>
    <row r="7" spans="1:27" x14ac:dyDescent="0.3">
      <c r="A7" s="238"/>
      <c r="B7" s="24">
        <f>+B6-5</f>
        <v>-45</v>
      </c>
      <c r="C7" s="235">
        <f>+C6+1/3</f>
        <v>3.3333333333333335</v>
      </c>
      <c r="D7" s="249">
        <v>1.0000000000000001E-5</v>
      </c>
      <c r="E7" s="24">
        <f>+E6+0.5</f>
        <v>6.5</v>
      </c>
      <c r="F7" s="249">
        <v>1.0000000000000001E-9</v>
      </c>
      <c r="G7" s="249">
        <v>1.0000000000000001E-5</v>
      </c>
      <c r="H7" s="24">
        <f>+H6+10</f>
        <v>308.14999999999998</v>
      </c>
      <c r="I7" s="24">
        <v>7</v>
      </c>
      <c r="R7" s="261">
        <f t="shared" si="0"/>
        <v>0</v>
      </c>
      <c r="S7" s="261">
        <f t="shared" si="0"/>
        <v>1</v>
      </c>
      <c r="T7" s="261">
        <f t="shared" si="0"/>
        <v>0</v>
      </c>
      <c r="U7" s="261">
        <f t="shared" si="0"/>
        <v>0</v>
      </c>
      <c r="V7" s="261">
        <f t="shared" si="0"/>
        <v>1</v>
      </c>
      <c r="W7" s="261">
        <f t="shared" si="0"/>
        <v>0</v>
      </c>
      <c r="X7" s="261">
        <f t="shared" si="0"/>
        <v>1</v>
      </c>
      <c r="Y7" s="262">
        <f t="shared" si="0"/>
        <v>1</v>
      </c>
      <c r="AA7" s="251" t="s">
        <v>918</v>
      </c>
    </row>
    <row r="8" spans="1:27" x14ac:dyDescent="0.3">
      <c r="A8" s="238"/>
      <c r="B8" s="24">
        <f>+B7-5</f>
        <v>-50</v>
      </c>
      <c r="C8" s="235">
        <f t="shared" ref="C8:C12" si="1">+C7+1/3</f>
        <v>3.666666666666667</v>
      </c>
      <c r="D8" s="249">
        <v>1E-4</v>
      </c>
      <c r="E8" s="24">
        <f>+E7+0.5</f>
        <v>7</v>
      </c>
      <c r="F8" s="249">
        <v>1.28E-8</v>
      </c>
      <c r="G8" s="249">
        <v>1E-4</v>
      </c>
      <c r="H8" s="24">
        <f>+H7+10</f>
        <v>318.14999999999998</v>
      </c>
      <c r="I8" s="24">
        <v>8</v>
      </c>
      <c r="R8" s="261">
        <f t="shared" si="0"/>
        <v>1</v>
      </c>
      <c r="S8" s="261">
        <f t="shared" si="0"/>
        <v>0</v>
      </c>
      <c r="T8" s="261">
        <f t="shared" si="0"/>
        <v>0</v>
      </c>
      <c r="U8" s="261">
        <f t="shared" si="0"/>
        <v>1</v>
      </c>
      <c r="V8" s="261">
        <f t="shared" si="0"/>
        <v>0</v>
      </c>
      <c r="W8" s="261">
        <f t="shared" si="0"/>
        <v>0</v>
      </c>
      <c r="X8" s="261">
        <f t="shared" si="0"/>
        <v>0</v>
      </c>
      <c r="Y8" s="262">
        <f t="shared" si="0"/>
        <v>0</v>
      </c>
    </row>
    <row r="9" spans="1:27" x14ac:dyDescent="0.3">
      <c r="A9" s="238"/>
      <c r="B9" s="24">
        <f>+B8-5</f>
        <v>-55</v>
      </c>
      <c r="C9" s="235">
        <f t="shared" si="1"/>
        <v>4</v>
      </c>
      <c r="D9" s="249">
        <v>1E-3</v>
      </c>
      <c r="E9" s="24">
        <f>+E8+0.5</f>
        <v>7.5</v>
      </c>
      <c r="F9" s="249">
        <v>2.4999999999999999E-7</v>
      </c>
      <c r="G9" s="249">
        <v>1E-3</v>
      </c>
      <c r="H9" s="24">
        <f>+H8+10</f>
        <v>328.15</v>
      </c>
      <c r="I9" s="24"/>
      <c r="R9" s="261">
        <f t="shared" si="0"/>
        <v>0</v>
      </c>
      <c r="S9" s="261">
        <f t="shared" si="0"/>
        <v>0</v>
      </c>
      <c r="T9" s="261">
        <f t="shared" si="0"/>
        <v>1</v>
      </c>
      <c r="U9" s="261">
        <f t="shared" si="0"/>
        <v>0</v>
      </c>
      <c r="V9" s="261">
        <f t="shared" si="0"/>
        <v>0</v>
      </c>
      <c r="W9" s="261">
        <f t="shared" si="0"/>
        <v>0</v>
      </c>
      <c r="X9" s="261">
        <f t="shared" si="0"/>
        <v>0</v>
      </c>
      <c r="Y9" s="262">
        <f t="shared" si="0"/>
        <v>0</v>
      </c>
    </row>
    <row r="10" spans="1:27" x14ac:dyDescent="0.3">
      <c r="A10" s="238"/>
      <c r="B10" s="24">
        <f>+B9-5</f>
        <v>-60</v>
      </c>
      <c r="C10" s="235">
        <f t="shared" si="1"/>
        <v>4.333333333333333</v>
      </c>
      <c r="D10" s="249">
        <v>0.01</v>
      </c>
      <c r="E10" s="24">
        <f>+E9+0.5</f>
        <v>8</v>
      </c>
      <c r="F10" s="249"/>
      <c r="G10" s="249">
        <v>0.01</v>
      </c>
      <c r="H10" s="24"/>
      <c r="I10" s="24"/>
      <c r="R10" s="261">
        <f t="shared" si="0"/>
        <v>0</v>
      </c>
      <c r="S10" s="261">
        <f t="shared" si="0"/>
        <v>0</v>
      </c>
      <c r="T10" s="261">
        <f t="shared" si="0"/>
        <v>0</v>
      </c>
      <c r="U10" s="261">
        <f t="shared" si="0"/>
        <v>0</v>
      </c>
      <c r="V10" s="261">
        <f t="shared" si="0"/>
        <v>0</v>
      </c>
      <c r="W10" s="261">
        <f t="shared" si="0"/>
        <v>1</v>
      </c>
      <c r="X10" s="261">
        <f t="shared" si="0"/>
        <v>0</v>
      </c>
      <c r="Y10" s="262">
        <f t="shared" si="0"/>
        <v>0</v>
      </c>
    </row>
    <row r="11" spans="1:27" x14ac:dyDescent="0.3">
      <c r="A11" s="238"/>
      <c r="B11" s="24">
        <f>+B10-5</f>
        <v>-65</v>
      </c>
      <c r="C11" s="235">
        <f t="shared" si="1"/>
        <v>4.6666666666666661</v>
      </c>
      <c r="D11" s="249"/>
      <c r="E11" s="24"/>
      <c r="F11" s="24"/>
      <c r="G11" s="24"/>
      <c r="H11" s="24"/>
      <c r="I11" s="24"/>
      <c r="R11" s="261">
        <f t="shared" si="0"/>
        <v>0</v>
      </c>
      <c r="S11" s="261">
        <f t="shared" si="0"/>
        <v>0</v>
      </c>
      <c r="T11" s="261">
        <f t="shared" si="0"/>
        <v>0</v>
      </c>
      <c r="U11" s="261">
        <f t="shared" si="0"/>
        <v>0</v>
      </c>
      <c r="V11" s="261">
        <f t="shared" si="0"/>
        <v>0</v>
      </c>
      <c r="W11" s="261">
        <f t="shared" si="0"/>
        <v>0</v>
      </c>
      <c r="X11" s="261">
        <f t="shared" si="0"/>
        <v>0</v>
      </c>
      <c r="Y11" s="262">
        <f t="shared" si="0"/>
        <v>0</v>
      </c>
    </row>
    <row r="12" spans="1:27" x14ac:dyDescent="0.3">
      <c r="A12" s="239"/>
      <c r="B12" s="233"/>
      <c r="C12" s="236">
        <f t="shared" si="1"/>
        <v>4.9999999999999991</v>
      </c>
      <c r="D12" s="253"/>
      <c r="E12" s="233"/>
      <c r="F12" s="233"/>
      <c r="G12" s="233"/>
      <c r="H12" s="233"/>
      <c r="I12" s="233"/>
      <c r="R12" s="263">
        <f t="shared" si="0"/>
        <v>0</v>
      </c>
      <c r="S12" s="263">
        <f t="shared" si="0"/>
        <v>0</v>
      </c>
      <c r="T12" s="263">
        <f t="shared" si="0"/>
        <v>0</v>
      </c>
      <c r="U12" s="263">
        <f t="shared" si="0"/>
        <v>0</v>
      </c>
      <c r="V12" s="263">
        <f t="shared" si="0"/>
        <v>0</v>
      </c>
      <c r="W12" s="263">
        <f t="shared" si="0"/>
        <v>0</v>
      </c>
      <c r="X12" s="263">
        <f t="shared" si="0"/>
        <v>0</v>
      </c>
      <c r="Y12" s="264">
        <f t="shared" si="0"/>
        <v>0</v>
      </c>
    </row>
    <row r="13" spans="1:27" x14ac:dyDescent="0.3">
      <c r="R13" s="254"/>
      <c r="S13" s="254"/>
      <c r="T13" s="254"/>
      <c r="U13" s="254"/>
      <c r="V13" s="254"/>
      <c r="W13" s="254"/>
      <c r="X13" s="254"/>
      <c r="Y13" s="254"/>
    </row>
    <row r="14" spans="1:27" x14ac:dyDescent="0.3">
      <c r="R14" s="254"/>
      <c r="S14" s="254"/>
      <c r="T14" s="254"/>
      <c r="U14" s="254"/>
      <c r="V14" s="254"/>
      <c r="W14" s="254"/>
      <c r="X14" s="254"/>
      <c r="Y14" s="254"/>
    </row>
    <row r="15" spans="1:27" x14ac:dyDescent="0.3">
      <c r="R15" s="254"/>
      <c r="S15" s="254"/>
      <c r="T15" s="254"/>
      <c r="U15" s="254"/>
      <c r="V15" s="254"/>
      <c r="W15" s="254"/>
      <c r="X15" s="254"/>
      <c r="Y15" s="254"/>
    </row>
    <row r="16" spans="1:27" x14ac:dyDescent="0.3">
      <c r="R16" s="254"/>
      <c r="S16" s="254"/>
      <c r="T16" s="254"/>
      <c r="U16" s="254"/>
      <c r="V16" s="254"/>
      <c r="W16" s="254"/>
      <c r="X16" s="254"/>
      <c r="Y16" s="254"/>
    </row>
    <row r="17" spans="18:25" x14ac:dyDescent="0.3">
      <c r="R17" s="254"/>
      <c r="S17" s="254"/>
      <c r="T17" s="254"/>
      <c r="U17" s="254"/>
      <c r="V17" s="254"/>
      <c r="W17" s="254"/>
      <c r="X17" s="254"/>
      <c r="Y17" s="254"/>
    </row>
  </sheetData>
  <conditionalFormatting sqref="B8">
    <cfRule type="expression" dxfId="28" priority="4">
      <formula>"index($B$5:$B$10,b12)-B$17=0"</formula>
    </cfRule>
  </conditionalFormatting>
  <conditionalFormatting sqref="R6:Y12">
    <cfRule type="cellIs" dxfId="27" priority="1" operator="greaterThan">
      <formula>0</formula>
    </cfRule>
    <cfRule type="cellIs" dxfId="26" priority="2" operator="equal">
      <formula>0</formula>
    </cfRule>
  </conditionalFormatting>
  <conditionalFormatting sqref="B6:I11">
    <cfRule type="expression" dxfId="25" priority="634">
      <formula>R6&gt;0</formula>
    </cfRule>
  </conditionalFormatting>
  <dataValidations count="1">
    <dataValidation type="list" allowBlank="1" showInputMessage="1" showErrorMessage="1" sqref="B1" xr:uid="{8873DA7B-1A9A-4B95-B7C7-4F0A96B3CDE0}">
      <formula1>AA5:AA7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8"/>
  </sheetPr>
  <dimension ref="A1:AA305"/>
  <sheetViews>
    <sheetView zoomScale="80" zoomScaleNormal="80" workbookViewId="0">
      <selection activeCell="A24" sqref="A24"/>
    </sheetView>
  </sheetViews>
  <sheetFormatPr defaultColWidth="11.44140625" defaultRowHeight="14.4" x14ac:dyDescent="0.3"/>
  <cols>
    <col min="1" max="1" width="27.33203125" customWidth="1"/>
    <col min="2" max="2" width="15.5546875" bestFit="1" customWidth="1"/>
    <col min="3" max="3" width="16.33203125" customWidth="1"/>
    <col min="4" max="4" width="12.33203125" customWidth="1"/>
    <col min="5" max="5" width="9.5546875" bestFit="1" customWidth="1"/>
    <col min="6" max="6" width="8.88671875" customWidth="1"/>
    <col min="7" max="7" width="11.33203125" bestFit="1" customWidth="1"/>
    <col min="8" max="15" width="4.6640625" customWidth="1"/>
    <col min="16" max="16" width="5.6640625" customWidth="1"/>
    <col min="17" max="17" width="6.44140625" customWidth="1"/>
    <col min="18" max="18" width="6.88671875" bestFit="1" customWidth="1"/>
    <col min="19" max="19" width="7.33203125" bestFit="1" customWidth="1"/>
    <col min="20" max="20" width="5" bestFit="1" customWidth="1"/>
    <col min="21" max="21" width="8.44140625" bestFit="1" customWidth="1"/>
    <col min="22" max="22" width="8.109375" bestFit="1" customWidth="1"/>
    <col min="23" max="23" width="10.109375" bestFit="1" customWidth="1"/>
    <col min="24" max="24" width="18.44140625" bestFit="1" customWidth="1"/>
    <col min="25" max="25" width="13" bestFit="1" customWidth="1"/>
    <col min="27" max="27" width="12.44140625" bestFit="1" customWidth="1"/>
    <col min="30" max="30" width="12.44140625" bestFit="1" customWidth="1"/>
    <col min="31" max="31" width="12.44140625" customWidth="1"/>
  </cols>
  <sheetData>
    <row r="1" spans="1:27" ht="15" thickBot="1" x14ac:dyDescent="0.35">
      <c r="A1" s="10" t="str">
        <f>+A90</f>
        <v>Sodium Ion</v>
      </c>
      <c r="B1" s="10"/>
      <c r="C1" s="10"/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 t="s">
        <v>92</v>
      </c>
      <c r="Y1" s="10"/>
    </row>
    <row r="2" spans="1:27" ht="54" thickTop="1" thickBot="1" x14ac:dyDescent="0.35">
      <c r="A2" s="12" t="s">
        <v>93</v>
      </c>
      <c r="B2" s="13" t="s">
        <v>94</v>
      </c>
      <c r="C2" s="13" t="s">
        <v>95</v>
      </c>
      <c r="D2" s="14" t="s">
        <v>96</v>
      </c>
      <c r="E2" s="14" t="s">
        <v>97</v>
      </c>
      <c r="F2" s="14" t="s">
        <v>98</v>
      </c>
      <c r="G2" s="15" t="s">
        <v>99</v>
      </c>
      <c r="H2" s="13" t="s">
        <v>100</v>
      </c>
      <c r="I2" s="13" t="s">
        <v>101</v>
      </c>
      <c r="J2" s="13" t="s">
        <v>102</v>
      </c>
      <c r="K2" s="13" t="s">
        <v>103</v>
      </c>
      <c r="L2" s="13" t="s">
        <v>104</v>
      </c>
      <c r="M2" s="13" t="s">
        <v>105</v>
      </c>
      <c r="N2" s="13" t="s">
        <v>106</v>
      </c>
      <c r="O2" s="13" t="s">
        <v>37</v>
      </c>
      <c r="P2" s="13" t="s">
        <v>107</v>
      </c>
      <c r="Q2" s="13" t="s">
        <v>108</v>
      </c>
      <c r="R2" s="13" t="s">
        <v>109</v>
      </c>
      <c r="S2" s="13" t="s">
        <v>801</v>
      </c>
      <c r="T2" s="13" t="s">
        <v>110</v>
      </c>
      <c r="U2" s="13" t="s">
        <v>111</v>
      </c>
      <c r="V2" s="16" t="s">
        <v>112</v>
      </c>
      <c r="W2" s="16" t="s">
        <v>113</v>
      </c>
      <c r="X2" s="16" t="s">
        <v>114</v>
      </c>
      <c r="Y2" s="14" t="s">
        <v>115</v>
      </c>
      <c r="AA2" s="16" t="s">
        <v>909</v>
      </c>
    </row>
    <row r="3" spans="1:27" ht="16.2" thickTop="1" x14ac:dyDescent="0.3">
      <c r="A3" s="23" t="s">
        <v>116</v>
      </c>
      <c r="B3" s="17" t="s">
        <v>117</v>
      </c>
      <c r="C3" s="17" t="s">
        <v>118</v>
      </c>
      <c r="D3" s="18">
        <v>-284.89999999999998</v>
      </c>
      <c r="E3" s="19" t="s">
        <v>38</v>
      </c>
      <c r="F3" s="19" t="s">
        <v>38</v>
      </c>
      <c r="G3" s="20" t="str">
        <f>+IF(E3="NA","NA",(D3-E3)/298)</f>
        <v>NA</v>
      </c>
      <c r="H3" s="17">
        <v>4</v>
      </c>
      <c r="I3" s="17">
        <v>7</v>
      </c>
      <c r="J3" s="17">
        <v>2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1</v>
      </c>
      <c r="T3" s="17">
        <v>0</v>
      </c>
      <c r="U3" s="17">
        <v>0</v>
      </c>
      <c r="V3" s="21">
        <f t="shared" ref="V3:V66" si="0">SUMPRODUCT(H3:U3,$H$273:$U$273)</f>
        <v>87</v>
      </c>
      <c r="W3" s="21">
        <f t="shared" ref="W3:W66" si="1">SUMPRODUCT($H3:$U3,$H$274:$U$274)</f>
        <v>19</v>
      </c>
      <c r="X3" s="21">
        <f t="shared" ref="X3:X66" si="2">(IF(H3&lt;&gt;0,SUMPRODUCT($H3:$U3,$H$274:$U$274)/$H3,"NA"))</f>
        <v>4.75</v>
      </c>
      <c r="Y3" s="22">
        <f t="shared" ref="Y3:Y70" si="3">IF(H3&gt;0, 200+18*(6-H3)^1.8+EXP((3.6+0.4*H3)*((3.8-X3)^2)^0.16),"NA")</f>
        <v>429.23781080893428</v>
      </c>
      <c r="AA3" s="177">
        <v>1</v>
      </c>
    </row>
    <row r="4" spans="1:27" ht="15.6" x14ac:dyDescent="0.3">
      <c r="A4" s="23" t="s">
        <v>119</v>
      </c>
      <c r="B4" s="17" t="s">
        <v>120</v>
      </c>
      <c r="C4" s="24" t="s">
        <v>121</v>
      </c>
      <c r="D4" s="25">
        <v>-139.9</v>
      </c>
      <c r="E4" s="26">
        <v>-212.23</v>
      </c>
      <c r="F4" s="19" t="s">
        <v>38</v>
      </c>
      <c r="G4" s="20">
        <f t="shared" ref="G4:G71" si="4">+IF(E4="NA","NA",(D4-E4)/298)</f>
        <v>0.24271812080536909</v>
      </c>
      <c r="H4" s="17">
        <v>2</v>
      </c>
      <c r="I4" s="17">
        <v>4</v>
      </c>
      <c r="J4" s="17">
        <v>1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1">
        <f t="shared" si="0"/>
        <v>44</v>
      </c>
      <c r="W4" s="21">
        <f t="shared" si="1"/>
        <v>10</v>
      </c>
      <c r="X4" s="21">
        <f t="shared" si="2"/>
        <v>5</v>
      </c>
      <c r="Y4" s="22">
        <f t="shared" si="3"/>
        <v>524.35926597007642</v>
      </c>
    </row>
    <row r="5" spans="1:27" ht="15.6" x14ac:dyDescent="0.3">
      <c r="A5" s="23" t="s">
        <v>122</v>
      </c>
      <c r="B5" s="17" t="s">
        <v>7</v>
      </c>
      <c r="C5" s="17" t="s">
        <v>123</v>
      </c>
      <c r="D5" s="27">
        <v>-369.41</v>
      </c>
      <c r="E5" s="28">
        <v>-486</v>
      </c>
      <c r="F5" s="28">
        <v>86.6</v>
      </c>
      <c r="G5" s="20">
        <f t="shared" si="4"/>
        <v>0.39124161073825497</v>
      </c>
      <c r="H5" s="17">
        <v>2</v>
      </c>
      <c r="I5" s="17">
        <v>3</v>
      </c>
      <c r="J5" s="17">
        <v>2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-1</v>
      </c>
      <c r="V5" s="21">
        <f t="shared" si="0"/>
        <v>59</v>
      </c>
      <c r="W5" s="21">
        <f t="shared" si="1"/>
        <v>8</v>
      </c>
      <c r="X5" s="21">
        <f t="shared" si="2"/>
        <v>4</v>
      </c>
      <c r="Y5" s="22">
        <f t="shared" si="3"/>
        <v>432.1223913677282</v>
      </c>
    </row>
    <row r="6" spans="1:27" ht="15.6" x14ac:dyDescent="0.3">
      <c r="A6" s="23" t="s">
        <v>124</v>
      </c>
      <c r="B6" s="17" t="s">
        <v>125</v>
      </c>
      <c r="C6" s="17" t="s">
        <v>126</v>
      </c>
      <c r="D6" s="29">
        <v>-396.6</v>
      </c>
      <c r="E6" s="30">
        <v>-485.8</v>
      </c>
      <c r="F6" s="30">
        <v>178.7</v>
      </c>
      <c r="G6" s="20">
        <f t="shared" si="4"/>
        <v>0.29932885906040263</v>
      </c>
      <c r="H6" s="17">
        <v>2</v>
      </c>
      <c r="I6" s="17">
        <v>4</v>
      </c>
      <c r="J6" s="17">
        <v>2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21">
        <f t="shared" si="0"/>
        <v>60</v>
      </c>
      <c r="W6" s="21">
        <f t="shared" si="1"/>
        <v>8</v>
      </c>
      <c r="X6" s="21">
        <f t="shared" si="2"/>
        <v>4</v>
      </c>
      <c r="Y6" s="22">
        <f t="shared" si="3"/>
        <v>432.1223913677282</v>
      </c>
    </row>
    <row r="7" spans="1:27" ht="15.6" x14ac:dyDescent="0.3">
      <c r="A7" s="23" t="s">
        <v>127</v>
      </c>
      <c r="B7" s="23" t="s">
        <v>128</v>
      </c>
      <c r="C7" s="17" t="s">
        <v>129</v>
      </c>
      <c r="D7" s="31">
        <v>-482.5</v>
      </c>
      <c r="E7" s="19" t="s">
        <v>38</v>
      </c>
      <c r="F7" s="19" t="s">
        <v>38</v>
      </c>
      <c r="G7" s="20" t="str">
        <f t="shared" si="4"/>
        <v>NA</v>
      </c>
      <c r="H7" s="17">
        <v>4</v>
      </c>
      <c r="I7" s="17">
        <v>5</v>
      </c>
      <c r="J7" s="17">
        <v>3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-1</v>
      </c>
      <c r="V7" s="21">
        <f t="shared" si="0"/>
        <v>101</v>
      </c>
      <c r="W7" s="21">
        <f t="shared" si="1"/>
        <v>16</v>
      </c>
      <c r="X7" s="21">
        <f t="shared" si="2"/>
        <v>4</v>
      </c>
      <c r="Y7" s="22">
        <f t="shared" si="3"/>
        <v>285.0321935528454</v>
      </c>
    </row>
    <row r="8" spans="1:27" ht="15.6" x14ac:dyDescent="0.3">
      <c r="A8" s="23" t="s">
        <v>130</v>
      </c>
      <c r="B8" s="23" t="s">
        <v>131</v>
      </c>
      <c r="C8" s="17" t="s">
        <v>132</v>
      </c>
      <c r="D8" s="31">
        <f>+D7+E277*E278*LN(10^-3.58)</f>
        <v>-502.92325686738963</v>
      </c>
      <c r="E8" s="19" t="s">
        <v>38</v>
      </c>
      <c r="F8" s="19" t="s">
        <v>38</v>
      </c>
      <c r="G8" s="20" t="str">
        <f t="shared" si="4"/>
        <v>NA</v>
      </c>
      <c r="H8" s="17">
        <v>4</v>
      </c>
      <c r="I8" s="17">
        <v>6</v>
      </c>
      <c r="J8" s="17">
        <v>3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21">
        <f t="shared" si="0"/>
        <v>102</v>
      </c>
      <c r="W8" s="21">
        <f t="shared" si="1"/>
        <v>16</v>
      </c>
      <c r="X8" s="21">
        <f t="shared" si="2"/>
        <v>4</v>
      </c>
      <c r="Y8" s="22">
        <f t="shared" si="3"/>
        <v>285.0321935528454</v>
      </c>
    </row>
    <row r="9" spans="1:27" ht="15.6" x14ac:dyDescent="0.3">
      <c r="A9" s="23" t="s">
        <v>133</v>
      </c>
      <c r="B9" s="17" t="s">
        <v>134</v>
      </c>
      <c r="C9" s="17" t="s">
        <v>135</v>
      </c>
      <c r="D9" s="32">
        <v>-237.5</v>
      </c>
      <c r="E9" s="19" t="s">
        <v>38</v>
      </c>
      <c r="F9" s="19" t="s">
        <v>38</v>
      </c>
      <c r="G9" s="20" t="str">
        <f t="shared" si="4"/>
        <v>NA</v>
      </c>
      <c r="H9" s="17">
        <v>4</v>
      </c>
      <c r="I9" s="17">
        <v>5</v>
      </c>
      <c r="J9" s="17">
        <v>2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</v>
      </c>
      <c r="T9" s="17">
        <v>0</v>
      </c>
      <c r="U9" s="17">
        <v>0</v>
      </c>
      <c r="V9" s="21">
        <f t="shared" si="0"/>
        <v>85</v>
      </c>
      <c r="W9" s="21">
        <f t="shared" si="1"/>
        <v>17</v>
      </c>
      <c r="X9" s="21">
        <f t="shared" si="2"/>
        <v>4.25</v>
      </c>
      <c r="Y9" s="22">
        <f t="shared" si="3"/>
        <v>318.79788884678771</v>
      </c>
    </row>
    <row r="10" spans="1:27" ht="15.6" x14ac:dyDescent="0.3">
      <c r="A10" s="23" t="s">
        <v>136</v>
      </c>
      <c r="B10" s="17" t="s">
        <v>136</v>
      </c>
      <c r="C10" s="17" t="s">
        <v>137</v>
      </c>
      <c r="D10" s="33">
        <v>-159.81</v>
      </c>
      <c r="E10" s="34">
        <v>-221.86</v>
      </c>
      <c r="F10" s="19" t="s">
        <v>38</v>
      </c>
      <c r="G10" s="20">
        <f t="shared" si="4"/>
        <v>0.20822147651006714</v>
      </c>
      <c r="H10" s="17">
        <v>3</v>
      </c>
      <c r="I10" s="17">
        <v>6</v>
      </c>
      <c r="J10" s="17">
        <v>1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21">
        <f t="shared" si="0"/>
        <v>58</v>
      </c>
      <c r="W10" s="21">
        <f t="shared" si="1"/>
        <v>16</v>
      </c>
      <c r="X10" s="21">
        <f t="shared" si="2"/>
        <v>5.333333333333333</v>
      </c>
      <c r="Y10" s="22">
        <f t="shared" si="3"/>
        <v>575.6125687640415</v>
      </c>
    </row>
    <row r="11" spans="1:27" ht="15.6" x14ac:dyDescent="0.3">
      <c r="A11" s="23" t="s">
        <v>138</v>
      </c>
      <c r="B11" s="17" t="s">
        <v>9</v>
      </c>
      <c r="C11" s="17" t="s">
        <v>139</v>
      </c>
      <c r="D11" s="31">
        <f>-188.5+47.83</f>
        <v>-140.67000000000002</v>
      </c>
      <c r="E11" s="95">
        <f>+IF(AA3=1,calcEnthJoback!B23,IF(AA3=2,calcEnthJoback!C23,"NA"))</f>
        <v>-210.59999999999991</v>
      </c>
      <c r="F11" s="19" t="s">
        <v>38</v>
      </c>
      <c r="G11" s="20">
        <f t="shared" si="4"/>
        <v>0.23466442953020097</v>
      </c>
      <c r="H11" s="17">
        <v>2</v>
      </c>
      <c r="I11" s="17">
        <v>3</v>
      </c>
      <c r="J11" s="17">
        <v>1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1</v>
      </c>
      <c r="T11" s="17">
        <v>0</v>
      </c>
      <c r="U11" s="17">
        <v>0</v>
      </c>
      <c r="V11" s="21">
        <f t="shared" si="0"/>
        <v>43</v>
      </c>
      <c r="W11" s="21">
        <f t="shared" si="1"/>
        <v>9</v>
      </c>
      <c r="X11" s="21">
        <f t="shared" si="2"/>
        <v>4.5</v>
      </c>
      <c r="Y11" s="22">
        <f t="shared" si="3"/>
        <v>468.93658899096215</v>
      </c>
    </row>
    <row r="12" spans="1:27" ht="15.6" x14ac:dyDescent="0.3">
      <c r="A12" s="23" t="s">
        <v>140</v>
      </c>
      <c r="B12" s="17" t="s">
        <v>141</v>
      </c>
      <c r="C12" s="17" t="s">
        <v>142</v>
      </c>
      <c r="D12" s="25">
        <v>-1219.49</v>
      </c>
      <c r="E12" s="19" t="s">
        <v>38</v>
      </c>
      <c r="F12" s="19" t="s">
        <v>38</v>
      </c>
      <c r="G12" s="20" t="str">
        <f t="shared" si="4"/>
        <v>NA</v>
      </c>
      <c r="H12" s="17">
        <v>2</v>
      </c>
      <c r="I12" s="17">
        <v>3</v>
      </c>
      <c r="J12" s="17">
        <v>5</v>
      </c>
      <c r="K12" s="17">
        <v>0</v>
      </c>
      <c r="L12" s="17">
        <v>1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-2</v>
      </c>
      <c r="V12" s="21">
        <f t="shared" si="0"/>
        <v>138</v>
      </c>
      <c r="W12" s="21">
        <f t="shared" si="1"/>
        <v>8</v>
      </c>
      <c r="X12" s="21">
        <f t="shared" si="2"/>
        <v>4</v>
      </c>
      <c r="Y12" s="22">
        <f t="shared" si="3"/>
        <v>432.1223913677282</v>
      </c>
    </row>
    <row r="13" spans="1:27" ht="15.6" x14ac:dyDescent="0.3">
      <c r="A13" s="23" t="s">
        <v>143</v>
      </c>
      <c r="B13" s="17" t="s">
        <v>2</v>
      </c>
      <c r="C13" s="17" t="s">
        <v>144</v>
      </c>
      <c r="D13" s="18">
        <v>-48.5</v>
      </c>
      <c r="E13" s="95">
        <f>+IF(AA3=1,calcEnthJoback!B19,IF(AA3=2,calcEnthJoback!C19,"NA"))</f>
        <v>-108.9899999999999</v>
      </c>
      <c r="F13" s="19" t="s">
        <v>38</v>
      </c>
      <c r="G13" s="20">
        <f t="shared" si="4"/>
        <v>0.20298657718120769</v>
      </c>
      <c r="H13" s="17">
        <v>3</v>
      </c>
      <c r="I13" s="17">
        <v>3</v>
      </c>
      <c r="J13" s="17">
        <v>1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1</v>
      </c>
      <c r="T13" s="17">
        <v>0</v>
      </c>
      <c r="U13" s="17">
        <v>0</v>
      </c>
      <c r="V13" s="21">
        <f t="shared" si="0"/>
        <v>55</v>
      </c>
      <c r="W13" s="21">
        <f t="shared" si="1"/>
        <v>13</v>
      </c>
      <c r="X13" s="21">
        <f t="shared" si="2"/>
        <v>4.333333333333333</v>
      </c>
      <c r="Y13" s="22">
        <f t="shared" si="3"/>
        <v>380.7160621060674</v>
      </c>
    </row>
    <row r="14" spans="1:27" ht="15.6" x14ac:dyDescent="0.3">
      <c r="A14" s="23" t="s">
        <v>145</v>
      </c>
      <c r="B14" s="17" t="s">
        <v>145</v>
      </c>
      <c r="C14" s="17" t="s">
        <v>146</v>
      </c>
      <c r="D14" s="35">
        <v>71.011789325447893</v>
      </c>
      <c r="E14" s="19">
        <v>11.43</v>
      </c>
      <c r="F14" s="19" t="s">
        <v>38</v>
      </c>
      <c r="G14" s="20">
        <f t="shared" si="4"/>
        <v>0.19993889035385198</v>
      </c>
      <c r="H14" s="17">
        <v>0</v>
      </c>
      <c r="I14" s="17">
        <v>0</v>
      </c>
      <c r="J14" s="17">
        <v>7</v>
      </c>
      <c r="K14" s="17">
        <v>0</v>
      </c>
      <c r="L14" s="17">
        <v>2</v>
      </c>
      <c r="M14" s="17">
        <v>0</v>
      </c>
      <c r="N14" s="17">
        <v>0</v>
      </c>
      <c r="O14" s="17">
        <v>0</v>
      </c>
      <c r="P14" s="17">
        <v>1</v>
      </c>
      <c r="Q14" s="17">
        <v>0</v>
      </c>
      <c r="R14" s="17">
        <v>0</v>
      </c>
      <c r="S14" s="17">
        <v>0</v>
      </c>
      <c r="T14" s="17">
        <v>0</v>
      </c>
      <c r="U14" s="17">
        <v>-3</v>
      </c>
      <c r="V14" s="21">
        <f t="shared" si="0"/>
        <v>174</v>
      </c>
      <c r="W14" s="21">
        <f t="shared" si="1"/>
        <v>-1</v>
      </c>
      <c r="X14" s="21" t="str">
        <f t="shared" si="2"/>
        <v>NA</v>
      </c>
      <c r="Y14" s="22" t="str">
        <f t="shared" si="3"/>
        <v>NA</v>
      </c>
    </row>
    <row r="15" spans="1:27" ht="15.6" x14ac:dyDescent="0.3">
      <c r="A15" s="36" t="s">
        <v>147</v>
      </c>
      <c r="B15" s="101" t="s">
        <v>807</v>
      </c>
      <c r="C15" s="17" t="s">
        <v>148</v>
      </c>
      <c r="D15" s="37">
        <v>-26.6</v>
      </c>
      <c r="E15" s="38">
        <v>-81.300000000000011</v>
      </c>
      <c r="F15" s="39">
        <v>111.3</v>
      </c>
      <c r="G15" s="20">
        <f t="shared" si="4"/>
        <v>0.1835570469798658</v>
      </c>
      <c r="H15" s="17">
        <v>0</v>
      </c>
      <c r="I15" s="17">
        <v>3</v>
      </c>
      <c r="J15" s="17">
        <v>0</v>
      </c>
      <c r="K15" s="17">
        <v>1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21">
        <f t="shared" si="0"/>
        <v>17</v>
      </c>
      <c r="W15" s="21">
        <f t="shared" si="1"/>
        <v>0</v>
      </c>
      <c r="X15" s="21" t="str">
        <f t="shared" si="2"/>
        <v>NA</v>
      </c>
      <c r="Y15" s="22" t="str">
        <f t="shared" si="3"/>
        <v>NA</v>
      </c>
    </row>
    <row r="16" spans="1:27" ht="15.6" x14ac:dyDescent="0.3">
      <c r="A16" s="23" t="s">
        <v>149</v>
      </c>
      <c r="B16" s="17" t="s">
        <v>148</v>
      </c>
      <c r="C16" s="17" t="s">
        <v>148</v>
      </c>
      <c r="D16" s="37">
        <v>-16.5</v>
      </c>
      <c r="E16" s="39">
        <v>-46.1</v>
      </c>
      <c r="F16" s="39">
        <v>192.7</v>
      </c>
      <c r="G16" s="20">
        <f t="shared" si="4"/>
        <v>9.9328859060402688E-2</v>
      </c>
      <c r="H16" s="17">
        <v>0</v>
      </c>
      <c r="I16" s="17">
        <v>3</v>
      </c>
      <c r="J16" s="17">
        <v>0</v>
      </c>
      <c r="K16" s="17">
        <v>1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21">
        <f t="shared" si="0"/>
        <v>17</v>
      </c>
      <c r="W16" s="21">
        <f t="shared" si="1"/>
        <v>0</v>
      </c>
      <c r="X16" s="21" t="str">
        <f t="shared" si="2"/>
        <v>NA</v>
      </c>
      <c r="Y16" s="22" t="str">
        <f t="shared" si="3"/>
        <v>NA</v>
      </c>
    </row>
    <row r="17" spans="1:25" ht="15.6" x14ac:dyDescent="0.3">
      <c r="A17" s="36" t="s">
        <v>150</v>
      </c>
      <c r="B17" s="17" t="s">
        <v>151</v>
      </c>
      <c r="C17" s="17" t="s">
        <v>151</v>
      </c>
      <c r="D17" s="37">
        <v>-79.37</v>
      </c>
      <c r="E17" s="39">
        <v>-133.30000000000001</v>
      </c>
      <c r="F17" s="39">
        <v>111.2</v>
      </c>
      <c r="G17" s="20">
        <f t="shared" si="4"/>
        <v>0.18097315436241612</v>
      </c>
      <c r="H17" s="17">
        <v>0</v>
      </c>
      <c r="I17" s="17">
        <v>4</v>
      </c>
      <c r="J17" s="17">
        <v>0</v>
      </c>
      <c r="K17" s="17">
        <v>1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1</v>
      </c>
      <c r="V17" s="21">
        <f t="shared" si="0"/>
        <v>18</v>
      </c>
      <c r="W17" s="21">
        <f t="shared" si="1"/>
        <v>0</v>
      </c>
      <c r="X17" s="21" t="str">
        <f t="shared" si="2"/>
        <v>NA</v>
      </c>
      <c r="Y17" s="22" t="str">
        <f t="shared" si="3"/>
        <v>NA</v>
      </c>
    </row>
    <row r="18" spans="1:25" ht="15.6" x14ac:dyDescent="0.3">
      <c r="A18" s="23" t="s">
        <v>152</v>
      </c>
      <c r="B18" s="17" t="s">
        <v>152</v>
      </c>
      <c r="C18" s="17" t="s">
        <v>153</v>
      </c>
      <c r="D18" s="35">
        <v>933.45357865089568</v>
      </c>
      <c r="E18" s="19" t="s">
        <v>38</v>
      </c>
      <c r="F18" s="19" t="s">
        <v>38</v>
      </c>
      <c r="G18" s="20" t="str">
        <f t="shared" si="4"/>
        <v>NA</v>
      </c>
      <c r="H18" s="17">
        <v>0</v>
      </c>
      <c r="I18" s="17">
        <v>0</v>
      </c>
      <c r="J18" s="17">
        <v>4</v>
      </c>
      <c r="K18" s="17">
        <v>0</v>
      </c>
      <c r="L18" s="17">
        <v>1</v>
      </c>
      <c r="M18" s="17">
        <v>0</v>
      </c>
      <c r="N18" s="17">
        <v>0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-2</v>
      </c>
      <c r="V18" s="21">
        <f t="shared" si="0"/>
        <v>95</v>
      </c>
      <c r="W18" s="21">
        <f t="shared" si="1"/>
        <v>-1</v>
      </c>
      <c r="X18" s="21" t="str">
        <f t="shared" si="2"/>
        <v>NA</v>
      </c>
      <c r="Y18" s="22" t="str">
        <f t="shared" si="3"/>
        <v>NA</v>
      </c>
    </row>
    <row r="19" spans="1:25" ht="15.6" x14ac:dyDescent="0.3">
      <c r="A19" s="23" t="s">
        <v>154</v>
      </c>
      <c r="B19" s="17" t="s">
        <v>154</v>
      </c>
      <c r="C19" s="17" t="s">
        <v>155</v>
      </c>
      <c r="D19" s="33">
        <v>-791.43</v>
      </c>
      <c r="E19" s="19">
        <v>-979.42</v>
      </c>
      <c r="F19" s="19" t="s">
        <v>38</v>
      </c>
      <c r="G19" s="20">
        <f t="shared" si="4"/>
        <v>0.63083892617449666</v>
      </c>
      <c r="H19" s="17">
        <v>0</v>
      </c>
      <c r="I19" s="17">
        <v>0</v>
      </c>
      <c r="J19" s="17">
        <v>10</v>
      </c>
      <c r="K19" s="17">
        <v>0</v>
      </c>
      <c r="L19" s="17">
        <v>3</v>
      </c>
      <c r="M19" s="17">
        <v>0</v>
      </c>
      <c r="N19" s="17">
        <v>0</v>
      </c>
      <c r="O19" s="17">
        <v>0</v>
      </c>
      <c r="P19" s="17">
        <v>1</v>
      </c>
      <c r="Q19" s="17">
        <v>0</v>
      </c>
      <c r="R19" s="17">
        <v>0</v>
      </c>
      <c r="S19" s="17">
        <v>0</v>
      </c>
      <c r="T19" s="17">
        <v>0</v>
      </c>
      <c r="U19" s="17">
        <v>-4</v>
      </c>
      <c r="V19" s="21">
        <f t="shared" si="0"/>
        <v>253</v>
      </c>
      <c r="W19" s="21">
        <f t="shared" si="1"/>
        <v>-1</v>
      </c>
      <c r="X19" s="21" t="str">
        <f t="shared" si="2"/>
        <v>NA</v>
      </c>
      <c r="Y19" s="22" t="str">
        <f t="shared" si="3"/>
        <v>NA</v>
      </c>
    </row>
    <row r="20" spans="1:25" ht="15.6" x14ac:dyDescent="0.3">
      <c r="A20" s="23" t="s">
        <v>156</v>
      </c>
      <c r="B20" s="17" t="s">
        <v>29</v>
      </c>
      <c r="C20" s="17" t="s">
        <v>157</v>
      </c>
      <c r="D20" s="40">
        <v>-67</v>
      </c>
      <c r="E20" s="41">
        <v>-91</v>
      </c>
      <c r="F20" s="19" t="s">
        <v>38</v>
      </c>
      <c r="G20" s="20">
        <f t="shared" si="4"/>
        <v>8.0536912751677847E-2</v>
      </c>
      <c r="H20" s="17">
        <v>1</v>
      </c>
      <c r="I20" s="17">
        <v>1.8</v>
      </c>
      <c r="J20" s="17">
        <v>0.5</v>
      </c>
      <c r="K20" s="17">
        <v>0.2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21">
        <f t="shared" si="0"/>
        <v>24.6</v>
      </c>
      <c r="W20" s="21">
        <f t="shared" si="1"/>
        <v>4.1999999999999993</v>
      </c>
      <c r="X20" s="21">
        <f t="shared" si="2"/>
        <v>4.1999999999999993</v>
      </c>
      <c r="Y20" s="22">
        <f t="shared" si="3"/>
        <v>545.90676320849389</v>
      </c>
    </row>
    <row r="21" spans="1:25" ht="15.6" x14ac:dyDescent="0.3">
      <c r="A21" s="23" t="s">
        <v>158</v>
      </c>
      <c r="B21" s="17" t="s">
        <v>159</v>
      </c>
      <c r="C21" s="17" t="s">
        <v>160</v>
      </c>
      <c r="D21" s="40">
        <v>-67</v>
      </c>
      <c r="E21" s="41">
        <v>-91</v>
      </c>
      <c r="F21" s="19" t="s">
        <v>38</v>
      </c>
      <c r="G21" s="20">
        <f t="shared" si="4"/>
        <v>8.0536912751677847E-2</v>
      </c>
      <c r="H21" s="17">
        <v>1</v>
      </c>
      <c r="I21" s="17">
        <v>1.659</v>
      </c>
      <c r="J21" s="17">
        <v>0.5</v>
      </c>
      <c r="K21" s="17">
        <v>0.153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21">
        <f t="shared" si="0"/>
        <v>23.800999999999998</v>
      </c>
      <c r="W21" s="21">
        <f t="shared" si="1"/>
        <v>4.2</v>
      </c>
      <c r="X21" s="21">
        <f t="shared" si="2"/>
        <v>4.2</v>
      </c>
      <c r="Y21" s="22">
        <f t="shared" si="3"/>
        <v>545.906763208494</v>
      </c>
    </row>
    <row r="22" spans="1:25" ht="15.6" x14ac:dyDescent="0.3">
      <c r="A22" s="36" t="s">
        <v>161</v>
      </c>
      <c r="B22" s="17" t="s">
        <v>162</v>
      </c>
      <c r="C22" s="17" t="s">
        <v>163</v>
      </c>
      <c r="D22" s="42">
        <v>-371.9284449745162</v>
      </c>
      <c r="E22" s="38">
        <v>-557.20000000000005</v>
      </c>
      <c r="F22" s="19" t="s">
        <v>38</v>
      </c>
      <c r="G22" s="20">
        <f t="shared" si="4"/>
        <v>0.62171662760229485</v>
      </c>
      <c r="H22" s="17">
        <v>5</v>
      </c>
      <c r="I22" s="17">
        <v>10</v>
      </c>
      <c r="J22" s="17">
        <v>2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21">
        <f t="shared" si="0"/>
        <v>102</v>
      </c>
      <c r="W22" s="21">
        <f t="shared" si="1"/>
        <v>26</v>
      </c>
      <c r="X22" s="21">
        <f t="shared" si="2"/>
        <v>5.2</v>
      </c>
      <c r="Y22" s="22">
        <f t="shared" si="3"/>
        <v>729.12588588756512</v>
      </c>
    </row>
    <row r="23" spans="1:25" ht="15.6" x14ac:dyDescent="0.3">
      <c r="A23" s="36" t="s">
        <v>164</v>
      </c>
      <c r="B23" s="17" t="s">
        <v>165</v>
      </c>
      <c r="C23" s="17" t="s">
        <v>166</v>
      </c>
      <c r="D23" s="37">
        <v>-344.3</v>
      </c>
      <c r="E23" s="41">
        <v>-560</v>
      </c>
      <c r="F23" s="19" t="s">
        <v>38</v>
      </c>
      <c r="G23" s="20">
        <f t="shared" si="4"/>
        <v>0.72382550335570461</v>
      </c>
      <c r="H23" s="17">
        <v>5</v>
      </c>
      <c r="I23" s="17">
        <v>9</v>
      </c>
      <c r="J23" s="17">
        <v>2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-1</v>
      </c>
      <c r="V23" s="21">
        <f t="shared" si="0"/>
        <v>101</v>
      </c>
      <c r="W23" s="21">
        <f t="shared" si="1"/>
        <v>26</v>
      </c>
      <c r="X23" s="21">
        <f t="shared" si="2"/>
        <v>5.2</v>
      </c>
      <c r="Y23" s="22">
        <f t="shared" si="3"/>
        <v>729.12588588756512</v>
      </c>
    </row>
    <row r="24" spans="1:25" ht="15.6" x14ac:dyDescent="0.3">
      <c r="A24" s="98" t="s">
        <v>167</v>
      </c>
      <c r="B24" s="17" t="s">
        <v>168</v>
      </c>
      <c r="C24" s="17" t="s">
        <v>169</v>
      </c>
      <c r="D24" s="18">
        <v>-124.3</v>
      </c>
      <c r="E24" s="95">
        <f>+IF(AA3&lt;&gt;0,+E27-calcEnthJoback!K25,"NA")</f>
        <v>-259.59999999999991</v>
      </c>
      <c r="F24" s="19" t="s">
        <v>38</v>
      </c>
      <c r="G24" s="20">
        <f t="shared" si="4"/>
        <v>0.45402684563758355</v>
      </c>
      <c r="H24" s="17">
        <v>4</v>
      </c>
      <c r="I24" s="17">
        <v>7</v>
      </c>
      <c r="J24" s="17">
        <v>1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1</v>
      </c>
      <c r="T24" s="17">
        <v>0</v>
      </c>
      <c r="U24" s="17">
        <v>0</v>
      </c>
      <c r="V24" s="21">
        <f t="shared" si="0"/>
        <v>71</v>
      </c>
      <c r="W24" s="21">
        <f t="shared" si="1"/>
        <v>21</v>
      </c>
      <c r="X24" s="21">
        <f t="shared" si="2"/>
        <v>5.25</v>
      </c>
      <c r="Y24" s="22">
        <f t="shared" si="3"/>
        <v>612.19233120430931</v>
      </c>
    </row>
    <row r="25" spans="1:25" ht="15.6" x14ac:dyDescent="0.3">
      <c r="A25" s="23" t="s">
        <v>170</v>
      </c>
      <c r="B25" s="17" t="s">
        <v>171</v>
      </c>
      <c r="C25" s="24" t="s">
        <v>172</v>
      </c>
      <c r="D25" s="40">
        <v>-119.67</v>
      </c>
      <c r="E25" s="19" t="s">
        <v>38</v>
      </c>
      <c r="F25" s="19" t="s">
        <v>38</v>
      </c>
      <c r="G25" s="20" t="str">
        <f t="shared" si="4"/>
        <v>NA</v>
      </c>
      <c r="H25" s="17">
        <v>4</v>
      </c>
      <c r="I25" s="17">
        <v>8</v>
      </c>
      <c r="J25" s="17">
        <v>1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21">
        <f t="shared" si="0"/>
        <v>72</v>
      </c>
      <c r="W25" s="21">
        <f t="shared" si="1"/>
        <v>22</v>
      </c>
      <c r="X25" s="21">
        <f t="shared" si="2"/>
        <v>5.5</v>
      </c>
      <c r="Y25" s="22">
        <f t="shared" si="3"/>
        <v>737.22587143620103</v>
      </c>
    </row>
    <row r="26" spans="1:25" ht="15.6" x14ac:dyDescent="0.3">
      <c r="A26" s="23" t="s">
        <v>173</v>
      </c>
      <c r="B26" s="17" t="s">
        <v>174</v>
      </c>
      <c r="C26" s="17" t="s">
        <v>172</v>
      </c>
      <c r="D26" s="40">
        <v>-116.3</v>
      </c>
      <c r="E26" s="19" t="s">
        <v>38</v>
      </c>
      <c r="F26" s="19" t="s">
        <v>38</v>
      </c>
      <c r="G26" s="20" t="str">
        <f t="shared" si="4"/>
        <v>NA</v>
      </c>
      <c r="H26" s="17">
        <v>4</v>
      </c>
      <c r="I26" s="17">
        <v>8</v>
      </c>
      <c r="J26" s="17">
        <v>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21">
        <f t="shared" si="0"/>
        <v>72</v>
      </c>
      <c r="W26" s="21">
        <f t="shared" si="1"/>
        <v>22</v>
      </c>
      <c r="X26" s="21">
        <f t="shared" si="2"/>
        <v>5.5</v>
      </c>
      <c r="Y26" s="22">
        <f t="shared" si="3"/>
        <v>737.22587143620103</v>
      </c>
    </row>
    <row r="27" spans="1:25" ht="15.6" x14ac:dyDescent="0.3">
      <c r="A27" s="36" t="s">
        <v>175</v>
      </c>
      <c r="B27" s="17" t="s">
        <v>176</v>
      </c>
      <c r="C27" s="24" t="s">
        <v>177</v>
      </c>
      <c r="D27" s="40">
        <v>-352.63</v>
      </c>
      <c r="E27" s="19">
        <v>-535</v>
      </c>
      <c r="F27" s="19" t="s">
        <v>38</v>
      </c>
      <c r="G27" s="20">
        <f t="shared" si="4"/>
        <v>0.61197986577181207</v>
      </c>
      <c r="H27" s="17">
        <v>4</v>
      </c>
      <c r="I27" s="17">
        <v>7</v>
      </c>
      <c r="J27" s="17">
        <v>2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-1</v>
      </c>
      <c r="V27" s="21">
        <f t="shared" si="0"/>
        <v>87</v>
      </c>
      <c r="W27" s="21">
        <f t="shared" si="1"/>
        <v>20</v>
      </c>
      <c r="X27" s="21">
        <f t="shared" si="2"/>
        <v>5</v>
      </c>
      <c r="Y27" s="22">
        <f t="shared" si="3"/>
        <v>510.4265870658532</v>
      </c>
    </row>
    <row r="28" spans="1:25" ht="15.6" x14ac:dyDescent="0.3">
      <c r="A28" s="36" t="s">
        <v>178</v>
      </c>
      <c r="B28" s="17" t="s">
        <v>179</v>
      </c>
      <c r="C28" s="24" t="s">
        <v>180</v>
      </c>
      <c r="D28" s="42">
        <v>-380.1158244656657</v>
      </c>
      <c r="E28" s="38">
        <v>-532.20000000000005</v>
      </c>
      <c r="F28" s="19" t="s">
        <v>38</v>
      </c>
      <c r="G28" s="20">
        <f t="shared" si="4"/>
        <v>0.51034958232998107</v>
      </c>
      <c r="H28" s="17">
        <v>4</v>
      </c>
      <c r="I28" s="17">
        <v>8</v>
      </c>
      <c r="J28" s="17">
        <v>2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21">
        <f t="shared" si="0"/>
        <v>88</v>
      </c>
      <c r="W28" s="21">
        <f t="shared" si="1"/>
        <v>20</v>
      </c>
      <c r="X28" s="21">
        <f t="shared" si="2"/>
        <v>5</v>
      </c>
      <c r="Y28" s="22">
        <f t="shared" si="3"/>
        <v>510.4265870658532</v>
      </c>
    </row>
    <row r="29" spans="1:25" ht="15.6" x14ac:dyDescent="0.3">
      <c r="A29" s="23" t="s">
        <v>181</v>
      </c>
      <c r="B29" s="17" t="s">
        <v>182</v>
      </c>
      <c r="C29" s="17" t="s">
        <v>183</v>
      </c>
      <c r="D29" s="44">
        <v>-1213.49522</v>
      </c>
      <c r="E29" s="19" t="s">
        <v>38</v>
      </c>
      <c r="F29" s="19" t="s">
        <v>38</v>
      </c>
      <c r="G29" s="20" t="str">
        <f t="shared" si="4"/>
        <v>NA</v>
      </c>
      <c r="H29" s="17">
        <v>4</v>
      </c>
      <c r="I29" s="17">
        <v>7</v>
      </c>
      <c r="J29" s="17">
        <v>5</v>
      </c>
      <c r="K29" s="17">
        <v>0</v>
      </c>
      <c r="L29" s="17">
        <v>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-2</v>
      </c>
      <c r="V29" s="21">
        <f t="shared" si="0"/>
        <v>166</v>
      </c>
      <c r="W29" s="21">
        <f t="shared" si="1"/>
        <v>20</v>
      </c>
      <c r="X29" s="21">
        <f t="shared" si="2"/>
        <v>5</v>
      </c>
      <c r="Y29" s="22">
        <f t="shared" si="3"/>
        <v>510.4265870658532</v>
      </c>
    </row>
    <row r="30" spans="1:25" ht="15.6" x14ac:dyDescent="0.3">
      <c r="A30" s="36" t="s">
        <v>184</v>
      </c>
      <c r="B30" s="17" t="s">
        <v>185</v>
      </c>
      <c r="C30" s="17" t="s">
        <v>185</v>
      </c>
      <c r="D30" s="37">
        <v>-386</v>
      </c>
      <c r="E30" s="19">
        <v>-413.8</v>
      </c>
      <c r="F30" s="19">
        <v>117.6</v>
      </c>
      <c r="G30" s="20">
        <f t="shared" si="4"/>
        <v>9.3288590604026889E-2</v>
      </c>
      <c r="H30" s="17">
        <v>1</v>
      </c>
      <c r="I30" s="17">
        <v>0</v>
      </c>
      <c r="J30" s="17">
        <v>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21">
        <f t="shared" si="0"/>
        <v>44</v>
      </c>
      <c r="W30" s="21">
        <f t="shared" si="1"/>
        <v>0</v>
      </c>
      <c r="X30" s="21">
        <f t="shared" si="2"/>
        <v>0</v>
      </c>
      <c r="Y30" s="22">
        <f t="shared" si="3"/>
        <v>986.43268279162714</v>
      </c>
    </row>
    <row r="31" spans="1:25" ht="15.6" x14ac:dyDescent="0.3">
      <c r="A31" s="36" t="s">
        <v>186</v>
      </c>
      <c r="B31" s="17" t="s">
        <v>187</v>
      </c>
      <c r="C31" s="17" t="s">
        <v>185</v>
      </c>
      <c r="D31" s="37">
        <v>-394.4</v>
      </c>
      <c r="E31" s="39">
        <v>-393.5</v>
      </c>
      <c r="F31" s="39">
        <v>213.7</v>
      </c>
      <c r="G31" s="20">
        <f t="shared" si="4"/>
        <v>-3.020134228187843E-3</v>
      </c>
      <c r="H31" s="17">
        <v>1</v>
      </c>
      <c r="I31" s="17">
        <v>0</v>
      </c>
      <c r="J31" s="17">
        <v>2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21">
        <f t="shared" si="0"/>
        <v>44</v>
      </c>
      <c r="W31" s="21">
        <f t="shared" si="1"/>
        <v>0</v>
      </c>
      <c r="X31" s="21">
        <f t="shared" si="2"/>
        <v>0</v>
      </c>
      <c r="Y31" s="22">
        <f t="shared" si="3"/>
        <v>986.43268279162714</v>
      </c>
    </row>
    <row r="32" spans="1:25" ht="15.6" x14ac:dyDescent="0.3">
      <c r="A32" s="36" t="s">
        <v>188</v>
      </c>
      <c r="B32" s="17" t="s">
        <v>189</v>
      </c>
      <c r="C32" s="17" t="s">
        <v>189</v>
      </c>
      <c r="D32" s="37">
        <v>-527.9</v>
      </c>
      <c r="E32" s="39">
        <v>-677.1</v>
      </c>
      <c r="F32" s="39">
        <v>-56.9</v>
      </c>
      <c r="G32" s="20">
        <f t="shared" si="4"/>
        <v>0.50067114093959741</v>
      </c>
      <c r="H32" s="17">
        <v>1</v>
      </c>
      <c r="I32" s="17">
        <v>0</v>
      </c>
      <c r="J32" s="17">
        <v>3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-2</v>
      </c>
      <c r="V32" s="21">
        <f t="shared" si="0"/>
        <v>60</v>
      </c>
      <c r="W32" s="21">
        <f t="shared" si="1"/>
        <v>0</v>
      </c>
      <c r="X32" s="21">
        <f t="shared" si="2"/>
        <v>0</v>
      </c>
      <c r="Y32" s="22">
        <f t="shared" si="3"/>
        <v>986.43268279162714</v>
      </c>
    </row>
    <row r="33" spans="1:25" ht="15.75" customHeight="1" x14ac:dyDescent="0.3">
      <c r="A33" s="36" t="s">
        <v>190</v>
      </c>
      <c r="B33" s="17" t="s">
        <v>808</v>
      </c>
      <c r="C33" s="17" t="s">
        <v>191</v>
      </c>
      <c r="D33" s="37">
        <v>-623.16</v>
      </c>
      <c r="E33" s="39">
        <v>-699.6</v>
      </c>
      <c r="F33" s="39">
        <v>187.4</v>
      </c>
      <c r="G33" s="20">
        <f t="shared" si="4"/>
        <v>0.25651006711409413</v>
      </c>
      <c r="H33" s="17">
        <v>1</v>
      </c>
      <c r="I33" s="17">
        <v>2</v>
      </c>
      <c r="J33" s="17">
        <v>3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21">
        <f t="shared" si="0"/>
        <v>62</v>
      </c>
      <c r="W33" s="21">
        <f t="shared" si="1"/>
        <v>0</v>
      </c>
      <c r="X33" s="21">
        <f t="shared" si="2"/>
        <v>0</v>
      </c>
      <c r="Y33" s="22">
        <f t="shared" si="3"/>
        <v>986.43268279162714</v>
      </c>
    </row>
    <row r="34" spans="1:25" ht="15.6" x14ac:dyDescent="0.3">
      <c r="A34" s="36" t="s">
        <v>192</v>
      </c>
      <c r="B34" s="17" t="s">
        <v>193</v>
      </c>
      <c r="C34" s="24" t="s">
        <v>194</v>
      </c>
      <c r="D34" s="27">
        <v>-586.9</v>
      </c>
      <c r="E34" s="28">
        <v>-692</v>
      </c>
      <c r="F34" s="28">
        <v>91.2</v>
      </c>
      <c r="G34" s="20">
        <f t="shared" si="4"/>
        <v>0.35268456375838936</v>
      </c>
      <c r="H34" s="17">
        <v>1</v>
      </c>
      <c r="I34" s="17">
        <v>1</v>
      </c>
      <c r="J34" s="17">
        <v>3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-1</v>
      </c>
      <c r="V34" s="21">
        <f t="shared" si="0"/>
        <v>61</v>
      </c>
      <c r="W34" s="21">
        <f t="shared" si="1"/>
        <v>0</v>
      </c>
      <c r="X34" s="21">
        <f t="shared" si="2"/>
        <v>0</v>
      </c>
      <c r="Y34" s="22">
        <f t="shared" si="3"/>
        <v>986.43268279162714</v>
      </c>
    </row>
    <row r="35" spans="1:25" ht="15.75" customHeight="1" x14ac:dyDescent="0.3">
      <c r="A35" s="23" t="s">
        <v>195</v>
      </c>
      <c r="B35" s="17" t="s">
        <v>27</v>
      </c>
      <c r="C35" s="17" t="s">
        <v>27</v>
      </c>
      <c r="D35" s="45">
        <v>0</v>
      </c>
      <c r="E35" s="19">
        <v>0</v>
      </c>
      <c r="F35" s="19" t="s">
        <v>38</v>
      </c>
      <c r="G35" s="20">
        <f t="shared" si="4"/>
        <v>0</v>
      </c>
      <c r="H35" s="17">
        <v>0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1</v>
      </c>
      <c r="T35" s="17">
        <v>0</v>
      </c>
      <c r="U35" s="17">
        <v>0</v>
      </c>
      <c r="V35" s="21">
        <f t="shared" si="0"/>
        <v>1</v>
      </c>
      <c r="W35" s="21">
        <f t="shared" si="1"/>
        <v>1</v>
      </c>
      <c r="X35" s="21" t="str">
        <f t="shared" si="2"/>
        <v>NA</v>
      </c>
      <c r="Y35" s="22" t="str">
        <f t="shared" si="3"/>
        <v>NA</v>
      </c>
    </row>
    <row r="36" spans="1:25" ht="15.75" customHeight="1" x14ac:dyDescent="0.3">
      <c r="A36" s="23" t="s">
        <v>196</v>
      </c>
      <c r="B36" s="17" t="s">
        <v>197</v>
      </c>
      <c r="C36" s="17" t="s">
        <v>198</v>
      </c>
      <c r="D36" s="46">
        <v>-46</v>
      </c>
      <c r="E36" s="19" t="s">
        <v>38</v>
      </c>
      <c r="F36" s="19" t="s">
        <v>38</v>
      </c>
      <c r="G36" s="20" t="str">
        <f t="shared" si="4"/>
        <v>NA</v>
      </c>
      <c r="H36" s="17">
        <v>4</v>
      </c>
      <c r="I36" s="17">
        <v>5</v>
      </c>
      <c r="J36" s="17">
        <v>1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1</v>
      </c>
      <c r="T36" s="17">
        <v>0</v>
      </c>
      <c r="U36" s="17">
        <v>0</v>
      </c>
      <c r="V36" s="21">
        <f t="shared" si="0"/>
        <v>69</v>
      </c>
      <c r="W36" s="21">
        <f t="shared" si="1"/>
        <v>19</v>
      </c>
      <c r="X36" s="21">
        <f t="shared" si="2"/>
        <v>4.75</v>
      </c>
      <c r="Y36" s="22">
        <f t="shared" si="3"/>
        <v>429.23781080893428</v>
      </c>
    </row>
    <row r="37" spans="1:25" ht="15.75" customHeight="1" x14ac:dyDescent="0.3">
      <c r="A37" s="23" t="s">
        <v>199</v>
      </c>
      <c r="B37" s="17" t="s">
        <v>30</v>
      </c>
      <c r="C37" s="17" t="s">
        <v>200</v>
      </c>
      <c r="D37" s="47">
        <v>0</v>
      </c>
      <c r="E37" s="19">
        <v>0</v>
      </c>
      <c r="F37" s="19">
        <v>65.25</v>
      </c>
      <c r="G37" s="20">
        <f t="shared" si="4"/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-1</v>
      </c>
      <c r="V37" s="21">
        <f t="shared" si="0"/>
        <v>0</v>
      </c>
      <c r="W37" s="21">
        <f t="shared" si="1"/>
        <v>1</v>
      </c>
      <c r="X37" s="21" t="str">
        <f t="shared" si="2"/>
        <v>NA</v>
      </c>
      <c r="Y37" s="22" t="str">
        <f t="shared" si="3"/>
        <v>NA</v>
      </c>
    </row>
    <row r="38" spans="1:25" ht="15.75" customHeight="1" x14ac:dyDescent="0.3">
      <c r="A38" s="36" t="s">
        <v>201</v>
      </c>
      <c r="B38" s="17" t="s">
        <v>202</v>
      </c>
      <c r="C38" s="17" t="s">
        <v>203</v>
      </c>
      <c r="D38" s="47">
        <v>-181.75</v>
      </c>
      <c r="E38" s="19">
        <v>-288</v>
      </c>
      <c r="F38" s="19">
        <v>148.5</v>
      </c>
      <c r="G38" s="20">
        <f t="shared" si="4"/>
        <v>0.35654362416107382</v>
      </c>
      <c r="H38" s="17">
        <v>2</v>
      </c>
      <c r="I38" s="17">
        <v>6</v>
      </c>
      <c r="J38" s="17">
        <v>1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21">
        <f t="shared" si="0"/>
        <v>46</v>
      </c>
      <c r="W38" s="21">
        <f t="shared" si="1"/>
        <v>12</v>
      </c>
      <c r="X38" s="21">
        <f t="shared" si="2"/>
        <v>6</v>
      </c>
      <c r="Y38" s="22">
        <f t="shared" si="3"/>
        <v>706.20462211245592</v>
      </c>
    </row>
    <row r="39" spans="1:25" ht="15.75" customHeight="1" x14ac:dyDescent="0.3">
      <c r="A39" s="23" t="s">
        <v>20</v>
      </c>
      <c r="B39" s="17" t="s">
        <v>20</v>
      </c>
      <c r="C39" s="17" t="s">
        <v>20</v>
      </c>
      <c r="D39" s="48">
        <v>0</v>
      </c>
      <c r="E39" s="19" t="s">
        <v>38</v>
      </c>
      <c r="F39" s="19" t="s">
        <v>38</v>
      </c>
      <c r="G39" s="20" t="str">
        <f t="shared" si="4"/>
        <v>NA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1</v>
      </c>
      <c r="R39" s="17">
        <v>0</v>
      </c>
      <c r="S39" s="17">
        <v>0</v>
      </c>
      <c r="T39" s="17">
        <v>0</v>
      </c>
      <c r="U39" s="17">
        <v>0</v>
      </c>
      <c r="V39" s="21">
        <f t="shared" si="0"/>
        <v>0</v>
      </c>
      <c r="W39" s="21">
        <f t="shared" si="1"/>
        <v>0</v>
      </c>
      <c r="X39" s="21" t="str">
        <f t="shared" si="2"/>
        <v>NA</v>
      </c>
      <c r="Y39" s="22" t="str">
        <f t="shared" si="3"/>
        <v>NA</v>
      </c>
    </row>
    <row r="40" spans="1:25" ht="15.75" customHeight="1" x14ac:dyDescent="0.3">
      <c r="A40" s="23" t="s">
        <v>204</v>
      </c>
      <c r="B40" s="17" t="s">
        <v>21</v>
      </c>
      <c r="C40" s="17" t="s">
        <v>204</v>
      </c>
      <c r="D40" s="48">
        <v>-37.4</v>
      </c>
      <c r="E40" s="19" t="s">
        <v>38</v>
      </c>
      <c r="F40" s="19" t="s">
        <v>38</v>
      </c>
      <c r="G40" s="20" t="str">
        <f t="shared" si="4"/>
        <v>NA</v>
      </c>
      <c r="H40" s="17">
        <v>0</v>
      </c>
      <c r="I40" s="17">
        <v>2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1</v>
      </c>
      <c r="R40" s="17">
        <v>0</v>
      </c>
      <c r="S40" s="17">
        <v>0</v>
      </c>
      <c r="T40" s="17">
        <v>0</v>
      </c>
      <c r="U40" s="17">
        <v>0</v>
      </c>
      <c r="V40" s="21">
        <f t="shared" si="0"/>
        <v>2</v>
      </c>
      <c r="W40" s="21">
        <f t="shared" si="1"/>
        <v>2</v>
      </c>
      <c r="X40" s="21" t="str">
        <f t="shared" si="2"/>
        <v>NA</v>
      </c>
      <c r="Y40" s="22" t="str">
        <f t="shared" si="3"/>
        <v>NA</v>
      </c>
    </row>
    <row r="41" spans="1:25" ht="15.75" customHeight="1" x14ac:dyDescent="0.3">
      <c r="A41" s="23" t="s">
        <v>205</v>
      </c>
      <c r="B41" s="17" t="s">
        <v>22</v>
      </c>
      <c r="C41" s="17" t="s">
        <v>22</v>
      </c>
      <c r="D41" s="48">
        <v>0</v>
      </c>
      <c r="E41" s="19" t="s">
        <v>38</v>
      </c>
      <c r="F41" s="19" t="s">
        <v>38</v>
      </c>
      <c r="G41" s="20" t="str">
        <f t="shared" si="4"/>
        <v>NA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1</v>
      </c>
      <c r="R41" s="17">
        <v>0</v>
      </c>
      <c r="S41" s="17">
        <v>0</v>
      </c>
      <c r="T41" s="17">
        <v>0</v>
      </c>
      <c r="U41" s="17">
        <v>-1</v>
      </c>
      <c r="V41" s="21">
        <f t="shared" si="0"/>
        <v>0</v>
      </c>
      <c r="W41" s="21">
        <f t="shared" si="1"/>
        <v>1</v>
      </c>
      <c r="X41" s="21" t="str">
        <f t="shared" si="2"/>
        <v>NA</v>
      </c>
      <c r="Y41" s="22" t="str">
        <f t="shared" si="3"/>
        <v>NA</v>
      </c>
    </row>
    <row r="42" spans="1:25" ht="15.75" customHeight="1" x14ac:dyDescent="0.3">
      <c r="A42" s="23" t="s">
        <v>206</v>
      </c>
      <c r="B42" s="17" t="s">
        <v>23</v>
      </c>
      <c r="C42" s="17" t="s">
        <v>23</v>
      </c>
      <c r="D42" s="49">
        <v>79.117699999999999</v>
      </c>
      <c r="E42" s="19" t="s">
        <v>38</v>
      </c>
      <c r="F42" s="19" t="s">
        <v>38</v>
      </c>
      <c r="G42" s="20" t="str">
        <f t="shared" si="4"/>
        <v>NA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1</v>
      </c>
      <c r="R42" s="17">
        <v>0</v>
      </c>
      <c r="S42" s="17">
        <v>0</v>
      </c>
      <c r="T42" s="17">
        <v>0</v>
      </c>
      <c r="U42" s="17">
        <v>-3</v>
      </c>
      <c r="V42" s="21">
        <f t="shared" si="0"/>
        <v>0</v>
      </c>
      <c r="W42" s="21">
        <f t="shared" si="1"/>
        <v>3</v>
      </c>
      <c r="X42" s="21" t="str">
        <f t="shared" si="2"/>
        <v>NA</v>
      </c>
      <c r="Y42" s="22" t="str">
        <f t="shared" si="3"/>
        <v>NA</v>
      </c>
    </row>
    <row r="43" spans="1:25" ht="15.75" customHeight="1" x14ac:dyDescent="0.3">
      <c r="A43" s="36" t="s">
        <v>207</v>
      </c>
      <c r="B43" s="17" t="s">
        <v>208</v>
      </c>
      <c r="C43" s="24" t="s">
        <v>209</v>
      </c>
      <c r="D43" s="40">
        <v>-351</v>
      </c>
      <c r="E43" s="42">
        <v>-410</v>
      </c>
      <c r="F43" s="19">
        <v>92</v>
      </c>
      <c r="G43" s="20">
        <f t="shared" si="4"/>
        <v>0.19798657718120805</v>
      </c>
      <c r="H43" s="17">
        <v>1</v>
      </c>
      <c r="I43" s="17">
        <v>1</v>
      </c>
      <c r="J43" s="17">
        <v>2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-1</v>
      </c>
      <c r="V43" s="21">
        <f t="shared" si="0"/>
        <v>45</v>
      </c>
      <c r="W43" s="21">
        <f t="shared" si="1"/>
        <v>2</v>
      </c>
      <c r="X43" s="21">
        <f t="shared" si="2"/>
        <v>2</v>
      </c>
      <c r="Y43" s="22">
        <f t="shared" si="3"/>
        <v>651.08376280423909</v>
      </c>
    </row>
    <row r="44" spans="1:25" ht="15.75" customHeight="1" x14ac:dyDescent="0.3">
      <c r="A44" s="36" t="s">
        <v>210</v>
      </c>
      <c r="B44" s="17" t="s">
        <v>211</v>
      </c>
      <c r="C44" s="17" t="s">
        <v>212</v>
      </c>
      <c r="D44" s="40">
        <v>-372.35884740544878</v>
      </c>
      <c r="E44" s="42">
        <v>-409.84</v>
      </c>
      <c r="F44" s="19">
        <v>163.19999999999999</v>
      </c>
      <c r="G44" s="20">
        <f t="shared" si="4"/>
        <v>0.12577567984748722</v>
      </c>
      <c r="H44" s="17">
        <v>1</v>
      </c>
      <c r="I44" s="17">
        <v>2</v>
      </c>
      <c r="J44" s="17">
        <v>2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21">
        <f t="shared" si="0"/>
        <v>46</v>
      </c>
      <c r="W44" s="21">
        <f t="shared" si="1"/>
        <v>2</v>
      </c>
      <c r="X44" s="21">
        <f t="shared" si="2"/>
        <v>2</v>
      </c>
      <c r="Y44" s="22">
        <f t="shared" si="3"/>
        <v>651.08376280423909</v>
      </c>
    </row>
    <row r="45" spans="1:25" ht="15.75" customHeight="1" x14ac:dyDescent="0.3">
      <c r="A45" s="36" t="s">
        <v>213</v>
      </c>
      <c r="B45" s="17" t="s">
        <v>214</v>
      </c>
      <c r="C45" s="17" t="s">
        <v>215</v>
      </c>
      <c r="D45" s="33">
        <v>-602.27</v>
      </c>
      <c r="E45" s="33">
        <v>-777.91</v>
      </c>
      <c r="F45" s="34" t="s">
        <v>38</v>
      </c>
      <c r="G45" s="20">
        <f t="shared" si="4"/>
        <v>0.58939597315436232</v>
      </c>
      <c r="H45" s="17">
        <v>4</v>
      </c>
      <c r="I45" s="17">
        <v>2</v>
      </c>
      <c r="J45" s="17">
        <v>4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-2</v>
      </c>
      <c r="V45" s="21">
        <f t="shared" si="0"/>
        <v>114</v>
      </c>
      <c r="W45" s="21">
        <f t="shared" si="1"/>
        <v>12</v>
      </c>
      <c r="X45" s="21">
        <f t="shared" si="2"/>
        <v>3</v>
      </c>
      <c r="Y45" s="22">
        <f t="shared" si="3"/>
        <v>389.35607102121969</v>
      </c>
    </row>
    <row r="46" spans="1:25" ht="15.75" customHeight="1" x14ac:dyDescent="0.3">
      <c r="A46" s="36" t="s">
        <v>216</v>
      </c>
      <c r="B46" s="17" t="s">
        <v>217</v>
      </c>
      <c r="C46" s="17" t="s">
        <v>218</v>
      </c>
      <c r="D46" s="40">
        <v>-917.22</v>
      </c>
      <c r="E46" s="19">
        <v>-1264</v>
      </c>
      <c r="F46" s="19" t="s">
        <v>38</v>
      </c>
      <c r="G46" s="20">
        <f t="shared" si="4"/>
        <v>1.163691275167785</v>
      </c>
      <c r="H46" s="17">
        <v>6</v>
      </c>
      <c r="I46" s="17">
        <v>12</v>
      </c>
      <c r="J46" s="17">
        <v>6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21">
        <f t="shared" si="0"/>
        <v>180</v>
      </c>
      <c r="W46" s="21">
        <f t="shared" si="1"/>
        <v>24</v>
      </c>
      <c r="X46" s="21">
        <f t="shared" si="2"/>
        <v>4</v>
      </c>
      <c r="Y46" s="22">
        <f t="shared" si="3"/>
        <v>236.05088437101625</v>
      </c>
    </row>
    <row r="47" spans="1:25" ht="15.75" customHeight="1" x14ac:dyDescent="0.3">
      <c r="A47" s="99" t="s">
        <v>219</v>
      </c>
      <c r="B47" s="101" t="s">
        <v>219</v>
      </c>
      <c r="C47" s="24" t="s">
        <v>220</v>
      </c>
      <c r="D47" s="31">
        <v>-1655.41</v>
      </c>
      <c r="E47" s="19" t="s">
        <v>38</v>
      </c>
      <c r="F47" s="19" t="s">
        <v>38</v>
      </c>
      <c r="G47" s="20" t="str">
        <f>+IF(E47="NA","NA",(D47-E47)/298)</f>
        <v>NA</v>
      </c>
      <c r="H47" s="17">
        <v>0</v>
      </c>
      <c r="I47" s="17">
        <v>0</v>
      </c>
      <c r="J47" s="17">
        <v>7</v>
      </c>
      <c r="K47" s="17">
        <v>0</v>
      </c>
      <c r="L47" s="17">
        <v>2</v>
      </c>
      <c r="M47" s="17">
        <v>0</v>
      </c>
      <c r="N47" s="17">
        <v>0</v>
      </c>
      <c r="O47" s="17">
        <v>0</v>
      </c>
      <c r="P47" s="17">
        <v>0</v>
      </c>
      <c r="Q47" s="17">
        <v>1</v>
      </c>
      <c r="R47" s="17">
        <v>0</v>
      </c>
      <c r="S47" s="17">
        <v>0</v>
      </c>
      <c r="T47" s="17">
        <v>0</v>
      </c>
      <c r="U47" s="17">
        <v>-3</v>
      </c>
      <c r="V47" s="21">
        <f t="shared" si="0"/>
        <v>174</v>
      </c>
      <c r="W47" s="21">
        <f t="shared" si="1"/>
        <v>-1</v>
      </c>
      <c r="X47" s="21" t="str">
        <f t="shared" si="2"/>
        <v>NA</v>
      </c>
      <c r="Y47" s="22" t="str">
        <f t="shared" si="3"/>
        <v>NA</v>
      </c>
    </row>
    <row r="48" spans="1:25" ht="15.75" customHeight="1" x14ac:dyDescent="0.3">
      <c r="A48" s="99" t="s">
        <v>221</v>
      </c>
      <c r="B48" s="101" t="s">
        <v>221</v>
      </c>
      <c r="C48" s="24" t="s">
        <v>222</v>
      </c>
      <c r="D48" s="31">
        <v>-2514.2399999999998</v>
      </c>
      <c r="E48" s="19" t="s">
        <v>38</v>
      </c>
      <c r="F48" s="19" t="s">
        <v>38</v>
      </c>
      <c r="G48" s="20" t="str">
        <f>+IF(E48="NA","NA",(D48-E48)/298)</f>
        <v>NA</v>
      </c>
      <c r="H48" s="17">
        <v>0</v>
      </c>
      <c r="I48" s="17">
        <v>0</v>
      </c>
      <c r="J48" s="17">
        <v>10</v>
      </c>
      <c r="K48" s="17">
        <v>0</v>
      </c>
      <c r="L48" s="17">
        <v>3</v>
      </c>
      <c r="M48" s="17">
        <v>0</v>
      </c>
      <c r="N48" s="17">
        <v>0</v>
      </c>
      <c r="O48" s="17">
        <v>0</v>
      </c>
      <c r="P48" s="17">
        <v>0</v>
      </c>
      <c r="Q48" s="17">
        <v>1</v>
      </c>
      <c r="R48" s="17">
        <v>0</v>
      </c>
      <c r="S48" s="17">
        <v>0</v>
      </c>
      <c r="T48" s="17">
        <v>0</v>
      </c>
      <c r="U48" s="17">
        <v>-4</v>
      </c>
      <c r="V48" s="21">
        <f t="shared" si="0"/>
        <v>253</v>
      </c>
      <c r="W48" s="21">
        <f t="shared" si="1"/>
        <v>-1</v>
      </c>
      <c r="X48" s="21" t="str">
        <f t="shared" si="2"/>
        <v>NA</v>
      </c>
      <c r="Y48" s="22" t="str">
        <f t="shared" si="3"/>
        <v>NA</v>
      </c>
    </row>
    <row r="49" spans="1:26" ht="15.75" customHeight="1" x14ac:dyDescent="0.3">
      <c r="A49" s="36" t="s">
        <v>223</v>
      </c>
      <c r="B49" s="17" t="s">
        <v>224</v>
      </c>
      <c r="C49" s="17" t="s">
        <v>225</v>
      </c>
      <c r="D49" s="40" t="s">
        <v>38</v>
      </c>
      <c r="E49" s="19" t="s">
        <v>38</v>
      </c>
      <c r="F49" s="19" t="s">
        <v>38</v>
      </c>
      <c r="G49" s="20" t="str">
        <f t="shared" si="4"/>
        <v>NA</v>
      </c>
      <c r="H49" s="17">
        <v>5</v>
      </c>
      <c r="I49" s="17">
        <v>10</v>
      </c>
      <c r="J49" s="17">
        <v>5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21">
        <f t="shared" si="0"/>
        <v>150</v>
      </c>
      <c r="W49" s="21">
        <f t="shared" si="1"/>
        <v>20</v>
      </c>
      <c r="X49" s="21">
        <f t="shared" si="2"/>
        <v>4</v>
      </c>
      <c r="Y49" s="22">
        <f t="shared" si="3"/>
        <v>246.38713270900507</v>
      </c>
    </row>
    <row r="50" spans="1:26" ht="15.75" customHeight="1" x14ac:dyDescent="0.3">
      <c r="A50" s="36" t="s">
        <v>226</v>
      </c>
      <c r="B50" s="17" t="s">
        <v>227</v>
      </c>
      <c r="C50" s="24" t="s">
        <v>228</v>
      </c>
      <c r="D50" s="31">
        <v>-497.48</v>
      </c>
      <c r="E50" s="19">
        <v>-676</v>
      </c>
      <c r="F50" s="19">
        <v>206.3</v>
      </c>
      <c r="G50" s="20">
        <f t="shared" si="4"/>
        <v>0.59906040268456373</v>
      </c>
      <c r="H50" s="17">
        <v>3</v>
      </c>
      <c r="I50" s="17">
        <v>8</v>
      </c>
      <c r="J50" s="17">
        <v>3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21">
        <f t="shared" si="0"/>
        <v>92</v>
      </c>
      <c r="W50" s="21">
        <f t="shared" si="1"/>
        <v>14</v>
      </c>
      <c r="X50" s="21">
        <f t="shared" si="2"/>
        <v>4.666666666666667</v>
      </c>
      <c r="Y50" s="22">
        <f t="shared" si="3"/>
        <v>428.06239358414825</v>
      </c>
    </row>
    <row r="51" spans="1:26" ht="15.75" customHeight="1" x14ac:dyDescent="0.3">
      <c r="A51" s="23" t="s">
        <v>229</v>
      </c>
      <c r="B51" s="17" t="s">
        <v>230</v>
      </c>
      <c r="C51" s="24" t="s">
        <v>231</v>
      </c>
      <c r="D51" s="35" t="s">
        <v>38</v>
      </c>
      <c r="E51" s="19" t="s">
        <v>38</v>
      </c>
      <c r="F51" s="19" t="s">
        <v>38</v>
      </c>
      <c r="G51" s="20" t="str">
        <f t="shared" si="4"/>
        <v>NA</v>
      </c>
      <c r="H51" s="17">
        <v>3</v>
      </c>
      <c r="I51" s="17">
        <v>6</v>
      </c>
      <c r="J51" s="17">
        <v>2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21">
        <f t="shared" si="0"/>
        <v>74</v>
      </c>
      <c r="W51" s="21">
        <f t="shared" si="1"/>
        <v>14</v>
      </c>
      <c r="X51" s="21">
        <f t="shared" si="2"/>
        <v>4.666666666666667</v>
      </c>
      <c r="Y51" s="22">
        <f t="shared" si="3"/>
        <v>428.06239358414825</v>
      </c>
    </row>
    <row r="52" spans="1:26" ht="15.75" customHeight="1" x14ac:dyDescent="0.3">
      <c r="A52" s="23" t="s">
        <v>232</v>
      </c>
      <c r="B52" s="17" t="s">
        <v>233</v>
      </c>
      <c r="C52" s="24" t="s">
        <v>234</v>
      </c>
      <c r="D52" s="35">
        <v>-327</v>
      </c>
      <c r="E52" s="19" t="s">
        <v>38</v>
      </c>
      <c r="F52" s="19" t="s">
        <v>38</v>
      </c>
      <c r="G52" s="20" t="str">
        <f t="shared" si="4"/>
        <v>NA</v>
      </c>
      <c r="H52" s="17">
        <v>3</v>
      </c>
      <c r="I52" s="17">
        <v>8</v>
      </c>
      <c r="J52" s="17">
        <v>2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21">
        <f t="shared" si="0"/>
        <v>76</v>
      </c>
      <c r="W52" s="21">
        <f t="shared" si="1"/>
        <v>16</v>
      </c>
      <c r="X52" s="21">
        <f t="shared" si="2"/>
        <v>5.333333333333333</v>
      </c>
      <c r="Y52" s="22">
        <f t="shared" si="3"/>
        <v>575.6125687640415</v>
      </c>
    </row>
    <row r="53" spans="1:26" ht="15.75" customHeight="1" x14ac:dyDescent="0.3">
      <c r="A53" s="36" t="s">
        <v>235</v>
      </c>
      <c r="B53" s="17" t="s">
        <v>15</v>
      </c>
      <c r="C53" s="17" t="s">
        <v>236</v>
      </c>
      <c r="D53" s="18">
        <v>17.55</v>
      </c>
      <c r="E53" s="19">
        <v>-4.16</v>
      </c>
      <c r="F53" s="19">
        <v>57.7</v>
      </c>
      <c r="G53" s="20">
        <f t="shared" si="4"/>
        <v>7.2852348993288588E-2</v>
      </c>
      <c r="H53" s="17">
        <v>0</v>
      </c>
      <c r="I53" s="17">
        <v>2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21">
        <f t="shared" si="0"/>
        <v>2</v>
      </c>
      <c r="W53" s="21">
        <f t="shared" si="1"/>
        <v>2</v>
      </c>
      <c r="X53" s="21" t="str">
        <f t="shared" si="2"/>
        <v>NA</v>
      </c>
      <c r="Y53" s="22" t="str">
        <f t="shared" si="3"/>
        <v>NA</v>
      </c>
    </row>
    <row r="54" spans="1:26" ht="15.75" customHeight="1" x14ac:dyDescent="0.3">
      <c r="A54" s="36" t="s">
        <v>237</v>
      </c>
      <c r="B54" s="17" t="s">
        <v>238</v>
      </c>
      <c r="C54" s="17" t="s">
        <v>236</v>
      </c>
      <c r="D54" s="40">
        <v>0</v>
      </c>
      <c r="E54" s="19">
        <v>0</v>
      </c>
      <c r="F54" s="19">
        <v>130.5</v>
      </c>
      <c r="G54" s="20">
        <f t="shared" si="4"/>
        <v>0</v>
      </c>
      <c r="H54" s="17">
        <v>0</v>
      </c>
      <c r="I54" s="17">
        <v>2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21">
        <f t="shared" si="0"/>
        <v>2</v>
      </c>
      <c r="W54" s="21">
        <f t="shared" si="1"/>
        <v>2</v>
      </c>
      <c r="X54" s="21" t="str">
        <f t="shared" si="2"/>
        <v>NA</v>
      </c>
      <c r="Y54" s="22" t="str">
        <f t="shared" si="3"/>
        <v>NA</v>
      </c>
    </row>
    <row r="55" spans="1:26" ht="15.75" customHeight="1" x14ac:dyDescent="0.3">
      <c r="A55" s="23" t="s">
        <v>239</v>
      </c>
      <c r="B55" s="17" t="s">
        <v>240</v>
      </c>
      <c r="C55" s="17" t="s">
        <v>240</v>
      </c>
      <c r="D55" s="27">
        <v>-157.30000000000001</v>
      </c>
      <c r="E55" s="27">
        <v>-230</v>
      </c>
      <c r="F55" s="28">
        <v>-10.7</v>
      </c>
      <c r="G55" s="20">
        <f t="shared" si="4"/>
        <v>0.24395973154362413</v>
      </c>
      <c r="H55" s="17">
        <v>0</v>
      </c>
      <c r="I55" s="17">
        <v>1</v>
      </c>
      <c r="J55" s="17">
        <v>1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-1</v>
      </c>
      <c r="V55" s="21">
        <f t="shared" si="0"/>
        <v>17</v>
      </c>
      <c r="W55" s="21">
        <f t="shared" si="1"/>
        <v>0</v>
      </c>
      <c r="X55" s="21" t="str">
        <f t="shared" si="2"/>
        <v>NA</v>
      </c>
      <c r="Y55" s="22" t="str">
        <f t="shared" si="3"/>
        <v>NA</v>
      </c>
    </row>
    <row r="56" spans="1:26" ht="15.75" customHeight="1" x14ac:dyDescent="0.3">
      <c r="A56" s="36" t="s">
        <v>241</v>
      </c>
      <c r="B56" s="17" t="s">
        <v>242</v>
      </c>
      <c r="C56" s="24" t="s">
        <v>243</v>
      </c>
      <c r="D56" s="37">
        <v>-185.9</v>
      </c>
      <c r="E56" s="33">
        <v>-331.05</v>
      </c>
      <c r="F56" s="19" t="s">
        <v>38</v>
      </c>
      <c r="G56" s="20">
        <f t="shared" si="4"/>
        <v>0.48708053691275172</v>
      </c>
      <c r="H56" s="17">
        <v>3</v>
      </c>
      <c r="I56" s="17">
        <v>8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21">
        <f t="shared" si="0"/>
        <v>60</v>
      </c>
      <c r="W56" s="21">
        <f t="shared" si="1"/>
        <v>18</v>
      </c>
      <c r="X56" s="21">
        <f t="shared" si="2"/>
        <v>6</v>
      </c>
      <c r="Y56" s="22">
        <f t="shared" si="3"/>
        <v>811.85575666394629</v>
      </c>
    </row>
    <row r="57" spans="1:26" ht="15.75" customHeight="1" x14ac:dyDescent="0.3">
      <c r="A57" s="36" t="s">
        <v>244</v>
      </c>
      <c r="B57" s="17" t="s">
        <v>4</v>
      </c>
      <c r="C57" s="24" t="s">
        <v>245</v>
      </c>
      <c r="D57" s="47">
        <v>-517.80999999999995</v>
      </c>
      <c r="E57" s="19">
        <v>-687</v>
      </c>
      <c r="F57" s="19" t="s">
        <v>38</v>
      </c>
      <c r="G57" s="20">
        <f t="shared" si="4"/>
        <v>0.56775167785234915</v>
      </c>
      <c r="H57" s="17">
        <v>3</v>
      </c>
      <c r="I57" s="17">
        <v>5</v>
      </c>
      <c r="J57" s="17">
        <v>3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-1</v>
      </c>
      <c r="V57" s="21">
        <f t="shared" si="0"/>
        <v>89</v>
      </c>
      <c r="W57" s="21">
        <f t="shared" si="1"/>
        <v>12</v>
      </c>
      <c r="X57" s="21">
        <f t="shared" si="2"/>
        <v>4</v>
      </c>
      <c r="Y57" s="22">
        <f t="shared" si="3"/>
        <v>347.64494639266923</v>
      </c>
    </row>
    <row r="58" spans="1:26" ht="15.75" customHeight="1" x14ac:dyDescent="0.3">
      <c r="A58" s="36" t="s">
        <v>246</v>
      </c>
      <c r="B58" s="17" t="s">
        <v>247</v>
      </c>
      <c r="C58" s="24" t="s">
        <v>248</v>
      </c>
      <c r="D58" s="47">
        <v>-539.83000000000004</v>
      </c>
      <c r="E58" s="42">
        <v>-686.67</v>
      </c>
      <c r="F58" s="19" t="s">
        <v>38</v>
      </c>
      <c r="G58" s="20">
        <f t="shared" si="4"/>
        <v>0.49275167785234875</v>
      </c>
      <c r="H58" s="17">
        <v>3</v>
      </c>
      <c r="I58" s="17">
        <v>6</v>
      </c>
      <c r="J58" s="17">
        <v>3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21">
        <f t="shared" si="0"/>
        <v>90</v>
      </c>
      <c r="W58" s="21">
        <f t="shared" si="1"/>
        <v>12</v>
      </c>
      <c r="X58" s="21">
        <f t="shared" si="2"/>
        <v>4</v>
      </c>
      <c r="Y58" s="22">
        <f t="shared" si="3"/>
        <v>347.64494639266923</v>
      </c>
    </row>
    <row r="59" spans="1:26" ht="15.75" customHeight="1" x14ac:dyDescent="0.3">
      <c r="A59" s="23" t="s">
        <v>249</v>
      </c>
      <c r="B59" s="17" t="s">
        <v>3</v>
      </c>
      <c r="C59" s="17" t="s">
        <v>250</v>
      </c>
      <c r="D59" s="46">
        <v>-287.8</v>
      </c>
      <c r="E59" s="95">
        <f>+IF($AA$3=1,calcEnthJoback!B22,IF(AA3=2,calcEnthJoback!C22,"NA"))</f>
        <v>-411.59999999999991</v>
      </c>
      <c r="F59" s="19" t="s">
        <v>38</v>
      </c>
      <c r="G59" s="20">
        <f t="shared" si="4"/>
        <v>0.41543624161073789</v>
      </c>
      <c r="H59" s="17">
        <v>3</v>
      </c>
      <c r="I59" s="17">
        <v>5</v>
      </c>
      <c r="J59" s="17">
        <v>2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1</v>
      </c>
      <c r="T59" s="17">
        <v>0</v>
      </c>
      <c r="U59" s="17">
        <v>0</v>
      </c>
      <c r="V59" s="21">
        <f t="shared" si="0"/>
        <v>73</v>
      </c>
      <c r="W59" s="21">
        <f t="shared" si="1"/>
        <v>13</v>
      </c>
      <c r="X59" s="21">
        <f t="shared" si="2"/>
        <v>4.333333333333333</v>
      </c>
      <c r="Y59" s="22">
        <f t="shared" si="3"/>
        <v>380.7160621060674</v>
      </c>
    </row>
    <row r="60" spans="1:26" ht="15.75" customHeight="1" x14ac:dyDescent="0.3">
      <c r="A60" s="36" t="s">
        <v>251</v>
      </c>
      <c r="B60" s="17" t="s">
        <v>252</v>
      </c>
      <c r="C60" s="23" t="s">
        <v>253</v>
      </c>
      <c r="D60" s="50">
        <v>-843.22</v>
      </c>
      <c r="E60" s="26">
        <v>-1079.79</v>
      </c>
      <c r="F60" s="34" t="s">
        <v>38</v>
      </c>
      <c r="G60" s="20">
        <f t="shared" si="4"/>
        <v>0.79385906040268439</v>
      </c>
      <c r="H60" s="17">
        <v>4</v>
      </c>
      <c r="I60" s="17">
        <v>4</v>
      </c>
      <c r="J60" s="17">
        <v>5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-2</v>
      </c>
      <c r="V60" s="21">
        <f t="shared" si="0"/>
        <v>132</v>
      </c>
      <c r="W60" s="21">
        <f t="shared" si="1"/>
        <v>12</v>
      </c>
      <c r="X60" s="21">
        <f t="shared" si="2"/>
        <v>3</v>
      </c>
      <c r="Y60" s="22">
        <f t="shared" si="3"/>
        <v>389.35607102121969</v>
      </c>
      <c r="Z60" s="9"/>
    </row>
    <row r="61" spans="1:26" x14ac:dyDescent="0.3">
      <c r="A61" s="36" t="s">
        <v>735</v>
      </c>
      <c r="B61" s="17" t="s">
        <v>578</v>
      </c>
      <c r="C61" s="17" t="s">
        <v>578</v>
      </c>
      <c r="D61" s="47">
        <v>0</v>
      </c>
      <c r="E61" s="19" t="s">
        <v>38</v>
      </c>
      <c r="F61" s="19" t="s">
        <v>38</v>
      </c>
      <c r="G61" s="20" t="str">
        <f t="shared" si="4"/>
        <v>NA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1</v>
      </c>
      <c r="R61" s="17">
        <v>0</v>
      </c>
      <c r="S61" s="17">
        <v>0</v>
      </c>
      <c r="T61" s="17">
        <v>0</v>
      </c>
      <c r="U61" s="17">
        <v>0</v>
      </c>
      <c r="V61" s="21">
        <f t="shared" si="0"/>
        <v>0</v>
      </c>
      <c r="W61" s="21">
        <f t="shared" si="1"/>
        <v>0</v>
      </c>
      <c r="X61" s="21" t="str">
        <f t="shared" si="2"/>
        <v>NA</v>
      </c>
      <c r="Y61" s="22" t="str">
        <f t="shared" si="3"/>
        <v>NA</v>
      </c>
    </row>
    <row r="62" spans="1:26" x14ac:dyDescent="0.3">
      <c r="A62" s="36" t="s">
        <v>577</v>
      </c>
      <c r="B62" s="17" t="s">
        <v>576</v>
      </c>
      <c r="C62" s="17" t="s">
        <v>576</v>
      </c>
      <c r="D62" s="47">
        <v>-64.429884956272204</v>
      </c>
      <c r="E62" s="19" t="s">
        <v>38</v>
      </c>
      <c r="F62" s="19" t="s">
        <v>38</v>
      </c>
      <c r="G62" s="20" t="str">
        <f t="shared" si="4"/>
        <v>NA</v>
      </c>
      <c r="H62" s="17">
        <v>0</v>
      </c>
      <c r="I62" s="17">
        <v>2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1</v>
      </c>
      <c r="R62" s="17">
        <v>0</v>
      </c>
      <c r="S62" s="17">
        <v>0</v>
      </c>
      <c r="T62" s="17">
        <v>0</v>
      </c>
      <c r="U62" s="17">
        <v>0</v>
      </c>
      <c r="V62" s="21">
        <f t="shared" si="0"/>
        <v>2</v>
      </c>
      <c r="W62" s="21">
        <f t="shared" si="1"/>
        <v>2</v>
      </c>
      <c r="X62" s="21" t="str">
        <f t="shared" si="2"/>
        <v>NA</v>
      </c>
      <c r="Y62" s="22" t="str">
        <f t="shared" si="3"/>
        <v>NA</v>
      </c>
    </row>
    <row r="63" spans="1:26" ht="15.6" x14ac:dyDescent="0.3">
      <c r="A63" s="23" t="s">
        <v>254</v>
      </c>
      <c r="B63" s="17" t="s">
        <v>255</v>
      </c>
      <c r="C63" s="17" t="s">
        <v>256</v>
      </c>
      <c r="D63" s="32">
        <v>-34.4</v>
      </c>
      <c r="E63" s="19">
        <v>-89</v>
      </c>
      <c r="F63" s="19">
        <v>83.7</v>
      </c>
      <c r="G63" s="20">
        <f t="shared" si="4"/>
        <v>0.18322147651006712</v>
      </c>
      <c r="H63" s="17">
        <v>1</v>
      </c>
      <c r="I63" s="17">
        <v>4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21">
        <f t="shared" si="0"/>
        <v>16</v>
      </c>
      <c r="W63" s="21">
        <f t="shared" si="1"/>
        <v>8</v>
      </c>
      <c r="X63" s="21">
        <f t="shared" si="2"/>
        <v>8</v>
      </c>
      <c r="Y63" s="22">
        <f t="shared" si="3"/>
        <v>1088.0937132378845</v>
      </c>
    </row>
    <row r="64" spans="1:26" ht="15.6" x14ac:dyDescent="0.3">
      <c r="A64" s="23" t="s">
        <v>257</v>
      </c>
      <c r="B64" s="17" t="s">
        <v>258</v>
      </c>
      <c r="C64" s="17" t="s">
        <v>256</v>
      </c>
      <c r="D64" s="51">
        <v>-50.8</v>
      </c>
      <c r="E64" s="19">
        <v>-74.8</v>
      </c>
      <c r="F64" s="19">
        <v>186.2</v>
      </c>
      <c r="G64" s="20">
        <f t="shared" si="4"/>
        <v>8.0536912751677847E-2</v>
      </c>
      <c r="H64" s="17">
        <v>1</v>
      </c>
      <c r="I64" s="17">
        <v>4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21">
        <f t="shared" si="0"/>
        <v>16</v>
      </c>
      <c r="W64" s="21">
        <f t="shared" si="1"/>
        <v>8</v>
      </c>
      <c r="X64" s="21">
        <f t="shared" si="2"/>
        <v>8</v>
      </c>
      <c r="Y64" s="22">
        <f t="shared" si="3"/>
        <v>1088.0937132378845</v>
      </c>
    </row>
    <row r="65" spans="1:25" ht="15.6" x14ac:dyDescent="0.3">
      <c r="A65" s="109" t="s">
        <v>259</v>
      </c>
      <c r="B65" s="17" t="s">
        <v>5</v>
      </c>
      <c r="C65" s="17" t="s">
        <v>260</v>
      </c>
      <c r="D65" s="51">
        <v>-454.65</v>
      </c>
      <c r="E65" s="95">
        <f>+IF(AA3=1,calcEnthJoback!B18,IF(AA3=2,calcEnthJoback!C18,"NA"))</f>
        <v>-644.42999999999995</v>
      </c>
      <c r="F65" s="19" t="s">
        <v>38</v>
      </c>
      <c r="G65" s="20">
        <f t="shared" si="4"/>
        <v>0.63684563758389257</v>
      </c>
      <c r="H65" s="17">
        <v>4</v>
      </c>
      <c r="I65" s="17">
        <v>5</v>
      </c>
      <c r="J65" s="17">
        <v>3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1</v>
      </c>
      <c r="T65" s="17">
        <v>0</v>
      </c>
      <c r="U65" s="17">
        <v>0</v>
      </c>
      <c r="V65" s="21">
        <f t="shared" si="0"/>
        <v>101</v>
      </c>
      <c r="W65" s="21">
        <f t="shared" si="1"/>
        <v>15</v>
      </c>
      <c r="X65" s="21">
        <f t="shared" si="2"/>
        <v>3.75</v>
      </c>
      <c r="Y65" s="22">
        <f t="shared" si="3"/>
        <v>270.02276170873023</v>
      </c>
    </row>
    <row r="66" spans="1:25" ht="15.6" x14ac:dyDescent="0.3">
      <c r="A66" s="23" t="s">
        <v>16</v>
      </c>
      <c r="B66" s="23" t="s">
        <v>16</v>
      </c>
      <c r="C66" s="23" t="s">
        <v>261</v>
      </c>
      <c r="D66" s="51">
        <v>0</v>
      </c>
      <c r="E66" s="19" t="s">
        <v>38</v>
      </c>
      <c r="F66" s="19" t="s">
        <v>38</v>
      </c>
      <c r="G66" s="20" t="str">
        <f t="shared" si="4"/>
        <v>NA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1</v>
      </c>
      <c r="R66" s="17">
        <v>0</v>
      </c>
      <c r="S66" s="17">
        <v>0</v>
      </c>
      <c r="T66" s="17">
        <v>0</v>
      </c>
      <c r="U66" s="17">
        <v>1</v>
      </c>
      <c r="V66" s="21">
        <f t="shared" si="0"/>
        <v>0</v>
      </c>
      <c r="W66" s="21">
        <f t="shared" si="1"/>
        <v>-1</v>
      </c>
      <c r="X66" s="21" t="str">
        <f t="shared" si="2"/>
        <v>NA</v>
      </c>
      <c r="Y66" s="22" t="str">
        <f t="shared" si="3"/>
        <v>NA</v>
      </c>
    </row>
    <row r="67" spans="1:25" x14ac:dyDescent="0.3">
      <c r="A67" s="23" t="s">
        <v>17</v>
      </c>
      <c r="B67" s="23" t="s">
        <v>17</v>
      </c>
      <c r="C67" s="23" t="s">
        <v>17</v>
      </c>
      <c r="D67" s="51">
        <v>21.83</v>
      </c>
      <c r="E67" s="19" t="s">
        <v>38</v>
      </c>
      <c r="F67" s="19" t="s">
        <v>38</v>
      </c>
      <c r="G67" s="20" t="str">
        <f t="shared" si="4"/>
        <v>NA</v>
      </c>
      <c r="H67" s="17">
        <v>0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1</v>
      </c>
      <c r="R67" s="17">
        <v>0</v>
      </c>
      <c r="S67" s="17">
        <v>0</v>
      </c>
      <c r="T67" s="17">
        <v>0</v>
      </c>
      <c r="U67" s="17">
        <v>0</v>
      </c>
      <c r="V67" s="21">
        <f t="shared" ref="V67:V130" si="5">SUMPRODUCT(H67:U67,$H$273:$U$273)</f>
        <v>1</v>
      </c>
      <c r="W67" s="21">
        <f t="shared" ref="W67:W130" si="6">SUMPRODUCT($H67:$U67,$H$274:$U$274)</f>
        <v>1</v>
      </c>
      <c r="X67" s="21" t="str">
        <f t="shared" ref="X67:X130" si="7">(IF(H67&lt;&gt;0,SUMPRODUCT($H67:$U67,$H$274:$U$274)/$H67,"NA"))</f>
        <v>NA</v>
      </c>
      <c r="Y67" s="22" t="str">
        <f t="shared" si="3"/>
        <v>NA</v>
      </c>
    </row>
    <row r="68" spans="1:25" ht="15.6" x14ac:dyDescent="0.3">
      <c r="A68" s="36" t="s">
        <v>18</v>
      </c>
      <c r="B68" s="23" t="s">
        <v>18</v>
      </c>
      <c r="C68" s="23" t="s">
        <v>262</v>
      </c>
      <c r="D68" s="37">
        <v>0</v>
      </c>
      <c r="E68" s="19" t="s">
        <v>38</v>
      </c>
      <c r="F68" s="19" t="s">
        <v>38</v>
      </c>
      <c r="G68" s="20" t="str">
        <f t="shared" si="4"/>
        <v>NA</v>
      </c>
      <c r="H68" s="17">
        <v>0</v>
      </c>
      <c r="I68" s="17">
        <v>1</v>
      </c>
      <c r="J68" s="17">
        <v>3</v>
      </c>
      <c r="K68" s="17">
        <v>0</v>
      </c>
      <c r="L68" s="17">
        <v>1</v>
      </c>
      <c r="M68" s="17">
        <v>0</v>
      </c>
      <c r="N68" s="17">
        <v>0</v>
      </c>
      <c r="O68" s="17">
        <v>0</v>
      </c>
      <c r="P68" s="17">
        <v>0</v>
      </c>
      <c r="Q68" s="17">
        <v>1</v>
      </c>
      <c r="R68" s="17">
        <v>0</v>
      </c>
      <c r="S68" s="17">
        <v>0</v>
      </c>
      <c r="T68" s="17">
        <v>0</v>
      </c>
      <c r="U68" s="17">
        <v>1</v>
      </c>
      <c r="V68" s="21">
        <f t="shared" si="5"/>
        <v>80</v>
      </c>
      <c r="W68" s="21">
        <f t="shared" si="6"/>
        <v>-1</v>
      </c>
      <c r="X68" s="21" t="str">
        <f t="shared" si="7"/>
        <v>NA</v>
      </c>
      <c r="Y68" s="22" t="str">
        <f t="shared" si="3"/>
        <v>NA</v>
      </c>
    </row>
    <row r="69" spans="1:25" x14ac:dyDescent="0.3">
      <c r="A69" s="36" t="s">
        <v>19</v>
      </c>
      <c r="B69" s="23" t="s">
        <v>19</v>
      </c>
      <c r="C69" s="17" t="s">
        <v>19</v>
      </c>
      <c r="D69" s="51">
        <v>21.83</v>
      </c>
      <c r="E69" s="19" t="s">
        <v>38</v>
      </c>
      <c r="F69" s="19" t="s">
        <v>38</v>
      </c>
      <c r="G69" s="20" t="str">
        <f t="shared" si="4"/>
        <v>NA</v>
      </c>
      <c r="H69" s="17">
        <v>0</v>
      </c>
      <c r="I69" s="17">
        <v>2</v>
      </c>
      <c r="J69" s="17">
        <v>3</v>
      </c>
      <c r="K69" s="17">
        <v>0</v>
      </c>
      <c r="L69" s="17">
        <v>1</v>
      </c>
      <c r="M69" s="17">
        <v>0</v>
      </c>
      <c r="N69" s="17">
        <v>0</v>
      </c>
      <c r="O69" s="17">
        <v>0</v>
      </c>
      <c r="P69" s="17">
        <v>0</v>
      </c>
      <c r="Q69" s="17">
        <v>1</v>
      </c>
      <c r="R69" s="17">
        <v>0</v>
      </c>
      <c r="S69" s="17">
        <v>0</v>
      </c>
      <c r="T69" s="17">
        <v>0</v>
      </c>
      <c r="U69" s="17">
        <v>0</v>
      </c>
      <c r="V69" s="21">
        <f t="shared" si="5"/>
        <v>81</v>
      </c>
      <c r="W69" s="21">
        <f t="shared" si="6"/>
        <v>1</v>
      </c>
      <c r="X69" s="21" t="str">
        <f t="shared" si="7"/>
        <v>NA</v>
      </c>
      <c r="Y69" s="22" t="str">
        <f t="shared" si="3"/>
        <v>NA</v>
      </c>
    </row>
    <row r="70" spans="1:25" ht="15.6" x14ac:dyDescent="0.3">
      <c r="A70" s="36" t="s">
        <v>263</v>
      </c>
      <c r="B70" s="23" t="s">
        <v>264</v>
      </c>
      <c r="C70" s="23" t="s">
        <v>265</v>
      </c>
      <c r="D70" s="47">
        <v>-171.8</v>
      </c>
      <c r="E70" s="52" t="s">
        <v>38</v>
      </c>
      <c r="F70" s="19" t="s">
        <v>38</v>
      </c>
      <c r="G70" s="20" t="str">
        <f t="shared" si="4"/>
        <v>NA</v>
      </c>
      <c r="H70" s="17">
        <v>4</v>
      </c>
      <c r="I70" s="17">
        <v>10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21">
        <f t="shared" si="5"/>
        <v>74</v>
      </c>
      <c r="W70" s="21">
        <f t="shared" si="6"/>
        <v>24</v>
      </c>
      <c r="X70" s="21">
        <f t="shared" si="7"/>
        <v>6</v>
      </c>
      <c r="Y70" s="22">
        <f t="shared" si="3"/>
        <v>1068.893721747869</v>
      </c>
    </row>
    <row r="71" spans="1:25" x14ac:dyDescent="0.3">
      <c r="A71" s="36" t="s">
        <v>266</v>
      </c>
      <c r="B71" s="17" t="s">
        <v>267</v>
      </c>
      <c r="C71" s="17" t="s">
        <v>268</v>
      </c>
      <c r="D71" s="31">
        <v>0</v>
      </c>
      <c r="E71" s="19">
        <v>0</v>
      </c>
      <c r="F71" s="19" t="s">
        <v>38</v>
      </c>
      <c r="G71" s="20">
        <f t="shared" si="4"/>
        <v>0</v>
      </c>
      <c r="H71" s="17">
        <v>0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21">
        <f t="shared" si="5"/>
        <v>28</v>
      </c>
      <c r="W71" s="21">
        <f t="shared" si="6"/>
        <v>-6</v>
      </c>
      <c r="X71" s="21" t="str">
        <f t="shared" si="7"/>
        <v>NA</v>
      </c>
      <c r="Y71" s="22" t="str">
        <f t="shared" ref="Y71:Y93" si="8">IF(H71&gt;0, 200+18*(6-H71)^1.8+EXP((3.6+0.4*H71)*((3.8-X71)^2)^0.16),"NA")</f>
        <v>NA</v>
      </c>
    </row>
    <row r="72" spans="1:25" x14ac:dyDescent="0.3">
      <c r="A72" s="36" t="s">
        <v>269</v>
      </c>
      <c r="B72" s="17" t="s">
        <v>270</v>
      </c>
      <c r="C72" s="17" t="s">
        <v>270</v>
      </c>
      <c r="D72" s="47">
        <v>-111.3</v>
      </c>
      <c r="E72" s="52">
        <v>-173</v>
      </c>
      <c r="F72" s="19">
        <v>146.4</v>
      </c>
      <c r="G72" s="20">
        <f t="shared" ref="G72:G135" si="9">+IF(E72="NA","NA",(D72-E72)/298)</f>
        <v>0.20704697986577184</v>
      </c>
      <c r="H72" s="17">
        <v>0</v>
      </c>
      <c r="I72" s="17">
        <v>0</v>
      </c>
      <c r="J72" s="17">
        <v>3</v>
      </c>
      <c r="K72" s="17">
        <v>1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-1</v>
      </c>
      <c r="V72" s="21">
        <f t="shared" si="5"/>
        <v>62</v>
      </c>
      <c r="W72" s="21">
        <f t="shared" si="6"/>
        <v>-8</v>
      </c>
      <c r="X72" s="21" t="str">
        <f t="shared" si="7"/>
        <v>NA</v>
      </c>
      <c r="Y72" s="22" t="str">
        <f t="shared" si="8"/>
        <v>NA</v>
      </c>
    </row>
    <row r="73" spans="1:25" x14ac:dyDescent="0.3">
      <c r="A73" s="36" t="s">
        <v>271</v>
      </c>
      <c r="B73" s="17" t="s">
        <v>272</v>
      </c>
      <c r="C73" s="17" t="s">
        <v>273</v>
      </c>
      <c r="D73" s="47">
        <v>-108.74</v>
      </c>
      <c r="E73" s="19" t="s">
        <v>38</v>
      </c>
      <c r="F73" s="19" t="s">
        <v>38</v>
      </c>
      <c r="G73" s="20" t="str">
        <f t="shared" si="9"/>
        <v>NA</v>
      </c>
      <c r="H73" s="17">
        <v>0</v>
      </c>
      <c r="I73" s="17">
        <v>1</v>
      </c>
      <c r="J73" s="17">
        <v>3</v>
      </c>
      <c r="K73" s="17">
        <v>1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21">
        <f t="shared" si="5"/>
        <v>63</v>
      </c>
      <c r="W73" s="21">
        <f t="shared" si="6"/>
        <v>-8</v>
      </c>
      <c r="X73" s="21" t="str">
        <f t="shared" si="7"/>
        <v>NA</v>
      </c>
      <c r="Y73" s="22" t="str">
        <f t="shared" si="8"/>
        <v>NA</v>
      </c>
    </row>
    <row r="74" spans="1:25" x14ac:dyDescent="0.3">
      <c r="A74" s="36" t="s">
        <v>274</v>
      </c>
      <c r="B74" s="17" t="s">
        <v>275</v>
      </c>
      <c r="C74" s="17" t="s">
        <v>275</v>
      </c>
      <c r="D74" s="50">
        <v>-32.200000000000003</v>
      </c>
      <c r="E74" s="26">
        <v>-107</v>
      </c>
      <c r="F74" s="34">
        <v>123</v>
      </c>
      <c r="G74" s="20">
        <f t="shared" si="9"/>
        <v>0.25100671140939596</v>
      </c>
      <c r="H74" s="17">
        <v>0</v>
      </c>
      <c r="I74" s="17">
        <v>0</v>
      </c>
      <c r="J74" s="17">
        <v>2</v>
      </c>
      <c r="K74" s="17">
        <v>1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-1</v>
      </c>
      <c r="V74" s="21">
        <f t="shared" si="5"/>
        <v>46</v>
      </c>
      <c r="W74" s="21">
        <f t="shared" si="6"/>
        <v>-6</v>
      </c>
      <c r="X74" s="21" t="str">
        <f t="shared" si="7"/>
        <v>NA</v>
      </c>
      <c r="Y74" s="22" t="str">
        <f t="shared" si="8"/>
        <v>NA</v>
      </c>
    </row>
    <row r="75" spans="1:25" x14ac:dyDescent="0.3">
      <c r="A75" s="36" t="s">
        <v>276</v>
      </c>
      <c r="B75" s="17" t="s">
        <v>277</v>
      </c>
      <c r="C75" s="17" t="s">
        <v>278</v>
      </c>
      <c r="D75" s="47">
        <v>-50.6</v>
      </c>
      <c r="E75" s="19">
        <v>-119.2</v>
      </c>
      <c r="F75" s="19">
        <v>135.6</v>
      </c>
      <c r="G75" s="20">
        <f t="shared" si="9"/>
        <v>0.23020134228187916</v>
      </c>
      <c r="H75" s="17">
        <v>0</v>
      </c>
      <c r="I75" s="17">
        <v>1</v>
      </c>
      <c r="J75" s="17">
        <v>2</v>
      </c>
      <c r="K75" s="17">
        <v>1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21">
        <f t="shared" si="5"/>
        <v>47</v>
      </c>
      <c r="W75" s="21">
        <f t="shared" si="6"/>
        <v>-6</v>
      </c>
      <c r="X75" s="21" t="str">
        <f t="shared" si="7"/>
        <v>NA</v>
      </c>
      <c r="Y75" s="22" t="str">
        <f t="shared" si="8"/>
        <v>NA</v>
      </c>
    </row>
    <row r="76" spans="1:25" ht="15.6" x14ac:dyDescent="0.3">
      <c r="A76" s="36" t="s">
        <v>279</v>
      </c>
      <c r="B76" s="17" t="s">
        <v>280</v>
      </c>
      <c r="C76" s="17" t="s">
        <v>281</v>
      </c>
      <c r="D76" s="47">
        <v>-793.82</v>
      </c>
      <c r="E76" s="19">
        <v>-959.9</v>
      </c>
      <c r="F76" s="19" t="s">
        <v>38</v>
      </c>
      <c r="G76" s="20">
        <f t="shared" si="9"/>
        <v>0.55731543624161051</v>
      </c>
      <c r="H76" s="17">
        <v>4</v>
      </c>
      <c r="I76" s="17">
        <v>2</v>
      </c>
      <c r="J76" s="17">
        <v>5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-2</v>
      </c>
      <c r="V76" s="21">
        <f t="shared" si="5"/>
        <v>130</v>
      </c>
      <c r="W76" s="21">
        <f t="shared" si="6"/>
        <v>10</v>
      </c>
      <c r="X76" s="21">
        <f t="shared" si="7"/>
        <v>2.5</v>
      </c>
      <c r="Y76" s="22">
        <f t="shared" si="8"/>
        <v>548.51746340627119</v>
      </c>
    </row>
    <row r="77" spans="1:25" x14ac:dyDescent="0.3">
      <c r="A77" s="36" t="s">
        <v>282</v>
      </c>
      <c r="B77" s="17" t="s">
        <v>283</v>
      </c>
      <c r="C77" s="17" t="s">
        <v>283</v>
      </c>
      <c r="D77" s="37">
        <v>16.399999999999999</v>
      </c>
      <c r="E77" s="39">
        <v>-11.7</v>
      </c>
      <c r="F77" s="39">
        <v>110.9</v>
      </c>
      <c r="G77" s="20">
        <f t="shared" si="9"/>
        <v>9.4295302013422816E-2</v>
      </c>
      <c r="H77" s="17">
        <v>0</v>
      </c>
      <c r="I77" s="17">
        <v>0</v>
      </c>
      <c r="J77" s="17">
        <v>2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21">
        <f t="shared" si="5"/>
        <v>32</v>
      </c>
      <c r="W77" s="21">
        <f t="shared" si="6"/>
        <v>-4</v>
      </c>
      <c r="X77" s="21" t="str">
        <f t="shared" si="7"/>
        <v>NA</v>
      </c>
      <c r="Y77" s="22" t="str">
        <f t="shared" si="8"/>
        <v>NA</v>
      </c>
    </row>
    <row r="78" spans="1:25" x14ac:dyDescent="0.3">
      <c r="A78" s="36" t="s">
        <v>284</v>
      </c>
      <c r="B78" s="17" t="s">
        <v>285</v>
      </c>
      <c r="C78" s="17" t="s">
        <v>285</v>
      </c>
      <c r="D78" s="37">
        <v>0</v>
      </c>
      <c r="E78" s="39">
        <v>0</v>
      </c>
      <c r="F78" s="39">
        <v>205</v>
      </c>
      <c r="G78" s="20">
        <f t="shared" si="9"/>
        <v>0</v>
      </c>
      <c r="H78" s="17">
        <v>0</v>
      </c>
      <c r="I78" s="17">
        <v>0</v>
      </c>
      <c r="J78" s="17">
        <v>2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21">
        <f t="shared" si="5"/>
        <v>32</v>
      </c>
      <c r="W78" s="21">
        <f t="shared" si="6"/>
        <v>-4</v>
      </c>
      <c r="X78" s="21" t="str">
        <f t="shared" si="7"/>
        <v>NA</v>
      </c>
      <c r="Y78" s="22" t="str">
        <f t="shared" si="8"/>
        <v>NA</v>
      </c>
    </row>
    <row r="79" spans="1:25" ht="15.6" x14ac:dyDescent="0.3">
      <c r="A79" s="36" t="s">
        <v>286</v>
      </c>
      <c r="B79" s="17" t="s">
        <v>809</v>
      </c>
      <c r="C79" s="17" t="s">
        <v>287</v>
      </c>
      <c r="D79" s="37">
        <v>-1142.5999999999999</v>
      </c>
      <c r="E79" s="39">
        <v>-1288.3</v>
      </c>
      <c r="F79" s="39">
        <v>158.19999999999999</v>
      </c>
      <c r="G79" s="20">
        <f t="shared" si="9"/>
        <v>0.48892617449664444</v>
      </c>
      <c r="H79" s="17">
        <v>0</v>
      </c>
      <c r="I79" s="17">
        <v>3</v>
      </c>
      <c r="J79" s="17">
        <v>4</v>
      </c>
      <c r="K79" s="17">
        <v>0</v>
      </c>
      <c r="L79" s="17">
        <v>1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21">
        <f t="shared" si="5"/>
        <v>98</v>
      </c>
      <c r="W79" s="21">
        <f t="shared" si="6"/>
        <v>0</v>
      </c>
      <c r="X79" s="21" t="str">
        <f t="shared" si="7"/>
        <v>NA</v>
      </c>
      <c r="Y79" s="22" t="str">
        <f t="shared" si="8"/>
        <v>NA</v>
      </c>
    </row>
    <row r="80" spans="1:25" ht="15.6" x14ac:dyDescent="0.3">
      <c r="A80" s="36" t="s">
        <v>288</v>
      </c>
      <c r="B80" s="17" t="s">
        <v>810</v>
      </c>
      <c r="C80" s="17" t="s">
        <v>289</v>
      </c>
      <c r="D80" s="37">
        <v>-1130.3</v>
      </c>
      <c r="E80" s="39">
        <v>-1296.3</v>
      </c>
      <c r="F80" s="39">
        <v>90.4</v>
      </c>
      <c r="G80" s="20">
        <f t="shared" si="9"/>
        <v>0.55704697986577179</v>
      </c>
      <c r="H80" s="17">
        <v>0</v>
      </c>
      <c r="I80" s="17">
        <v>2</v>
      </c>
      <c r="J80" s="17">
        <v>4</v>
      </c>
      <c r="K80" s="17">
        <v>0</v>
      </c>
      <c r="L80" s="17">
        <v>1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-1</v>
      </c>
      <c r="V80" s="21">
        <f t="shared" si="5"/>
        <v>97</v>
      </c>
      <c r="W80" s="21">
        <f t="shared" si="6"/>
        <v>0</v>
      </c>
      <c r="X80" s="21" t="str">
        <f t="shared" si="7"/>
        <v>NA</v>
      </c>
      <c r="Y80" s="22" t="str">
        <f t="shared" si="8"/>
        <v>NA</v>
      </c>
    </row>
    <row r="81" spans="1:25" ht="15.6" x14ac:dyDescent="0.3">
      <c r="A81" s="23" t="s">
        <v>290</v>
      </c>
      <c r="B81" s="17" t="s">
        <v>291</v>
      </c>
      <c r="C81" s="17" t="s">
        <v>292</v>
      </c>
      <c r="D81" s="51">
        <v>-1089.0999999999999</v>
      </c>
      <c r="E81" s="19">
        <v>-1292.0999999999999</v>
      </c>
      <c r="F81" s="19">
        <v>-33.5</v>
      </c>
      <c r="G81" s="20">
        <f t="shared" si="9"/>
        <v>0.68120805369127513</v>
      </c>
      <c r="H81" s="17">
        <v>0</v>
      </c>
      <c r="I81" s="17">
        <v>1</v>
      </c>
      <c r="J81" s="17">
        <v>4</v>
      </c>
      <c r="K81" s="17">
        <v>0</v>
      </c>
      <c r="L81" s="17">
        <v>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-2</v>
      </c>
      <c r="V81" s="21">
        <f t="shared" si="5"/>
        <v>96</v>
      </c>
      <c r="W81" s="21">
        <f t="shared" si="6"/>
        <v>0</v>
      </c>
      <c r="X81" s="21" t="str">
        <f t="shared" si="7"/>
        <v>NA</v>
      </c>
      <c r="Y81" s="22" t="str">
        <f t="shared" si="8"/>
        <v>NA</v>
      </c>
    </row>
    <row r="82" spans="1:25" ht="15.6" x14ac:dyDescent="0.3">
      <c r="A82" s="23" t="s">
        <v>293</v>
      </c>
      <c r="B82" s="17" t="s">
        <v>294</v>
      </c>
      <c r="C82" s="17" t="s">
        <v>294</v>
      </c>
      <c r="D82" s="32">
        <v>-1018.8</v>
      </c>
      <c r="E82" s="19">
        <v>-1277.4000000000001</v>
      </c>
      <c r="F82" s="19">
        <v>-222</v>
      </c>
      <c r="G82" s="20">
        <f t="shared" si="9"/>
        <v>0.86778523489932935</v>
      </c>
      <c r="H82" s="17">
        <v>0</v>
      </c>
      <c r="I82" s="17">
        <v>0</v>
      </c>
      <c r="J82" s="17">
        <v>4</v>
      </c>
      <c r="K82" s="17">
        <v>0</v>
      </c>
      <c r="L82" s="17">
        <v>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-3</v>
      </c>
      <c r="V82" s="21">
        <f t="shared" si="5"/>
        <v>95</v>
      </c>
      <c r="W82" s="21">
        <f t="shared" si="6"/>
        <v>0</v>
      </c>
      <c r="X82" s="21" t="str">
        <f t="shared" si="7"/>
        <v>NA</v>
      </c>
      <c r="Y82" s="22" t="str">
        <f t="shared" si="8"/>
        <v>NA</v>
      </c>
    </row>
    <row r="83" spans="1:25" x14ac:dyDescent="0.3">
      <c r="A83" s="36" t="s">
        <v>295</v>
      </c>
      <c r="B83" s="17" t="s">
        <v>296</v>
      </c>
      <c r="C83" s="24" t="s">
        <v>296</v>
      </c>
      <c r="D83" s="47">
        <v>0</v>
      </c>
      <c r="E83" s="47" t="s">
        <v>38</v>
      </c>
      <c r="F83" s="19" t="s">
        <v>38</v>
      </c>
      <c r="G83" s="20" t="str">
        <f t="shared" si="9"/>
        <v>NA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1</v>
      </c>
      <c r="V83" s="21">
        <f t="shared" si="5"/>
        <v>0</v>
      </c>
      <c r="W83" s="21">
        <f t="shared" si="6"/>
        <v>-1</v>
      </c>
      <c r="X83" s="21" t="str">
        <f t="shared" si="7"/>
        <v>NA</v>
      </c>
      <c r="Y83" s="22" t="str">
        <f t="shared" si="8"/>
        <v>NA</v>
      </c>
    </row>
    <row r="84" spans="1:25" ht="15.6" x14ac:dyDescent="0.3">
      <c r="A84" s="36" t="s">
        <v>802</v>
      </c>
      <c r="B84" s="17" t="s">
        <v>1</v>
      </c>
      <c r="C84" s="24" t="s">
        <v>297</v>
      </c>
      <c r="D84" s="42">
        <v>-131.31</v>
      </c>
      <c r="E84" s="95">
        <f>IF(AA3=1,calcEnthJoback!B17,IF(AA3=2,calcEnthJoback!C17,"NA"))</f>
        <v>-234.99999999999989</v>
      </c>
      <c r="F84" s="19" t="s">
        <v>38</v>
      </c>
      <c r="G84" s="20">
        <f t="shared" si="9"/>
        <v>0.3479530201342278</v>
      </c>
      <c r="H84" s="17">
        <v>3</v>
      </c>
      <c r="I84" s="17">
        <v>5</v>
      </c>
      <c r="J84" s="17">
        <v>1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1</v>
      </c>
      <c r="T84" s="17">
        <v>0</v>
      </c>
      <c r="U84" s="17">
        <v>0</v>
      </c>
      <c r="V84" s="21">
        <f t="shared" si="5"/>
        <v>57</v>
      </c>
      <c r="W84" s="21">
        <f t="shared" si="6"/>
        <v>15</v>
      </c>
      <c r="X84" s="21">
        <f t="shared" si="7"/>
        <v>5</v>
      </c>
      <c r="Y84" s="22">
        <f t="shared" si="8"/>
        <v>492.17056500742302</v>
      </c>
    </row>
    <row r="85" spans="1:25" ht="15.6" x14ac:dyDescent="0.3">
      <c r="A85" s="36" t="s">
        <v>298</v>
      </c>
      <c r="B85" s="17" t="s">
        <v>0</v>
      </c>
      <c r="C85" s="17" t="s">
        <v>299</v>
      </c>
      <c r="D85" s="47">
        <v>-361.08</v>
      </c>
      <c r="E85" s="19">
        <v>-510.4</v>
      </c>
      <c r="F85" s="19" t="s">
        <v>38</v>
      </c>
      <c r="G85" s="20">
        <f t="shared" si="9"/>
        <v>0.50107382550335566</v>
      </c>
      <c r="H85" s="17">
        <v>3</v>
      </c>
      <c r="I85" s="17">
        <v>5</v>
      </c>
      <c r="J85" s="17">
        <v>2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-1</v>
      </c>
      <c r="V85" s="21">
        <f t="shared" si="5"/>
        <v>73</v>
      </c>
      <c r="W85" s="21">
        <f t="shared" si="6"/>
        <v>14</v>
      </c>
      <c r="X85" s="21">
        <f t="shared" si="7"/>
        <v>4.666666666666667</v>
      </c>
      <c r="Y85" s="22">
        <f t="shared" si="8"/>
        <v>428.06239358414825</v>
      </c>
    </row>
    <row r="86" spans="1:25" ht="15.6" x14ac:dyDescent="0.3">
      <c r="A86" s="23" t="s">
        <v>300</v>
      </c>
      <c r="B86" s="17" t="s">
        <v>301</v>
      </c>
      <c r="C86" s="17" t="s">
        <v>231</v>
      </c>
      <c r="D86" s="47">
        <v>-388.88529440549075</v>
      </c>
      <c r="E86" s="19">
        <v>-509.65</v>
      </c>
      <c r="F86" s="19" t="s">
        <v>38</v>
      </c>
      <c r="G86" s="20">
        <f t="shared" si="9"/>
        <v>0.4052506899144605</v>
      </c>
      <c r="H86" s="17">
        <v>3</v>
      </c>
      <c r="I86" s="17">
        <v>6</v>
      </c>
      <c r="J86" s="17">
        <v>2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21">
        <f t="shared" si="5"/>
        <v>74</v>
      </c>
      <c r="W86" s="21">
        <f t="shared" si="6"/>
        <v>14</v>
      </c>
      <c r="X86" s="21">
        <f t="shared" si="7"/>
        <v>4.666666666666667</v>
      </c>
      <c r="Y86" s="22">
        <f t="shared" si="8"/>
        <v>428.06239358414825</v>
      </c>
    </row>
    <row r="87" spans="1:25" ht="15.6" x14ac:dyDescent="0.3">
      <c r="A87" s="36" t="s">
        <v>302</v>
      </c>
      <c r="B87" s="23" t="s">
        <v>28</v>
      </c>
      <c r="C87" s="17" t="s">
        <v>303</v>
      </c>
      <c r="D87" s="32">
        <v>0</v>
      </c>
      <c r="E87" s="26">
        <v>0</v>
      </c>
      <c r="F87" s="19">
        <v>0</v>
      </c>
      <c r="G87" s="20">
        <f t="shared" si="9"/>
        <v>0</v>
      </c>
      <c r="H87" s="17">
        <v>0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1</v>
      </c>
      <c r="V87" s="21">
        <f t="shared" si="5"/>
        <v>1</v>
      </c>
      <c r="W87" s="21">
        <f t="shared" si="6"/>
        <v>0</v>
      </c>
      <c r="X87" s="21" t="str">
        <f t="shared" si="7"/>
        <v>NA</v>
      </c>
      <c r="Y87" s="22" t="str">
        <f t="shared" si="8"/>
        <v>NA</v>
      </c>
    </row>
    <row r="88" spans="1:25" ht="15.6" x14ac:dyDescent="0.3">
      <c r="A88" s="36" t="s">
        <v>304</v>
      </c>
      <c r="B88" s="17" t="s">
        <v>305</v>
      </c>
      <c r="C88" s="17" t="s">
        <v>306</v>
      </c>
      <c r="D88" s="51">
        <v>-1921.4880468473118</v>
      </c>
      <c r="E88" s="19" t="s">
        <v>38</v>
      </c>
      <c r="F88" s="19" t="s">
        <v>38</v>
      </c>
      <c r="G88" s="20" t="str">
        <f t="shared" si="9"/>
        <v>NA</v>
      </c>
      <c r="H88" s="17">
        <v>0</v>
      </c>
      <c r="I88" s="17">
        <v>0</v>
      </c>
      <c r="J88" s="17">
        <v>7</v>
      </c>
      <c r="K88" s="17">
        <v>0</v>
      </c>
      <c r="L88" s="17">
        <v>2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-4</v>
      </c>
      <c r="V88" s="21">
        <f t="shared" si="5"/>
        <v>174</v>
      </c>
      <c r="W88" s="21">
        <f t="shared" si="6"/>
        <v>0</v>
      </c>
      <c r="X88" s="21" t="str">
        <f t="shared" si="7"/>
        <v>NA</v>
      </c>
      <c r="Y88" s="22" t="str">
        <f t="shared" si="8"/>
        <v>NA</v>
      </c>
    </row>
    <row r="89" spans="1:25" ht="15.6" x14ac:dyDescent="0.3">
      <c r="A89" s="36" t="s">
        <v>307</v>
      </c>
      <c r="B89" s="17" t="s">
        <v>8</v>
      </c>
      <c r="C89" s="17" t="s">
        <v>308</v>
      </c>
      <c r="D89" s="50">
        <v>-472.27</v>
      </c>
      <c r="E89" s="34">
        <v>-596.22</v>
      </c>
      <c r="F89" s="34" t="s">
        <v>38</v>
      </c>
      <c r="G89" s="20">
        <f t="shared" si="9"/>
        <v>0.41593959731543639</v>
      </c>
      <c r="H89" s="17">
        <v>3</v>
      </c>
      <c r="I89" s="17">
        <v>3</v>
      </c>
      <c r="J89" s="17">
        <v>3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-1</v>
      </c>
      <c r="V89" s="21">
        <f t="shared" si="5"/>
        <v>87</v>
      </c>
      <c r="W89" s="21">
        <f t="shared" si="6"/>
        <v>10</v>
      </c>
      <c r="X89" s="21">
        <f t="shared" si="7"/>
        <v>3.3333333333333335</v>
      </c>
      <c r="Y89" s="22">
        <f t="shared" si="8"/>
        <v>373.04300334134575</v>
      </c>
    </row>
    <row r="90" spans="1:25" x14ac:dyDescent="0.3">
      <c r="A90" s="36" t="s">
        <v>309</v>
      </c>
      <c r="B90" s="23" t="s">
        <v>310</v>
      </c>
      <c r="C90" s="23" t="s">
        <v>310</v>
      </c>
      <c r="D90" s="45">
        <v>0</v>
      </c>
      <c r="E90" s="19" t="s">
        <v>38</v>
      </c>
      <c r="F90" s="34" t="s">
        <v>38</v>
      </c>
      <c r="G90" s="20" t="str">
        <f t="shared" si="9"/>
        <v>NA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1</v>
      </c>
      <c r="V90" s="21">
        <f t="shared" si="5"/>
        <v>0</v>
      </c>
      <c r="W90" s="21">
        <f t="shared" si="6"/>
        <v>-1</v>
      </c>
      <c r="X90" s="21" t="str">
        <f t="shared" si="7"/>
        <v>NA</v>
      </c>
      <c r="Y90" s="22" t="str">
        <f t="shared" si="8"/>
        <v>NA</v>
      </c>
    </row>
    <row r="91" spans="1:25" ht="15.6" x14ac:dyDescent="0.3">
      <c r="A91" s="23" t="s">
        <v>311</v>
      </c>
      <c r="B91" s="23" t="s">
        <v>312</v>
      </c>
      <c r="C91" s="23" t="s">
        <v>313</v>
      </c>
      <c r="D91" s="32">
        <v>-690.91</v>
      </c>
      <c r="E91" s="19">
        <v>-909.29</v>
      </c>
      <c r="F91" s="19" t="s">
        <v>38</v>
      </c>
      <c r="G91" s="20">
        <f t="shared" si="9"/>
        <v>0.73281879194630872</v>
      </c>
      <c r="H91" s="17">
        <v>4</v>
      </c>
      <c r="I91" s="17">
        <v>4</v>
      </c>
      <c r="J91" s="17">
        <v>4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-2</v>
      </c>
      <c r="V91" s="21">
        <f t="shared" si="5"/>
        <v>116</v>
      </c>
      <c r="W91" s="21">
        <f t="shared" si="6"/>
        <v>14</v>
      </c>
      <c r="X91" s="21">
        <f t="shared" si="7"/>
        <v>3.5</v>
      </c>
      <c r="Y91" s="22">
        <f t="shared" si="8"/>
        <v>297.05649476719407</v>
      </c>
    </row>
    <row r="92" spans="1:25" ht="15.6" x14ac:dyDescent="0.3">
      <c r="A92" s="36" t="s">
        <v>314</v>
      </c>
      <c r="B92" s="17" t="s">
        <v>315</v>
      </c>
      <c r="C92" s="17" t="s">
        <v>316</v>
      </c>
      <c r="D92" s="31">
        <v>-746.38</v>
      </c>
      <c r="E92" s="19" t="s">
        <v>38</v>
      </c>
      <c r="F92" s="19" t="s">
        <v>38</v>
      </c>
      <c r="G92" s="20" t="str">
        <f t="shared" si="9"/>
        <v>NA</v>
      </c>
      <c r="H92" s="17">
        <v>4</v>
      </c>
      <c r="I92" s="17">
        <v>6</v>
      </c>
      <c r="J92" s="17">
        <v>4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21">
        <f t="shared" si="5"/>
        <v>118</v>
      </c>
      <c r="W92" s="21">
        <f t="shared" si="6"/>
        <v>14</v>
      </c>
      <c r="X92" s="21">
        <f t="shared" si="7"/>
        <v>3.5</v>
      </c>
      <c r="Y92" s="22">
        <f t="shared" si="8"/>
        <v>297.05649476719407</v>
      </c>
    </row>
    <row r="93" spans="1:25" ht="15.6" x14ac:dyDescent="0.3">
      <c r="A93" s="36" t="s">
        <v>317</v>
      </c>
      <c r="B93" s="17" t="s">
        <v>6</v>
      </c>
      <c r="C93" s="17" t="s">
        <v>260</v>
      </c>
      <c r="D93" s="37">
        <v>-461.89</v>
      </c>
      <c r="E93" s="95">
        <f>+IF(AA3=1,calcEnthJoback!B24,IF(AA3=2,calcEnthJoback!C24,"NA"))</f>
        <v>-633.88999999999987</v>
      </c>
      <c r="F93" s="39" t="s">
        <v>38</v>
      </c>
      <c r="G93" s="20">
        <f t="shared" si="9"/>
        <v>0.57718120805369089</v>
      </c>
      <c r="H93" s="17">
        <v>4</v>
      </c>
      <c r="I93" s="17">
        <v>5</v>
      </c>
      <c r="J93" s="17">
        <v>3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1</v>
      </c>
      <c r="T93" s="17">
        <v>0</v>
      </c>
      <c r="U93" s="17">
        <v>0</v>
      </c>
      <c r="V93" s="21">
        <f t="shared" si="5"/>
        <v>101</v>
      </c>
      <c r="W93" s="21">
        <f t="shared" si="6"/>
        <v>15</v>
      </c>
      <c r="X93" s="21">
        <f t="shared" si="7"/>
        <v>3.75</v>
      </c>
      <c r="Y93" s="22">
        <f t="shared" si="8"/>
        <v>270.02276170873023</v>
      </c>
    </row>
    <row r="94" spans="1:25" ht="15.6" x14ac:dyDescent="0.3">
      <c r="A94" s="36" t="s">
        <v>318</v>
      </c>
      <c r="B94" s="17" t="s">
        <v>319</v>
      </c>
      <c r="C94" s="17" t="s">
        <v>320</v>
      </c>
      <c r="D94" s="37">
        <v>-1564</v>
      </c>
      <c r="E94" s="39" t="s">
        <v>38</v>
      </c>
      <c r="F94" s="39" t="s">
        <v>38</v>
      </c>
      <c r="G94" s="20" t="str">
        <f t="shared" si="9"/>
        <v>NA</v>
      </c>
      <c r="H94" s="17">
        <v>12</v>
      </c>
      <c r="I94" s="17">
        <v>22</v>
      </c>
      <c r="J94" s="17">
        <v>11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21">
        <f t="shared" si="5"/>
        <v>342</v>
      </c>
      <c r="W94" s="21">
        <f t="shared" si="6"/>
        <v>48</v>
      </c>
      <c r="X94" s="21">
        <f t="shared" si="7"/>
        <v>4</v>
      </c>
      <c r="Y94" s="22" t="s">
        <v>38</v>
      </c>
    </row>
    <row r="95" spans="1:25" ht="15.6" x14ac:dyDescent="0.3">
      <c r="A95" s="36" t="s">
        <v>321</v>
      </c>
      <c r="B95" s="17" t="s">
        <v>322</v>
      </c>
      <c r="C95" s="17" t="s">
        <v>322</v>
      </c>
      <c r="D95" s="37">
        <v>85.8</v>
      </c>
      <c r="E95" s="39">
        <v>33.1</v>
      </c>
      <c r="F95" s="39">
        <v>-14.6</v>
      </c>
      <c r="G95" s="20">
        <f t="shared" si="9"/>
        <v>0.1768456375838926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1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-2</v>
      </c>
      <c r="V95" s="21">
        <f t="shared" si="5"/>
        <v>32</v>
      </c>
      <c r="W95" s="21">
        <f t="shared" si="6"/>
        <v>8</v>
      </c>
      <c r="X95" s="21" t="str">
        <f t="shared" si="7"/>
        <v>NA</v>
      </c>
      <c r="Y95" s="22" t="str">
        <f t="shared" ref="Y95:Y115" si="10">IF(H95&gt;0, 200+18*(6-H95)^1.8+EXP((3.6+0.4*H95)*((3.8-X95)^2)^0.16),"NA")</f>
        <v>NA</v>
      </c>
    </row>
    <row r="96" spans="1:25" ht="15.6" x14ac:dyDescent="0.3">
      <c r="A96" s="36" t="s">
        <v>323</v>
      </c>
      <c r="B96" s="17" t="s">
        <v>324</v>
      </c>
      <c r="C96" s="17" t="s">
        <v>324</v>
      </c>
      <c r="D96" s="37">
        <v>12.1</v>
      </c>
      <c r="E96" s="39">
        <v>-17.600000000000001</v>
      </c>
      <c r="F96" s="39">
        <v>62.8</v>
      </c>
      <c r="G96" s="20">
        <f t="shared" si="9"/>
        <v>9.9664429530201354E-2</v>
      </c>
      <c r="H96" s="17">
        <v>0</v>
      </c>
      <c r="I96" s="17">
        <v>1</v>
      </c>
      <c r="J96" s="17">
        <v>0</v>
      </c>
      <c r="K96" s="17">
        <v>0</v>
      </c>
      <c r="L96" s="17">
        <v>0</v>
      </c>
      <c r="M96" s="17">
        <v>1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-1</v>
      </c>
      <c r="V96" s="21">
        <f t="shared" si="5"/>
        <v>33</v>
      </c>
      <c r="W96" s="21">
        <f t="shared" si="6"/>
        <v>8</v>
      </c>
      <c r="X96" s="21" t="str">
        <f t="shared" si="7"/>
        <v>NA</v>
      </c>
      <c r="Y96" s="22" t="str">
        <f t="shared" si="10"/>
        <v>NA</v>
      </c>
    </row>
    <row r="97" spans="1:25" ht="15.6" x14ac:dyDescent="0.3">
      <c r="A97" s="36" t="s">
        <v>325</v>
      </c>
      <c r="B97" s="17" t="s">
        <v>811</v>
      </c>
      <c r="C97" s="17" t="s">
        <v>326</v>
      </c>
      <c r="D97" s="51">
        <v>-27.9</v>
      </c>
      <c r="E97" s="17">
        <v>-39.700000000000003</v>
      </c>
      <c r="F97" s="17">
        <v>121</v>
      </c>
      <c r="G97" s="20">
        <f t="shared" si="9"/>
        <v>3.9597315436241627E-2</v>
      </c>
      <c r="H97" s="17">
        <v>0</v>
      </c>
      <c r="I97" s="17">
        <v>2</v>
      </c>
      <c r="J97" s="17">
        <v>0</v>
      </c>
      <c r="K97" s="17">
        <v>0</v>
      </c>
      <c r="L97" s="17">
        <v>0</v>
      </c>
      <c r="M97" s="17">
        <v>1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21">
        <f t="shared" si="5"/>
        <v>34</v>
      </c>
      <c r="W97" s="21">
        <f t="shared" si="6"/>
        <v>8</v>
      </c>
      <c r="X97" s="21" t="str">
        <f t="shared" si="7"/>
        <v>NA</v>
      </c>
      <c r="Y97" s="22" t="str">
        <f t="shared" si="10"/>
        <v>NA</v>
      </c>
    </row>
    <row r="98" spans="1:25" ht="15.6" x14ac:dyDescent="0.3">
      <c r="A98" s="36" t="s">
        <v>327</v>
      </c>
      <c r="B98" s="17" t="s">
        <v>812</v>
      </c>
      <c r="C98" s="17" t="s">
        <v>326</v>
      </c>
      <c r="D98" s="51">
        <v>-33.6</v>
      </c>
      <c r="E98" s="17">
        <v>-20.6</v>
      </c>
      <c r="F98" s="17">
        <v>205.8</v>
      </c>
      <c r="G98" s="20">
        <f t="shared" si="9"/>
        <v>-4.3624161073825503E-2</v>
      </c>
      <c r="H98" s="17">
        <v>0</v>
      </c>
      <c r="I98" s="17">
        <v>2</v>
      </c>
      <c r="J98" s="17">
        <v>0</v>
      </c>
      <c r="K98" s="17">
        <v>0</v>
      </c>
      <c r="L98" s="17">
        <v>0</v>
      </c>
      <c r="M98" s="17">
        <v>1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21">
        <f t="shared" si="5"/>
        <v>34</v>
      </c>
      <c r="W98" s="21">
        <f t="shared" si="6"/>
        <v>8</v>
      </c>
      <c r="X98" s="21" t="str">
        <f t="shared" si="7"/>
        <v>NA</v>
      </c>
      <c r="Y98" s="22" t="str">
        <f t="shared" si="10"/>
        <v>NA</v>
      </c>
    </row>
    <row r="99" spans="1:25" ht="15.6" x14ac:dyDescent="0.3">
      <c r="A99" s="36" t="s">
        <v>328</v>
      </c>
      <c r="B99" s="17" t="s">
        <v>329</v>
      </c>
      <c r="C99" s="17" t="s">
        <v>329</v>
      </c>
      <c r="D99" s="51">
        <v>-744.6</v>
      </c>
      <c r="E99" s="17">
        <v>-909.6</v>
      </c>
      <c r="F99" s="17">
        <v>20.100000000000001</v>
      </c>
      <c r="G99" s="20">
        <f t="shared" si="9"/>
        <v>0.55369127516778527</v>
      </c>
      <c r="H99" s="17">
        <v>0</v>
      </c>
      <c r="I99" s="17">
        <v>0</v>
      </c>
      <c r="J99" s="17">
        <v>4</v>
      </c>
      <c r="K99" s="17">
        <v>0</v>
      </c>
      <c r="L99" s="17">
        <v>0</v>
      </c>
      <c r="M99" s="17">
        <v>1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-2</v>
      </c>
      <c r="V99" s="21">
        <f t="shared" si="5"/>
        <v>96</v>
      </c>
      <c r="W99" s="21">
        <f t="shared" si="6"/>
        <v>0</v>
      </c>
      <c r="X99" s="21" t="str">
        <f t="shared" si="7"/>
        <v>NA</v>
      </c>
      <c r="Y99" s="22" t="str">
        <f t="shared" si="10"/>
        <v>NA</v>
      </c>
    </row>
    <row r="100" spans="1:25" ht="15.6" x14ac:dyDescent="0.3">
      <c r="A100" s="23" t="s">
        <v>330</v>
      </c>
      <c r="B100" s="17" t="s">
        <v>331</v>
      </c>
      <c r="C100" s="17" t="s">
        <v>331</v>
      </c>
      <c r="D100" s="37">
        <v>-755.9</v>
      </c>
      <c r="E100" s="17">
        <v>-887.3</v>
      </c>
      <c r="F100" s="17">
        <v>131.80000000000001</v>
      </c>
      <c r="G100" s="20">
        <f t="shared" si="9"/>
        <v>0.44093959731543614</v>
      </c>
      <c r="H100" s="17">
        <v>0</v>
      </c>
      <c r="I100" s="17">
        <v>1</v>
      </c>
      <c r="J100" s="17">
        <v>4</v>
      </c>
      <c r="K100" s="17">
        <v>0</v>
      </c>
      <c r="L100" s="17">
        <v>0</v>
      </c>
      <c r="M100" s="17">
        <v>1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-1</v>
      </c>
      <c r="V100" s="21">
        <f t="shared" si="5"/>
        <v>97</v>
      </c>
      <c r="W100" s="21">
        <f t="shared" si="6"/>
        <v>0</v>
      </c>
      <c r="X100" s="21" t="str">
        <f t="shared" si="7"/>
        <v>NA</v>
      </c>
      <c r="Y100" s="22" t="str">
        <f t="shared" si="10"/>
        <v>NA</v>
      </c>
    </row>
    <row r="101" spans="1:25" ht="15.6" x14ac:dyDescent="0.3">
      <c r="A101" s="23" t="s">
        <v>332</v>
      </c>
      <c r="B101" s="17" t="s">
        <v>813</v>
      </c>
      <c r="C101" s="17" t="s">
        <v>333</v>
      </c>
      <c r="D101" s="37">
        <v>-690</v>
      </c>
      <c r="E101" s="17">
        <v>-814</v>
      </c>
      <c r="F101" s="17">
        <v>156</v>
      </c>
      <c r="G101" s="20">
        <f t="shared" si="9"/>
        <v>0.41610738255033558</v>
      </c>
      <c r="H101" s="17">
        <v>0</v>
      </c>
      <c r="I101" s="17">
        <v>2</v>
      </c>
      <c r="J101" s="17">
        <v>4</v>
      </c>
      <c r="K101" s="17">
        <v>0</v>
      </c>
      <c r="L101" s="17">
        <v>0</v>
      </c>
      <c r="M101" s="17">
        <v>1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21">
        <f t="shared" si="5"/>
        <v>98</v>
      </c>
      <c r="W101" s="21">
        <f t="shared" si="6"/>
        <v>0</v>
      </c>
      <c r="X101" s="21" t="str">
        <f t="shared" si="7"/>
        <v>NA</v>
      </c>
      <c r="Y101" s="22" t="str">
        <f t="shared" si="10"/>
        <v>NA</v>
      </c>
    </row>
    <row r="102" spans="1:25" x14ac:dyDescent="0.3">
      <c r="A102" s="23" t="s">
        <v>334</v>
      </c>
      <c r="B102" s="17" t="s">
        <v>335</v>
      </c>
      <c r="C102" s="17" t="s">
        <v>335</v>
      </c>
      <c r="D102" s="37">
        <f>-131.2</f>
        <v>-131.19999999999999</v>
      </c>
      <c r="E102" s="53">
        <v>-166.7</v>
      </c>
      <c r="F102" s="53">
        <v>55.1</v>
      </c>
      <c r="G102" s="20">
        <f t="shared" si="9"/>
        <v>0.11912751677852348</v>
      </c>
      <c r="H102" s="17">
        <v>0</v>
      </c>
      <c r="I102" s="17">
        <v>1</v>
      </c>
      <c r="J102" s="17">
        <v>0</v>
      </c>
      <c r="K102" s="17">
        <v>0</v>
      </c>
      <c r="L102" s="17">
        <v>0</v>
      </c>
      <c r="M102" s="17">
        <v>0</v>
      </c>
      <c r="N102" s="17">
        <v>1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21">
        <f t="shared" si="5"/>
        <v>36.5</v>
      </c>
      <c r="W102" s="21">
        <f t="shared" si="6"/>
        <v>0</v>
      </c>
      <c r="X102" s="21" t="str">
        <f t="shared" si="7"/>
        <v>NA</v>
      </c>
      <c r="Y102" s="22" t="str">
        <f t="shared" si="10"/>
        <v>NA</v>
      </c>
    </row>
    <row r="103" spans="1:25" ht="15.6" x14ac:dyDescent="0.3">
      <c r="A103" s="23" t="s">
        <v>336</v>
      </c>
      <c r="B103" s="17" t="s">
        <v>337</v>
      </c>
      <c r="C103" s="17" t="s">
        <v>338</v>
      </c>
      <c r="D103" s="45">
        <f>-131.2</f>
        <v>-131.19999999999999</v>
      </c>
      <c r="E103" s="53">
        <v>-167.1</v>
      </c>
      <c r="F103" s="53">
        <v>56.7</v>
      </c>
      <c r="G103" s="20">
        <f t="shared" si="9"/>
        <v>0.12046979865771815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1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-1</v>
      </c>
      <c r="V103" s="21">
        <f t="shared" si="5"/>
        <v>35.5</v>
      </c>
      <c r="W103" s="21">
        <f t="shared" si="6"/>
        <v>0</v>
      </c>
      <c r="X103" s="21" t="str">
        <f t="shared" si="7"/>
        <v>NA</v>
      </c>
      <c r="Y103" s="22" t="str">
        <f t="shared" si="10"/>
        <v>NA</v>
      </c>
    </row>
    <row r="104" spans="1:25" ht="15.6" x14ac:dyDescent="0.3">
      <c r="A104" s="23" t="s">
        <v>339</v>
      </c>
      <c r="B104" s="17" t="s">
        <v>340</v>
      </c>
      <c r="C104" s="17" t="s">
        <v>341</v>
      </c>
      <c r="D104" s="45">
        <v>-36.799999999999997</v>
      </c>
      <c r="E104" s="53">
        <v>-167.2</v>
      </c>
      <c r="F104" s="53">
        <v>56.5</v>
      </c>
      <c r="G104" s="20">
        <f t="shared" si="9"/>
        <v>0.43758389261744957</v>
      </c>
      <c r="H104" s="17">
        <v>0</v>
      </c>
      <c r="I104" s="17">
        <v>0</v>
      </c>
      <c r="J104" s="17">
        <v>1</v>
      </c>
      <c r="K104" s="17">
        <v>0</v>
      </c>
      <c r="L104" s="17">
        <v>0</v>
      </c>
      <c r="M104" s="17">
        <v>0</v>
      </c>
      <c r="N104" s="17">
        <v>1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-1</v>
      </c>
      <c r="V104" s="21">
        <f t="shared" si="5"/>
        <v>51.5</v>
      </c>
      <c r="W104" s="21">
        <f t="shared" si="6"/>
        <v>-2</v>
      </c>
      <c r="X104" s="21" t="str">
        <f t="shared" si="7"/>
        <v>NA</v>
      </c>
      <c r="Y104" s="22" t="str">
        <f t="shared" si="10"/>
        <v>NA</v>
      </c>
    </row>
    <row r="105" spans="1:25" ht="15.6" x14ac:dyDescent="0.3">
      <c r="A105" s="23" t="s">
        <v>342</v>
      </c>
      <c r="B105" s="17" t="s">
        <v>343</v>
      </c>
      <c r="C105" s="17" t="s">
        <v>344</v>
      </c>
      <c r="D105" s="48">
        <v>17.2</v>
      </c>
      <c r="E105" s="53">
        <v>-66.5</v>
      </c>
      <c r="F105" s="53">
        <v>101.3</v>
      </c>
      <c r="G105" s="20">
        <f t="shared" si="9"/>
        <v>0.28087248322147651</v>
      </c>
      <c r="H105" s="17">
        <v>0</v>
      </c>
      <c r="I105" s="17">
        <v>0</v>
      </c>
      <c r="J105" s="17">
        <v>2</v>
      </c>
      <c r="K105" s="17">
        <v>0</v>
      </c>
      <c r="L105" s="17">
        <v>0</v>
      </c>
      <c r="M105" s="17">
        <v>0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-1</v>
      </c>
      <c r="V105" s="21">
        <f t="shared" si="5"/>
        <v>67.5</v>
      </c>
      <c r="W105" s="21">
        <f t="shared" si="6"/>
        <v>-4</v>
      </c>
      <c r="X105" s="21" t="str">
        <f t="shared" si="7"/>
        <v>NA</v>
      </c>
      <c r="Y105" s="22" t="str">
        <f t="shared" si="10"/>
        <v>NA</v>
      </c>
    </row>
    <row r="106" spans="1:25" ht="15.6" x14ac:dyDescent="0.3">
      <c r="A106" s="23" t="s">
        <v>345</v>
      </c>
      <c r="B106" s="17" t="s">
        <v>346</v>
      </c>
      <c r="C106" s="17" t="s">
        <v>347</v>
      </c>
      <c r="D106" s="31">
        <v>3.35</v>
      </c>
      <c r="E106" s="17">
        <v>-104</v>
      </c>
      <c r="F106" s="17">
        <v>162.30000000000001</v>
      </c>
      <c r="G106" s="20">
        <f t="shared" si="9"/>
        <v>0.36023489932885905</v>
      </c>
      <c r="H106" s="17">
        <v>0</v>
      </c>
      <c r="I106" s="17">
        <v>0</v>
      </c>
      <c r="J106" s="17">
        <v>3</v>
      </c>
      <c r="K106" s="17">
        <v>0</v>
      </c>
      <c r="L106" s="17">
        <v>0</v>
      </c>
      <c r="M106" s="17">
        <v>0</v>
      </c>
      <c r="N106" s="17">
        <v>1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-1</v>
      </c>
      <c r="V106" s="21">
        <f t="shared" si="5"/>
        <v>83.5</v>
      </c>
      <c r="W106" s="21">
        <f t="shared" si="6"/>
        <v>-6</v>
      </c>
      <c r="X106" s="21" t="str">
        <f t="shared" si="7"/>
        <v>NA</v>
      </c>
      <c r="Y106" s="22" t="str">
        <f t="shared" si="10"/>
        <v>NA</v>
      </c>
    </row>
    <row r="107" spans="1:25" ht="15.6" x14ac:dyDescent="0.3">
      <c r="A107" s="23" t="s">
        <v>348</v>
      </c>
      <c r="B107" s="17" t="s">
        <v>349</v>
      </c>
      <c r="C107" s="17" t="s">
        <v>350</v>
      </c>
      <c r="D107" s="31">
        <v>-8.5</v>
      </c>
      <c r="E107" s="17">
        <v>-129.30000000000001</v>
      </c>
      <c r="F107" s="17" t="s">
        <v>38</v>
      </c>
      <c r="G107" s="20">
        <f t="shared" si="9"/>
        <v>0.40536912751677856</v>
      </c>
      <c r="H107" s="17">
        <v>0</v>
      </c>
      <c r="I107" s="17">
        <v>0</v>
      </c>
      <c r="J107" s="17">
        <v>4</v>
      </c>
      <c r="K107" s="17">
        <v>0</v>
      </c>
      <c r="L107" s="17">
        <v>0</v>
      </c>
      <c r="M107" s="17">
        <v>0</v>
      </c>
      <c r="N107" s="17">
        <v>1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-1</v>
      </c>
      <c r="V107" s="21">
        <f t="shared" si="5"/>
        <v>99.5</v>
      </c>
      <c r="W107" s="21">
        <f t="shared" si="6"/>
        <v>-8</v>
      </c>
      <c r="X107" s="21" t="str">
        <f t="shared" si="7"/>
        <v>NA</v>
      </c>
      <c r="Y107" s="22" t="str">
        <f t="shared" si="10"/>
        <v>NA</v>
      </c>
    </row>
    <row r="108" spans="1:25" x14ac:dyDescent="0.3">
      <c r="A108" s="23" t="s">
        <v>351</v>
      </c>
      <c r="B108" s="17" t="s">
        <v>24</v>
      </c>
      <c r="C108" s="17" t="s">
        <v>24</v>
      </c>
      <c r="D108" s="51">
        <v>0</v>
      </c>
      <c r="E108" s="17" t="s">
        <v>38</v>
      </c>
      <c r="F108" s="17" t="s">
        <v>38</v>
      </c>
      <c r="G108" s="20" t="str">
        <f t="shared" si="9"/>
        <v>NA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1</v>
      </c>
      <c r="R108" s="17">
        <v>0</v>
      </c>
      <c r="S108" s="17">
        <v>0</v>
      </c>
      <c r="T108" s="17">
        <v>0</v>
      </c>
      <c r="U108" s="17">
        <v>0</v>
      </c>
      <c r="V108" s="21">
        <f t="shared" si="5"/>
        <v>0</v>
      </c>
      <c r="W108" s="21">
        <f t="shared" si="6"/>
        <v>0</v>
      </c>
      <c r="X108" s="21" t="str">
        <f t="shared" si="7"/>
        <v>NA</v>
      </c>
      <c r="Y108" s="22" t="str">
        <f t="shared" si="10"/>
        <v>NA</v>
      </c>
    </row>
    <row r="109" spans="1:25" x14ac:dyDescent="0.3">
      <c r="A109" s="36" t="s">
        <v>352</v>
      </c>
      <c r="B109" s="17" t="s">
        <v>25</v>
      </c>
      <c r="C109" s="17" t="s">
        <v>25</v>
      </c>
      <c r="D109" s="51">
        <v>-101.09418495627222</v>
      </c>
      <c r="E109" s="17" t="s">
        <v>38</v>
      </c>
      <c r="F109" s="17" t="s">
        <v>38</v>
      </c>
      <c r="G109" s="20" t="str">
        <f t="shared" si="9"/>
        <v>NA</v>
      </c>
      <c r="H109" s="17">
        <v>0</v>
      </c>
      <c r="I109" s="17">
        <v>2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1</v>
      </c>
      <c r="R109" s="17">
        <v>0</v>
      </c>
      <c r="S109" s="17">
        <v>0</v>
      </c>
      <c r="T109" s="17">
        <v>0</v>
      </c>
      <c r="U109" s="17">
        <v>0</v>
      </c>
      <c r="V109" s="21">
        <f t="shared" si="5"/>
        <v>2</v>
      </c>
      <c r="W109" s="21">
        <f t="shared" si="6"/>
        <v>2</v>
      </c>
      <c r="X109" s="21" t="str">
        <f t="shared" si="7"/>
        <v>NA</v>
      </c>
      <c r="Y109" s="22" t="str">
        <f t="shared" si="10"/>
        <v>NA</v>
      </c>
    </row>
    <row r="110" spans="1:25" x14ac:dyDescent="0.3">
      <c r="A110" s="36" t="s">
        <v>353</v>
      </c>
      <c r="B110" s="17" t="s">
        <v>354</v>
      </c>
      <c r="C110" s="17" t="s">
        <v>354</v>
      </c>
      <c r="D110" s="51">
        <v>0</v>
      </c>
      <c r="E110" s="17">
        <v>0</v>
      </c>
      <c r="F110" s="17" t="s">
        <v>38</v>
      </c>
      <c r="G110" s="20">
        <f t="shared" si="9"/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1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21">
        <f t="shared" si="5"/>
        <v>56</v>
      </c>
      <c r="W110" s="21">
        <f t="shared" si="6"/>
        <v>3</v>
      </c>
      <c r="X110" s="21" t="str">
        <f t="shared" si="7"/>
        <v>NA</v>
      </c>
      <c r="Y110" s="22" t="str">
        <f t="shared" si="10"/>
        <v>NA</v>
      </c>
    </row>
    <row r="111" spans="1:25" x14ac:dyDescent="0.3">
      <c r="A111" s="23" t="s">
        <v>355</v>
      </c>
      <c r="B111" s="17" t="s">
        <v>356</v>
      </c>
      <c r="C111" s="17" t="s">
        <v>356</v>
      </c>
      <c r="D111" s="51">
        <v>-78.900000000000006</v>
      </c>
      <c r="E111" s="17">
        <v>-89.1</v>
      </c>
      <c r="F111" s="17" t="s">
        <v>38</v>
      </c>
      <c r="G111" s="20">
        <f t="shared" si="9"/>
        <v>3.4228187919463048E-2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1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2</v>
      </c>
      <c r="V111" s="21">
        <f t="shared" si="5"/>
        <v>56</v>
      </c>
      <c r="W111" s="21">
        <f t="shared" si="6"/>
        <v>1</v>
      </c>
      <c r="X111" s="21" t="str">
        <f t="shared" si="7"/>
        <v>NA</v>
      </c>
      <c r="Y111" s="22" t="str">
        <f t="shared" si="10"/>
        <v>NA</v>
      </c>
    </row>
    <row r="112" spans="1:25" x14ac:dyDescent="0.3">
      <c r="A112" s="23" t="s">
        <v>357</v>
      </c>
      <c r="B112" s="17" t="s">
        <v>358</v>
      </c>
      <c r="C112" s="17" t="s">
        <v>358</v>
      </c>
      <c r="D112" s="51">
        <v>-4.5999999999999996</v>
      </c>
      <c r="E112" s="17">
        <v>-48.5</v>
      </c>
      <c r="F112" s="17" t="s">
        <v>38</v>
      </c>
      <c r="G112" s="20">
        <f t="shared" si="9"/>
        <v>0.14731543624161073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1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3</v>
      </c>
      <c r="V112" s="21">
        <f t="shared" si="5"/>
        <v>56</v>
      </c>
      <c r="W112" s="21">
        <f t="shared" si="6"/>
        <v>0</v>
      </c>
      <c r="X112" s="21" t="str">
        <f t="shared" si="7"/>
        <v>NA</v>
      </c>
      <c r="Y112" s="22" t="str">
        <f t="shared" si="10"/>
        <v>NA</v>
      </c>
    </row>
    <row r="113" spans="1:25" ht="15.6" x14ac:dyDescent="0.3">
      <c r="A113" s="23" t="s">
        <v>359</v>
      </c>
      <c r="B113" s="17" t="s">
        <v>360</v>
      </c>
      <c r="C113" s="17" t="s">
        <v>360</v>
      </c>
      <c r="D113" s="51">
        <v>-696.6</v>
      </c>
      <c r="E113" s="17">
        <v>-823</v>
      </c>
      <c r="F113" s="17">
        <v>106.7</v>
      </c>
      <c r="G113" s="20">
        <f t="shared" si="9"/>
        <v>0.42416107382550328</v>
      </c>
      <c r="H113" s="17">
        <v>0</v>
      </c>
      <c r="I113" s="17">
        <v>1</v>
      </c>
      <c r="J113" s="17">
        <v>2</v>
      </c>
      <c r="K113" s="17">
        <v>0</v>
      </c>
      <c r="L113" s="17">
        <v>0</v>
      </c>
      <c r="M113" s="17">
        <v>0</v>
      </c>
      <c r="N113" s="17">
        <v>0</v>
      </c>
      <c r="O113" s="17">
        <v>1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21">
        <f t="shared" si="5"/>
        <v>89</v>
      </c>
      <c r="W113" s="21">
        <f t="shared" si="6"/>
        <v>0</v>
      </c>
      <c r="X113" s="21" t="str">
        <f t="shared" si="7"/>
        <v>NA</v>
      </c>
      <c r="Y113" s="22" t="str">
        <f t="shared" si="10"/>
        <v>NA</v>
      </c>
    </row>
    <row r="114" spans="1:25" x14ac:dyDescent="0.3">
      <c r="A114" s="23" t="s">
        <v>361</v>
      </c>
      <c r="B114" s="98" t="s">
        <v>362</v>
      </c>
      <c r="C114" s="98" t="s">
        <v>362</v>
      </c>
      <c r="D114" s="110">
        <v>-100.4</v>
      </c>
      <c r="E114" s="110">
        <v>-100</v>
      </c>
      <c r="F114" s="43">
        <v>60.3</v>
      </c>
      <c r="G114" s="59">
        <f t="shared" si="9"/>
        <v>-1.3422818791946499E-3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1</v>
      </c>
      <c r="N114" s="17">
        <v>0</v>
      </c>
      <c r="O114" s="17">
        <v>1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21">
        <f t="shared" si="5"/>
        <v>88</v>
      </c>
      <c r="W114" s="21">
        <f t="shared" si="6"/>
        <v>9</v>
      </c>
      <c r="X114" s="21" t="str">
        <f t="shared" si="7"/>
        <v>NA</v>
      </c>
      <c r="Y114" s="22" t="str">
        <f t="shared" si="10"/>
        <v>NA</v>
      </c>
    </row>
    <row r="115" spans="1:25" ht="16.2" thickBot="1" x14ac:dyDescent="0.35">
      <c r="A115" s="114" t="s">
        <v>363</v>
      </c>
      <c r="B115" s="100" t="s">
        <v>26</v>
      </c>
      <c r="C115" s="115" t="s">
        <v>364</v>
      </c>
      <c r="D115" s="116">
        <v>-237.18</v>
      </c>
      <c r="E115" s="116">
        <v>-285.8</v>
      </c>
      <c r="F115" s="114">
        <v>69.900000000000006</v>
      </c>
      <c r="G115" s="117">
        <f t="shared" si="9"/>
        <v>0.1631543624161074</v>
      </c>
      <c r="H115" s="54">
        <v>0</v>
      </c>
      <c r="I115" s="54">
        <v>2</v>
      </c>
      <c r="J115" s="54">
        <v>1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  <c r="Q115" s="54">
        <v>0</v>
      </c>
      <c r="R115" s="54">
        <v>0</v>
      </c>
      <c r="S115" s="54">
        <v>0</v>
      </c>
      <c r="T115" s="54">
        <v>0</v>
      </c>
      <c r="U115" s="54">
        <v>0</v>
      </c>
      <c r="V115" s="57">
        <f t="shared" si="5"/>
        <v>18</v>
      </c>
      <c r="W115" s="57">
        <f t="shared" si="6"/>
        <v>0</v>
      </c>
      <c r="X115" s="57" t="str">
        <f t="shared" si="7"/>
        <v>NA</v>
      </c>
      <c r="Y115" s="118" t="str">
        <f t="shared" si="10"/>
        <v>NA</v>
      </c>
    </row>
    <row r="116" spans="1:25" ht="16.2" thickTop="1" x14ac:dyDescent="0.3">
      <c r="A116" s="23" t="s">
        <v>365</v>
      </c>
      <c r="B116" s="98" t="s">
        <v>366</v>
      </c>
      <c r="C116" s="24" t="s">
        <v>367</v>
      </c>
      <c r="D116" s="110">
        <v>-917.13</v>
      </c>
      <c r="E116" s="110" t="s">
        <v>38</v>
      </c>
      <c r="F116" s="23" t="s">
        <v>38</v>
      </c>
      <c r="G116" s="59" t="str">
        <f t="shared" si="9"/>
        <v>NA</v>
      </c>
      <c r="H116" s="17">
        <v>6</v>
      </c>
      <c r="I116" s="17">
        <v>6</v>
      </c>
      <c r="J116" s="17">
        <v>6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21">
        <f t="shared" si="5"/>
        <v>174</v>
      </c>
      <c r="W116" s="21">
        <f t="shared" si="6"/>
        <v>18</v>
      </c>
      <c r="X116" s="21">
        <f t="shared" si="7"/>
        <v>3</v>
      </c>
      <c r="Y116" s="22">
        <f>IF(H116&gt;0, 200+18*(6-H116)^1.8+EXP((3.6+0.4*H116)*((3.8-X116)^2)^0.16),"NA")</f>
        <v>466.80101738896292</v>
      </c>
    </row>
    <row r="117" spans="1:25" ht="15.6" x14ac:dyDescent="0.3">
      <c r="A117" s="23" t="s">
        <v>368</v>
      </c>
      <c r="B117" s="23" t="s">
        <v>369</v>
      </c>
      <c r="C117" s="24" t="s">
        <v>370</v>
      </c>
      <c r="D117" s="110">
        <v>313.39999999999998</v>
      </c>
      <c r="E117" s="110">
        <v>129.5</v>
      </c>
      <c r="F117" s="23" t="s">
        <v>38</v>
      </c>
      <c r="G117" s="59">
        <f t="shared" si="9"/>
        <v>0.61711409395973149</v>
      </c>
      <c r="H117" s="17">
        <v>5</v>
      </c>
      <c r="I117" s="17">
        <v>5</v>
      </c>
      <c r="J117" s="17">
        <v>5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21">
        <f t="shared" si="5"/>
        <v>145</v>
      </c>
      <c r="W117" s="21">
        <f t="shared" si="6"/>
        <v>15</v>
      </c>
      <c r="X117" s="21">
        <f t="shared" si="7"/>
        <v>3</v>
      </c>
      <c r="Y117" s="22">
        <f>IF(H117&gt;0, 200+18*(6-H117)^1.8+EXP((3.6+0.4*H117)*((3.8-X117)^2)^0.16),"NA")</f>
        <v>401.84069333792877</v>
      </c>
    </row>
    <row r="118" spans="1:25" ht="15.6" x14ac:dyDescent="0.3">
      <c r="A118" s="23" t="s">
        <v>371</v>
      </c>
      <c r="B118" s="23" t="s">
        <v>372</v>
      </c>
      <c r="C118" s="24" t="s">
        <v>373</v>
      </c>
      <c r="D118" s="110">
        <v>-194.5</v>
      </c>
      <c r="E118" s="110">
        <v>-621.29999999999995</v>
      </c>
      <c r="F118" s="23" t="s">
        <v>38</v>
      </c>
      <c r="G118" s="59">
        <f t="shared" si="9"/>
        <v>1.4322147651006709</v>
      </c>
      <c r="H118" s="17">
        <v>10</v>
      </c>
      <c r="I118" s="17">
        <v>13</v>
      </c>
      <c r="J118" s="17">
        <v>4</v>
      </c>
      <c r="K118" s="17">
        <v>5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21">
        <f t="shared" si="5"/>
        <v>267</v>
      </c>
      <c r="W118" s="21">
        <f t="shared" si="6"/>
        <v>30</v>
      </c>
      <c r="X118" s="21">
        <f t="shared" si="7"/>
        <v>3</v>
      </c>
      <c r="Y118" s="22" t="e">
        <f t="shared" ref="Y118:Y181" si="11">IF(H118&gt;0, 200+18*(6-H118)^1.8+EXP((3.6+0.4*H118)*((3.8-X118)^2)^0.16),"NA")</f>
        <v>#NUM!</v>
      </c>
    </row>
    <row r="119" spans="1:25" ht="15.6" x14ac:dyDescent="0.3">
      <c r="A119" s="23" t="s">
        <v>374</v>
      </c>
      <c r="B119" s="23" t="s">
        <v>375</v>
      </c>
      <c r="C119" s="24" t="s">
        <v>376</v>
      </c>
      <c r="D119" s="110">
        <v>-1541.98</v>
      </c>
      <c r="E119" s="110" t="s">
        <v>38</v>
      </c>
      <c r="F119" s="23" t="s">
        <v>38</v>
      </c>
      <c r="G119" s="59" t="str">
        <f t="shared" si="9"/>
        <v>NA</v>
      </c>
      <c r="H119" s="17">
        <v>10</v>
      </c>
      <c r="I119" s="17">
        <v>14</v>
      </c>
      <c r="J119" s="17">
        <v>10</v>
      </c>
      <c r="K119" s="17">
        <v>5</v>
      </c>
      <c r="L119" s="17">
        <v>1</v>
      </c>
      <c r="M119" s="17">
        <v>1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21">
        <f t="shared" si="5"/>
        <v>427</v>
      </c>
      <c r="W119" s="21">
        <f t="shared" si="6"/>
        <v>30</v>
      </c>
      <c r="X119" s="21">
        <f t="shared" si="7"/>
        <v>3</v>
      </c>
      <c r="Y119" s="22" t="e">
        <f t="shared" si="11"/>
        <v>#NUM!</v>
      </c>
    </row>
    <row r="120" spans="1:25" ht="15.6" x14ac:dyDescent="0.3">
      <c r="A120" s="23" t="s">
        <v>377</v>
      </c>
      <c r="B120" s="23" t="s">
        <v>378</v>
      </c>
      <c r="C120" s="24" t="s">
        <v>379</v>
      </c>
      <c r="D120" s="110">
        <v>-371</v>
      </c>
      <c r="E120" s="110">
        <v>-554.79999999999995</v>
      </c>
      <c r="F120" s="23" t="s">
        <v>38</v>
      </c>
      <c r="G120" s="59">
        <f t="shared" si="9"/>
        <v>0.61677852348993278</v>
      </c>
      <c r="H120" s="17">
        <v>3</v>
      </c>
      <c r="I120" s="17">
        <v>7</v>
      </c>
      <c r="J120" s="17">
        <v>2</v>
      </c>
      <c r="K120" s="17">
        <v>1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21">
        <f t="shared" si="5"/>
        <v>89</v>
      </c>
      <c r="W120" s="21">
        <f t="shared" si="6"/>
        <v>12</v>
      </c>
      <c r="X120" s="21">
        <f t="shared" si="7"/>
        <v>4</v>
      </c>
      <c r="Y120" s="22">
        <f t="shared" si="11"/>
        <v>347.64494639266923</v>
      </c>
    </row>
    <row r="121" spans="1:25" ht="15.6" x14ac:dyDescent="0.3">
      <c r="A121" s="23" t="s">
        <v>380</v>
      </c>
      <c r="B121" s="23" t="s">
        <v>381</v>
      </c>
      <c r="C121" s="24" t="s">
        <v>225</v>
      </c>
      <c r="D121" s="110">
        <v>-742.23</v>
      </c>
      <c r="E121" s="110">
        <v>-1043.79</v>
      </c>
      <c r="F121" s="23" t="s">
        <v>38</v>
      </c>
      <c r="G121" s="59">
        <f t="shared" si="9"/>
        <v>1.0119463087248319</v>
      </c>
      <c r="H121" s="17">
        <v>5</v>
      </c>
      <c r="I121" s="17">
        <v>10</v>
      </c>
      <c r="J121" s="17">
        <v>5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21">
        <f t="shared" si="5"/>
        <v>150</v>
      </c>
      <c r="W121" s="21">
        <f t="shared" si="6"/>
        <v>20</v>
      </c>
      <c r="X121" s="21">
        <f t="shared" si="7"/>
        <v>4</v>
      </c>
      <c r="Y121" s="22">
        <f t="shared" si="11"/>
        <v>246.38713270900507</v>
      </c>
    </row>
    <row r="122" spans="1:25" ht="15.6" x14ac:dyDescent="0.3">
      <c r="A122" s="23" t="s">
        <v>382</v>
      </c>
      <c r="B122" s="23" t="s">
        <v>383</v>
      </c>
      <c r="C122" s="24" t="s">
        <v>384</v>
      </c>
      <c r="D122" s="110">
        <v>-1598.34</v>
      </c>
      <c r="E122" s="110" t="s">
        <v>38</v>
      </c>
      <c r="F122" s="23" t="s">
        <v>38</v>
      </c>
      <c r="G122" s="59" t="str">
        <f t="shared" si="9"/>
        <v>NA</v>
      </c>
      <c r="H122" s="17">
        <v>5</v>
      </c>
      <c r="I122" s="17">
        <v>11</v>
      </c>
      <c r="J122" s="17">
        <v>8</v>
      </c>
      <c r="K122" s="17">
        <v>0</v>
      </c>
      <c r="L122" s="17">
        <v>1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21">
        <f t="shared" si="5"/>
        <v>230</v>
      </c>
      <c r="W122" s="21">
        <f t="shared" si="6"/>
        <v>20</v>
      </c>
      <c r="X122" s="21">
        <f t="shared" si="7"/>
        <v>4</v>
      </c>
      <c r="Y122" s="22">
        <f t="shared" si="11"/>
        <v>246.38713270900507</v>
      </c>
    </row>
    <row r="123" spans="1:25" ht="15.6" x14ac:dyDescent="0.3">
      <c r="A123" s="98" t="s">
        <v>385</v>
      </c>
      <c r="B123" s="23" t="s">
        <v>386</v>
      </c>
      <c r="C123" s="24" t="s">
        <v>387</v>
      </c>
      <c r="D123" s="110">
        <v>-525.92999999999995</v>
      </c>
      <c r="E123" s="110">
        <v>-766.09</v>
      </c>
      <c r="F123" s="23" t="s">
        <v>38</v>
      </c>
      <c r="G123" s="59">
        <f t="shared" si="9"/>
        <v>0.80590604026845669</v>
      </c>
      <c r="H123" s="17">
        <v>4</v>
      </c>
      <c r="I123" s="17">
        <v>8</v>
      </c>
      <c r="J123" s="17">
        <v>3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21">
        <f t="shared" si="5"/>
        <v>132</v>
      </c>
      <c r="W123" s="21">
        <f t="shared" si="6"/>
        <v>12</v>
      </c>
      <c r="X123" s="60">
        <f t="shared" si="7"/>
        <v>3</v>
      </c>
      <c r="Y123" s="22">
        <f t="shared" si="11"/>
        <v>389.35607102121969</v>
      </c>
    </row>
    <row r="124" spans="1:25" ht="15.6" x14ac:dyDescent="0.3">
      <c r="A124" s="23" t="s">
        <v>388</v>
      </c>
      <c r="B124" s="98" t="s">
        <v>389</v>
      </c>
      <c r="C124" s="24" t="s">
        <v>390</v>
      </c>
      <c r="D124" s="110">
        <v>-695.88</v>
      </c>
      <c r="E124" s="110">
        <v>-943.41</v>
      </c>
      <c r="F124" s="23" t="s">
        <v>38</v>
      </c>
      <c r="G124" s="59">
        <f t="shared" si="9"/>
        <v>0.83063758389261733</v>
      </c>
      <c r="H124" s="17">
        <v>4</v>
      </c>
      <c r="I124" s="17">
        <v>7</v>
      </c>
      <c r="J124" s="17">
        <v>4</v>
      </c>
      <c r="K124" s="17">
        <v>1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21">
        <f t="shared" si="5"/>
        <v>133</v>
      </c>
      <c r="W124" s="21">
        <f t="shared" si="6"/>
        <v>12</v>
      </c>
      <c r="X124" s="21">
        <f t="shared" si="7"/>
        <v>3</v>
      </c>
      <c r="Y124" s="22">
        <f t="shared" si="11"/>
        <v>389.35607102121969</v>
      </c>
    </row>
    <row r="125" spans="1:25" ht="15.6" x14ac:dyDescent="0.3">
      <c r="A125" s="98" t="s">
        <v>391</v>
      </c>
      <c r="B125" s="98" t="s">
        <v>391</v>
      </c>
      <c r="C125" s="24" t="s">
        <v>392</v>
      </c>
      <c r="D125" s="110">
        <v>-2356.14</v>
      </c>
      <c r="E125" s="110" t="s">
        <v>38</v>
      </c>
      <c r="F125" s="23" t="s">
        <v>38</v>
      </c>
      <c r="G125" s="59" t="str">
        <f t="shared" si="9"/>
        <v>NA</v>
      </c>
      <c r="H125" s="17">
        <v>3</v>
      </c>
      <c r="I125" s="17">
        <v>8</v>
      </c>
      <c r="J125" s="17">
        <v>10</v>
      </c>
      <c r="K125" s="17">
        <v>0</v>
      </c>
      <c r="L125" s="17">
        <v>2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21">
        <f t="shared" si="5"/>
        <v>266</v>
      </c>
      <c r="W125" s="21">
        <f t="shared" si="6"/>
        <v>10</v>
      </c>
      <c r="X125" s="21">
        <f t="shared" si="7"/>
        <v>3.3333333333333335</v>
      </c>
      <c r="Y125" s="22">
        <f t="shared" si="11"/>
        <v>373.04300334134575</v>
      </c>
    </row>
    <row r="126" spans="1:25" ht="15.6" x14ac:dyDescent="0.3">
      <c r="A126" s="23" t="s">
        <v>393</v>
      </c>
      <c r="B126" s="98" t="s">
        <v>394</v>
      </c>
      <c r="C126" s="24" t="s">
        <v>172</v>
      </c>
      <c r="D126" s="110">
        <v>-129.87</v>
      </c>
      <c r="E126" s="110" t="s">
        <v>38</v>
      </c>
      <c r="F126" s="23" t="s">
        <v>38</v>
      </c>
      <c r="G126" s="59" t="str">
        <f t="shared" si="9"/>
        <v>NA</v>
      </c>
      <c r="H126" s="17">
        <v>4</v>
      </c>
      <c r="I126" s="17">
        <v>8</v>
      </c>
      <c r="J126" s="17">
        <v>1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21">
        <f t="shared" si="5"/>
        <v>72</v>
      </c>
      <c r="W126" s="21">
        <f t="shared" si="6"/>
        <v>22</v>
      </c>
      <c r="X126" s="21">
        <f t="shared" si="7"/>
        <v>5.5</v>
      </c>
      <c r="Y126" s="22">
        <f t="shared" si="11"/>
        <v>737.22587143620103</v>
      </c>
    </row>
    <row r="127" spans="1:25" ht="15.6" x14ac:dyDescent="0.3">
      <c r="A127" s="23" t="s">
        <v>263</v>
      </c>
      <c r="B127" s="98" t="s">
        <v>395</v>
      </c>
      <c r="C127" s="24" t="s">
        <v>265</v>
      </c>
      <c r="D127" s="110">
        <v>-171.84</v>
      </c>
      <c r="E127" s="110" t="s">
        <v>38</v>
      </c>
      <c r="F127" s="23" t="s">
        <v>38</v>
      </c>
      <c r="G127" s="59" t="str">
        <f t="shared" si="9"/>
        <v>NA</v>
      </c>
      <c r="H127" s="17">
        <v>4</v>
      </c>
      <c r="I127" s="17">
        <v>10</v>
      </c>
      <c r="J127" s="17">
        <v>1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21">
        <f t="shared" si="5"/>
        <v>74</v>
      </c>
      <c r="W127" s="21">
        <f t="shared" si="6"/>
        <v>24</v>
      </c>
      <c r="X127" s="21">
        <f t="shared" si="7"/>
        <v>6</v>
      </c>
      <c r="Y127" s="22">
        <f t="shared" si="11"/>
        <v>1068.893721747869</v>
      </c>
    </row>
    <row r="128" spans="1:25" ht="15.6" x14ac:dyDescent="0.3">
      <c r="A128" s="23" t="s">
        <v>396</v>
      </c>
      <c r="B128" s="98" t="s">
        <v>397</v>
      </c>
      <c r="C128" s="24" t="s">
        <v>320</v>
      </c>
      <c r="D128" s="110">
        <v>-1585.94</v>
      </c>
      <c r="E128" s="110" t="s">
        <v>38</v>
      </c>
      <c r="F128" s="23" t="s">
        <v>38</v>
      </c>
      <c r="G128" s="59" t="str">
        <f t="shared" si="9"/>
        <v>NA</v>
      </c>
      <c r="H128" s="17">
        <v>12</v>
      </c>
      <c r="I128" s="17">
        <v>22</v>
      </c>
      <c r="J128" s="17">
        <v>11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21">
        <f t="shared" si="5"/>
        <v>342</v>
      </c>
      <c r="W128" s="21">
        <f t="shared" si="6"/>
        <v>48</v>
      </c>
      <c r="X128" s="21">
        <f t="shared" si="7"/>
        <v>4</v>
      </c>
      <c r="Y128" s="22" t="e">
        <f t="shared" si="11"/>
        <v>#NUM!</v>
      </c>
    </row>
    <row r="129" spans="1:25" ht="15.6" x14ac:dyDescent="0.3">
      <c r="A129" s="23" t="s">
        <v>398</v>
      </c>
      <c r="B129" s="98" t="s">
        <v>399</v>
      </c>
      <c r="C129" s="24" t="s">
        <v>400</v>
      </c>
      <c r="D129" s="110">
        <v>-1162.69</v>
      </c>
      <c r="E129" s="110">
        <v>-1515.11</v>
      </c>
      <c r="F129" s="23" t="s">
        <v>38</v>
      </c>
      <c r="G129" s="59">
        <f t="shared" si="9"/>
        <v>1.1826174496644291</v>
      </c>
      <c r="H129" s="17">
        <v>6</v>
      </c>
      <c r="I129" s="17">
        <v>8</v>
      </c>
      <c r="J129" s="17">
        <v>7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21">
        <f t="shared" si="5"/>
        <v>192</v>
      </c>
      <c r="W129" s="21">
        <f t="shared" si="6"/>
        <v>18</v>
      </c>
      <c r="X129" s="21">
        <f t="shared" si="7"/>
        <v>3</v>
      </c>
      <c r="Y129" s="22">
        <f t="shared" si="11"/>
        <v>466.80101738896292</v>
      </c>
    </row>
    <row r="130" spans="1:25" ht="15.6" x14ac:dyDescent="0.3">
      <c r="A130" s="98" t="s">
        <v>401</v>
      </c>
      <c r="B130" s="98" t="s">
        <v>402</v>
      </c>
      <c r="C130" s="24" t="s">
        <v>400</v>
      </c>
      <c r="D130" s="110">
        <v>-1156.04</v>
      </c>
      <c r="E130" s="110" t="s">
        <v>38</v>
      </c>
      <c r="F130" s="23" t="s">
        <v>38</v>
      </c>
      <c r="G130" s="59" t="str">
        <f t="shared" si="9"/>
        <v>NA</v>
      </c>
      <c r="H130" s="17">
        <v>6</v>
      </c>
      <c r="I130" s="17">
        <v>8</v>
      </c>
      <c r="J130" s="17">
        <v>7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21">
        <f t="shared" si="5"/>
        <v>192</v>
      </c>
      <c r="W130" s="21">
        <f t="shared" si="6"/>
        <v>18</v>
      </c>
      <c r="X130" s="21">
        <f t="shared" si="7"/>
        <v>3</v>
      </c>
      <c r="Y130" s="22">
        <f t="shared" si="11"/>
        <v>466.80101738896292</v>
      </c>
    </row>
    <row r="131" spans="1:25" ht="15.6" x14ac:dyDescent="0.3">
      <c r="A131" s="98" t="s">
        <v>403</v>
      </c>
      <c r="B131" s="98" t="s">
        <v>404</v>
      </c>
      <c r="C131" s="24" t="s">
        <v>405</v>
      </c>
      <c r="D131" s="110">
        <v>-35.85</v>
      </c>
      <c r="E131" s="110" t="s">
        <v>38</v>
      </c>
      <c r="F131" s="23" t="s">
        <v>38</v>
      </c>
      <c r="G131" s="59" t="str">
        <f t="shared" si="9"/>
        <v>NA</v>
      </c>
      <c r="H131" s="17">
        <v>10</v>
      </c>
      <c r="I131" s="17">
        <v>15</v>
      </c>
      <c r="J131" s="17">
        <v>6</v>
      </c>
      <c r="K131" s="17">
        <v>3</v>
      </c>
      <c r="L131" s="17">
        <v>0</v>
      </c>
      <c r="M131" s="17">
        <v>1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1</v>
      </c>
      <c r="T131" s="17">
        <v>0</v>
      </c>
      <c r="U131" s="17">
        <v>0</v>
      </c>
      <c r="V131" s="21">
        <f t="shared" ref="V131:V194" si="12">SUMPRODUCT(H131:U131,$H$273:$U$273)</f>
        <v>305</v>
      </c>
      <c r="W131" s="21">
        <f t="shared" ref="W131:W194" si="13">SUMPRODUCT($H131:$U131,$H$274:$U$274)</f>
        <v>40</v>
      </c>
      <c r="X131" s="21">
        <f t="shared" ref="X131:X194" si="14">(IF(H131&lt;&gt;0,SUMPRODUCT($H131:$U131,$H$274:$U$274)/$H131,"NA"))</f>
        <v>4</v>
      </c>
      <c r="Y131" s="22" t="e">
        <f t="shared" si="11"/>
        <v>#NUM!</v>
      </c>
    </row>
    <row r="132" spans="1:25" x14ac:dyDescent="0.3">
      <c r="A132" s="23" t="s">
        <v>406</v>
      </c>
      <c r="B132" s="98" t="s">
        <v>406</v>
      </c>
      <c r="C132" s="24" t="s">
        <v>407</v>
      </c>
      <c r="D132" s="110">
        <v>-119.9</v>
      </c>
      <c r="E132" s="110">
        <v>-120.96</v>
      </c>
      <c r="F132" s="23" t="s">
        <v>38</v>
      </c>
      <c r="G132" s="59">
        <f t="shared" si="9"/>
        <v>3.5570469798657319E-3</v>
      </c>
      <c r="H132" s="17">
        <v>1</v>
      </c>
      <c r="I132" s="17">
        <v>0</v>
      </c>
      <c r="J132" s="17">
        <v>1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21">
        <f t="shared" si="12"/>
        <v>28</v>
      </c>
      <c r="W132" s="21">
        <f t="shared" si="13"/>
        <v>2</v>
      </c>
      <c r="X132" s="21">
        <f t="shared" si="14"/>
        <v>2</v>
      </c>
      <c r="Y132" s="22">
        <f t="shared" si="11"/>
        <v>651.08376280423909</v>
      </c>
    </row>
    <row r="133" spans="1:25" x14ac:dyDescent="0.3">
      <c r="A133" s="23" t="s">
        <v>408</v>
      </c>
      <c r="B133" s="98" t="s">
        <v>408</v>
      </c>
      <c r="C133" s="24" t="s">
        <v>407</v>
      </c>
      <c r="D133" s="110">
        <v>-137.16999999999999</v>
      </c>
      <c r="E133" s="110">
        <v>-110.53</v>
      </c>
      <c r="F133" s="23" t="s">
        <v>38</v>
      </c>
      <c r="G133" s="59">
        <f t="shared" si="9"/>
        <v>-8.9395973154362374E-2</v>
      </c>
      <c r="H133" s="17">
        <v>1</v>
      </c>
      <c r="I133" s="17">
        <v>0</v>
      </c>
      <c r="J133" s="17">
        <v>1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21">
        <f t="shared" si="12"/>
        <v>28</v>
      </c>
      <c r="W133" s="21">
        <f t="shared" si="13"/>
        <v>2</v>
      </c>
      <c r="X133" s="21">
        <f t="shared" si="14"/>
        <v>2</v>
      </c>
      <c r="Y133" s="22">
        <f t="shared" si="11"/>
        <v>651.08376280423909</v>
      </c>
    </row>
    <row r="134" spans="1:25" ht="15.6" x14ac:dyDescent="0.3">
      <c r="A134" s="98" t="s">
        <v>409</v>
      </c>
      <c r="B134" s="98" t="s">
        <v>410</v>
      </c>
      <c r="C134" s="24" t="s">
        <v>411</v>
      </c>
      <c r="D134" s="110">
        <v>-259.2</v>
      </c>
      <c r="E134" s="110" t="s">
        <v>38</v>
      </c>
      <c r="F134" s="23" t="s">
        <v>38</v>
      </c>
      <c r="G134" s="59" t="str">
        <f t="shared" si="9"/>
        <v>NA</v>
      </c>
      <c r="H134" s="17">
        <v>4</v>
      </c>
      <c r="I134" s="17">
        <v>9</v>
      </c>
      <c r="J134" s="17">
        <v>2</v>
      </c>
      <c r="K134" s="17">
        <v>3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21">
        <f t="shared" si="12"/>
        <v>131</v>
      </c>
      <c r="W134" s="21">
        <f t="shared" si="13"/>
        <v>12</v>
      </c>
      <c r="X134" s="21">
        <f t="shared" si="14"/>
        <v>3</v>
      </c>
      <c r="Y134" s="22">
        <f t="shared" si="11"/>
        <v>389.35607102121969</v>
      </c>
    </row>
    <row r="135" spans="1:25" ht="15.6" x14ac:dyDescent="0.3">
      <c r="A135" s="98" t="s">
        <v>412</v>
      </c>
      <c r="B135" s="98" t="s">
        <v>413</v>
      </c>
      <c r="C135" s="24" t="s">
        <v>414</v>
      </c>
      <c r="D135" s="110">
        <v>-23.14</v>
      </c>
      <c r="E135" s="110" t="s">
        <v>38</v>
      </c>
      <c r="F135" s="23" t="s">
        <v>38</v>
      </c>
      <c r="G135" s="59" t="str">
        <f t="shared" si="9"/>
        <v>NA</v>
      </c>
      <c r="H135" s="17">
        <v>4</v>
      </c>
      <c r="I135" s="17">
        <v>7</v>
      </c>
      <c r="J135" s="17">
        <v>1</v>
      </c>
      <c r="K135" s="17">
        <v>3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21">
        <f t="shared" si="12"/>
        <v>113</v>
      </c>
      <c r="W135" s="21">
        <f t="shared" si="13"/>
        <v>12</v>
      </c>
      <c r="X135" s="21">
        <f t="shared" si="14"/>
        <v>3</v>
      </c>
      <c r="Y135" s="22">
        <f t="shared" si="11"/>
        <v>389.35607102121969</v>
      </c>
    </row>
    <row r="136" spans="1:25" ht="15.6" x14ac:dyDescent="0.3">
      <c r="A136" s="98" t="s">
        <v>415</v>
      </c>
      <c r="B136" s="98" t="s">
        <v>416</v>
      </c>
      <c r="C136" s="24" t="s">
        <v>417</v>
      </c>
      <c r="D136" s="110">
        <v>-629.67999999999995</v>
      </c>
      <c r="E136" s="110" t="s">
        <v>38</v>
      </c>
      <c r="F136" s="23" t="s">
        <v>38</v>
      </c>
      <c r="G136" s="59" t="str">
        <f t="shared" ref="G136:G198" si="15">+IF(E136="NA","NA",(D136-E136)/298)</f>
        <v>NA</v>
      </c>
      <c r="H136" s="17">
        <v>10</v>
      </c>
      <c r="I136" s="17">
        <v>12</v>
      </c>
      <c r="J136" s="17">
        <v>6</v>
      </c>
      <c r="K136" s="17">
        <v>5</v>
      </c>
      <c r="L136" s="17">
        <v>1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21">
        <f t="shared" si="12"/>
        <v>329</v>
      </c>
      <c r="W136" s="21">
        <f t="shared" si="13"/>
        <v>30</v>
      </c>
      <c r="X136" s="60">
        <f t="shared" si="14"/>
        <v>3</v>
      </c>
      <c r="Y136" s="22" t="e">
        <f t="shared" si="11"/>
        <v>#NUM!</v>
      </c>
    </row>
    <row r="137" spans="1:25" ht="15.6" x14ac:dyDescent="0.3">
      <c r="A137" s="98" t="s">
        <v>418</v>
      </c>
      <c r="B137" s="98" t="s">
        <v>419</v>
      </c>
      <c r="C137" s="24" t="s">
        <v>420</v>
      </c>
      <c r="D137" s="110">
        <v>-291</v>
      </c>
      <c r="E137" s="110" t="s">
        <v>38</v>
      </c>
      <c r="F137" s="23" t="s">
        <v>38</v>
      </c>
      <c r="G137" s="59" t="str">
        <f t="shared" si="15"/>
        <v>NA</v>
      </c>
      <c r="H137" s="17">
        <v>3</v>
      </c>
      <c r="I137" s="17">
        <v>7</v>
      </c>
      <c r="J137" s="17">
        <v>2</v>
      </c>
      <c r="K137" s="17">
        <v>1</v>
      </c>
      <c r="L137" s="17">
        <v>0</v>
      </c>
      <c r="M137" s="17">
        <v>1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21">
        <f t="shared" si="12"/>
        <v>121</v>
      </c>
      <c r="W137" s="21">
        <f t="shared" si="13"/>
        <v>18</v>
      </c>
      <c r="X137" s="21">
        <f t="shared" si="14"/>
        <v>6</v>
      </c>
      <c r="Y137" s="22">
        <f t="shared" si="11"/>
        <v>811.85575666394629</v>
      </c>
    </row>
    <row r="138" spans="1:25" ht="15.6" x14ac:dyDescent="0.3">
      <c r="A138" s="98" t="s">
        <v>421</v>
      </c>
      <c r="B138" s="98" t="s">
        <v>422</v>
      </c>
      <c r="C138" s="24" t="s">
        <v>423</v>
      </c>
      <c r="D138" s="110">
        <v>-666.51</v>
      </c>
      <c r="E138" s="110" t="s">
        <v>38</v>
      </c>
      <c r="F138" s="23" t="s">
        <v>38</v>
      </c>
      <c r="G138" s="59" t="str">
        <f t="shared" si="15"/>
        <v>NA</v>
      </c>
      <c r="H138" s="17">
        <v>6</v>
      </c>
      <c r="I138" s="17">
        <v>12</v>
      </c>
      <c r="J138" s="17">
        <v>4</v>
      </c>
      <c r="K138" s="17">
        <v>2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21">
        <f t="shared" si="12"/>
        <v>240</v>
      </c>
      <c r="W138" s="21">
        <f t="shared" si="13"/>
        <v>34</v>
      </c>
      <c r="X138" s="21">
        <f t="shared" si="14"/>
        <v>5.666666666666667</v>
      </c>
      <c r="Y138" s="22">
        <f t="shared" si="11"/>
        <v>1719.9513293524883</v>
      </c>
    </row>
    <row r="139" spans="1:25" x14ac:dyDescent="0.3">
      <c r="A139" s="23" t="s">
        <v>424</v>
      </c>
      <c r="B139" s="98" t="s">
        <v>425</v>
      </c>
      <c r="C139" s="24" t="s">
        <v>425</v>
      </c>
      <c r="D139" s="110">
        <v>0</v>
      </c>
      <c r="E139" s="110" t="s">
        <v>38</v>
      </c>
      <c r="F139" s="23" t="s">
        <v>38</v>
      </c>
      <c r="G139" s="59" t="str">
        <f t="shared" si="15"/>
        <v>NA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1</v>
      </c>
      <c r="S139" s="17">
        <v>0</v>
      </c>
      <c r="T139" s="17">
        <v>0</v>
      </c>
      <c r="U139" s="17">
        <v>0</v>
      </c>
      <c r="V139" s="21">
        <f t="shared" si="12"/>
        <v>0</v>
      </c>
      <c r="W139" s="21">
        <f t="shared" si="13"/>
        <v>-2</v>
      </c>
      <c r="X139" s="21" t="str">
        <f t="shared" si="14"/>
        <v>NA</v>
      </c>
      <c r="Y139" s="22" t="str">
        <f t="shared" si="11"/>
        <v>NA</v>
      </c>
    </row>
    <row r="140" spans="1:25" x14ac:dyDescent="0.3">
      <c r="A140" s="23" t="s">
        <v>426</v>
      </c>
      <c r="B140" s="98" t="s">
        <v>427</v>
      </c>
      <c r="C140" s="24" t="s">
        <v>427</v>
      </c>
      <c r="D140" s="110">
        <v>-24</v>
      </c>
      <c r="E140" s="110" t="s">
        <v>38</v>
      </c>
      <c r="F140" s="23" t="s">
        <v>38</v>
      </c>
      <c r="G140" s="59" t="str">
        <f t="shared" si="15"/>
        <v>NA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1</v>
      </c>
      <c r="S140" s="17">
        <v>0</v>
      </c>
      <c r="T140" s="17">
        <v>0</v>
      </c>
      <c r="U140" s="17">
        <v>0</v>
      </c>
      <c r="V140" s="21">
        <f t="shared" si="12"/>
        <v>0</v>
      </c>
      <c r="W140" s="21">
        <f t="shared" si="13"/>
        <v>-2</v>
      </c>
      <c r="X140" s="21" t="str">
        <f t="shared" si="14"/>
        <v>NA</v>
      </c>
      <c r="Y140" s="22" t="str">
        <f t="shared" si="11"/>
        <v>NA</v>
      </c>
    </row>
    <row r="141" spans="1:25" ht="15.6" x14ac:dyDescent="0.3">
      <c r="A141" s="98" t="s">
        <v>428</v>
      </c>
      <c r="B141" s="98" t="s">
        <v>429</v>
      </c>
      <c r="C141" s="24" t="s">
        <v>430</v>
      </c>
      <c r="D141" s="110">
        <v>-46.64</v>
      </c>
      <c r="E141" s="110" t="s">
        <v>38</v>
      </c>
      <c r="F141" s="23" t="s">
        <v>38</v>
      </c>
      <c r="G141" s="59" t="str">
        <f t="shared" si="15"/>
        <v>NA</v>
      </c>
      <c r="H141" s="17">
        <v>10</v>
      </c>
      <c r="I141" s="17">
        <v>13</v>
      </c>
      <c r="J141" s="17">
        <v>3</v>
      </c>
      <c r="K141" s="17">
        <v>5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21">
        <f t="shared" si="12"/>
        <v>251</v>
      </c>
      <c r="W141" s="21">
        <f t="shared" si="13"/>
        <v>32</v>
      </c>
      <c r="X141" s="21">
        <f t="shared" si="14"/>
        <v>3.2</v>
      </c>
      <c r="Y141" s="22" t="e">
        <f t="shared" si="11"/>
        <v>#NUM!</v>
      </c>
    </row>
    <row r="142" spans="1:25" ht="15.6" x14ac:dyDescent="0.3">
      <c r="A142" s="98" t="s">
        <v>431</v>
      </c>
      <c r="B142" s="98" t="s">
        <v>432</v>
      </c>
      <c r="C142" s="24" t="s">
        <v>433</v>
      </c>
      <c r="D142" s="110">
        <v>-604.14</v>
      </c>
      <c r="E142" s="110" t="s">
        <v>38</v>
      </c>
      <c r="F142" s="23" t="s">
        <v>38</v>
      </c>
      <c r="G142" s="59" t="str">
        <f t="shared" si="15"/>
        <v>NA</v>
      </c>
      <c r="H142" s="17">
        <v>5</v>
      </c>
      <c r="I142" s="17">
        <v>10</v>
      </c>
      <c r="J142" s="17">
        <v>4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21">
        <f t="shared" si="12"/>
        <v>134</v>
      </c>
      <c r="W142" s="21">
        <f t="shared" si="13"/>
        <v>22</v>
      </c>
      <c r="X142" s="21">
        <f t="shared" si="14"/>
        <v>4.4000000000000004</v>
      </c>
      <c r="Y142" s="22">
        <f t="shared" si="11"/>
        <v>334.22205636685555</v>
      </c>
    </row>
    <row r="143" spans="1:25" ht="15.6" x14ac:dyDescent="0.3">
      <c r="A143" s="23" t="s">
        <v>434</v>
      </c>
      <c r="B143" s="98" t="s">
        <v>435</v>
      </c>
      <c r="C143" s="24" t="s">
        <v>436</v>
      </c>
      <c r="D143" s="110">
        <v>-1439.84</v>
      </c>
      <c r="E143" s="110" t="s">
        <v>38</v>
      </c>
      <c r="F143" s="23" t="s">
        <v>38</v>
      </c>
      <c r="G143" s="59" t="str">
        <f t="shared" si="15"/>
        <v>NA</v>
      </c>
      <c r="H143" s="17">
        <v>5</v>
      </c>
      <c r="I143" s="17">
        <v>11</v>
      </c>
      <c r="J143" s="17">
        <v>7</v>
      </c>
      <c r="K143" s="17">
        <v>0</v>
      </c>
      <c r="L143" s="17">
        <v>1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21">
        <f t="shared" si="12"/>
        <v>214</v>
      </c>
      <c r="W143" s="21">
        <f t="shared" si="13"/>
        <v>22</v>
      </c>
      <c r="X143" s="21">
        <f t="shared" si="14"/>
        <v>4.4000000000000004</v>
      </c>
      <c r="Y143" s="22">
        <f t="shared" si="11"/>
        <v>334.22205636685555</v>
      </c>
    </row>
    <row r="144" spans="1:25" ht="15.6" x14ac:dyDescent="0.3">
      <c r="A144" s="98" t="s">
        <v>437</v>
      </c>
      <c r="B144" s="98" t="s">
        <v>438</v>
      </c>
      <c r="C144" s="24" t="s">
        <v>436</v>
      </c>
      <c r="D144" s="110">
        <v>-1447.92</v>
      </c>
      <c r="E144" s="110" t="s">
        <v>38</v>
      </c>
      <c r="F144" s="23" t="s">
        <v>38</v>
      </c>
      <c r="G144" s="59" t="str">
        <f t="shared" si="15"/>
        <v>NA</v>
      </c>
      <c r="H144" s="17">
        <v>5</v>
      </c>
      <c r="I144" s="17">
        <v>11</v>
      </c>
      <c r="J144" s="17">
        <v>7</v>
      </c>
      <c r="K144" s="17">
        <v>0</v>
      </c>
      <c r="L144" s="17">
        <v>1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21">
        <f t="shared" si="12"/>
        <v>214</v>
      </c>
      <c r="W144" s="21">
        <f t="shared" si="13"/>
        <v>22</v>
      </c>
      <c r="X144" s="21">
        <f t="shared" si="14"/>
        <v>4.4000000000000004</v>
      </c>
      <c r="Y144" s="22">
        <f t="shared" si="11"/>
        <v>334.22205636685555</v>
      </c>
    </row>
    <row r="145" spans="1:25" ht="15.6" x14ac:dyDescent="0.3">
      <c r="A145" s="23" t="s">
        <v>439</v>
      </c>
      <c r="B145" s="98" t="s">
        <v>440</v>
      </c>
      <c r="C145" s="24" t="s">
        <v>248</v>
      </c>
      <c r="D145" s="110">
        <v>-451</v>
      </c>
      <c r="E145" s="110" t="s">
        <v>38</v>
      </c>
      <c r="F145" s="23" t="s">
        <v>38</v>
      </c>
      <c r="G145" s="59" t="str">
        <f t="shared" si="15"/>
        <v>NA</v>
      </c>
      <c r="H145" s="17">
        <v>3</v>
      </c>
      <c r="I145" s="17">
        <v>6</v>
      </c>
      <c r="J145" s="17">
        <v>3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21">
        <f t="shared" si="12"/>
        <v>90</v>
      </c>
      <c r="W145" s="21">
        <f t="shared" si="13"/>
        <v>12</v>
      </c>
      <c r="X145" s="21">
        <f t="shared" si="14"/>
        <v>4</v>
      </c>
      <c r="Y145" s="22">
        <f t="shared" si="11"/>
        <v>347.64494639266923</v>
      </c>
    </row>
    <row r="146" spans="1:25" ht="15.6" x14ac:dyDescent="0.3">
      <c r="A146" s="23" t="s">
        <v>441</v>
      </c>
      <c r="B146" s="98" t="s">
        <v>442</v>
      </c>
      <c r="C146" s="24" t="s">
        <v>443</v>
      </c>
      <c r="D146" s="110">
        <v>-1296.26</v>
      </c>
      <c r="E146" s="110" t="s">
        <v>38</v>
      </c>
      <c r="F146" s="23" t="s">
        <v>38</v>
      </c>
      <c r="G146" s="59" t="str">
        <f t="shared" si="15"/>
        <v>NA</v>
      </c>
      <c r="H146" s="17">
        <v>3</v>
      </c>
      <c r="I146" s="17">
        <v>7</v>
      </c>
      <c r="J146" s="17">
        <v>6</v>
      </c>
      <c r="K146" s="17">
        <v>0</v>
      </c>
      <c r="L146" s="17">
        <v>1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21">
        <f t="shared" si="12"/>
        <v>170</v>
      </c>
      <c r="W146" s="21">
        <f t="shared" si="13"/>
        <v>12</v>
      </c>
      <c r="X146" s="21">
        <f t="shared" si="14"/>
        <v>4</v>
      </c>
      <c r="Y146" s="22">
        <f t="shared" si="11"/>
        <v>347.64494639266923</v>
      </c>
    </row>
    <row r="147" spans="1:25" ht="15.6" x14ac:dyDescent="0.3">
      <c r="A147" s="98" t="s">
        <v>444</v>
      </c>
      <c r="B147" s="23" t="s">
        <v>445</v>
      </c>
      <c r="C147" s="24" t="s">
        <v>446</v>
      </c>
      <c r="D147" s="110">
        <v>-17.010000000000002</v>
      </c>
      <c r="E147" s="110">
        <v>-102.09</v>
      </c>
      <c r="F147" s="23" t="s">
        <v>38</v>
      </c>
      <c r="G147" s="59">
        <f t="shared" si="15"/>
        <v>0.28550335570469798</v>
      </c>
      <c r="H147" s="17">
        <v>2</v>
      </c>
      <c r="I147" s="17">
        <v>6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21">
        <f t="shared" si="12"/>
        <v>30</v>
      </c>
      <c r="W147" s="21">
        <f t="shared" si="13"/>
        <v>14</v>
      </c>
      <c r="X147" s="21">
        <f t="shared" si="14"/>
        <v>7</v>
      </c>
      <c r="Y147" s="22">
        <f t="shared" si="11"/>
        <v>1010.6231685603879</v>
      </c>
    </row>
    <row r="148" spans="1:25" ht="15.6" x14ac:dyDescent="0.3">
      <c r="A148" s="98" t="s">
        <v>447</v>
      </c>
      <c r="B148" s="23" t="s">
        <v>448</v>
      </c>
      <c r="C148" s="24" t="s">
        <v>180</v>
      </c>
      <c r="D148" s="110">
        <v>-337.65</v>
      </c>
      <c r="E148" s="110">
        <v>-482</v>
      </c>
      <c r="F148" s="23" t="s">
        <v>38</v>
      </c>
      <c r="G148" s="59">
        <f t="shared" si="15"/>
        <v>0.4843959731543625</v>
      </c>
      <c r="H148" s="17">
        <v>4</v>
      </c>
      <c r="I148" s="17">
        <v>8</v>
      </c>
      <c r="J148" s="17">
        <v>2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21">
        <f t="shared" si="12"/>
        <v>88</v>
      </c>
      <c r="W148" s="21">
        <f t="shared" si="13"/>
        <v>20</v>
      </c>
      <c r="X148" s="21">
        <f t="shared" si="14"/>
        <v>5</v>
      </c>
      <c r="Y148" s="22">
        <f t="shared" si="11"/>
        <v>510.4265870658532</v>
      </c>
    </row>
    <row r="149" spans="1:25" x14ac:dyDescent="0.3">
      <c r="A149" s="98" t="s">
        <v>449</v>
      </c>
      <c r="B149" s="23"/>
      <c r="C149" s="24" t="s">
        <v>450</v>
      </c>
      <c r="D149" s="110">
        <v>0</v>
      </c>
      <c r="E149" s="110" t="s">
        <v>38</v>
      </c>
      <c r="F149" s="23" t="s">
        <v>38</v>
      </c>
      <c r="G149" s="59" t="str">
        <f t="shared" si="15"/>
        <v>NA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21">
        <f t="shared" si="12"/>
        <v>0</v>
      </c>
      <c r="W149" s="21">
        <f t="shared" si="13"/>
        <v>0</v>
      </c>
      <c r="X149" s="21" t="str">
        <f t="shared" si="14"/>
        <v>NA</v>
      </c>
      <c r="Y149" s="22" t="str">
        <f t="shared" si="11"/>
        <v>NA</v>
      </c>
    </row>
    <row r="150" spans="1:25" x14ac:dyDescent="0.3">
      <c r="A150" s="98" t="s">
        <v>451</v>
      </c>
      <c r="B150" s="23"/>
      <c r="C150" s="24" t="s">
        <v>452</v>
      </c>
      <c r="D150" s="110">
        <v>-88.6</v>
      </c>
      <c r="E150" s="110" t="s">
        <v>38</v>
      </c>
      <c r="F150" s="23" t="s">
        <v>38</v>
      </c>
      <c r="G150" s="59" t="str">
        <f t="shared" si="15"/>
        <v>NA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21">
        <f t="shared" si="12"/>
        <v>0</v>
      </c>
      <c r="W150" s="21">
        <f t="shared" si="13"/>
        <v>0</v>
      </c>
      <c r="X150" s="21" t="str">
        <f t="shared" si="14"/>
        <v>NA</v>
      </c>
      <c r="Y150" s="22" t="str">
        <f t="shared" si="11"/>
        <v>NA</v>
      </c>
    </row>
    <row r="151" spans="1:25" x14ac:dyDescent="0.3">
      <c r="A151" s="23" t="s">
        <v>453</v>
      </c>
      <c r="B151" s="98" t="str">
        <f>+A151</f>
        <v>FMN (ox)</v>
      </c>
      <c r="C151" s="24" t="s">
        <v>454</v>
      </c>
      <c r="D151" s="110">
        <v>0</v>
      </c>
      <c r="E151" s="110" t="s">
        <v>38</v>
      </c>
      <c r="F151" s="23" t="s">
        <v>38</v>
      </c>
      <c r="G151" s="59" t="str">
        <f t="shared" si="15"/>
        <v>NA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21">
        <f t="shared" si="12"/>
        <v>0</v>
      </c>
      <c r="W151" s="21">
        <f t="shared" si="13"/>
        <v>0</v>
      </c>
      <c r="X151" s="21" t="str">
        <f t="shared" si="14"/>
        <v>NA</v>
      </c>
      <c r="Y151" s="22" t="str">
        <f t="shared" si="11"/>
        <v>NA</v>
      </c>
    </row>
    <row r="152" spans="1:25" x14ac:dyDescent="0.3">
      <c r="A152" s="98" t="s">
        <v>455</v>
      </c>
      <c r="B152" s="98" t="str">
        <f>+A152</f>
        <v>FMN (red)</v>
      </c>
      <c r="C152" s="24" t="s">
        <v>456</v>
      </c>
      <c r="D152" s="110">
        <v>-38.880000000000003</v>
      </c>
      <c r="E152" s="110" t="s">
        <v>38</v>
      </c>
      <c r="F152" s="23" t="s">
        <v>38</v>
      </c>
      <c r="G152" s="59" t="str">
        <f t="shared" si="15"/>
        <v>NA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21">
        <f t="shared" si="12"/>
        <v>0</v>
      </c>
      <c r="W152" s="21">
        <f t="shared" si="13"/>
        <v>0</v>
      </c>
      <c r="X152" s="21" t="str">
        <f t="shared" si="14"/>
        <v>NA</v>
      </c>
      <c r="Y152" s="22" t="str">
        <f t="shared" si="11"/>
        <v>NA</v>
      </c>
    </row>
    <row r="153" spans="1:25" ht="15.6" x14ac:dyDescent="0.3">
      <c r="A153" s="98" t="s">
        <v>457</v>
      </c>
      <c r="B153" s="98" t="s">
        <v>458</v>
      </c>
      <c r="C153" s="24" t="s">
        <v>218</v>
      </c>
      <c r="D153" s="110">
        <v>-915.51</v>
      </c>
      <c r="E153" s="110">
        <v>-1259.3800000000001</v>
      </c>
      <c r="F153" s="23" t="s">
        <v>38</v>
      </c>
      <c r="G153" s="59">
        <f t="shared" si="15"/>
        <v>1.1539261744966447</v>
      </c>
      <c r="H153" s="17">
        <v>6</v>
      </c>
      <c r="I153" s="17">
        <v>12</v>
      </c>
      <c r="J153" s="17">
        <v>6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21">
        <f t="shared" si="12"/>
        <v>180</v>
      </c>
      <c r="W153" s="21">
        <f t="shared" si="13"/>
        <v>24</v>
      </c>
      <c r="X153" s="21">
        <f t="shared" si="14"/>
        <v>4</v>
      </c>
      <c r="Y153" s="22">
        <f t="shared" si="11"/>
        <v>236.05088437101625</v>
      </c>
    </row>
    <row r="154" spans="1:25" ht="15.6" x14ac:dyDescent="0.3">
      <c r="A154" s="98" t="s">
        <v>459</v>
      </c>
      <c r="B154" s="98" t="s">
        <v>460</v>
      </c>
      <c r="C154" s="24" t="s">
        <v>461</v>
      </c>
      <c r="D154" s="110">
        <v>-2601.4</v>
      </c>
      <c r="E154" s="110">
        <v>-3343.25</v>
      </c>
      <c r="F154" s="23" t="s">
        <v>38</v>
      </c>
      <c r="G154" s="59">
        <f t="shared" si="15"/>
        <v>2.4894295302013418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21">
        <f t="shared" si="12"/>
        <v>0</v>
      </c>
      <c r="W154" s="21">
        <f t="shared" si="13"/>
        <v>0</v>
      </c>
      <c r="X154" s="21" t="str">
        <f t="shared" si="14"/>
        <v>NA</v>
      </c>
      <c r="Y154" s="22" t="str">
        <f t="shared" si="11"/>
        <v>NA</v>
      </c>
    </row>
    <row r="155" spans="1:25" ht="15.6" x14ac:dyDescent="0.3">
      <c r="A155" s="23" t="s">
        <v>462</v>
      </c>
      <c r="B155" s="98" t="s">
        <v>463</v>
      </c>
      <c r="C155" s="24" t="s">
        <v>461</v>
      </c>
      <c r="D155" s="110">
        <v>-1760.8</v>
      </c>
      <c r="E155" s="110">
        <v>-2265.17</v>
      </c>
      <c r="F155" s="23" t="s">
        <v>38</v>
      </c>
      <c r="G155" s="59">
        <f t="shared" si="15"/>
        <v>1.6925167785234903</v>
      </c>
      <c r="H155" s="17">
        <v>6</v>
      </c>
      <c r="I155" s="17">
        <v>13</v>
      </c>
      <c r="J155" s="17">
        <v>9</v>
      </c>
      <c r="K155" s="17">
        <v>0</v>
      </c>
      <c r="L155" s="17">
        <v>1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21">
        <f t="shared" si="12"/>
        <v>260</v>
      </c>
      <c r="W155" s="21">
        <f t="shared" si="13"/>
        <v>24</v>
      </c>
      <c r="X155" s="21">
        <f t="shared" si="14"/>
        <v>4</v>
      </c>
      <c r="Y155" s="22">
        <f t="shared" si="11"/>
        <v>236.05088437101625</v>
      </c>
    </row>
    <row r="156" spans="1:25" ht="15.6" x14ac:dyDescent="0.3">
      <c r="A156" s="98" t="s">
        <v>464</v>
      </c>
      <c r="B156" s="98" t="s">
        <v>465</v>
      </c>
      <c r="C156" s="24" t="s">
        <v>466</v>
      </c>
      <c r="D156" s="110">
        <v>-905.34</v>
      </c>
      <c r="E156" s="110" t="s">
        <v>38</v>
      </c>
      <c r="F156" s="23" t="s">
        <v>38</v>
      </c>
      <c r="G156" s="59" t="str">
        <f t="shared" si="15"/>
        <v>NA</v>
      </c>
      <c r="H156" s="17">
        <v>6</v>
      </c>
      <c r="I156" s="17">
        <v>10</v>
      </c>
      <c r="J156" s="17">
        <v>6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21">
        <f t="shared" si="12"/>
        <v>178</v>
      </c>
      <c r="W156" s="21">
        <f t="shared" si="13"/>
        <v>22</v>
      </c>
      <c r="X156" s="21">
        <f t="shared" si="14"/>
        <v>3.6666666666666665</v>
      </c>
      <c r="Y156" s="22">
        <f t="shared" si="11"/>
        <v>223.30580856571927</v>
      </c>
    </row>
    <row r="157" spans="1:25" ht="15.6" x14ac:dyDescent="0.3">
      <c r="A157" s="98" t="s">
        <v>467</v>
      </c>
      <c r="B157" s="98" t="s">
        <v>468</v>
      </c>
      <c r="C157" s="24" t="s">
        <v>218</v>
      </c>
      <c r="D157" s="110">
        <v>-908.93</v>
      </c>
      <c r="E157" s="110">
        <v>-1255.2</v>
      </c>
      <c r="F157" s="23" t="s">
        <v>38</v>
      </c>
      <c r="G157" s="59">
        <f t="shared" si="15"/>
        <v>1.1619798657718123</v>
      </c>
      <c r="H157" s="17">
        <v>6</v>
      </c>
      <c r="I157" s="17">
        <v>12</v>
      </c>
      <c r="J157" s="17">
        <v>6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21">
        <f t="shared" si="12"/>
        <v>180</v>
      </c>
      <c r="W157" s="21">
        <f t="shared" si="13"/>
        <v>24</v>
      </c>
      <c r="X157" s="21">
        <f t="shared" si="14"/>
        <v>4</v>
      </c>
      <c r="Y157" s="22">
        <f t="shared" si="11"/>
        <v>236.05088437101625</v>
      </c>
    </row>
    <row r="158" spans="1:25" ht="15.6" x14ac:dyDescent="0.3">
      <c r="A158" s="23" t="s">
        <v>469</v>
      </c>
      <c r="B158" s="98" t="s">
        <v>470</v>
      </c>
      <c r="C158" s="24" t="s">
        <v>461</v>
      </c>
      <c r="D158" s="110">
        <v>-1756.69</v>
      </c>
      <c r="E158" s="110" t="s">
        <v>38</v>
      </c>
      <c r="F158" s="23" t="s">
        <v>38</v>
      </c>
      <c r="G158" s="59" t="str">
        <f t="shared" si="15"/>
        <v>NA</v>
      </c>
      <c r="H158" s="17">
        <v>6</v>
      </c>
      <c r="I158" s="17">
        <v>13</v>
      </c>
      <c r="J158" s="17">
        <v>9</v>
      </c>
      <c r="K158" s="17">
        <v>0</v>
      </c>
      <c r="L158" s="17">
        <v>1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21">
        <f t="shared" si="12"/>
        <v>260</v>
      </c>
      <c r="W158" s="21">
        <f t="shared" si="13"/>
        <v>24</v>
      </c>
      <c r="X158" s="21">
        <f t="shared" si="14"/>
        <v>4</v>
      </c>
      <c r="Y158" s="22">
        <f t="shared" si="11"/>
        <v>236.05088437101625</v>
      </c>
    </row>
    <row r="159" spans="1:25" ht="15.6" x14ac:dyDescent="0.3">
      <c r="A159" s="98" t="s">
        <v>471</v>
      </c>
      <c r="B159" s="98" t="s">
        <v>472</v>
      </c>
      <c r="C159" s="24" t="s">
        <v>461</v>
      </c>
      <c r="D159" s="110">
        <v>-1756.81</v>
      </c>
      <c r="E159" s="110" t="s">
        <v>38</v>
      </c>
      <c r="F159" s="23" t="s">
        <v>38</v>
      </c>
      <c r="G159" s="59" t="str">
        <f t="shared" si="15"/>
        <v>NA</v>
      </c>
      <c r="H159" s="61">
        <v>6</v>
      </c>
      <c r="I159" s="61">
        <v>13</v>
      </c>
      <c r="J159" s="61">
        <v>9</v>
      </c>
      <c r="K159" s="61">
        <v>0</v>
      </c>
      <c r="L159" s="61">
        <v>1</v>
      </c>
      <c r="M159" s="61">
        <v>0</v>
      </c>
      <c r="N159" s="61">
        <v>0</v>
      </c>
      <c r="O159" s="61">
        <v>0</v>
      </c>
      <c r="P159" s="61">
        <v>0</v>
      </c>
      <c r="Q159" s="61">
        <v>0</v>
      </c>
      <c r="R159" s="61">
        <v>0</v>
      </c>
      <c r="S159" s="61">
        <v>0</v>
      </c>
      <c r="T159" s="61">
        <v>0</v>
      </c>
      <c r="U159" s="61">
        <v>0</v>
      </c>
      <c r="V159" s="21">
        <f t="shared" si="12"/>
        <v>260</v>
      </c>
      <c r="W159" s="21">
        <f t="shared" si="13"/>
        <v>24</v>
      </c>
      <c r="X159" s="21">
        <f t="shared" si="14"/>
        <v>4</v>
      </c>
      <c r="Y159" s="22">
        <f t="shared" si="11"/>
        <v>236.05088437101625</v>
      </c>
    </row>
    <row r="160" spans="1:25" ht="15.6" x14ac:dyDescent="0.3">
      <c r="A160" s="23" t="s">
        <v>473</v>
      </c>
      <c r="B160" s="98" t="s">
        <v>474</v>
      </c>
      <c r="C160" s="24" t="s">
        <v>466</v>
      </c>
      <c r="D160" s="110">
        <v>-903.5</v>
      </c>
      <c r="E160" s="110" t="s">
        <v>38</v>
      </c>
      <c r="F160" s="23" t="s">
        <v>38</v>
      </c>
      <c r="G160" s="59" t="str">
        <f t="shared" si="15"/>
        <v>NA</v>
      </c>
      <c r="H160" s="17">
        <v>6</v>
      </c>
      <c r="I160" s="17">
        <v>10</v>
      </c>
      <c r="J160" s="17">
        <v>6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21">
        <f t="shared" si="12"/>
        <v>178</v>
      </c>
      <c r="W160" s="21">
        <f t="shared" si="13"/>
        <v>22</v>
      </c>
      <c r="X160" s="21">
        <f t="shared" si="14"/>
        <v>3.6666666666666665</v>
      </c>
      <c r="Y160" s="22">
        <f t="shared" si="11"/>
        <v>223.30580856571927</v>
      </c>
    </row>
    <row r="161" spans="1:25" x14ac:dyDescent="0.3">
      <c r="A161" s="23" t="s">
        <v>475</v>
      </c>
      <c r="B161" s="98" t="s">
        <v>476</v>
      </c>
      <c r="C161" s="24"/>
      <c r="D161" s="110">
        <v>-1746.08</v>
      </c>
      <c r="E161" s="110" t="s">
        <v>38</v>
      </c>
      <c r="F161" s="23" t="s">
        <v>38</v>
      </c>
      <c r="G161" s="59" t="str">
        <f t="shared" si="15"/>
        <v>NA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21">
        <f t="shared" si="12"/>
        <v>0</v>
      </c>
      <c r="W161" s="21">
        <f t="shared" si="13"/>
        <v>0</v>
      </c>
      <c r="X161" s="21" t="str">
        <f t="shared" si="14"/>
        <v>NA</v>
      </c>
      <c r="Y161" s="22" t="str">
        <f t="shared" si="11"/>
        <v>NA</v>
      </c>
    </row>
    <row r="162" spans="1:25" ht="15.6" x14ac:dyDescent="0.3">
      <c r="A162" s="23" t="s">
        <v>477</v>
      </c>
      <c r="B162" s="98" t="s">
        <v>478</v>
      </c>
      <c r="C162" s="24" t="s">
        <v>461</v>
      </c>
      <c r="D162" s="110">
        <v>-1756.87</v>
      </c>
      <c r="E162" s="110" t="s">
        <v>38</v>
      </c>
      <c r="F162" s="23" t="s">
        <v>38</v>
      </c>
      <c r="G162" s="59" t="str">
        <f t="shared" si="15"/>
        <v>NA</v>
      </c>
      <c r="H162" s="17">
        <v>6</v>
      </c>
      <c r="I162" s="17">
        <v>11</v>
      </c>
      <c r="J162" s="17">
        <v>9</v>
      </c>
      <c r="K162" s="17">
        <v>0</v>
      </c>
      <c r="L162" s="17">
        <v>1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-2</v>
      </c>
      <c r="V162" s="21">
        <f t="shared" si="12"/>
        <v>258</v>
      </c>
      <c r="W162" s="21">
        <f t="shared" si="13"/>
        <v>24</v>
      </c>
      <c r="X162" s="21">
        <f t="shared" si="14"/>
        <v>4</v>
      </c>
      <c r="Y162" s="22">
        <f t="shared" si="11"/>
        <v>236.05088437101625</v>
      </c>
    </row>
    <row r="163" spans="1:25" ht="15.6" x14ac:dyDescent="0.3">
      <c r="A163" s="23" t="s">
        <v>479</v>
      </c>
      <c r="B163" s="98" t="s">
        <v>480</v>
      </c>
      <c r="C163" s="24" t="s">
        <v>461</v>
      </c>
      <c r="D163" s="110">
        <v>-1763.94</v>
      </c>
      <c r="E163" s="110">
        <v>-2276.44</v>
      </c>
      <c r="F163" s="23" t="s">
        <v>38</v>
      </c>
      <c r="G163" s="59">
        <f t="shared" si="15"/>
        <v>1.7197986577181208</v>
      </c>
      <c r="H163" s="17">
        <v>6</v>
      </c>
      <c r="I163" s="17">
        <v>11</v>
      </c>
      <c r="J163" s="17">
        <v>9</v>
      </c>
      <c r="K163" s="17">
        <v>0</v>
      </c>
      <c r="L163" s="17">
        <v>1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-2</v>
      </c>
      <c r="V163" s="21">
        <f t="shared" si="12"/>
        <v>258</v>
      </c>
      <c r="W163" s="21">
        <f t="shared" si="13"/>
        <v>24</v>
      </c>
      <c r="X163" s="21">
        <f t="shared" si="14"/>
        <v>4</v>
      </c>
      <c r="Y163" s="22">
        <f t="shared" si="11"/>
        <v>236.05088437101625</v>
      </c>
    </row>
    <row r="164" spans="1:25" ht="15.6" x14ac:dyDescent="0.3">
      <c r="A164" s="98" t="s">
        <v>481</v>
      </c>
      <c r="B164" s="98" t="s">
        <v>217</v>
      </c>
      <c r="C164" s="24" t="s">
        <v>482</v>
      </c>
      <c r="D164" s="110">
        <v>-697.47</v>
      </c>
      <c r="E164" s="110">
        <v>-979.89</v>
      </c>
      <c r="F164" s="23" t="s">
        <v>38</v>
      </c>
      <c r="G164" s="59">
        <f t="shared" si="15"/>
        <v>0.94771812080536899</v>
      </c>
      <c r="H164" s="17">
        <v>5</v>
      </c>
      <c r="I164" s="17">
        <v>8</v>
      </c>
      <c r="J164" s="17">
        <v>4</v>
      </c>
      <c r="K164" s="17">
        <v>1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-1</v>
      </c>
      <c r="V164" s="21">
        <f t="shared" si="12"/>
        <v>146</v>
      </c>
      <c r="W164" s="21">
        <f t="shared" si="13"/>
        <v>18</v>
      </c>
      <c r="X164" s="21">
        <f t="shared" si="14"/>
        <v>3.6</v>
      </c>
      <c r="Y164" s="22">
        <f t="shared" si="11"/>
        <v>246.38713270900504</v>
      </c>
    </row>
    <row r="165" spans="1:25" ht="15.6" x14ac:dyDescent="0.3">
      <c r="A165" s="98" t="s">
        <v>483</v>
      </c>
      <c r="B165" s="98" t="s">
        <v>484</v>
      </c>
      <c r="C165" s="24" t="s">
        <v>485</v>
      </c>
      <c r="D165" s="110">
        <v>-528.02</v>
      </c>
      <c r="E165" s="110">
        <v>-805</v>
      </c>
      <c r="F165" s="23" t="s">
        <v>38</v>
      </c>
      <c r="G165" s="59">
        <f t="shared" si="15"/>
        <v>0.92946308724832216</v>
      </c>
      <c r="H165" s="17">
        <v>5</v>
      </c>
      <c r="I165" s="17">
        <v>10</v>
      </c>
      <c r="J165" s="17">
        <v>3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21">
        <f t="shared" si="12"/>
        <v>146</v>
      </c>
      <c r="W165" s="21">
        <f t="shared" si="13"/>
        <v>18</v>
      </c>
      <c r="X165" s="21">
        <f t="shared" si="14"/>
        <v>3.6</v>
      </c>
      <c r="Y165" s="22">
        <f t="shared" si="11"/>
        <v>246.38713270900504</v>
      </c>
    </row>
    <row r="166" spans="1:25" x14ac:dyDescent="0.3">
      <c r="A166" s="23" t="s">
        <v>486</v>
      </c>
      <c r="B166" s="23" t="s">
        <v>487</v>
      </c>
      <c r="C166" s="24" t="s">
        <v>487</v>
      </c>
      <c r="D166" s="110">
        <v>0</v>
      </c>
      <c r="E166" s="110" t="s">
        <v>38</v>
      </c>
      <c r="F166" s="23" t="s">
        <v>38</v>
      </c>
      <c r="G166" s="59" t="str">
        <f t="shared" si="15"/>
        <v>NA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21">
        <f t="shared" si="12"/>
        <v>0</v>
      </c>
      <c r="W166" s="21">
        <f t="shared" si="13"/>
        <v>0</v>
      </c>
      <c r="X166" s="21" t="str">
        <f t="shared" si="14"/>
        <v>NA</v>
      </c>
      <c r="Y166" s="22" t="str">
        <f t="shared" si="11"/>
        <v>NA</v>
      </c>
    </row>
    <row r="167" spans="1:25" x14ac:dyDescent="0.3">
      <c r="A167" s="98" t="s">
        <v>488</v>
      </c>
      <c r="B167" s="98" t="s">
        <v>489</v>
      </c>
      <c r="C167" s="24" t="s">
        <v>489</v>
      </c>
      <c r="D167" s="110">
        <v>34.17</v>
      </c>
      <c r="E167" s="110" t="s">
        <v>38</v>
      </c>
      <c r="F167" s="23" t="s">
        <v>38</v>
      </c>
      <c r="G167" s="59" t="str">
        <f t="shared" si="15"/>
        <v>NA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21">
        <f t="shared" si="12"/>
        <v>0</v>
      </c>
      <c r="W167" s="21">
        <f t="shared" si="13"/>
        <v>0</v>
      </c>
      <c r="X167" s="21" t="str">
        <f t="shared" si="14"/>
        <v>NA</v>
      </c>
      <c r="Y167" s="22" t="str">
        <f t="shared" si="11"/>
        <v>NA</v>
      </c>
    </row>
    <row r="168" spans="1:25" ht="15.6" x14ac:dyDescent="0.3">
      <c r="A168" s="23" t="s">
        <v>490</v>
      </c>
      <c r="B168" s="98" t="s">
        <v>491</v>
      </c>
      <c r="C168" s="24" t="s">
        <v>248</v>
      </c>
      <c r="D168" s="110">
        <v>-440.02</v>
      </c>
      <c r="E168" s="110" t="s">
        <v>38</v>
      </c>
      <c r="F168" s="23" t="s">
        <v>38</v>
      </c>
      <c r="G168" s="59" t="str">
        <f t="shared" si="15"/>
        <v>NA</v>
      </c>
      <c r="H168" s="17">
        <v>3</v>
      </c>
      <c r="I168" s="17">
        <v>6</v>
      </c>
      <c r="J168" s="17">
        <v>3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21">
        <f t="shared" si="12"/>
        <v>90</v>
      </c>
      <c r="W168" s="21">
        <f t="shared" si="13"/>
        <v>12</v>
      </c>
      <c r="X168" s="21">
        <f t="shared" si="14"/>
        <v>4</v>
      </c>
      <c r="Y168" s="22">
        <f t="shared" si="11"/>
        <v>347.64494639266923</v>
      </c>
    </row>
    <row r="169" spans="1:25" ht="15.6" x14ac:dyDescent="0.3">
      <c r="A169" s="98" t="s">
        <v>492</v>
      </c>
      <c r="B169" s="98" t="s">
        <v>493</v>
      </c>
      <c r="C169" s="24" t="s">
        <v>443</v>
      </c>
      <c r="D169" s="110">
        <v>-1288.5999999999999</v>
      </c>
      <c r="E169" s="110" t="s">
        <v>38</v>
      </c>
      <c r="F169" s="23" t="s">
        <v>38</v>
      </c>
      <c r="G169" s="59" t="str">
        <f t="shared" si="15"/>
        <v>NA</v>
      </c>
      <c r="H169" s="17">
        <v>3</v>
      </c>
      <c r="I169" s="17">
        <v>6</v>
      </c>
      <c r="J169" s="17">
        <v>6</v>
      </c>
      <c r="K169" s="17">
        <v>0</v>
      </c>
      <c r="L169" s="17">
        <v>1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-1</v>
      </c>
      <c r="V169" s="21">
        <f t="shared" si="12"/>
        <v>169</v>
      </c>
      <c r="W169" s="21">
        <f t="shared" si="13"/>
        <v>12</v>
      </c>
      <c r="X169" s="21">
        <f t="shared" si="14"/>
        <v>4</v>
      </c>
      <c r="Y169" s="22">
        <f t="shared" si="11"/>
        <v>347.64494639266923</v>
      </c>
    </row>
    <row r="170" spans="1:25" ht="15.6" x14ac:dyDescent="0.3">
      <c r="A170" s="23" t="s">
        <v>494</v>
      </c>
      <c r="B170" s="98" t="s">
        <v>495</v>
      </c>
      <c r="C170" s="24" t="s">
        <v>496</v>
      </c>
      <c r="D170" s="110">
        <v>-661.01</v>
      </c>
      <c r="E170" s="110" t="s">
        <v>38</v>
      </c>
      <c r="F170" s="23" t="s">
        <v>38</v>
      </c>
      <c r="G170" s="59" t="str">
        <f t="shared" si="15"/>
        <v>NA</v>
      </c>
      <c r="H170" s="17">
        <v>3</v>
      </c>
      <c r="I170" s="17">
        <v>5</v>
      </c>
      <c r="J170" s="17">
        <v>4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-1</v>
      </c>
      <c r="V170" s="21">
        <f t="shared" si="12"/>
        <v>105</v>
      </c>
      <c r="W170" s="21">
        <f t="shared" si="13"/>
        <v>10</v>
      </c>
      <c r="X170" s="21">
        <f t="shared" si="14"/>
        <v>3.3333333333333335</v>
      </c>
      <c r="Y170" s="22">
        <f t="shared" si="11"/>
        <v>373.04300334134575</v>
      </c>
    </row>
    <row r="171" spans="1:25" ht="15.6" x14ac:dyDescent="0.3">
      <c r="A171" s="23" t="s">
        <v>497</v>
      </c>
      <c r="B171" s="98" t="s">
        <v>498</v>
      </c>
      <c r="C171" s="24" t="s">
        <v>499</v>
      </c>
      <c r="D171" s="110">
        <v>-1358.96</v>
      </c>
      <c r="E171" s="110">
        <v>-1724.59</v>
      </c>
      <c r="F171" s="23" t="s">
        <v>38</v>
      </c>
      <c r="G171" s="59">
        <f t="shared" si="15"/>
        <v>1.2269463087248318</v>
      </c>
      <c r="H171" s="17">
        <v>3</v>
      </c>
      <c r="I171" s="17">
        <v>8</v>
      </c>
      <c r="J171" s="17">
        <v>6</v>
      </c>
      <c r="K171" s="17">
        <v>0</v>
      </c>
      <c r="L171" s="17">
        <v>1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-1</v>
      </c>
      <c r="V171" s="21">
        <f t="shared" si="12"/>
        <v>171</v>
      </c>
      <c r="W171" s="21">
        <f t="shared" si="13"/>
        <v>14</v>
      </c>
      <c r="X171" s="21">
        <f t="shared" si="14"/>
        <v>4.666666666666667</v>
      </c>
      <c r="Y171" s="22">
        <f t="shared" si="11"/>
        <v>428.06239358414825</v>
      </c>
    </row>
    <row r="172" spans="1:25" ht="15.6" x14ac:dyDescent="0.3">
      <c r="A172" s="23" t="s">
        <v>500</v>
      </c>
      <c r="B172" s="98" t="s">
        <v>501</v>
      </c>
      <c r="C172" s="24" t="s">
        <v>502</v>
      </c>
      <c r="D172" s="110">
        <v>-379.91</v>
      </c>
      <c r="E172" s="110">
        <v>-523</v>
      </c>
      <c r="F172" s="23" t="s">
        <v>38</v>
      </c>
      <c r="G172" s="59">
        <f t="shared" si="15"/>
        <v>0.48016778523489922</v>
      </c>
      <c r="H172" s="17">
        <v>2</v>
      </c>
      <c r="I172" s="17">
        <v>5</v>
      </c>
      <c r="J172" s="17">
        <v>2</v>
      </c>
      <c r="K172" s="17">
        <v>1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21">
        <f t="shared" si="12"/>
        <v>75</v>
      </c>
      <c r="W172" s="21">
        <f t="shared" si="13"/>
        <v>6</v>
      </c>
      <c r="X172" s="21">
        <f t="shared" si="14"/>
        <v>3</v>
      </c>
      <c r="Y172" s="22">
        <f t="shared" si="11"/>
        <v>478.40882592069192</v>
      </c>
    </row>
    <row r="173" spans="1:25" ht="15.6" x14ac:dyDescent="0.3">
      <c r="A173" s="23" t="s">
        <v>503</v>
      </c>
      <c r="B173" s="98" t="s">
        <v>504</v>
      </c>
      <c r="C173" s="24" t="s">
        <v>505</v>
      </c>
      <c r="D173" s="110">
        <v>-530.95000000000005</v>
      </c>
      <c r="E173" s="110" t="s">
        <v>38</v>
      </c>
      <c r="F173" s="23" t="s">
        <v>38</v>
      </c>
      <c r="G173" s="59" t="str">
        <f t="shared" si="15"/>
        <v>NA</v>
      </c>
      <c r="H173" s="17">
        <v>2</v>
      </c>
      <c r="I173" s="17">
        <v>4</v>
      </c>
      <c r="J173" s="17">
        <v>3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-1</v>
      </c>
      <c r="V173" s="21">
        <f t="shared" si="12"/>
        <v>76</v>
      </c>
      <c r="W173" s="21">
        <f t="shared" si="13"/>
        <v>7</v>
      </c>
      <c r="X173" s="21">
        <f t="shared" si="14"/>
        <v>3.5</v>
      </c>
      <c r="Y173" s="22">
        <f t="shared" si="11"/>
        <v>438.21201866498893</v>
      </c>
    </row>
    <row r="174" spans="1:25" ht="15.6" x14ac:dyDescent="0.3">
      <c r="A174" s="98" t="s">
        <v>506</v>
      </c>
      <c r="B174" s="98" t="s">
        <v>507</v>
      </c>
      <c r="C174" s="24" t="s">
        <v>387</v>
      </c>
      <c r="D174" s="110">
        <v>-520.20000000000005</v>
      </c>
      <c r="E174" s="110">
        <v>-734.25</v>
      </c>
      <c r="F174" s="23" t="s">
        <v>38</v>
      </c>
      <c r="G174" s="59">
        <f t="shared" si="15"/>
        <v>0.71828859060402672</v>
      </c>
      <c r="H174" s="17">
        <v>4</v>
      </c>
      <c r="I174" s="17">
        <v>8</v>
      </c>
      <c r="J174" s="17">
        <v>3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21">
        <f t="shared" si="12"/>
        <v>132</v>
      </c>
      <c r="W174" s="21">
        <f t="shared" si="13"/>
        <v>12</v>
      </c>
      <c r="X174" s="21">
        <f t="shared" si="14"/>
        <v>3</v>
      </c>
      <c r="Y174" s="22">
        <f t="shared" si="11"/>
        <v>389.35607102121969</v>
      </c>
    </row>
    <row r="175" spans="1:25" ht="15.6" x14ac:dyDescent="0.3">
      <c r="A175" s="23" t="s">
        <v>508</v>
      </c>
      <c r="B175" s="98" t="s">
        <v>509</v>
      </c>
      <c r="C175" s="24" t="s">
        <v>510</v>
      </c>
      <c r="D175" s="110">
        <v>-468.6</v>
      </c>
      <c r="E175" s="110" t="s">
        <v>38</v>
      </c>
      <c r="F175" s="23" t="s">
        <v>38</v>
      </c>
      <c r="G175" s="59" t="str">
        <f t="shared" si="15"/>
        <v>NA</v>
      </c>
      <c r="H175" s="17">
        <v>2</v>
      </c>
      <c r="I175" s="17">
        <v>1</v>
      </c>
      <c r="J175" s="17">
        <v>3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-1</v>
      </c>
      <c r="V175" s="21">
        <f t="shared" si="12"/>
        <v>73</v>
      </c>
      <c r="W175" s="21">
        <f t="shared" si="13"/>
        <v>4</v>
      </c>
      <c r="X175" s="21">
        <f t="shared" si="14"/>
        <v>2</v>
      </c>
      <c r="Y175" s="22">
        <f t="shared" si="11"/>
        <v>620.72566793470162</v>
      </c>
    </row>
    <row r="176" spans="1:25" ht="15.6" x14ac:dyDescent="0.3">
      <c r="A176" s="23" t="s">
        <v>803</v>
      </c>
      <c r="B176" s="102" t="s">
        <v>803</v>
      </c>
      <c r="C176" s="24" t="s">
        <v>511</v>
      </c>
      <c r="D176" s="110">
        <v>-134.03</v>
      </c>
      <c r="E176" s="110">
        <v>-191.17</v>
      </c>
      <c r="F176" s="23" t="s">
        <v>38</v>
      </c>
      <c r="G176" s="59">
        <f t="shared" si="15"/>
        <v>0.19174496644295297</v>
      </c>
      <c r="H176" s="17">
        <v>0</v>
      </c>
      <c r="I176" s="17">
        <v>2</v>
      </c>
      <c r="J176" s="17">
        <v>2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21">
        <f t="shared" si="12"/>
        <v>34</v>
      </c>
      <c r="W176" s="21">
        <f t="shared" si="13"/>
        <v>-2</v>
      </c>
      <c r="X176" s="21" t="str">
        <f t="shared" si="14"/>
        <v>NA</v>
      </c>
      <c r="Y176" s="22" t="str">
        <f t="shared" si="11"/>
        <v>NA</v>
      </c>
    </row>
    <row r="177" spans="1:25" ht="15.6" x14ac:dyDescent="0.3">
      <c r="A177" s="98" t="s">
        <v>512</v>
      </c>
      <c r="B177" s="98" t="s">
        <v>513</v>
      </c>
      <c r="C177" s="24" t="s">
        <v>514</v>
      </c>
      <c r="D177" s="110">
        <v>-951.78</v>
      </c>
      <c r="E177" s="58" t="s">
        <v>38</v>
      </c>
      <c r="F177" s="23" t="s">
        <v>38</v>
      </c>
      <c r="G177" s="59" t="str">
        <f t="shared" si="15"/>
        <v>NA</v>
      </c>
      <c r="H177" s="17">
        <v>5</v>
      </c>
      <c r="I177" s="17">
        <v>6</v>
      </c>
      <c r="J177" s="17">
        <v>6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-2</v>
      </c>
      <c r="V177" s="21">
        <f t="shared" si="12"/>
        <v>162</v>
      </c>
      <c r="W177" s="21">
        <f t="shared" si="13"/>
        <v>16</v>
      </c>
      <c r="X177" s="21">
        <f t="shared" si="14"/>
        <v>3.2</v>
      </c>
      <c r="Y177" s="22">
        <f t="shared" si="11"/>
        <v>334.22205636685521</v>
      </c>
    </row>
    <row r="178" spans="1:25" ht="15.6" x14ac:dyDescent="0.3">
      <c r="A178" s="98" t="s">
        <v>515</v>
      </c>
      <c r="B178" s="98" t="s">
        <v>516</v>
      </c>
      <c r="C178" s="24" t="s">
        <v>517</v>
      </c>
      <c r="D178" s="97">
        <v>-840.18</v>
      </c>
      <c r="E178" s="58" t="s">
        <v>38</v>
      </c>
      <c r="F178" s="23" t="s">
        <v>38</v>
      </c>
      <c r="G178" s="59" t="str">
        <f t="shared" si="15"/>
        <v>NA</v>
      </c>
      <c r="H178" s="17">
        <v>5</v>
      </c>
      <c r="I178" s="17">
        <v>6</v>
      </c>
      <c r="J178" s="17">
        <v>5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-2</v>
      </c>
      <c r="V178" s="21">
        <f t="shared" si="12"/>
        <v>146</v>
      </c>
      <c r="W178" s="21">
        <f t="shared" si="13"/>
        <v>18</v>
      </c>
      <c r="X178" s="21">
        <f t="shared" si="14"/>
        <v>3.6</v>
      </c>
      <c r="Y178" s="22">
        <f t="shared" si="11"/>
        <v>246.38713270900504</v>
      </c>
    </row>
    <row r="179" spans="1:25" ht="15.6" x14ac:dyDescent="0.3">
      <c r="A179" s="23" t="s">
        <v>518</v>
      </c>
      <c r="B179" s="98" t="s">
        <v>11</v>
      </c>
      <c r="C179" s="24" t="s">
        <v>245</v>
      </c>
      <c r="D179" s="110">
        <v>-518.4</v>
      </c>
      <c r="E179" s="95">
        <f>+IF(AA3=1,calcEnthJoback!J6,IF(AA3=2,calcEnthJoback!K6,"NA"))</f>
        <v>-689.41000000000008</v>
      </c>
      <c r="F179" s="23" t="s">
        <v>38</v>
      </c>
      <c r="G179" s="59">
        <f t="shared" si="15"/>
        <v>0.57385906040268486</v>
      </c>
      <c r="H179" s="17">
        <v>3</v>
      </c>
      <c r="I179" s="17">
        <v>5</v>
      </c>
      <c r="J179" s="17">
        <v>3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-1</v>
      </c>
      <c r="V179" s="21">
        <f t="shared" si="12"/>
        <v>89</v>
      </c>
      <c r="W179" s="21">
        <f t="shared" si="13"/>
        <v>12</v>
      </c>
      <c r="X179" s="21">
        <f t="shared" si="14"/>
        <v>4</v>
      </c>
      <c r="Y179" s="22">
        <f t="shared" si="11"/>
        <v>347.64494639266923</v>
      </c>
    </row>
    <row r="180" spans="1:25" ht="15.6" x14ac:dyDescent="0.3">
      <c r="A180" s="96" t="s">
        <v>519</v>
      </c>
      <c r="B180" s="98" t="s">
        <v>10</v>
      </c>
      <c r="C180" s="24" t="s">
        <v>250</v>
      </c>
      <c r="D180" s="110">
        <v>-285</v>
      </c>
      <c r="E180" s="95">
        <f>+IF(AA3=1,calcEnthJoback!B20,IF(AA3=2,calcEnthJoback!C20,"NA"))</f>
        <v>-414.01</v>
      </c>
      <c r="F180" s="23"/>
      <c r="G180" s="59">
        <f t="shared" si="15"/>
        <v>0.43291946308724827</v>
      </c>
      <c r="H180" s="17">
        <v>3</v>
      </c>
      <c r="I180" s="17">
        <v>5</v>
      </c>
      <c r="J180" s="17">
        <v>2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1</v>
      </c>
      <c r="T180" s="17">
        <v>0</v>
      </c>
      <c r="U180" s="17">
        <v>0</v>
      </c>
      <c r="V180" s="21">
        <f t="shared" si="12"/>
        <v>73</v>
      </c>
      <c r="W180" s="21">
        <f t="shared" si="13"/>
        <v>13</v>
      </c>
      <c r="X180" s="21">
        <f t="shared" si="14"/>
        <v>4.333333333333333</v>
      </c>
      <c r="Y180" s="22">
        <f t="shared" si="11"/>
        <v>380.7160621060674</v>
      </c>
    </row>
    <row r="181" spans="1:25" ht="15.6" x14ac:dyDescent="0.3">
      <c r="A181" s="23" t="s">
        <v>520</v>
      </c>
      <c r="B181" s="98" t="s">
        <v>521</v>
      </c>
      <c r="C181" s="24" t="s">
        <v>522</v>
      </c>
      <c r="D181" s="110">
        <v>-608.54999999999995</v>
      </c>
      <c r="E181" s="110" t="s">
        <v>38</v>
      </c>
      <c r="F181" s="23" t="s">
        <v>38</v>
      </c>
      <c r="G181" s="59" t="str">
        <f t="shared" si="15"/>
        <v>NA</v>
      </c>
      <c r="H181" s="17">
        <v>3</v>
      </c>
      <c r="I181" s="17">
        <v>3</v>
      </c>
      <c r="J181" s="17">
        <v>4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-1</v>
      </c>
      <c r="V181" s="21">
        <f t="shared" si="12"/>
        <v>103</v>
      </c>
      <c r="W181" s="21">
        <f t="shared" si="13"/>
        <v>8</v>
      </c>
      <c r="X181" s="21">
        <f t="shared" si="14"/>
        <v>2.6666666666666665</v>
      </c>
      <c r="Y181" s="22">
        <f t="shared" si="11"/>
        <v>477.88737506673169</v>
      </c>
    </row>
    <row r="182" spans="1:25" ht="15.6" x14ac:dyDescent="0.3">
      <c r="A182" s="98" t="s">
        <v>523</v>
      </c>
      <c r="B182" s="98" t="s">
        <v>524</v>
      </c>
      <c r="C182" s="24" t="s">
        <v>525</v>
      </c>
      <c r="D182" s="110">
        <v>89.5</v>
      </c>
      <c r="E182" s="110" t="s">
        <v>38</v>
      </c>
      <c r="F182" s="23" t="s">
        <v>38</v>
      </c>
      <c r="G182" s="59" t="str">
        <f t="shared" si="15"/>
        <v>NA</v>
      </c>
      <c r="H182" s="17">
        <v>5</v>
      </c>
      <c r="I182" s="17">
        <v>4</v>
      </c>
      <c r="J182" s="17">
        <v>1</v>
      </c>
      <c r="K182" s="17">
        <v>4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21">
        <f t="shared" si="12"/>
        <v>136</v>
      </c>
      <c r="W182" s="21">
        <f t="shared" si="13"/>
        <v>10</v>
      </c>
      <c r="X182" s="21">
        <f t="shared" si="14"/>
        <v>2</v>
      </c>
      <c r="Y182" s="22">
        <f t="shared" ref="Y182:Y263" si="16">IF(H182&gt;0, 200+18*(6-H182)^1.8+EXP((3.6+0.4*H182)*((3.8-X182)^2)^0.16),"NA")</f>
        <v>1079.683185600245</v>
      </c>
    </row>
    <row r="183" spans="1:25" ht="15.6" x14ac:dyDescent="0.3">
      <c r="A183" s="98" t="s">
        <v>526</v>
      </c>
      <c r="B183" s="98" t="s">
        <v>526</v>
      </c>
      <c r="C183" s="24" t="s">
        <v>527</v>
      </c>
      <c r="D183" s="110">
        <v>-944.73</v>
      </c>
      <c r="E183" s="110" t="s">
        <v>38</v>
      </c>
      <c r="F183" s="23" t="s">
        <v>38</v>
      </c>
      <c r="G183" s="59" t="str">
        <f t="shared" si="15"/>
        <v>NA</v>
      </c>
      <c r="H183" s="17">
        <v>6</v>
      </c>
      <c r="I183" s="17">
        <v>14</v>
      </c>
      <c r="J183" s="17">
        <v>6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21">
        <f t="shared" si="12"/>
        <v>182</v>
      </c>
      <c r="W183" s="21">
        <f t="shared" si="13"/>
        <v>26</v>
      </c>
      <c r="X183" s="21">
        <f t="shared" si="14"/>
        <v>4.333333333333333</v>
      </c>
      <c r="Y183" s="22">
        <f t="shared" si="16"/>
        <v>335.19458530302916</v>
      </c>
    </row>
    <row r="184" spans="1:25" x14ac:dyDescent="0.3">
      <c r="A184" s="23" t="s">
        <v>528</v>
      </c>
      <c r="B184" s="102" t="s">
        <v>528</v>
      </c>
      <c r="C184" s="24"/>
      <c r="D184" s="110">
        <v>-2066.44</v>
      </c>
      <c r="E184" s="110">
        <v>-2797.18</v>
      </c>
      <c r="F184" s="23" t="s">
        <v>38</v>
      </c>
      <c r="G184" s="59">
        <f t="shared" si="15"/>
        <v>2.4521476510067108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21">
        <f t="shared" si="12"/>
        <v>0</v>
      </c>
      <c r="W184" s="21">
        <f t="shared" si="13"/>
        <v>0</v>
      </c>
      <c r="X184" s="21" t="str">
        <f t="shared" si="14"/>
        <v>NA</v>
      </c>
      <c r="Y184" s="22" t="str">
        <f t="shared" si="16"/>
        <v>NA</v>
      </c>
    </row>
    <row r="185" spans="1:25" x14ac:dyDescent="0.3">
      <c r="A185" s="23" t="s">
        <v>529</v>
      </c>
      <c r="B185" s="98" t="s">
        <v>529</v>
      </c>
      <c r="C185" s="24"/>
      <c r="D185" s="110">
        <v>-1200.43</v>
      </c>
      <c r="E185" s="110">
        <v>-1799.61</v>
      </c>
      <c r="F185" s="23" t="s">
        <v>38</v>
      </c>
      <c r="G185" s="59">
        <f t="shared" si="15"/>
        <v>2.0106711409395968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21">
        <f t="shared" si="12"/>
        <v>0</v>
      </c>
      <c r="W185" s="21">
        <f t="shared" si="13"/>
        <v>0</v>
      </c>
      <c r="X185" s="21" t="str">
        <f t="shared" si="14"/>
        <v>NA</v>
      </c>
      <c r="Y185" s="22" t="str">
        <f t="shared" si="16"/>
        <v>NA</v>
      </c>
    </row>
    <row r="186" spans="1:25" ht="15.6" x14ac:dyDescent="0.3">
      <c r="A186" s="98" t="s">
        <v>530</v>
      </c>
      <c r="B186" s="98" t="s">
        <v>531</v>
      </c>
      <c r="C186" s="24" t="s">
        <v>532</v>
      </c>
      <c r="D186" s="110">
        <v>223.8</v>
      </c>
      <c r="E186" s="110">
        <v>97.5</v>
      </c>
      <c r="F186" s="23" t="s">
        <v>38</v>
      </c>
      <c r="G186" s="59">
        <f t="shared" si="15"/>
        <v>0.42382550335570474</v>
      </c>
      <c r="H186" s="17">
        <v>8</v>
      </c>
      <c r="I186" s="17">
        <v>7</v>
      </c>
      <c r="J186" s="17">
        <v>0</v>
      </c>
      <c r="K186" s="17">
        <v>1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21">
        <f t="shared" si="12"/>
        <v>117</v>
      </c>
      <c r="W186" s="21">
        <f t="shared" si="13"/>
        <v>36</v>
      </c>
      <c r="X186" s="21">
        <f t="shared" si="14"/>
        <v>4.5</v>
      </c>
      <c r="Y186" s="22" t="e">
        <f t="shared" si="16"/>
        <v>#NUM!</v>
      </c>
    </row>
    <row r="187" spans="1:25" ht="15.6" x14ac:dyDescent="0.3">
      <c r="A187" s="23" t="s">
        <v>533</v>
      </c>
      <c r="B187" s="98" t="s">
        <v>533</v>
      </c>
      <c r="C187" s="24" t="s">
        <v>534</v>
      </c>
      <c r="D187" s="110">
        <v>-358.02</v>
      </c>
      <c r="E187" s="110">
        <v>-792.74</v>
      </c>
      <c r="F187" s="23" t="s">
        <v>38</v>
      </c>
      <c r="G187" s="59">
        <f t="shared" si="15"/>
        <v>1.4587919463087249</v>
      </c>
      <c r="H187" s="17">
        <v>10</v>
      </c>
      <c r="I187" s="17">
        <v>12</v>
      </c>
      <c r="J187" s="17">
        <v>5</v>
      </c>
      <c r="K187" s="17">
        <v>4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21">
        <f t="shared" si="12"/>
        <v>268</v>
      </c>
      <c r="W187" s="21">
        <f t="shared" si="13"/>
        <v>30</v>
      </c>
      <c r="X187" s="21">
        <f t="shared" si="14"/>
        <v>3</v>
      </c>
      <c r="Y187" s="22" t="e">
        <f t="shared" si="16"/>
        <v>#NUM!</v>
      </c>
    </row>
    <row r="188" spans="1:25" x14ac:dyDescent="0.3">
      <c r="A188" s="98" t="s">
        <v>535</v>
      </c>
      <c r="B188" s="98" t="s">
        <v>536</v>
      </c>
      <c r="C188" s="24" t="s">
        <v>536</v>
      </c>
      <c r="D188" s="110">
        <v>-51.57</v>
      </c>
      <c r="E188" s="110">
        <v>-55.19</v>
      </c>
      <c r="F188" s="23" t="s">
        <v>38</v>
      </c>
      <c r="G188" s="59">
        <f t="shared" si="15"/>
        <v>1.2147651006711401E-2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21">
        <f t="shared" si="12"/>
        <v>0</v>
      </c>
      <c r="W188" s="21">
        <f t="shared" si="13"/>
        <v>0</v>
      </c>
      <c r="X188" s="21" t="str">
        <f t="shared" si="14"/>
        <v>NA</v>
      </c>
      <c r="Y188" s="22" t="str">
        <f t="shared" si="16"/>
        <v>NA</v>
      </c>
    </row>
    <row r="189" spans="1:25" ht="15.6" x14ac:dyDescent="0.3">
      <c r="A189" s="23" t="s">
        <v>537</v>
      </c>
      <c r="B189" s="102" t="s">
        <v>538</v>
      </c>
      <c r="C189" s="24" t="s">
        <v>320</v>
      </c>
      <c r="D189" s="110">
        <v>-1587.71</v>
      </c>
      <c r="E189" s="110">
        <v>-2244.48</v>
      </c>
      <c r="F189" s="23" t="s">
        <v>38</v>
      </c>
      <c r="G189" s="59">
        <f t="shared" si="15"/>
        <v>2.2039261744966443</v>
      </c>
      <c r="H189" s="17">
        <v>12</v>
      </c>
      <c r="I189" s="17">
        <v>22</v>
      </c>
      <c r="J189" s="17">
        <v>11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21">
        <f t="shared" si="12"/>
        <v>342</v>
      </c>
      <c r="W189" s="21">
        <f t="shared" si="13"/>
        <v>48</v>
      </c>
      <c r="X189" s="21">
        <f t="shared" si="14"/>
        <v>4</v>
      </c>
      <c r="Y189" s="22" t="e">
        <f t="shared" si="16"/>
        <v>#NUM!</v>
      </c>
    </row>
    <row r="190" spans="1:25" x14ac:dyDescent="0.3">
      <c r="A190" s="23" t="s">
        <v>539</v>
      </c>
      <c r="B190" s="98" t="s">
        <v>539</v>
      </c>
      <c r="C190" s="24"/>
      <c r="D190" s="110">
        <v>-2925.31</v>
      </c>
      <c r="E190" s="110">
        <v>-3794.65</v>
      </c>
      <c r="F190" s="23" t="s">
        <v>38</v>
      </c>
      <c r="G190" s="59">
        <f t="shared" si="15"/>
        <v>2.9172483221476515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21">
        <f t="shared" si="12"/>
        <v>0</v>
      </c>
      <c r="W190" s="21">
        <f t="shared" si="13"/>
        <v>0</v>
      </c>
      <c r="X190" s="21" t="str">
        <f t="shared" si="14"/>
        <v>NA</v>
      </c>
      <c r="Y190" s="22" t="str">
        <f t="shared" si="16"/>
        <v>NA</v>
      </c>
    </row>
    <row r="191" spans="1:25" ht="15.6" x14ac:dyDescent="0.3">
      <c r="A191" s="23" t="s">
        <v>540</v>
      </c>
      <c r="B191" s="98" t="s">
        <v>541</v>
      </c>
      <c r="C191" s="24" t="s">
        <v>542</v>
      </c>
      <c r="D191" s="110">
        <v>-595.88</v>
      </c>
      <c r="E191" s="110" t="s">
        <v>38</v>
      </c>
      <c r="F191" s="23" t="s">
        <v>38</v>
      </c>
      <c r="G191" s="59" t="str">
        <f t="shared" si="15"/>
        <v>NA</v>
      </c>
      <c r="H191" s="17">
        <v>5</v>
      </c>
      <c r="I191" s="17">
        <v>6</v>
      </c>
      <c r="J191" s="17">
        <v>4</v>
      </c>
      <c r="K191" s="17">
        <v>1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-1</v>
      </c>
      <c r="V191" s="21">
        <f t="shared" si="12"/>
        <v>144</v>
      </c>
      <c r="W191" s="21">
        <f t="shared" si="13"/>
        <v>16</v>
      </c>
      <c r="X191" s="21">
        <f t="shared" si="14"/>
        <v>3.2</v>
      </c>
      <c r="Y191" s="22">
        <f t="shared" si="16"/>
        <v>334.22205636685521</v>
      </c>
    </row>
    <row r="192" spans="1:25" ht="15.6" x14ac:dyDescent="0.3">
      <c r="A192" s="23" t="s">
        <v>543</v>
      </c>
      <c r="B192" s="98" t="s">
        <v>544</v>
      </c>
      <c r="C192" s="24" t="s">
        <v>545</v>
      </c>
      <c r="D192" s="110">
        <v>-793.41</v>
      </c>
      <c r="E192" s="110">
        <v>-1044.06</v>
      </c>
      <c r="F192" s="23" t="s">
        <v>38</v>
      </c>
      <c r="G192" s="59">
        <f t="shared" si="15"/>
        <v>0.84110738255033546</v>
      </c>
      <c r="H192" s="17">
        <v>5</v>
      </c>
      <c r="I192" s="17">
        <v>4</v>
      </c>
      <c r="J192" s="17">
        <v>5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-2</v>
      </c>
      <c r="V192" s="21">
        <f t="shared" si="12"/>
        <v>144</v>
      </c>
      <c r="W192" s="21">
        <f t="shared" si="13"/>
        <v>16</v>
      </c>
      <c r="X192" s="21">
        <f t="shared" si="14"/>
        <v>3.2</v>
      </c>
      <c r="Y192" s="22">
        <f t="shared" si="16"/>
        <v>334.22205636685521</v>
      </c>
    </row>
    <row r="193" spans="1:27" ht="15.6" x14ac:dyDescent="0.3">
      <c r="A193" s="98" t="s">
        <v>546</v>
      </c>
      <c r="B193" s="98" t="s">
        <v>547</v>
      </c>
      <c r="C193" s="24" t="s">
        <v>320</v>
      </c>
      <c r="D193" s="110">
        <v>-1567.33</v>
      </c>
      <c r="E193" s="110">
        <v>-2233.08</v>
      </c>
      <c r="F193" s="23" t="s">
        <v>38</v>
      </c>
      <c r="G193" s="59">
        <f t="shared" si="15"/>
        <v>2.2340604026845639</v>
      </c>
      <c r="H193" s="17">
        <v>12</v>
      </c>
      <c r="I193" s="17">
        <v>22</v>
      </c>
      <c r="J193" s="17">
        <v>11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21">
        <f t="shared" si="12"/>
        <v>342</v>
      </c>
      <c r="W193" s="21">
        <f t="shared" si="13"/>
        <v>48</v>
      </c>
      <c r="X193" s="21">
        <f t="shared" si="14"/>
        <v>4</v>
      </c>
      <c r="Y193" s="22" t="e">
        <f t="shared" si="16"/>
        <v>#NUM!</v>
      </c>
    </row>
    <row r="194" spans="1:27" ht="15.6" x14ac:dyDescent="0.3">
      <c r="A194" s="98" t="s">
        <v>548</v>
      </c>
      <c r="B194" s="98" t="s">
        <v>549</v>
      </c>
      <c r="C194" s="24" t="s">
        <v>320</v>
      </c>
      <c r="D194" s="110">
        <v>-1575.22</v>
      </c>
      <c r="E194" s="110" t="s">
        <v>38</v>
      </c>
      <c r="F194" s="23" t="s">
        <v>38</v>
      </c>
      <c r="G194" s="59" t="str">
        <f t="shared" si="15"/>
        <v>NA</v>
      </c>
      <c r="H194" s="17">
        <v>12</v>
      </c>
      <c r="I194" s="17">
        <v>22</v>
      </c>
      <c r="J194" s="17">
        <v>11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21">
        <f t="shared" si="12"/>
        <v>342</v>
      </c>
      <c r="W194" s="21">
        <f t="shared" si="13"/>
        <v>48</v>
      </c>
      <c r="X194" s="21">
        <f t="shared" si="14"/>
        <v>4</v>
      </c>
      <c r="Y194" s="22" t="e">
        <f t="shared" si="16"/>
        <v>#NUM!</v>
      </c>
    </row>
    <row r="195" spans="1:27" ht="15.6" x14ac:dyDescent="0.3">
      <c r="A195" s="23" t="s">
        <v>550</v>
      </c>
      <c r="B195" s="98" t="s">
        <v>551</v>
      </c>
      <c r="C195" s="24" t="s">
        <v>552</v>
      </c>
      <c r="D195" s="110">
        <v>-343.9</v>
      </c>
      <c r="E195" s="110" t="s">
        <v>38</v>
      </c>
      <c r="F195" s="23" t="s">
        <v>38</v>
      </c>
      <c r="G195" s="59" t="str">
        <f t="shared" si="15"/>
        <v>NA</v>
      </c>
      <c r="H195" s="17">
        <v>6</v>
      </c>
      <c r="I195" s="17">
        <v>13</v>
      </c>
      <c r="J195" s="17">
        <v>2</v>
      </c>
      <c r="K195" s="17">
        <v>1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21">
        <f t="shared" ref="V195:V234" si="17">SUMPRODUCT(H195:U195,$H$273:$U$273)</f>
        <v>131</v>
      </c>
      <c r="W195" s="21">
        <f t="shared" ref="W195:W234" si="18">SUMPRODUCT($H195:$U195,$H$274:$U$274)</f>
        <v>30</v>
      </c>
      <c r="X195" s="21">
        <f t="shared" ref="X195:X234" si="19">(IF(H195&lt;&gt;0,SUMPRODUCT($H195:$U195,$H$274:$U$274)/$H195,"NA"))</f>
        <v>5</v>
      </c>
      <c r="Y195" s="22">
        <f t="shared" si="16"/>
        <v>778.51853977250823</v>
      </c>
    </row>
    <row r="196" spans="1:27" ht="15.6" x14ac:dyDescent="0.3">
      <c r="A196" s="23" t="s">
        <v>553</v>
      </c>
      <c r="B196" s="98" t="s">
        <v>554</v>
      </c>
      <c r="C196" s="24" t="s">
        <v>552</v>
      </c>
      <c r="D196" s="110">
        <v>-352.25</v>
      </c>
      <c r="E196" s="110">
        <v>-643.37</v>
      </c>
      <c r="F196" s="23" t="s">
        <v>38</v>
      </c>
      <c r="G196" s="59">
        <f t="shared" si="15"/>
        <v>0.97691275167785241</v>
      </c>
      <c r="H196" s="17">
        <v>6</v>
      </c>
      <c r="I196" s="17">
        <v>13</v>
      </c>
      <c r="J196" s="17">
        <v>2</v>
      </c>
      <c r="K196" s="17">
        <v>1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21">
        <f t="shared" si="17"/>
        <v>131</v>
      </c>
      <c r="W196" s="21">
        <f t="shared" si="18"/>
        <v>30</v>
      </c>
      <c r="X196" s="21">
        <f t="shared" si="19"/>
        <v>5</v>
      </c>
      <c r="Y196" s="22">
        <f t="shared" si="16"/>
        <v>778.51853977250823</v>
      </c>
    </row>
    <row r="197" spans="1:27" ht="15.6" x14ac:dyDescent="0.3">
      <c r="A197" s="98" t="s">
        <v>555</v>
      </c>
      <c r="B197" s="98" t="s">
        <v>556</v>
      </c>
      <c r="C197" s="24" t="s">
        <v>225</v>
      </c>
      <c r="D197" s="97">
        <v>-749.14</v>
      </c>
      <c r="E197" s="110" t="s">
        <v>38</v>
      </c>
      <c r="F197" s="23" t="s">
        <v>38</v>
      </c>
      <c r="G197" s="59" t="str">
        <f t="shared" si="15"/>
        <v>NA</v>
      </c>
      <c r="H197" s="17">
        <v>5</v>
      </c>
      <c r="I197" s="17">
        <v>10</v>
      </c>
      <c r="J197" s="17">
        <v>50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21">
        <f t="shared" si="17"/>
        <v>870</v>
      </c>
      <c r="W197" s="21">
        <f t="shared" si="18"/>
        <v>-70</v>
      </c>
      <c r="X197" s="21">
        <f t="shared" si="19"/>
        <v>-14</v>
      </c>
      <c r="Y197" s="22">
        <f t="shared" si="16"/>
        <v>1291205.3324050305</v>
      </c>
    </row>
    <row r="198" spans="1:27" ht="15.6" x14ac:dyDescent="0.3">
      <c r="A198" s="98" t="s">
        <v>557</v>
      </c>
      <c r="B198" s="98" t="s">
        <v>557</v>
      </c>
      <c r="C198" s="24" t="s">
        <v>558</v>
      </c>
      <c r="D198" s="97">
        <v>-592.09</v>
      </c>
      <c r="E198" s="110" t="s">
        <v>38</v>
      </c>
      <c r="F198" s="23" t="s">
        <v>38</v>
      </c>
      <c r="G198" s="59" t="str">
        <f t="shared" si="15"/>
        <v>NA</v>
      </c>
      <c r="H198" s="17">
        <v>4</v>
      </c>
      <c r="I198" s="17">
        <v>2</v>
      </c>
      <c r="J198" s="17">
        <v>4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-2</v>
      </c>
      <c r="V198" s="21">
        <f t="shared" si="17"/>
        <v>114</v>
      </c>
      <c r="W198" s="21">
        <f t="shared" si="18"/>
        <v>12</v>
      </c>
      <c r="X198" s="21">
        <f t="shared" si="19"/>
        <v>3</v>
      </c>
      <c r="Y198" s="22">
        <f t="shared" si="16"/>
        <v>389.35607102121969</v>
      </c>
    </row>
    <row r="199" spans="1:27" ht="15.6" x14ac:dyDescent="0.3">
      <c r="A199" s="23" t="s">
        <v>559</v>
      </c>
      <c r="B199" s="98" t="s">
        <v>12</v>
      </c>
      <c r="C199" s="24" t="s">
        <v>308</v>
      </c>
      <c r="D199" s="110">
        <v>-477.6</v>
      </c>
      <c r="E199" s="95">
        <f>+IF(AA3=1,calcEnthJoback!J7,IF(AA3=2,calcEnthJoback!K7,"NA"))</f>
        <v>-814.61</v>
      </c>
      <c r="F199" s="23" t="s">
        <v>38</v>
      </c>
      <c r="G199" s="59">
        <f>+IF(E199="NA","NA",(D199-E199)/298)</f>
        <v>1.1309060402684563</v>
      </c>
      <c r="H199" s="17">
        <v>3</v>
      </c>
      <c r="I199" s="17">
        <v>3</v>
      </c>
      <c r="J199" s="17">
        <v>3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-1</v>
      </c>
      <c r="V199" s="21">
        <f t="shared" si="17"/>
        <v>87</v>
      </c>
      <c r="W199" s="21">
        <f t="shared" si="18"/>
        <v>10</v>
      </c>
      <c r="X199" s="21">
        <f t="shared" si="19"/>
        <v>3.3333333333333335</v>
      </c>
      <c r="Y199" s="22">
        <f>IF(H199&gt;0, 200+18*(6-H199)^1.8+EXP((3.6+0.4*H199)*((3.8-X199)^2)^0.16),"NA")</f>
        <v>373.04300334134575</v>
      </c>
      <c r="AA199" s="228">
        <f>+E199</f>
        <v>-814.61</v>
      </c>
    </row>
    <row r="200" spans="1:27" ht="15.6" x14ac:dyDescent="0.3">
      <c r="A200" s="98" t="s">
        <v>560</v>
      </c>
      <c r="B200" s="98" t="s">
        <v>14</v>
      </c>
      <c r="C200" s="24" t="s">
        <v>561</v>
      </c>
      <c r="D200" s="110">
        <v>-497.40000000000009</v>
      </c>
      <c r="E200" s="95">
        <f>+IF(AA3=1,calcEnthJoback!B25,IF(AA3=2,calcEnthJoback!C25,"NA"))</f>
        <v>-523.88</v>
      </c>
      <c r="F200" s="23" t="s">
        <v>38</v>
      </c>
      <c r="G200" s="59">
        <f>+IF(E200="NA","NA",(D200-E200)/298)</f>
        <v>8.8859060402684237E-2</v>
      </c>
      <c r="H200" s="17">
        <v>3</v>
      </c>
      <c r="I200" s="17">
        <v>3</v>
      </c>
      <c r="J200" s="17">
        <v>3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1</v>
      </c>
      <c r="T200" s="17">
        <v>0</v>
      </c>
      <c r="U200" s="17">
        <v>0</v>
      </c>
      <c r="V200" s="21">
        <f t="shared" si="17"/>
        <v>87</v>
      </c>
      <c r="W200" s="21">
        <f t="shared" si="18"/>
        <v>9</v>
      </c>
      <c r="X200" s="21">
        <f t="shared" si="19"/>
        <v>3</v>
      </c>
      <c r="Y200" s="22">
        <f>IF(H200&gt;0, 200+18*(6-H200)^1.8+EXP((3.6+0.4*H200)*((3.8-X200)^2)^0.16),"NA")</f>
        <v>417.33121696745599</v>
      </c>
    </row>
    <row r="201" spans="1:27" ht="15.6" x14ac:dyDescent="0.3">
      <c r="A201" s="98" t="s">
        <v>562</v>
      </c>
      <c r="B201" s="102" t="s">
        <v>563</v>
      </c>
      <c r="C201" s="24" t="s">
        <v>320</v>
      </c>
      <c r="D201" s="110">
        <v>-1574.69</v>
      </c>
      <c r="E201" s="110">
        <v>-2238.06</v>
      </c>
      <c r="F201" s="23" t="s">
        <v>38</v>
      </c>
      <c r="G201" s="59">
        <f t="shared" ref="G201:G272" si="20">+IF(E201="NA","NA",(D201-E201)/298)</f>
        <v>2.2260738255033554</v>
      </c>
      <c r="H201" s="17">
        <v>12</v>
      </c>
      <c r="I201" s="17">
        <v>22</v>
      </c>
      <c r="J201" s="17">
        <v>11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21">
        <f t="shared" si="17"/>
        <v>342</v>
      </c>
      <c r="W201" s="21">
        <f t="shared" si="18"/>
        <v>48</v>
      </c>
      <c r="X201" s="21">
        <f t="shared" si="19"/>
        <v>4</v>
      </c>
      <c r="Y201" s="22" t="e">
        <f t="shared" si="16"/>
        <v>#NUM!</v>
      </c>
    </row>
    <row r="202" spans="1:27" ht="15.6" x14ac:dyDescent="0.3">
      <c r="A202" s="98" t="s">
        <v>564</v>
      </c>
      <c r="B202" s="98" t="s">
        <v>564</v>
      </c>
      <c r="C202" s="24" t="s">
        <v>565</v>
      </c>
      <c r="D202" s="110">
        <v>-663.44</v>
      </c>
      <c r="E202" s="110" t="s">
        <v>38</v>
      </c>
      <c r="F202" s="23" t="s">
        <v>38</v>
      </c>
      <c r="G202" s="59" t="str">
        <f t="shared" si="20"/>
        <v>NA</v>
      </c>
      <c r="H202" s="17">
        <v>4</v>
      </c>
      <c r="I202" s="17">
        <v>4</v>
      </c>
      <c r="J202" s="17">
        <v>4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1</v>
      </c>
      <c r="T202" s="17">
        <v>0</v>
      </c>
      <c r="U202" s="17">
        <v>-1</v>
      </c>
      <c r="V202" s="21">
        <f t="shared" si="17"/>
        <v>116</v>
      </c>
      <c r="W202" s="21">
        <f t="shared" si="18"/>
        <v>13</v>
      </c>
      <c r="X202" s="21">
        <f t="shared" si="19"/>
        <v>3.25</v>
      </c>
      <c r="Y202" s="22">
        <f t="shared" si="16"/>
        <v>335.98012473286417</v>
      </c>
    </row>
    <row r="203" spans="1:27" ht="15.6" x14ac:dyDescent="0.3">
      <c r="A203" s="23" t="s">
        <v>566</v>
      </c>
      <c r="B203" s="98" t="s">
        <v>567</v>
      </c>
      <c r="C203" s="24" t="s">
        <v>568</v>
      </c>
      <c r="D203" s="110">
        <v>-1793.58</v>
      </c>
      <c r="E203" s="110" t="s">
        <v>38</v>
      </c>
      <c r="F203" s="23" t="s">
        <v>38</v>
      </c>
      <c r="G203" s="59" t="str">
        <f t="shared" si="20"/>
        <v>NA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21">
        <f t="shared" si="17"/>
        <v>0</v>
      </c>
      <c r="W203" s="21">
        <f t="shared" si="18"/>
        <v>0</v>
      </c>
      <c r="X203" s="21" t="str">
        <f t="shared" si="19"/>
        <v>NA</v>
      </c>
      <c r="Y203" s="22" t="str">
        <f t="shared" si="16"/>
        <v>NA</v>
      </c>
    </row>
    <row r="204" spans="1:27" ht="15.6" x14ac:dyDescent="0.3">
      <c r="A204" s="98" t="s">
        <v>569</v>
      </c>
      <c r="B204" s="98" t="s">
        <v>570</v>
      </c>
      <c r="C204" s="24" t="s">
        <v>527</v>
      </c>
      <c r="D204" s="110">
        <v>-942.61</v>
      </c>
      <c r="E204" s="110" t="s">
        <v>38</v>
      </c>
      <c r="F204" s="23" t="s">
        <v>38</v>
      </c>
      <c r="G204" s="59" t="str">
        <f t="shared" si="20"/>
        <v>NA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21">
        <f t="shared" si="17"/>
        <v>0</v>
      </c>
      <c r="W204" s="21">
        <f t="shared" si="18"/>
        <v>0</v>
      </c>
      <c r="X204" s="21" t="str">
        <f t="shared" si="19"/>
        <v>NA</v>
      </c>
      <c r="Y204" s="22" t="str">
        <f t="shared" si="16"/>
        <v>NA</v>
      </c>
    </row>
    <row r="205" spans="1:27" ht="15.6" x14ac:dyDescent="0.3">
      <c r="A205" s="98" t="s">
        <v>571</v>
      </c>
      <c r="B205" s="101" t="s">
        <v>572</v>
      </c>
      <c r="C205" s="24" t="s">
        <v>218</v>
      </c>
      <c r="D205" s="97">
        <v>-910</v>
      </c>
      <c r="E205" s="113">
        <v>-1258.6600000000001</v>
      </c>
      <c r="F205" s="17" t="s">
        <v>38</v>
      </c>
      <c r="G205" s="20">
        <f t="shared" si="20"/>
        <v>1.1700000000000004</v>
      </c>
      <c r="H205" s="17">
        <v>6</v>
      </c>
      <c r="I205" s="17">
        <v>12</v>
      </c>
      <c r="J205" s="17">
        <v>6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21">
        <f t="shared" si="17"/>
        <v>180</v>
      </c>
      <c r="W205" s="21">
        <f t="shared" si="18"/>
        <v>24</v>
      </c>
      <c r="X205" s="21">
        <f t="shared" si="19"/>
        <v>4</v>
      </c>
      <c r="Y205" s="22">
        <f t="shared" si="16"/>
        <v>236.05088437101625</v>
      </c>
    </row>
    <row r="206" spans="1:27" ht="15.6" x14ac:dyDescent="0.3">
      <c r="A206" s="98" t="s">
        <v>573</v>
      </c>
      <c r="B206" s="101" t="s">
        <v>574</v>
      </c>
      <c r="C206" s="24" t="s">
        <v>461</v>
      </c>
      <c r="D206" s="97">
        <v>-1759.87</v>
      </c>
      <c r="E206" s="113">
        <v>-2273.71</v>
      </c>
      <c r="F206" s="17" t="s">
        <v>38</v>
      </c>
      <c r="G206" s="20">
        <f t="shared" si="20"/>
        <v>1.7242953020134233</v>
      </c>
      <c r="H206" s="17">
        <v>6</v>
      </c>
      <c r="I206" s="17">
        <v>11</v>
      </c>
      <c r="J206" s="17">
        <v>9</v>
      </c>
      <c r="K206" s="17">
        <v>0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-2</v>
      </c>
      <c r="V206" s="21">
        <f t="shared" si="17"/>
        <v>258</v>
      </c>
      <c r="W206" s="21">
        <f t="shared" si="18"/>
        <v>24</v>
      </c>
      <c r="X206" s="21">
        <f t="shared" si="19"/>
        <v>4</v>
      </c>
      <c r="Y206" s="22">
        <f t="shared" si="16"/>
        <v>236.05088437101625</v>
      </c>
    </row>
    <row r="207" spans="1:27" x14ac:dyDescent="0.3">
      <c r="A207" s="23" t="s">
        <v>575</v>
      </c>
      <c r="B207" s="102" t="s">
        <v>576</v>
      </c>
      <c r="C207" s="24" t="s">
        <v>576</v>
      </c>
      <c r="D207" s="110">
        <v>0</v>
      </c>
      <c r="E207" s="110" t="s">
        <v>38</v>
      </c>
      <c r="F207" s="23" t="s">
        <v>38</v>
      </c>
      <c r="G207" s="59" t="str">
        <f t="shared" si="20"/>
        <v>NA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1</v>
      </c>
      <c r="R207" s="17">
        <v>0</v>
      </c>
      <c r="S207" s="17">
        <v>0</v>
      </c>
      <c r="T207" s="17">
        <v>0</v>
      </c>
      <c r="U207" s="17">
        <v>0</v>
      </c>
      <c r="V207" s="21">
        <f t="shared" si="17"/>
        <v>0</v>
      </c>
      <c r="W207" s="21">
        <f t="shared" si="18"/>
        <v>0</v>
      </c>
      <c r="X207" s="21" t="str">
        <f t="shared" si="19"/>
        <v>NA</v>
      </c>
      <c r="Y207" s="22" t="str">
        <f t="shared" si="16"/>
        <v>NA</v>
      </c>
    </row>
    <row r="208" spans="1:27" x14ac:dyDescent="0.3">
      <c r="A208" s="98" t="s">
        <v>577</v>
      </c>
      <c r="B208" s="102" t="s">
        <v>578</v>
      </c>
      <c r="C208" s="24" t="s">
        <v>578</v>
      </c>
      <c r="D208" s="110">
        <v>-60.57048495627221</v>
      </c>
      <c r="E208" s="110" t="s">
        <v>38</v>
      </c>
      <c r="F208" s="23" t="s">
        <v>38</v>
      </c>
      <c r="G208" s="59" t="str">
        <f t="shared" si="20"/>
        <v>NA</v>
      </c>
      <c r="H208" s="17">
        <v>0</v>
      </c>
      <c r="I208" s="17">
        <v>2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1</v>
      </c>
      <c r="R208" s="17">
        <v>0</v>
      </c>
      <c r="S208" s="17">
        <v>0</v>
      </c>
      <c r="T208" s="17">
        <v>0</v>
      </c>
      <c r="U208" s="17">
        <v>0</v>
      </c>
      <c r="V208" s="21">
        <f t="shared" si="17"/>
        <v>2</v>
      </c>
      <c r="W208" s="21">
        <f t="shared" si="18"/>
        <v>2</v>
      </c>
      <c r="X208" s="21" t="str">
        <f t="shared" si="19"/>
        <v>NA</v>
      </c>
      <c r="Y208" s="22" t="str">
        <f t="shared" si="16"/>
        <v>NA</v>
      </c>
    </row>
    <row r="209" spans="1:25" ht="15.6" x14ac:dyDescent="0.3">
      <c r="A209" s="23" t="s">
        <v>579</v>
      </c>
      <c r="B209" s="102" t="s">
        <v>580</v>
      </c>
      <c r="C209" s="24" t="s">
        <v>581</v>
      </c>
      <c r="D209" s="110">
        <v>-175.31</v>
      </c>
      <c r="E209" s="110">
        <v>-245.93</v>
      </c>
      <c r="F209" s="23" t="s">
        <v>38</v>
      </c>
      <c r="G209" s="59">
        <f t="shared" si="20"/>
        <v>0.2369798657718121</v>
      </c>
      <c r="H209" s="17">
        <v>1</v>
      </c>
      <c r="I209" s="17">
        <v>4</v>
      </c>
      <c r="J209" s="17">
        <v>1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21">
        <f t="shared" si="17"/>
        <v>32</v>
      </c>
      <c r="W209" s="21">
        <f t="shared" si="18"/>
        <v>6</v>
      </c>
      <c r="X209" s="21">
        <f t="shared" si="19"/>
        <v>6</v>
      </c>
      <c r="Y209" s="22">
        <f t="shared" si="16"/>
        <v>698.23111156811183</v>
      </c>
    </row>
    <row r="210" spans="1:25" ht="15.6" x14ac:dyDescent="0.3">
      <c r="A210" s="23" t="s">
        <v>582</v>
      </c>
      <c r="B210" s="102" t="s">
        <v>110</v>
      </c>
      <c r="C210" s="24" t="s">
        <v>583</v>
      </c>
      <c r="D210" s="110">
        <v>-502.92</v>
      </c>
      <c r="E210" s="110">
        <v>-245.93</v>
      </c>
      <c r="F210" s="23" t="s">
        <v>38</v>
      </c>
      <c r="G210" s="59">
        <f t="shared" si="20"/>
        <v>-0.86238255033557054</v>
      </c>
      <c r="H210" s="17">
        <v>5</v>
      </c>
      <c r="I210" s="17">
        <v>11</v>
      </c>
      <c r="J210" s="17">
        <v>2</v>
      </c>
      <c r="K210" s="17">
        <v>1</v>
      </c>
      <c r="L210" s="17">
        <v>0</v>
      </c>
      <c r="M210" s="17">
        <v>1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21">
        <f t="shared" si="17"/>
        <v>149</v>
      </c>
      <c r="W210" s="21">
        <f t="shared" si="18"/>
        <v>30</v>
      </c>
      <c r="X210" s="21">
        <f t="shared" si="19"/>
        <v>6</v>
      </c>
      <c r="Y210" s="22">
        <f t="shared" si="16"/>
        <v>1567.035832249298</v>
      </c>
    </row>
    <row r="211" spans="1:25" ht="15.6" x14ac:dyDescent="0.3">
      <c r="A211" s="23" t="s">
        <v>584</v>
      </c>
      <c r="B211" s="102" t="s">
        <v>585</v>
      </c>
      <c r="C211" s="24" t="s">
        <v>586</v>
      </c>
      <c r="D211" s="110">
        <v>-445.14</v>
      </c>
      <c r="E211" s="110" t="s">
        <v>38</v>
      </c>
      <c r="F211" s="23" t="s">
        <v>38</v>
      </c>
      <c r="G211" s="59" t="str">
        <f t="shared" si="20"/>
        <v>NA</v>
      </c>
      <c r="H211" s="17">
        <v>6</v>
      </c>
      <c r="I211" s="17">
        <v>9</v>
      </c>
      <c r="J211" s="17">
        <v>3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-1</v>
      </c>
      <c r="V211" s="21">
        <f t="shared" si="17"/>
        <v>129</v>
      </c>
      <c r="W211" s="21">
        <f t="shared" si="18"/>
        <v>28</v>
      </c>
      <c r="X211" s="21">
        <f t="shared" si="19"/>
        <v>4.666666666666667</v>
      </c>
      <c r="Y211" s="22">
        <f t="shared" si="16"/>
        <v>508.41375510100988</v>
      </c>
    </row>
    <row r="212" spans="1:25" ht="15.6" x14ac:dyDescent="0.3">
      <c r="A212" s="98" t="s">
        <v>587</v>
      </c>
      <c r="B212" s="101" t="s">
        <v>588</v>
      </c>
      <c r="C212" s="24" t="s">
        <v>589</v>
      </c>
      <c r="D212" s="110">
        <v>-843.9</v>
      </c>
      <c r="E212" s="110" t="s">
        <v>38</v>
      </c>
      <c r="F212" s="23" t="s">
        <v>38</v>
      </c>
      <c r="G212" s="59" t="str">
        <f t="shared" si="20"/>
        <v>NA</v>
      </c>
      <c r="H212" s="17">
        <v>5</v>
      </c>
      <c r="I212" s="17">
        <v>6</v>
      </c>
      <c r="J212" s="17">
        <v>5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-2</v>
      </c>
      <c r="V212" s="21">
        <f t="shared" si="17"/>
        <v>146</v>
      </c>
      <c r="W212" s="21">
        <f t="shared" si="18"/>
        <v>18</v>
      </c>
      <c r="X212" s="21">
        <f t="shared" si="19"/>
        <v>3.6</v>
      </c>
      <c r="Y212" s="22">
        <f t="shared" si="16"/>
        <v>246.38713270900504</v>
      </c>
    </row>
    <row r="213" spans="1:25" ht="15.6" x14ac:dyDescent="0.3">
      <c r="A213" s="98" t="s">
        <v>590</v>
      </c>
      <c r="B213" s="101" t="s">
        <v>591</v>
      </c>
      <c r="C213" s="24" t="s">
        <v>592</v>
      </c>
      <c r="D213" s="110">
        <v>-600.70000000000005</v>
      </c>
      <c r="E213" s="110" t="s">
        <v>38</v>
      </c>
      <c r="F213" s="23" t="s">
        <v>38</v>
      </c>
      <c r="G213" s="59" t="str">
        <f t="shared" si="20"/>
        <v>NA</v>
      </c>
      <c r="H213" s="17">
        <v>5</v>
      </c>
      <c r="I213" s="17">
        <v>4</v>
      </c>
      <c r="J213" s="17">
        <v>4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-2</v>
      </c>
      <c r="V213" s="21">
        <f t="shared" si="17"/>
        <v>128</v>
      </c>
      <c r="W213" s="21">
        <f t="shared" si="18"/>
        <v>18</v>
      </c>
      <c r="X213" s="21">
        <f t="shared" si="19"/>
        <v>3.6</v>
      </c>
      <c r="Y213" s="22">
        <f t="shared" si="16"/>
        <v>246.38713270900504</v>
      </c>
    </row>
    <row r="214" spans="1:25" ht="15.6" x14ac:dyDescent="0.3">
      <c r="A214" s="98" t="s">
        <v>804</v>
      </c>
      <c r="B214" s="101" t="s">
        <v>593</v>
      </c>
      <c r="C214" s="24" t="s">
        <v>593</v>
      </c>
      <c r="D214" s="110">
        <v>18.7</v>
      </c>
      <c r="E214" s="110">
        <v>-10.54</v>
      </c>
      <c r="F214" s="23" t="s">
        <v>38</v>
      </c>
      <c r="G214" s="59">
        <f t="shared" si="20"/>
        <v>9.8120805369127512E-2</v>
      </c>
      <c r="H214" s="17">
        <v>0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21">
        <f t="shared" si="17"/>
        <v>28</v>
      </c>
      <c r="W214" s="21">
        <f t="shared" si="18"/>
        <v>-6</v>
      </c>
      <c r="X214" s="21" t="str">
        <f t="shared" si="19"/>
        <v>NA</v>
      </c>
      <c r="Y214" s="22" t="str">
        <f t="shared" si="16"/>
        <v>NA</v>
      </c>
    </row>
    <row r="215" spans="1:25" ht="15.6" x14ac:dyDescent="0.3">
      <c r="A215" s="23" t="s">
        <v>805</v>
      </c>
      <c r="B215" s="23" t="s">
        <v>593</v>
      </c>
      <c r="C215" s="24" t="s">
        <v>593</v>
      </c>
      <c r="D215" s="110">
        <v>0</v>
      </c>
      <c r="E215" s="110">
        <v>0</v>
      </c>
      <c r="F215" s="23" t="s">
        <v>38</v>
      </c>
      <c r="G215" s="59">
        <f t="shared" si="20"/>
        <v>0</v>
      </c>
      <c r="H215" s="17">
        <v>0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21">
        <f t="shared" si="17"/>
        <v>28</v>
      </c>
      <c r="W215" s="21">
        <f t="shared" si="18"/>
        <v>-6</v>
      </c>
      <c r="X215" s="21" t="str">
        <f t="shared" si="19"/>
        <v>NA</v>
      </c>
      <c r="Y215" s="22" t="str">
        <f t="shared" si="16"/>
        <v>NA</v>
      </c>
    </row>
    <row r="216" spans="1:25" ht="15.6" x14ac:dyDescent="0.3">
      <c r="A216" s="98" t="s">
        <v>806</v>
      </c>
      <c r="B216" s="98" t="s">
        <v>814</v>
      </c>
      <c r="C216" s="24" t="s">
        <v>594</v>
      </c>
      <c r="D216" s="110">
        <v>104.2</v>
      </c>
      <c r="E216" s="110">
        <v>82.05</v>
      </c>
      <c r="F216" s="23" t="s">
        <v>38</v>
      </c>
      <c r="G216" s="59">
        <f t="shared" si="20"/>
        <v>7.4328859060402708E-2</v>
      </c>
      <c r="H216" s="17">
        <v>0</v>
      </c>
      <c r="I216" s="17">
        <v>0</v>
      </c>
      <c r="J216" s="17">
        <v>1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21">
        <f t="shared" si="17"/>
        <v>44</v>
      </c>
      <c r="W216" s="21">
        <f t="shared" si="18"/>
        <v>-8</v>
      </c>
      <c r="X216" s="21" t="str">
        <f t="shared" si="19"/>
        <v>NA</v>
      </c>
      <c r="Y216" s="22" t="str">
        <f t="shared" si="16"/>
        <v>NA</v>
      </c>
    </row>
    <row r="217" spans="1:25" x14ac:dyDescent="0.3">
      <c r="A217" s="23" t="s">
        <v>595</v>
      </c>
      <c r="B217" s="98"/>
      <c r="C217" s="24"/>
      <c r="D217" s="110">
        <v>840.08</v>
      </c>
      <c r="E217" s="110" t="s">
        <v>38</v>
      </c>
      <c r="F217" s="23" t="s">
        <v>38</v>
      </c>
      <c r="G217" s="59" t="str">
        <f t="shared" si="20"/>
        <v>NA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21">
        <f t="shared" si="17"/>
        <v>0</v>
      </c>
      <c r="W217" s="21">
        <f t="shared" si="18"/>
        <v>0</v>
      </c>
      <c r="X217" s="21" t="str">
        <f t="shared" si="19"/>
        <v>NA</v>
      </c>
      <c r="Y217" s="22" t="str">
        <f t="shared" si="16"/>
        <v>NA</v>
      </c>
    </row>
    <row r="218" spans="1:25" x14ac:dyDescent="0.3">
      <c r="A218" s="98" t="s">
        <v>596</v>
      </c>
      <c r="B218" s="98" t="s">
        <v>597</v>
      </c>
      <c r="C218" s="24" t="s">
        <v>597</v>
      </c>
      <c r="D218" s="110">
        <v>86.55</v>
      </c>
      <c r="E218" s="110">
        <v>90.25</v>
      </c>
      <c r="F218" s="23" t="s">
        <v>38</v>
      </c>
      <c r="G218" s="59">
        <f t="shared" si="20"/>
        <v>-1.2416107382550345E-2</v>
      </c>
      <c r="H218" s="17">
        <v>0</v>
      </c>
      <c r="I218" s="17">
        <v>0</v>
      </c>
      <c r="J218" s="17">
        <v>1</v>
      </c>
      <c r="K218" s="17">
        <v>1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21">
        <f t="shared" si="17"/>
        <v>30</v>
      </c>
      <c r="W218" s="21">
        <f t="shared" si="18"/>
        <v>-5</v>
      </c>
      <c r="X218" s="21" t="str">
        <f t="shared" si="19"/>
        <v>NA</v>
      </c>
      <c r="Y218" s="22" t="str">
        <f t="shared" si="16"/>
        <v>NA</v>
      </c>
    </row>
    <row r="219" spans="1:25" ht="15.6" x14ac:dyDescent="0.3">
      <c r="A219" s="23" t="s">
        <v>598</v>
      </c>
      <c r="B219" s="98" t="s">
        <v>599</v>
      </c>
      <c r="C219" s="24" t="s">
        <v>600</v>
      </c>
      <c r="D219" s="110">
        <v>-1138.8800000000001</v>
      </c>
      <c r="E219" s="110" t="s">
        <v>38</v>
      </c>
      <c r="F219" s="23" t="s">
        <v>38</v>
      </c>
      <c r="G219" s="59" t="str">
        <f t="shared" si="20"/>
        <v>NA</v>
      </c>
      <c r="H219" s="17">
        <v>6</v>
      </c>
      <c r="I219" s="17">
        <v>4</v>
      </c>
      <c r="J219" s="17">
        <v>7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-2</v>
      </c>
      <c r="V219" s="21">
        <f t="shared" si="17"/>
        <v>188</v>
      </c>
      <c r="W219" s="21">
        <f t="shared" si="18"/>
        <v>16</v>
      </c>
      <c r="X219" s="21">
        <f t="shared" si="19"/>
        <v>2.6666666666666665</v>
      </c>
      <c r="Y219" s="22">
        <f t="shared" si="16"/>
        <v>715.52751194866414</v>
      </c>
    </row>
    <row r="220" spans="1:25" ht="15.6" x14ac:dyDescent="0.3">
      <c r="A220" s="98" t="s">
        <v>601</v>
      </c>
      <c r="B220" s="98" t="s">
        <v>601</v>
      </c>
      <c r="C220" s="24" t="s">
        <v>602</v>
      </c>
      <c r="D220" s="97">
        <v>-509.96</v>
      </c>
      <c r="E220" s="58" t="s">
        <v>38</v>
      </c>
      <c r="F220" s="23" t="s">
        <v>38</v>
      </c>
      <c r="G220" s="59" t="str">
        <f t="shared" si="20"/>
        <v>NA</v>
      </c>
      <c r="H220" s="17">
        <v>2</v>
      </c>
      <c r="I220" s="17">
        <v>1</v>
      </c>
      <c r="J220" s="17">
        <v>3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1</v>
      </c>
      <c r="T220" s="17">
        <v>0</v>
      </c>
      <c r="U220" s="17">
        <v>-1</v>
      </c>
      <c r="V220" s="21">
        <f t="shared" si="17"/>
        <v>73</v>
      </c>
      <c r="W220" s="21">
        <f t="shared" si="18"/>
        <v>4</v>
      </c>
      <c r="X220" s="21">
        <f t="shared" si="19"/>
        <v>2</v>
      </c>
      <c r="Y220" s="22">
        <f t="shared" si="16"/>
        <v>620.72566793470162</v>
      </c>
    </row>
    <row r="221" spans="1:25" ht="15.6" x14ac:dyDescent="0.3">
      <c r="A221" s="23" t="s">
        <v>603</v>
      </c>
      <c r="B221" s="98" t="s">
        <v>604</v>
      </c>
      <c r="C221" s="24" t="s">
        <v>605</v>
      </c>
      <c r="D221" s="110">
        <v>-469.15</v>
      </c>
      <c r="E221" s="58" t="s">
        <v>38</v>
      </c>
      <c r="F221" s="23" t="s">
        <v>38</v>
      </c>
      <c r="G221" s="59" t="str">
        <f t="shared" si="20"/>
        <v>NA</v>
      </c>
      <c r="H221" s="17">
        <v>5</v>
      </c>
      <c r="I221" s="17">
        <v>7</v>
      </c>
      <c r="J221" s="17">
        <v>3</v>
      </c>
      <c r="K221" s="17">
        <v>1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21">
        <f t="shared" si="17"/>
        <v>129</v>
      </c>
      <c r="W221" s="21">
        <f t="shared" si="18"/>
        <v>18</v>
      </c>
      <c r="X221" s="21">
        <f t="shared" si="19"/>
        <v>3.6</v>
      </c>
      <c r="Y221" s="22">
        <f t="shared" si="16"/>
        <v>246.38713270900504</v>
      </c>
    </row>
    <row r="222" spans="1:25" ht="15.6" x14ac:dyDescent="0.3">
      <c r="A222" s="98" t="s">
        <v>606</v>
      </c>
      <c r="B222" s="98" t="s">
        <v>13</v>
      </c>
      <c r="C222" s="24" t="s">
        <v>607</v>
      </c>
      <c r="D222" s="110">
        <v>-244.90000000000009</v>
      </c>
      <c r="E222" s="95">
        <f>+IF(AA3=1,calcEnthJoback!B21,IF(AA3=2,calcEnthJoback!C21,"NA"))</f>
        <v>-539.20999999999992</v>
      </c>
      <c r="F222" s="23" t="s">
        <v>38</v>
      </c>
      <c r="G222" s="59">
        <f>+IF(E222="NA","NA",(D222-E222)/298)</f>
        <v>0.98761744966442899</v>
      </c>
      <c r="H222" s="17">
        <v>3</v>
      </c>
      <c r="I222" s="17">
        <v>3</v>
      </c>
      <c r="J222" s="17">
        <v>2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1</v>
      </c>
      <c r="T222" s="17">
        <v>0</v>
      </c>
      <c r="U222" s="17">
        <v>0</v>
      </c>
      <c r="V222" s="21">
        <f t="shared" si="17"/>
        <v>71</v>
      </c>
      <c r="W222" s="21">
        <f t="shared" si="18"/>
        <v>11</v>
      </c>
      <c r="X222" s="21">
        <f t="shared" si="19"/>
        <v>3.6666666666666665</v>
      </c>
      <c r="Y222" s="22">
        <f>IF(H222&gt;0, 200+18*(6-H222)^1.8+EXP((3.6+0.4*H222)*((3.8-X222)^2)^0.16),"NA")</f>
        <v>342.45983671195654</v>
      </c>
    </row>
    <row r="223" spans="1:25" ht="15.6" x14ac:dyDescent="0.3">
      <c r="A223" s="98" t="s">
        <v>608</v>
      </c>
      <c r="B223" s="23" t="s">
        <v>609</v>
      </c>
      <c r="C223" s="24" t="s">
        <v>610</v>
      </c>
      <c r="D223" s="110">
        <v>-259.39999999999998</v>
      </c>
      <c r="E223" s="110" t="s">
        <v>38</v>
      </c>
      <c r="F223" s="23" t="s">
        <v>38</v>
      </c>
      <c r="G223" s="59" t="str">
        <f t="shared" si="20"/>
        <v>NA</v>
      </c>
      <c r="H223" s="17">
        <v>16</v>
      </c>
      <c r="I223" s="17">
        <v>31</v>
      </c>
      <c r="J223" s="17">
        <v>1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-1</v>
      </c>
      <c r="V223" s="21">
        <f t="shared" si="17"/>
        <v>239</v>
      </c>
      <c r="W223" s="21">
        <f t="shared" si="18"/>
        <v>94</v>
      </c>
      <c r="X223" s="21">
        <f t="shared" si="19"/>
        <v>5.875</v>
      </c>
      <c r="Y223" s="22" t="e">
        <f t="shared" si="16"/>
        <v>#NUM!</v>
      </c>
    </row>
    <row r="224" spans="1:25" ht="15.6" x14ac:dyDescent="0.3">
      <c r="A224" s="98" t="s">
        <v>611</v>
      </c>
      <c r="B224" s="23" t="s">
        <v>612</v>
      </c>
      <c r="C224" s="24" t="s">
        <v>613</v>
      </c>
      <c r="D224" s="110">
        <v>-1263.6500000000001</v>
      </c>
      <c r="E224" s="110">
        <v>-1621.38</v>
      </c>
      <c r="F224" s="23" t="s">
        <v>38</v>
      </c>
      <c r="G224" s="59">
        <f t="shared" si="20"/>
        <v>1.2004362416107384</v>
      </c>
      <c r="H224" s="17">
        <v>21</v>
      </c>
      <c r="I224" s="17">
        <v>36</v>
      </c>
      <c r="J224" s="17">
        <v>16</v>
      </c>
      <c r="K224" s="17">
        <v>7</v>
      </c>
      <c r="L224" s="17">
        <v>3</v>
      </c>
      <c r="M224" s="17">
        <v>1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21">
        <f t="shared" si="17"/>
        <v>767</v>
      </c>
      <c r="W224" s="21">
        <f t="shared" si="18"/>
        <v>88</v>
      </c>
      <c r="X224" s="21">
        <f t="shared" si="19"/>
        <v>4.1904761904761907</v>
      </c>
      <c r="Y224" s="22" t="e">
        <f t="shared" si="16"/>
        <v>#NUM!</v>
      </c>
    </row>
    <row r="225" spans="1:25" ht="15.6" x14ac:dyDescent="0.3">
      <c r="A225" s="98" t="s">
        <v>614</v>
      </c>
      <c r="B225" s="23"/>
      <c r="C225" s="24" t="s">
        <v>615</v>
      </c>
      <c r="D225" s="110">
        <v>-207.1</v>
      </c>
      <c r="E225" s="110" t="s">
        <v>38</v>
      </c>
      <c r="F225" s="23" t="s">
        <v>38</v>
      </c>
      <c r="G225" s="59" t="str">
        <f t="shared" si="20"/>
        <v>NA</v>
      </c>
      <c r="H225" s="17">
        <v>9</v>
      </c>
      <c r="I225" s="17">
        <v>11</v>
      </c>
      <c r="J225" s="17">
        <v>2</v>
      </c>
      <c r="K225" s="17">
        <v>1</v>
      </c>
      <c r="L225" s="17"/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21">
        <f t="shared" si="17"/>
        <v>165</v>
      </c>
      <c r="W225" s="21">
        <f t="shared" si="18"/>
        <v>40</v>
      </c>
      <c r="X225" s="21">
        <f t="shared" si="19"/>
        <v>4.4444444444444446</v>
      </c>
      <c r="Y225" s="22" t="e">
        <f t="shared" si="16"/>
        <v>#NUM!</v>
      </c>
    </row>
    <row r="226" spans="1:25" ht="15.6" x14ac:dyDescent="0.3">
      <c r="A226" s="23" t="s">
        <v>616</v>
      </c>
      <c r="B226" s="23"/>
      <c r="C226" s="24" t="s">
        <v>617</v>
      </c>
      <c r="D226" s="110">
        <v>-1496.38</v>
      </c>
      <c r="E226" s="110" t="s">
        <v>38</v>
      </c>
      <c r="F226" s="23" t="s">
        <v>38</v>
      </c>
      <c r="G226" s="59" t="str">
        <f t="shared" si="20"/>
        <v>NA</v>
      </c>
      <c r="H226" s="17">
        <v>3</v>
      </c>
      <c r="I226" s="17">
        <v>4</v>
      </c>
      <c r="J226" s="17">
        <v>7</v>
      </c>
      <c r="K226" s="17">
        <v>0</v>
      </c>
      <c r="L226" s="17">
        <v>1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-3</v>
      </c>
      <c r="V226" s="21">
        <f t="shared" si="17"/>
        <v>183</v>
      </c>
      <c r="W226" s="21">
        <f t="shared" si="18"/>
        <v>10</v>
      </c>
      <c r="X226" s="21">
        <f t="shared" si="19"/>
        <v>3.3333333333333335</v>
      </c>
      <c r="Y226" s="22">
        <f t="shared" si="16"/>
        <v>373.04300334134575</v>
      </c>
    </row>
    <row r="227" spans="1:25" ht="15.6" x14ac:dyDescent="0.3">
      <c r="A227" s="23" t="s">
        <v>618</v>
      </c>
      <c r="B227" s="23"/>
      <c r="C227" s="24" t="s">
        <v>617</v>
      </c>
      <c r="D227" s="110">
        <v>-1502.54</v>
      </c>
      <c r="E227" s="110" t="s">
        <v>38</v>
      </c>
      <c r="F227" s="23" t="s">
        <v>38</v>
      </c>
      <c r="G227" s="59" t="str">
        <f t="shared" si="20"/>
        <v>NA</v>
      </c>
      <c r="H227" s="17">
        <v>3</v>
      </c>
      <c r="I227" s="17">
        <v>4</v>
      </c>
      <c r="J227" s="17">
        <v>7</v>
      </c>
      <c r="K227" s="17">
        <v>0</v>
      </c>
      <c r="L227" s="17">
        <v>1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-3</v>
      </c>
      <c r="V227" s="21">
        <f t="shared" si="17"/>
        <v>183</v>
      </c>
      <c r="W227" s="21">
        <f t="shared" si="18"/>
        <v>10</v>
      </c>
      <c r="X227" s="21">
        <f t="shared" si="19"/>
        <v>3.3333333333333335</v>
      </c>
      <c r="Y227" s="22">
        <f t="shared" si="16"/>
        <v>373.04300334134575</v>
      </c>
    </row>
    <row r="228" spans="1:25" ht="15.6" x14ac:dyDescent="0.3">
      <c r="A228" s="98" t="s">
        <v>619</v>
      </c>
      <c r="B228" s="23"/>
      <c r="C228" s="24" t="s">
        <v>620</v>
      </c>
      <c r="D228" s="110">
        <v>-1448.67</v>
      </c>
      <c r="E228" s="110" t="s">
        <v>38</v>
      </c>
      <c r="F228" s="23" t="s">
        <v>38</v>
      </c>
      <c r="G228" s="59" t="str">
        <f t="shared" si="20"/>
        <v>NA</v>
      </c>
      <c r="H228" s="17">
        <v>3</v>
      </c>
      <c r="I228" s="17">
        <v>5</v>
      </c>
      <c r="J228" s="17">
        <v>7</v>
      </c>
      <c r="K228" s="17">
        <v>0</v>
      </c>
      <c r="L228" s="17">
        <v>1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-3</v>
      </c>
      <c r="V228" s="21">
        <f t="shared" si="17"/>
        <v>184</v>
      </c>
      <c r="W228" s="21">
        <f t="shared" si="18"/>
        <v>11</v>
      </c>
      <c r="X228" s="21">
        <f t="shared" si="19"/>
        <v>3.6666666666666665</v>
      </c>
      <c r="Y228" s="22">
        <f t="shared" si="16"/>
        <v>342.45983671195654</v>
      </c>
    </row>
    <row r="229" spans="1:25" ht="15.6" x14ac:dyDescent="0.3">
      <c r="A229" s="98" t="s">
        <v>621</v>
      </c>
      <c r="B229" s="23"/>
      <c r="C229" s="24" t="s">
        <v>622</v>
      </c>
      <c r="D229" s="110">
        <v>-1360.75</v>
      </c>
      <c r="E229" s="110" t="s">
        <v>38</v>
      </c>
      <c r="F229" s="23" t="s">
        <v>38</v>
      </c>
      <c r="G229" s="59" t="str">
        <f t="shared" si="20"/>
        <v>NA</v>
      </c>
      <c r="H229" s="17">
        <v>3</v>
      </c>
      <c r="I229" s="17">
        <v>6</v>
      </c>
      <c r="J229" s="17">
        <v>6</v>
      </c>
      <c r="K229" s="17">
        <v>1</v>
      </c>
      <c r="L229" s="17">
        <v>1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-2</v>
      </c>
      <c r="V229" s="21">
        <f t="shared" si="17"/>
        <v>183</v>
      </c>
      <c r="W229" s="21">
        <f t="shared" si="18"/>
        <v>10</v>
      </c>
      <c r="X229" s="21">
        <f t="shared" si="19"/>
        <v>3.3333333333333335</v>
      </c>
      <c r="Y229" s="22">
        <f t="shared" si="16"/>
        <v>373.04300334134575</v>
      </c>
    </row>
    <row r="230" spans="1:25" ht="15.6" x14ac:dyDescent="0.3">
      <c r="A230" s="98" t="s">
        <v>623</v>
      </c>
      <c r="B230" s="23"/>
      <c r="C230" s="24" t="s">
        <v>243</v>
      </c>
      <c r="D230" s="110">
        <v>-185.23</v>
      </c>
      <c r="E230" s="110">
        <v>-330.83</v>
      </c>
      <c r="F230" s="23" t="s">
        <v>38</v>
      </c>
      <c r="G230" s="59">
        <f t="shared" si="20"/>
        <v>0.48859060402684562</v>
      </c>
      <c r="H230" s="17">
        <v>3</v>
      </c>
      <c r="I230" s="17">
        <v>8</v>
      </c>
      <c r="J230" s="17">
        <v>1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21">
        <f t="shared" si="17"/>
        <v>60</v>
      </c>
      <c r="W230" s="21">
        <f t="shared" si="18"/>
        <v>18</v>
      </c>
      <c r="X230" s="21">
        <f t="shared" si="19"/>
        <v>6</v>
      </c>
      <c r="Y230" s="22">
        <f t="shared" si="16"/>
        <v>811.85575666394629</v>
      </c>
    </row>
    <row r="231" spans="1:25" ht="15.6" x14ac:dyDescent="0.3">
      <c r="A231" s="98" t="s">
        <v>624</v>
      </c>
      <c r="B231" s="62"/>
      <c r="C231" s="24" t="s">
        <v>243</v>
      </c>
      <c r="D231" s="110">
        <v>-175.8</v>
      </c>
      <c r="E231" s="110" t="s">
        <v>38</v>
      </c>
      <c r="F231" s="23" t="s">
        <v>38</v>
      </c>
      <c r="G231" s="59" t="str">
        <f t="shared" si="20"/>
        <v>NA</v>
      </c>
      <c r="H231" s="17">
        <v>3</v>
      </c>
      <c r="I231" s="17">
        <v>8</v>
      </c>
      <c r="J231" s="17">
        <v>1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21">
        <f t="shared" si="17"/>
        <v>60</v>
      </c>
      <c r="W231" s="21">
        <f t="shared" si="18"/>
        <v>18</v>
      </c>
      <c r="X231" s="21">
        <f t="shared" si="19"/>
        <v>6</v>
      </c>
      <c r="Y231" s="22">
        <f t="shared" si="16"/>
        <v>811.85575666394629</v>
      </c>
    </row>
    <row r="232" spans="1:25" ht="15.6" x14ac:dyDescent="0.3">
      <c r="A232" s="23" t="s">
        <v>625</v>
      </c>
      <c r="B232" s="23"/>
      <c r="C232" s="24" t="s">
        <v>626</v>
      </c>
      <c r="D232" s="110">
        <v>-3284.25</v>
      </c>
      <c r="E232" s="110" t="s">
        <v>38</v>
      </c>
      <c r="F232" s="23" t="s">
        <v>38</v>
      </c>
      <c r="G232" s="59" t="str">
        <f t="shared" si="20"/>
        <v>NA</v>
      </c>
      <c r="H232" s="17">
        <v>5</v>
      </c>
      <c r="I232" s="17">
        <v>8</v>
      </c>
      <c r="J232" s="17">
        <v>14</v>
      </c>
      <c r="K232" s="17">
        <v>0</v>
      </c>
      <c r="L232" s="17">
        <v>3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-5</v>
      </c>
      <c r="V232" s="21">
        <f t="shared" si="17"/>
        <v>385</v>
      </c>
      <c r="W232" s="21">
        <f t="shared" si="18"/>
        <v>20</v>
      </c>
      <c r="X232" s="21">
        <f t="shared" si="19"/>
        <v>4</v>
      </c>
      <c r="Y232" s="22">
        <f t="shared" si="16"/>
        <v>246.38713270900507</v>
      </c>
    </row>
    <row r="233" spans="1:25" ht="15.6" x14ac:dyDescent="0.3">
      <c r="A233" s="23" t="s">
        <v>627</v>
      </c>
      <c r="B233" s="23"/>
      <c r="C233" s="24" t="s">
        <v>628</v>
      </c>
      <c r="D233" s="110">
        <v>0</v>
      </c>
      <c r="E233" s="110" t="s">
        <v>38</v>
      </c>
      <c r="F233" s="23" t="s">
        <v>38</v>
      </c>
      <c r="G233" s="59" t="str">
        <f t="shared" si="20"/>
        <v>NA</v>
      </c>
      <c r="H233" s="17">
        <v>20</v>
      </c>
      <c r="I233" s="17">
        <v>28</v>
      </c>
      <c r="J233" s="17">
        <v>1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21">
        <f t="shared" si="17"/>
        <v>284</v>
      </c>
      <c r="W233" s="21">
        <f t="shared" si="18"/>
        <v>106</v>
      </c>
      <c r="X233" s="21">
        <f t="shared" si="19"/>
        <v>5.3</v>
      </c>
      <c r="Y233" s="22" t="e">
        <f t="shared" si="16"/>
        <v>#NUM!</v>
      </c>
    </row>
    <row r="234" spans="1:25" ht="15.6" x14ac:dyDescent="0.3">
      <c r="A234" s="23" t="s">
        <v>629</v>
      </c>
      <c r="B234" s="23"/>
      <c r="C234" s="24" t="s">
        <v>630</v>
      </c>
      <c r="D234" s="110">
        <v>-27.91</v>
      </c>
      <c r="E234" s="110" t="s">
        <v>38</v>
      </c>
      <c r="F234" s="23" t="s">
        <v>38</v>
      </c>
      <c r="G234" s="59" t="str">
        <f t="shared" si="20"/>
        <v>NA</v>
      </c>
      <c r="H234" s="17">
        <v>20</v>
      </c>
      <c r="I234" s="17">
        <v>30</v>
      </c>
      <c r="J234" s="17">
        <v>1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21">
        <f t="shared" si="17"/>
        <v>286</v>
      </c>
      <c r="W234" s="21">
        <f t="shared" si="18"/>
        <v>108</v>
      </c>
      <c r="X234" s="21">
        <f t="shared" si="19"/>
        <v>5.4</v>
      </c>
      <c r="Y234" s="22" t="e">
        <f t="shared" si="16"/>
        <v>#NUM!</v>
      </c>
    </row>
    <row r="235" spans="1:25" ht="15.6" x14ac:dyDescent="0.3">
      <c r="A235" s="63" t="s">
        <v>759</v>
      </c>
      <c r="B235" s="23" t="s">
        <v>760</v>
      </c>
      <c r="C235" s="24" t="s">
        <v>761</v>
      </c>
      <c r="D235" s="58">
        <v>0</v>
      </c>
      <c r="E235" s="58" t="s">
        <v>38</v>
      </c>
      <c r="F235" s="23" t="s">
        <v>38</v>
      </c>
      <c r="G235" s="59" t="str">
        <f t="shared" si="20"/>
        <v>NA</v>
      </c>
      <c r="H235" s="17">
        <v>34</v>
      </c>
      <c r="I235" s="17">
        <v>44</v>
      </c>
      <c r="J235" s="17">
        <v>15</v>
      </c>
      <c r="K235" s="17">
        <v>4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21">
        <f t="shared" ref="V235:V247" si="21">SUMPRODUCT(H235:U235,$H$273:$U$273)</f>
        <v>748</v>
      </c>
      <c r="W235" s="21">
        <f t="shared" ref="W235:W247" si="22">SUMPRODUCT($H235:$U235,$H$274:$U$274)</f>
        <v>138</v>
      </c>
      <c r="X235" s="21">
        <f t="shared" ref="X235:X247" si="23">(IF(H235&lt;&gt;0,SUMPRODUCT($H235:$U235,$H$274:$U$274)/$H235,"NA"))</f>
        <v>4.0588235294117645</v>
      </c>
      <c r="Y235" s="22" t="e">
        <f t="shared" si="16"/>
        <v>#NUM!</v>
      </c>
    </row>
    <row r="236" spans="1:25" ht="15.6" x14ac:dyDescent="0.3">
      <c r="A236" s="63" t="s">
        <v>762</v>
      </c>
      <c r="B236" s="23" t="s">
        <v>763</v>
      </c>
      <c r="C236" s="24" t="s">
        <v>764</v>
      </c>
      <c r="D236" s="58">
        <v>-157.96978495627218</v>
      </c>
      <c r="E236" s="58" t="s">
        <v>38</v>
      </c>
      <c r="F236" s="23" t="s">
        <v>38</v>
      </c>
      <c r="G236" s="59" t="str">
        <f t="shared" si="20"/>
        <v>NA</v>
      </c>
      <c r="H236" s="17">
        <v>35</v>
      </c>
      <c r="I236" s="17">
        <v>44</v>
      </c>
      <c r="J236" s="17">
        <v>16</v>
      </c>
      <c r="K236" s="17">
        <v>4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21">
        <f t="shared" si="21"/>
        <v>776</v>
      </c>
      <c r="W236" s="21">
        <f t="shared" si="22"/>
        <v>140</v>
      </c>
      <c r="X236" s="21">
        <f t="shared" si="23"/>
        <v>4</v>
      </c>
      <c r="Y236" s="22" t="e">
        <f t="shared" si="16"/>
        <v>#NUM!</v>
      </c>
    </row>
    <row r="237" spans="1:25" ht="15.6" x14ac:dyDescent="0.3">
      <c r="A237" s="63" t="s">
        <v>765</v>
      </c>
      <c r="B237" s="23" t="s">
        <v>766</v>
      </c>
      <c r="C237" s="24" t="s">
        <v>767</v>
      </c>
      <c r="D237" s="58">
        <v>0</v>
      </c>
      <c r="E237" s="58" t="s">
        <v>38</v>
      </c>
      <c r="F237" s="23" t="s">
        <v>38</v>
      </c>
      <c r="G237" s="59" t="str">
        <f t="shared" si="20"/>
        <v>NA</v>
      </c>
      <c r="H237" s="17">
        <v>30</v>
      </c>
      <c r="I237" s="17">
        <v>45</v>
      </c>
      <c r="J237" s="17">
        <v>16</v>
      </c>
      <c r="K237" s="17">
        <v>6</v>
      </c>
      <c r="L237" s="17">
        <v>1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21">
        <f t="shared" si="21"/>
        <v>776</v>
      </c>
      <c r="W237" s="21">
        <f t="shared" si="22"/>
        <v>120</v>
      </c>
      <c r="X237" s="21">
        <f t="shared" si="23"/>
        <v>4</v>
      </c>
      <c r="Y237" s="22" t="e">
        <f t="shared" si="16"/>
        <v>#NUM!</v>
      </c>
    </row>
    <row r="238" spans="1:25" ht="15.6" x14ac:dyDescent="0.3">
      <c r="A238" s="63" t="s">
        <v>768</v>
      </c>
      <c r="B238" s="23" t="s">
        <v>769</v>
      </c>
      <c r="C238" s="24" t="s">
        <v>770</v>
      </c>
      <c r="D238" s="58">
        <v>-162.96978495627218</v>
      </c>
      <c r="E238" s="58" t="s">
        <v>38</v>
      </c>
      <c r="F238" s="23" t="s">
        <v>38</v>
      </c>
      <c r="G238" s="59" t="str">
        <f t="shared" si="20"/>
        <v>NA</v>
      </c>
      <c r="H238" s="17">
        <v>31</v>
      </c>
      <c r="I238" s="17">
        <v>45</v>
      </c>
      <c r="J238" s="17">
        <v>17</v>
      </c>
      <c r="K238" s="17">
        <v>6</v>
      </c>
      <c r="L238" s="17">
        <v>1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21">
        <f t="shared" si="21"/>
        <v>804</v>
      </c>
      <c r="W238" s="21">
        <f t="shared" si="22"/>
        <v>122</v>
      </c>
      <c r="X238" s="21">
        <f t="shared" si="23"/>
        <v>3.935483870967742</v>
      </c>
      <c r="Y238" s="22" t="e">
        <f t="shared" si="16"/>
        <v>#NUM!</v>
      </c>
    </row>
    <row r="239" spans="1:25" ht="15.6" x14ac:dyDescent="0.3">
      <c r="A239" s="63" t="s">
        <v>771</v>
      </c>
      <c r="B239" s="23" t="s">
        <v>772</v>
      </c>
      <c r="C239" s="24" t="s">
        <v>773</v>
      </c>
      <c r="D239" s="58">
        <v>29.276472565591728</v>
      </c>
      <c r="E239" s="58" t="s">
        <v>38</v>
      </c>
      <c r="F239" s="23" t="s">
        <v>38</v>
      </c>
      <c r="G239" s="59" t="str">
        <f t="shared" si="20"/>
        <v>NA</v>
      </c>
      <c r="H239" s="17">
        <v>31</v>
      </c>
      <c r="I239" s="17">
        <v>44</v>
      </c>
      <c r="J239" s="17">
        <v>16</v>
      </c>
      <c r="K239" s="17">
        <v>6</v>
      </c>
      <c r="L239" s="17">
        <v>1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1</v>
      </c>
      <c r="V239" s="21">
        <f t="shared" si="21"/>
        <v>787</v>
      </c>
      <c r="W239" s="21">
        <f t="shared" si="22"/>
        <v>122</v>
      </c>
      <c r="X239" s="21">
        <f t="shared" si="23"/>
        <v>3.935483870967742</v>
      </c>
      <c r="Y239" s="22" t="e">
        <f t="shared" si="16"/>
        <v>#NUM!</v>
      </c>
    </row>
    <row r="240" spans="1:25" ht="15.6" x14ac:dyDescent="0.3">
      <c r="A240" s="63" t="s">
        <v>774</v>
      </c>
      <c r="B240" s="23" t="s">
        <v>775</v>
      </c>
      <c r="C240" s="24" t="s">
        <v>776</v>
      </c>
      <c r="D240" s="58">
        <v>64.710215043728027</v>
      </c>
      <c r="E240" s="58" t="s">
        <v>38</v>
      </c>
      <c r="F240" s="23" t="s">
        <v>38</v>
      </c>
      <c r="G240" s="59" t="str">
        <f t="shared" si="20"/>
        <v>NA</v>
      </c>
      <c r="H240" s="17">
        <v>31</v>
      </c>
      <c r="I240" s="17">
        <v>45</v>
      </c>
      <c r="J240" s="17">
        <v>16</v>
      </c>
      <c r="K240" s="17">
        <v>6</v>
      </c>
      <c r="L240" s="17">
        <v>1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21">
        <f t="shared" si="21"/>
        <v>788</v>
      </c>
      <c r="W240" s="21">
        <f t="shared" si="22"/>
        <v>124</v>
      </c>
      <c r="X240" s="21">
        <f t="shared" si="23"/>
        <v>4</v>
      </c>
      <c r="Y240" s="22" t="e">
        <f t="shared" si="16"/>
        <v>#NUM!</v>
      </c>
    </row>
    <row r="241" spans="1:25" ht="15.6" x14ac:dyDescent="0.3">
      <c r="A241" s="63" t="s">
        <v>777</v>
      </c>
      <c r="B241" s="23" t="s">
        <v>778</v>
      </c>
      <c r="C241" s="24" t="s">
        <v>779</v>
      </c>
      <c r="D241" s="58">
        <v>48.210215043728034</v>
      </c>
      <c r="E241" s="58" t="s">
        <v>38</v>
      </c>
      <c r="F241" s="23" t="s">
        <v>38</v>
      </c>
      <c r="G241" s="59" t="str">
        <f t="shared" si="20"/>
        <v>NA</v>
      </c>
      <c r="H241" s="17">
        <v>31</v>
      </c>
      <c r="I241" s="17">
        <v>47</v>
      </c>
      <c r="J241" s="17">
        <v>16</v>
      </c>
      <c r="K241" s="17">
        <v>6</v>
      </c>
      <c r="L241" s="17">
        <v>1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21">
        <f t="shared" si="21"/>
        <v>790</v>
      </c>
      <c r="W241" s="21">
        <f t="shared" si="22"/>
        <v>126</v>
      </c>
      <c r="X241" s="21">
        <f t="shared" si="23"/>
        <v>4.064516129032258</v>
      </c>
      <c r="Y241" s="22" t="e">
        <f t="shared" si="16"/>
        <v>#NUM!</v>
      </c>
    </row>
    <row r="242" spans="1:25" ht="15.6" x14ac:dyDescent="0.3">
      <c r="A242" s="63" t="s">
        <v>780</v>
      </c>
      <c r="B242" s="23" t="s">
        <v>781</v>
      </c>
      <c r="C242" s="24" t="s">
        <v>782</v>
      </c>
      <c r="D242" s="58">
        <v>0</v>
      </c>
      <c r="E242" s="58" t="s">
        <v>38</v>
      </c>
      <c r="F242" s="23" t="s">
        <v>38</v>
      </c>
      <c r="G242" s="59" t="str">
        <f t="shared" si="20"/>
        <v>NA</v>
      </c>
      <c r="H242" s="17">
        <v>2</v>
      </c>
      <c r="I242" s="17">
        <v>6</v>
      </c>
      <c r="J242" s="17">
        <v>3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21">
        <f t="shared" si="21"/>
        <v>142</v>
      </c>
      <c r="W242" s="21">
        <f t="shared" si="22"/>
        <v>20</v>
      </c>
      <c r="X242" s="21">
        <f t="shared" si="23"/>
        <v>10</v>
      </c>
      <c r="Y242" s="22">
        <f t="shared" si="16"/>
        <v>3085.8471225321482</v>
      </c>
    </row>
    <row r="243" spans="1:25" ht="15.6" x14ac:dyDescent="0.3">
      <c r="A243" s="63" t="s">
        <v>783</v>
      </c>
      <c r="B243" s="23" t="s">
        <v>784</v>
      </c>
      <c r="C243" s="24" t="s">
        <v>785</v>
      </c>
      <c r="D243" s="58">
        <v>18.210215043728034</v>
      </c>
      <c r="E243" s="58" t="s">
        <v>38</v>
      </c>
      <c r="F243" s="23" t="s">
        <v>38</v>
      </c>
      <c r="G243" s="59" t="str">
        <f t="shared" si="20"/>
        <v>NA</v>
      </c>
      <c r="H243" s="17">
        <v>3</v>
      </c>
      <c r="I243" s="17">
        <v>8</v>
      </c>
      <c r="J243" s="17">
        <v>3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21">
        <f t="shared" si="21"/>
        <v>156</v>
      </c>
      <c r="W243" s="21">
        <f t="shared" si="22"/>
        <v>26</v>
      </c>
      <c r="X243" s="21">
        <f t="shared" si="23"/>
        <v>8.6666666666666661</v>
      </c>
      <c r="Y243" s="22">
        <f t="shared" si="16"/>
        <v>3206.8673736438122</v>
      </c>
    </row>
    <row r="244" spans="1:25" ht="15.6" x14ac:dyDescent="0.3">
      <c r="A244" s="63" t="s">
        <v>786</v>
      </c>
      <c r="B244" s="23" t="s">
        <v>787</v>
      </c>
      <c r="C244" s="24" t="s">
        <v>788</v>
      </c>
      <c r="D244" s="58">
        <v>0</v>
      </c>
      <c r="E244" s="58" t="s">
        <v>38</v>
      </c>
      <c r="F244" s="23" t="s">
        <v>38</v>
      </c>
      <c r="G244" s="59" t="str">
        <f t="shared" si="20"/>
        <v>NA</v>
      </c>
      <c r="H244" s="17">
        <v>11</v>
      </c>
      <c r="I244" s="17">
        <v>22</v>
      </c>
      <c r="J244" s="17">
        <v>7</v>
      </c>
      <c r="K244" s="17">
        <v>1</v>
      </c>
      <c r="L244" s="17">
        <v>1</v>
      </c>
      <c r="M244" s="17">
        <v>1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21">
        <f t="shared" si="21"/>
        <v>343</v>
      </c>
      <c r="W244" s="21">
        <f t="shared" si="22"/>
        <v>60</v>
      </c>
      <c r="X244" s="21">
        <f t="shared" si="23"/>
        <v>5.4545454545454541</v>
      </c>
      <c r="Y244" s="22" t="e">
        <f t="shared" si="16"/>
        <v>#NUM!</v>
      </c>
    </row>
    <row r="245" spans="1:25" ht="15.6" x14ac:dyDescent="0.3">
      <c r="A245" s="63" t="s">
        <v>789</v>
      </c>
      <c r="B245" s="23" t="s">
        <v>790</v>
      </c>
      <c r="C245" s="24" t="s">
        <v>791</v>
      </c>
      <c r="D245" s="58">
        <v>39.010215043728032</v>
      </c>
      <c r="E245" s="58" t="s">
        <v>38</v>
      </c>
      <c r="F245" s="23" t="s">
        <v>38</v>
      </c>
      <c r="G245" s="59" t="str">
        <f t="shared" si="20"/>
        <v>NA</v>
      </c>
      <c r="H245" s="17">
        <v>13</v>
      </c>
      <c r="I245" s="17">
        <v>26</v>
      </c>
      <c r="J245" s="17">
        <v>10</v>
      </c>
      <c r="K245" s="17">
        <v>1</v>
      </c>
      <c r="L245" s="17">
        <v>1</v>
      </c>
      <c r="M245" s="17">
        <v>3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21">
        <f t="shared" si="21"/>
        <v>483</v>
      </c>
      <c r="W245" s="21">
        <f t="shared" si="22"/>
        <v>78</v>
      </c>
      <c r="X245" s="21">
        <f t="shared" si="23"/>
        <v>6</v>
      </c>
      <c r="Y245" s="22" t="e">
        <f t="shared" si="16"/>
        <v>#NUM!</v>
      </c>
    </row>
    <row r="246" spans="1:25" ht="15.6" x14ac:dyDescent="0.3">
      <c r="A246" s="63" t="s">
        <v>792</v>
      </c>
      <c r="B246" s="23" t="s">
        <v>793</v>
      </c>
      <c r="C246" s="24" t="s">
        <v>794</v>
      </c>
      <c r="D246" s="58">
        <v>0</v>
      </c>
      <c r="E246" s="58" t="s">
        <v>38</v>
      </c>
      <c r="F246" s="23" t="s">
        <v>38</v>
      </c>
      <c r="G246" s="59" t="str">
        <f t="shared" si="20"/>
        <v>NA</v>
      </c>
      <c r="H246" s="17">
        <v>29</v>
      </c>
      <c r="I246" s="17">
        <v>36</v>
      </c>
      <c r="J246" s="17">
        <v>18</v>
      </c>
      <c r="K246" s="17">
        <v>5</v>
      </c>
      <c r="L246" s="17">
        <v>1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21">
        <f t="shared" si="21"/>
        <v>773</v>
      </c>
      <c r="W246" s="21">
        <f t="shared" si="22"/>
        <v>106</v>
      </c>
      <c r="X246" s="21">
        <f t="shared" si="23"/>
        <v>3.6551724137931036</v>
      </c>
      <c r="Y246" s="22" t="e">
        <f t="shared" si="16"/>
        <v>#NUM!</v>
      </c>
    </row>
    <row r="247" spans="1:25" ht="15.6" x14ac:dyDescent="0.3">
      <c r="A247" s="63" t="s">
        <v>795</v>
      </c>
      <c r="B247" s="23" t="s">
        <v>796</v>
      </c>
      <c r="C247" s="24" t="s">
        <v>797</v>
      </c>
      <c r="D247" s="58">
        <v>-11</v>
      </c>
      <c r="E247" s="58" t="s">
        <v>38</v>
      </c>
      <c r="F247" s="23" t="s">
        <v>38</v>
      </c>
      <c r="G247" s="59" t="str">
        <f t="shared" si="20"/>
        <v>NA</v>
      </c>
      <c r="H247" s="17">
        <v>29</v>
      </c>
      <c r="I247" s="17">
        <v>38</v>
      </c>
      <c r="J247" s="17">
        <v>18</v>
      </c>
      <c r="K247" s="17">
        <v>5</v>
      </c>
      <c r="L247" s="17">
        <v>1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21">
        <f t="shared" si="21"/>
        <v>775</v>
      </c>
      <c r="W247" s="21">
        <f t="shared" si="22"/>
        <v>108</v>
      </c>
      <c r="X247" s="21">
        <f t="shared" si="23"/>
        <v>3.7241379310344827</v>
      </c>
      <c r="Y247" s="22" t="e">
        <f t="shared" si="16"/>
        <v>#NUM!</v>
      </c>
    </row>
    <row r="248" spans="1:25" ht="15.6" x14ac:dyDescent="0.3">
      <c r="A248" s="23" t="s">
        <v>631</v>
      </c>
      <c r="B248" s="23"/>
      <c r="C248" s="24" t="s">
        <v>632</v>
      </c>
      <c r="D248" s="110">
        <v>-774.8</v>
      </c>
      <c r="E248" s="110" t="s">
        <v>38</v>
      </c>
      <c r="F248" s="23" t="s">
        <v>38</v>
      </c>
      <c r="G248" s="59" t="str">
        <f t="shared" si="20"/>
        <v>NA</v>
      </c>
      <c r="H248" s="17">
        <v>5</v>
      </c>
      <c r="I248" s="17">
        <v>12</v>
      </c>
      <c r="J248" s="17">
        <v>5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21">
        <f t="shared" ref="V248:V272" si="24">SUMPRODUCT(H248:U248,$H$273:$U$273)</f>
        <v>152</v>
      </c>
      <c r="W248" s="21">
        <f t="shared" ref="W248:W272" si="25">SUMPRODUCT($H248:$U248,$H$274:$U$274)</f>
        <v>22</v>
      </c>
      <c r="X248" s="21">
        <f t="shared" ref="X248:X272" si="26">(IF(H248&lt;&gt;0,SUMPRODUCT($H248:$U248,$H$274:$U$274)/$H248,"NA"))</f>
        <v>4.4000000000000004</v>
      </c>
      <c r="Y248" s="22">
        <f t="shared" si="16"/>
        <v>334.22205636685555</v>
      </c>
    </row>
    <row r="249" spans="1:25" ht="15.6" x14ac:dyDescent="0.3">
      <c r="A249" s="23" t="s">
        <v>633</v>
      </c>
      <c r="B249" s="23"/>
      <c r="C249" s="24" t="s">
        <v>225</v>
      </c>
      <c r="D249" s="110">
        <v>-752</v>
      </c>
      <c r="E249" s="110">
        <v>-1034</v>
      </c>
      <c r="F249" s="23" t="s">
        <v>38</v>
      </c>
      <c r="G249" s="59">
        <f t="shared" si="20"/>
        <v>0.94630872483221473</v>
      </c>
      <c r="H249" s="17">
        <v>5</v>
      </c>
      <c r="I249" s="17">
        <v>10</v>
      </c>
      <c r="J249" s="17">
        <v>5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21">
        <f t="shared" si="24"/>
        <v>150</v>
      </c>
      <c r="W249" s="21">
        <f t="shared" si="25"/>
        <v>20</v>
      </c>
      <c r="X249" s="21">
        <f t="shared" si="26"/>
        <v>4</v>
      </c>
      <c r="Y249" s="22">
        <f t="shared" si="16"/>
        <v>246.38713270900507</v>
      </c>
    </row>
    <row r="250" spans="1:25" ht="15.6" x14ac:dyDescent="0.3">
      <c r="A250" s="23" t="s">
        <v>634</v>
      </c>
      <c r="B250" s="23"/>
      <c r="C250" s="24" t="s">
        <v>384</v>
      </c>
      <c r="D250" s="110">
        <v>-1587.7</v>
      </c>
      <c r="E250" s="110">
        <v>-2041.48</v>
      </c>
      <c r="F250" s="23" t="s">
        <v>38</v>
      </c>
      <c r="G250" s="59">
        <f t="shared" si="20"/>
        <v>1.5227516778523489</v>
      </c>
      <c r="H250" s="17">
        <v>5</v>
      </c>
      <c r="I250" s="17">
        <v>9</v>
      </c>
      <c r="J250" s="17">
        <v>8</v>
      </c>
      <c r="K250" s="17">
        <v>0</v>
      </c>
      <c r="L250" s="17">
        <v>1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-2</v>
      </c>
      <c r="V250" s="21">
        <f t="shared" si="24"/>
        <v>228</v>
      </c>
      <c r="W250" s="21">
        <f t="shared" si="25"/>
        <v>20</v>
      </c>
      <c r="X250" s="21">
        <f t="shared" si="26"/>
        <v>4</v>
      </c>
      <c r="Y250" s="22">
        <f t="shared" si="16"/>
        <v>246.38713270900507</v>
      </c>
    </row>
    <row r="251" spans="1:25" ht="15.6" x14ac:dyDescent="0.3">
      <c r="A251" s="23" t="s">
        <v>635</v>
      </c>
      <c r="B251" s="23"/>
      <c r="C251" s="24" t="s">
        <v>384</v>
      </c>
      <c r="D251" s="110">
        <v>-1595.78</v>
      </c>
      <c r="E251" s="110">
        <v>-2041.48</v>
      </c>
      <c r="F251" s="23" t="s">
        <v>38</v>
      </c>
      <c r="G251" s="59">
        <f t="shared" si="20"/>
        <v>1.4956375838926177</v>
      </c>
      <c r="H251" s="17">
        <v>5</v>
      </c>
      <c r="I251" s="17">
        <v>9</v>
      </c>
      <c r="J251" s="17">
        <v>8</v>
      </c>
      <c r="K251" s="17">
        <v>0</v>
      </c>
      <c r="L251" s="17">
        <v>1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-2</v>
      </c>
      <c r="V251" s="21">
        <f t="shared" si="24"/>
        <v>228</v>
      </c>
      <c r="W251" s="21">
        <f t="shared" si="25"/>
        <v>20</v>
      </c>
      <c r="X251" s="21">
        <f t="shared" si="26"/>
        <v>4</v>
      </c>
      <c r="Y251" s="22">
        <f t="shared" si="16"/>
        <v>246.38713270900507</v>
      </c>
    </row>
    <row r="252" spans="1:25" ht="15.6" x14ac:dyDescent="0.3">
      <c r="A252" s="23" t="s">
        <v>636</v>
      </c>
      <c r="B252" s="23"/>
      <c r="C252" s="24" t="s">
        <v>225</v>
      </c>
      <c r="D252" s="110">
        <v>-735.94</v>
      </c>
      <c r="E252" s="110">
        <v>-1023.02</v>
      </c>
      <c r="F252" s="23" t="s">
        <v>38</v>
      </c>
      <c r="G252" s="59">
        <f t="shared" si="20"/>
        <v>0.96335570469798637</v>
      </c>
      <c r="H252" s="17">
        <v>5</v>
      </c>
      <c r="I252" s="17">
        <v>10</v>
      </c>
      <c r="J252" s="17">
        <v>5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21">
        <f t="shared" si="24"/>
        <v>150</v>
      </c>
      <c r="W252" s="21">
        <f t="shared" si="25"/>
        <v>20</v>
      </c>
      <c r="X252" s="21">
        <f t="shared" si="26"/>
        <v>4</v>
      </c>
      <c r="Y252" s="22">
        <f t="shared" si="16"/>
        <v>246.38713270900507</v>
      </c>
    </row>
    <row r="253" spans="1:25" ht="15.6" x14ac:dyDescent="0.3">
      <c r="A253" s="23" t="s">
        <v>637</v>
      </c>
      <c r="B253" s="23"/>
      <c r="C253" s="24" t="s">
        <v>384</v>
      </c>
      <c r="D253" s="110">
        <v>-1595.32</v>
      </c>
      <c r="E253" s="110" t="s">
        <v>38</v>
      </c>
      <c r="F253" s="23" t="s">
        <v>38</v>
      </c>
      <c r="G253" s="59" t="str">
        <f t="shared" si="20"/>
        <v>NA</v>
      </c>
      <c r="H253" s="17">
        <v>5</v>
      </c>
      <c r="I253" s="17">
        <v>9</v>
      </c>
      <c r="J253" s="17">
        <v>8</v>
      </c>
      <c r="K253" s="17">
        <v>0</v>
      </c>
      <c r="L253" s="17">
        <v>1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-2</v>
      </c>
      <c r="V253" s="21">
        <f t="shared" si="24"/>
        <v>228</v>
      </c>
      <c r="W253" s="21">
        <f t="shared" si="25"/>
        <v>20</v>
      </c>
      <c r="X253" s="21">
        <f t="shared" si="26"/>
        <v>4</v>
      </c>
      <c r="Y253" s="22">
        <f t="shared" si="16"/>
        <v>246.38713270900507</v>
      </c>
    </row>
    <row r="254" spans="1:25" ht="15.6" x14ac:dyDescent="0.3">
      <c r="A254" s="23" t="s">
        <v>638</v>
      </c>
      <c r="B254" s="23"/>
      <c r="C254" s="24" t="s">
        <v>639</v>
      </c>
      <c r="D254" s="110">
        <v>-510.87</v>
      </c>
      <c r="E254" s="110" t="s">
        <v>38</v>
      </c>
      <c r="F254" s="23" t="s">
        <v>38</v>
      </c>
      <c r="G254" s="59" t="str">
        <f t="shared" si="20"/>
        <v>NA</v>
      </c>
      <c r="H254" s="17">
        <v>3</v>
      </c>
      <c r="I254" s="17">
        <v>7</v>
      </c>
      <c r="J254" s="17">
        <v>3</v>
      </c>
      <c r="K254" s="17">
        <v>1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21">
        <f t="shared" si="24"/>
        <v>105</v>
      </c>
      <c r="W254" s="21">
        <f t="shared" si="25"/>
        <v>10</v>
      </c>
      <c r="X254" s="21">
        <f t="shared" si="26"/>
        <v>3.3333333333333335</v>
      </c>
      <c r="Y254" s="22">
        <f t="shared" si="16"/>
        <v>373.04300334134575</v>
      </c>
    </row>
    <row r="255" spans="1:25" ht="15.6" x14ac:dyDescent="0.3">
      <c r="A255" s="23" t="s">
        <v>640</v>
      </c>
      <c r="B255" s="23"/>
      <c r="C255" s="24" t="s">
        <v>527</v>
      </c>
      <c r="D255" s="110">
        <v>-946.36</v>
      </c>
      <c r="E255" s="110" t="s">
        <v>38</v>
      </c>
      <c r="F255" s="23" t="s">
        <v>38</v>
      </c>
      <c r="G255" s="59" t="str">
        <f t="shared" si="20"/>
        <v>NA</v>
      </c>
      <c r="H255" s="17">
        <v>6</v>
      </c>
      <c r="I255" s="17">
        <v>14</v>
      </c>
      <c r="J255" s="17">
        <v>6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21">
        <f t="shared" si="24"/>
        <v>182</v>
      </c>
      <c r="W255" s="21">
        <f t="shared" si="25"/>
        <v>26</v>
      </c>
      <c r="X255" s="21">
        <f t="shared" si="26"/>
        <v>4.333333333333333</v>
      </c>
      <c r="Y255" s="22">
        <f t="shared" si="16"/>
        <v>335.19458530302916</v>
      </c>
    </row>
    <row r="256" spans="1:25" ht="15.6" x14ac:dyDescent="0.3">
      <c r="A256" s="23" t="s">
        <v>641</v>
      </c>
      <c r="B256" s="23"/>
      <c r="C256" s="24" t="s">
        <v>568</v>
      </c>
      <c r="D256" s="110">
        <v>-1793.1</v>
      </c>
      <c r="E256" s="110" t="s">
        <v>38</v>
      </c>
      <c r="F256" s="23" t="s">
        <v>38</v>
      </c>
      <c r="G256" s="59" t="str">
        <f t="shared" si="20"/>
        <v>NA</v>
      </c>
      <c r="H256" s="17">
        <v>6</v>
      </c>
      <c r="I256" s="17">
        <v>13</v>
      </c>
      <c r="J256" s="17">
        <v>9</v>
      </c>
      <c r="K256" s="17">
        <v>0</v>
      </c>
      <c r="L256" s="17">
        <v>1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-2</v>
      </c>
      <c r="V256" s="21">
        <f t="shared" si="24"/>
        <v>260</v>
      </c>
      <c r="W256" s="21">
        <f t="shared" si="25"/>
        <v>26</v>
      </c>
      <c r="X256" s="21">
        <f t="shared" si="26"/>
        <v>4.333333333333333</v>
      </c>
      <c r="Y256" s="22">
        <f t="shared" si="16"/>
        <v>335.19458530302916</v>
      </c>
    </row>
    <row r="257" spans="1:25" ht="15.6" x14ac:dyDescent="0.3">
      <c r="A257" s="23" t="s">
        <v>642</v>
      </c>
      <c r="B257" s="23"/>
      <c r="C257" s="24" t="s">
        <v>218</v>
      </c>
      <c r="D257" s="110">
        <v>-911.95</v>
      </c>
      <c r="E257" s="110">
        <v>-1263.3</v>
      </c>
      <c r="F257" s="23" t="s">
        <v>38</v>
      </c>
      <c r="G257" s="59">
        <f t="shared" si="20"/>
        <v>1.1790268456375836</v>
      </c>
      <c r="H257" s="17">
        <v>6</v>
      </c>
      <c r="I257" s="17">
        <v>12</v>
      </c>
      <c r="J257" s="17">
        <v>6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21">
        <f t="shared" si="24"/>
        <v>180</v>
      </c>
      <c r="W257" s="21">
        <f t="shared" si="25"/>
        <v>24</v>
      </c>
      <c r="X257" s="21">
        <f t="shared" si="26"/>
        <v>4</v>
      </c>
      <c r="Y257" s="22">
        <f t="shared" si="16"/>
        <v>236.05088437101625</v>
      </c>
    </row>
    <row r="258" spans="1:25" ht="15.6" x14ac:dyDescent="0.3">
      <c r="A258" s="23" t="s">
        <v>643</v>
      </c>
      <c r="B258" s="23"/>
      <c r="C258" s="24" t="s">
        <v>644</v>
      </c>
      <c r="D258" s="110">
        <v>-486.5</v>
      </c>
      <c r="E258" s="110">
        <v>-635.5</v>
      </c>
      <c r="F258" s="23" t="s">
        <v>38</v>
      </c>
      <c r="G258" s="59">
        <f t="shared" si="20"/>
        <v>0.5</v>
      </c>
      <c r="H258" s="17">
        <v>0</v>
      </c>
      <c r="I258" s="17">
        <v>1</v>
      </c>
      <c r="J258" s="17">
        <v>3</v>
      </c>
      <c r="K258" s="17">
        <v>0</v>
      </c>
      <c r="L258" s="17">
        <v>0</v>
      </c>
      <c r="M258" s="17">
        <v>1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-1</v>
      </c>
      <c r="V258" s="21">
        <f t="shared" si="24"/>
        <v>81</v>
      </c>
      <c r="W258" s="21">
        <f t="shared" si="25"/>
        <v>2</v>
      </c>
      <c r="X258" s="21" t="str">
        <f t="shared" si="26"/>
        <v>NA</v>
      </c>
      <c r="Y258" s="22" t="str">
        <f t="shared" si="16"/>
        <v>NA</v>
      </c>
    </row>
    <row r="259" spans="1:25" ht="15.6" x14ac:dyDescent="0.3">
      <c r="A259" s="23" t="s">
        <v>645</v>
      </c>
      <c r="B259" s="23"/>
      <c r="C259" s="24" t="s">
        <v>646</v>
      </c>
      <c r="D259" s="110">
        <v>0</v>
      </c>
      <c r="E259" s="110" t="s">
        <v>38</v>
      </c>
      <c r="F259" s="23" t="s">
        <v>38</v>
      </c>
      <c r="G259" s="59" t="str">
        <f t="shared" si="20"/>
        <v>NA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1</v>
      </c>
      <c r="R259" s="17">
        <v>0</v>
      </c>
      <c r="S259" s="17">
        <v>0</v>
      </c>
      <c r="T259" s="17">
        <v>0</v>
      </c>
      <c r="U259" s="17">
        <v>0</v>
      </c>
      <c r="V259" s="21">
        <f t="shared" si="24"/>
        <v>0</v>
      </c>
      <c r="W259" s="21">
        <f t="shared" si="25"/>
        <v>0</v>
      </c>
      <c r="X259" s="21" t="str">
        <f t="shared" si="26"/>
        <v>NA</v>
      </c>
      <c r="Y259" s="22" t="str">
        <f t="shared" si="16"/>
        <v>NA</v>
      </c>
    </row>
    <row r="260" spans="1:25" ht="15.6" x14ac:dyDescent="0.3">
      <c r="A260" s="23" t="s">
        <v>647</v>
      </c>
      <c r="B260" s="23"/>
      <c r="C260" s="24" t="s">
        <v>648</v>
      </c>
      <c r="D260" s="110">
        <v>-25.37</v>
      </c>
      <c r="E260" s="110" t="s">
        <v>38</v>
      </c>
      <c r="F260" s="23" t="s">
        <v>38</v>
      </c>
      <c r="G260" s="59" t="str">
        <f t="shared" si="20"/>
        <v>NA</v>
      </c>
      <c r="H260" s="17">
        <v>0</v>
      </c>
      <c r="I260" s="17">
        <v>2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1</v>
      </c>
      <c r="S260" s="17">
        <v>0</v>
      </c>
      <c r="T260" s="17">
        <v>0</v>
      </c>
      <c r="U260" s="17">
        <v>0</v>
      </c>
      <c r="V260" s="21">
        <f t="shared" si="24"/>
        <v>2</v>
      </c>
      <c r="W260" s="21">
        <f t="shared" si="25"/>
        <v>0</v>
      </c>
      <c r="X260" s="21" t="str">
        <f t="shared" si="26"/>
        <v>NA</v>
      </c>
      <c r="Y260" s="22" t="str">
        <f t="shared" si="16"/>
        <v>NA</v>
      </c>
    </row>
    <row r="261" spans="1:25" ht="15.6" x14ac:dyDescent="0.3">
      <c r="A261" s="23" t="s">
        <v>649</v>
      </c>
      <c r="B261" s="23"/>
      <c r="C261" s="24" t="s">
        <v>650</v>
      </c>
      <c r="D261" s="110">
        <v>-528.89</v>
      </c>
      <c r="E261" s="110" t="s">
        <v>38</v>
      </c>
      <c r="F261" s="23" t="s">
        <v>38</v>
      </c>
      <c r="G261" s="59" t="str">
        <f t="shared" si="20"/>
        <v>NA</v>
      </c>
      <c r="H261" s="17">
        <v>4</v>
      </c>
      <c r="I261" s="17">
        <v>9</v>
      </c>
      <c r="J261" s="17">
        <v>3</v>
      </c>
      <c r="K261" s="17">
        <v>1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21">
        <f t="shared" si="24"/>
        <v>119</v>
      </c>
      <c r="W261" s="21">
        <f t="shared" si="25"/>
        <v>16</v>
      </c>
      <c r="X261" s="21">
        <f t="shared" si="26"/>
        <v>4</v>
      </c>
      <c r="Y261" s="22">
        <f t="shared" si="16"/>
        <v>285.0321935528454</v>
      </c>
    </row>
    <row r="262" spans="1:25" ht="15.6" x14ac:dyDescent="0.3">
      <c r="A262" s="23" t="s">
        <v>651</v>
      </c>
      <c r="B262" s="23"/>
      <c r="C262" s="24" t="s">
        <v>652</v>
      </c>
      <c r="D262" s="110">
        <v>-128.75</v>
      </c>
      <c r="E262" s="110" t="s">
        <v>38</v>
      </c>
      <c r="F262" s="23" t="s">
        <v>38</v>
      </c>
      <c r="G262" s="59" t="str">
        <f t="shared" si="20"/>
        <v>NA</v>
      </c>
      <c r="H262" s="17">
        <v>9</v>
      </c>
      <c r="I262" s="17">
        <v>7</v>
      </c>
      <c r="J262" s="17">
        <v>2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-1</v>
      </c>
      <c r="V262" s="21">
        <f t="shared" si="24"/>
        <v>147</v>
      </c>
      <c r="W262" s="21">
        <f t="shared" si="25"/>
        <v>40</v>
      </c>
      <c r="X262" s="21">
        <f t="shared" si="26"/>
        <v>4.4444444444444446</v>
      </c>
      <c r="Y262" s="22" t="e">
        <f t="shared" si="16"/>
        <v>#NUM!</v>
      </c>
    </row>
    <row r="263" spans="1:25" ht="15.6" x14ac:dyDescent="0.3">
      <c r="A263" s="23" t="s">
        <v>653</v>
      </c>
      <c r="B263" s="23"/>
      <c r="C263" s="24" t="s">
        <v>320</v>
      </c>
      <c r="D263" s="110">
        <v>-1582.76</v>
      </c>
      <c r="E263" s="110" t="s">
        <v>38</v>
      </c>
      <c r="F263" s="23" t="s">
        <v>38</v>
      </c>
      <c r="G263" s="59" t="str">
        <f t="shared" si="20"/>
        <v>NA</v>
      </c>
      <c r="H263" s="17">
        <v>12</v>
      </c>
      <c r="I263" s="17">
        <v>22</v>
      </c>
      <c r="J263" s="17">
        <v>11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21">
        <f t="shared" si="24"/>
        <v>342</v>
      </c>
      <c r="W263" s="21">
        <f t="shared" si="25"/>
        <v>48</v>
      </c>
      <c r="X263" s="21">
        <f t="shared" si="26"/>
        <v>4</v>
      </c>
      <c r="Y263" s="22" t="e">
        <f t="shared" si="16"/>
        <v>#NUM!</v>
      </c>
    </row>
    <row r="264" spans="1:25" ht="15.6" x14ac:dyDescent="0.3">
      <c r="A264" s="23" t="s">
        <v>654</v>
      </c>
      <c r="B264" s="23"/>
      <c r="C264" s="24" t="s">
        <v>655</v>
      </c>
      <c r="D264" s="110">
        <v>-114.7</v>
      </c>
      <c r="E264" s="110">
        <v>-405.2</v>
      </c>
      <c r="F264" s="23" t="s">
        <v>38</v>
      </c>
      <c r="G264" s="59">
        <f t="shared" si="20"/>
        <v>0.97483221476510062</v>
      </c>
      <c r="H264" s="17">
        <v>11</v>
      </c>
      <c r="I264" s="17">
        <v>12</v>
      </c>
      <c r="J264" s="17">
        <v>2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21">
        <f t="shared" si="24"/>
        <v>204</v>
      </c>
      <c r="W264" s="21">
        <f t="shared" si="25"/>
        <v>46</v>
      </c>
      <c r="X264" s="21">
        <f t="shared" si="26"/>
        <v>4.1818181818181817</v>
      </c>
      <c r="Y264" s="22" t="e">
        <f t="shared" ref="Y264:Y271" si="27">IF(H264&gt;0, 200+18*(6-H264)^1.8+EXP((3.6+0.4*H264)*((3.8-X264)^2)^0.16),"NA")</f>
        <v>#NUM!</v>
      </c>
    </row>
    <row r="265" spans="1:25" ht="15.6" x14ac:dyDescent="0.3">
      <c r="A265" s="98" t="s">
        <v>656</v>
      </c>
      <c r="B265" s="23"/>
      <c r="C265" s="24" t="s">
        <v>657</v>
      </c>
      <c r="D265" s="110">
        <v>-370.7</v>
      </c>
      <c r="E265" s="110" t="s">
        <v>38</v>
      </c>
      <c r="F265" s="23" t="s">
        <v>38</v>
      </c>
      <c r="G265" s="59" t="str">
        <f t="shared" si="20"/>
        <v>NA</v>
      </c>
      <c r="H265" s="17">
        <v>9</v>
      </c>
      <c r="I265" s="17">
        <v>11</v>
      </c>
      <c r="J265" s="17">
        <v>3</v>
      </c>
      <c r="K265" s="17">
        <v>1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21">
        <f t="shared" si="24"/>
        <v>181</v>
      </c>
      <c r="W265" s="21">
        <f t="shared" si="25"/>
        <v>38</v>
      </c>
      <c r="X265" s="21">
        <f t="shared" si="26"/>
        <v>4.2222222222222223</v>
      </c>
      <c r="Y265" s="22" t="e">
        <f t="shared" si="27"/>
        <v>#NUM!</v>
      </c>
    </row>
    <row r="266" spans="1:25" ht="15.6" x14ac:dyDescent="0.3">
      <c r="A266" s="23" t="s">
        <v>658</v>
      </c>
      <c r="B266" s="62"/>
      <c r="C266" s="24" t="s">
        <v>659</v>
      </c>
      <c r="D266" s="110">
        <v>-325.89999999999998</v>
      </c>
      <c r="E266" s="110" t="s">
        <v>38</v>
      </c>
      <c r="F266" s="23" t="s">
        <v>38</v>
      </c>
      <c r="G266" s="59" t="str">
        <f t="shared" si="20"/>
        <v>NA</v>
      </c>
      <c r="H266" s="17">
        <v>5</v>
      </c>
      <c r="I266" s="17">
        <v>3</v>
      </c>
      <c r="J266" s="17">
        <v>3</v>
      </c>
      <c r="K266" s="17">
        <v>4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-1</v>
      </c>
      <c r="V266" s="21">
        <f t="shared" si="24"/>
        <v>167</v>
      </c>
      <c r="W266" s="21">
        <f t="shared" si="25"/>
        <v>6</v>
      </c>
      <c r="X266" s="21">
        <f t="shared" si="26"/>
        <v>1.2</v>
      </c>
      <c r="Y266" s="22">
        <f t="shared" si="27"/>
        <v>2222.00679383632</v>
      </c>
    </row>
    <row r="267" spans="1:25" ht="15.6" x14ac:dyDescent="0.3">
      <c r="A267" s="23" t="s">
        <v>660</v>
      </c>
      <c r="B267" s="62"/>
      <c r="C267" s="24" t="s">
        <v>661</v>
      </c>
      <c r="D267" s="110">
        <v>-202.8</v>
      </c>
      <c r="E267" s="110">
        <v>-317.64999999999998</v>
      </c>
      <c r="F267" s="23" t="s">
        <v>38</v>
      </c>
      <c r="G267" s="59">
        <f t="shared" si="20"/>
        <v>0.38540268456375826</v>
      </c>
      <c r="H267" s="17">
        <v>1</v>
      </c>
      <c r="I267" s="17">
        <v>4</v>
      </c>
      <c r="J267" s="17">
        <v>1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21">
        <f t="shared" si="24"/>
        <v>60</v>
      </c>
      <c r="W267" s="21">
        <f t="shared" si="25"/>
        <v>0</v>
      </c>
      <c r="X267" s="21">
        <f t="shared" si="26"/>
        <v>0</v>
      </c>
      <c r="Y267" s="22">
        <f t="shared" si="27"/>
        <v>986.43268279162714</v>
      </c>
    </row>
    <row r="268" spans="1:25" ht="15.6" x14ac:dyDescent="0.3">
      <c r="A268" s="23" t="s">
        <v>662</v>
      </c>
      <c r="B268" s="23"/>
      <c r="C268" s="24" t="s">
        <v>659</v>
      </c>
      <c r="D268" s="110">
        <v>-356.9</v>
      </c>
      <c r="E268" s="110" t="s">
        <v>38</v>
      </c>
      <c r="F268" s="23" t="s">
        <v>38</v>
      </c>
      <c r="G268" s="59" t="str">
        <f t="shared" si="20"/>
        <v>NA</v>
      </c>
      <c r="H268" s="17">
        <v>5</v>
      </c>
      <c r="I268" s="17">
        <v>4</v>
      </c>
      <c r="J268" s="17">
        <v>3</v>
      </c>
      <c r="K268" s="17">
        <v>4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21">
        <f t="shared" si="24"/>
        <v>168</v>
      </c>
      <c r="W268" s="21">
        <f t="shared" si="25"/>
        <v>6</v>
      </c>
      <c r="X268" s="21">
        <f t="shared" si="26"/>
        <v>1.2</v>
      </c>
      <c r="Y268" s="22">
        <f t="shared" si="27"/>
        <v>2222.00679383632</v>
      </c>
    </row>
    <row r="269" spans="1:25" ht="15.6" x14ac:dyDescent="0.3">
      <c r="A269" s="23" t="s">
        <v>663</v>
      </c>
      <c r="B269" s="62"/>
      <c r="C269" s="24" t="s">
        <v>664</v>
      </c>
      <c r="D269" s="110">
        <v>-358.65</v>
      </c>
      <c r="E269" s="110">
        <v>-611.99</v>
      </c>
      <c r="F269" s="23" t="s">
        <v>38</v>
      </c>
      <c r="G269" s="59">
        <f t="shared" si="20"/>
        <v>0.85013422818791962</v>
      </c>
      <c r="H269" s="17">
        <v>5</v>
      </c>
      <c r="I269" s="17">
        <v>11</v>
      </c>
      <c r="J269" s="17">
        <v>2</v>
      </c>
      <c r="K269" s="17">
        <v>1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21">
        <f t="shared" si="24"/>
        <v>117</v>
      </c>
      <c r="W269" s="21">
        <f t="shared" si="25"/>
        <v>24</v>
      </c>
      <c r="X269" s="21">
        <f t="shared" si="26"/>
        <v>4.8</v>
      </c>
      <c r="Y269" s="22">
        <f t="shared" si="27"/>
        <v>488.42640742615254</v>
      </c>
    </row>
    <row r="270" spans="1:25" ht="15.6" x14ac:dyDescent="0.3">
      <c r="A270" s="98" t="s">
        <v>665</v>
      </c>
      <c r="B270" s="23"/>
      <c r="C270" s="24" t="s">
        <v>632</v>
      </c>
      <c r="D270" s="110">
        <v>-784.09</v>
      </c>
      <c r="E270" s="110" t="s">
        <v>38</v>
      </c>
      <c r="F270" s="23" t="s">
        <v>38</v>
      </c>
      <c r="G270" s="59" t="str">
        <f t="shared" si="20"/>
        <v>NA</v>
      </c>
      <c r="H270" s="17">
        <v>5</v>
      </c>
      <c r="I270" s="17">
        <v>12</v>
      </c>
      <c r="J270" s="17">
        <v>5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21">
        <f t="shared" si="24"/>
        <v>152</v>
      </c>
      <c r="W270" s="21">
        <f t="shared" si="25"/>
        <v>22</v>
      </c>
      <c r="X270" s="21">
        <f t="shared" si="26"/>
        <v>4.4000000000000004</v>
      </c>
      <c r="Y270" s="22">
        <f t="shared" si="27"/>
        <v>334.22205636685555</v>
      </c>
    </row>
    <row r="271" spans="1:25" ht="15.6" x14ac:dyDescent="0.3">
      <c r="A271" s="98" t="s">
        <v>223</v>
      </c>
      <c r="B271" s="23"/>
      <c r="C271" s="24" t="s">
        <v>225</v>
      </c>
      <c r="D271" s="110">
        <v>-750.49</v>
      </c>
      <c r="E271" s="110">
        <v>-1045.94</v>
      </c>
      <c r="F271" s="23" t="s">
        <v>38</v>
      </c>
      <c r="G271" s="59">
        <f t="shared" si="20"/>
        <v>0.99144295302013441</v>
      </c>
      <c r="H271" s="17">
        <v>5</v>
      </c>
      <c r="I271" s="17">
        <v>10</v>
      </c>
      <c r="J271" s="17">
        <v>5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21">
        <f t="shared" si="24"/>
        <v>150</v>
      </c>
      <c r="W271" s="21">
        <f t="shared" si="25"/>
        <v>20</v>
      </c>
      <c r="X271" s="21">
        <f t="shared" si="26"/>
        <v>4</v>
      </c>
      <c r="Y271" s="22">
        <f t="shared" si="27"/>
        <v>246.38713270900507</v>
      </c>
    </row>
    <row r="272" spans="1:25" ht="16.2" thickBot="1" x14ac:dyDescent="0.35">
      <c r="A272" s="100" t="s">
        <v>666</v>
      </c>
      <c r="B272" s="54"/>
      <c r="C272" s="54" t="s">
        <v>225</v>
      </c>
      <c r="D272" s="111">
        <v>-746.15</v>
      </c>
      <c r="E272" s="112">
        <v>-1029.6500000000001</v>
      </c>
      <c r="F272" s="55" t="s">
        <v>38</v>
      </c>
      <c r="G272" s="56">
        <f t="shared" si="20"/>
        <v>0.95134228187919501</v>
      </c>
      <c r="H272" s="54">
        <v>5</v>
      </c>
      <c r="I272" s="54">
        <v>10</v>
      </c>
      <c r="J272" s="54">
        <v>5</v>
      </c>
      <c r="K272" s="54">
        <v>0</v>
      </c>
      <c r="L272" s="54">
        <v>0</v>
      </c>
      <c r="M272" s="54">
        <v>0</v>
      </c>
      <c r="N272" s="54">
        <v>0</v>
      </c>
      <c r="O272" s="54">
        <v>0</v>
      </c>
      <c r="P272" s="54">
        <v>0</v>
      </c>
      <c r="Q272" s="54">
        <v>0</v>
      </c>
      <c r="R272" s="54">
        <v>0</v>
      </c>
      <c r="S272" s="54">
        <v>0</v>
      </c>
      <c r="T272" s="54">
        <v>0</v>
      </c>
      <c r="U272" s="54">
        <v>0</v>
      </c>
      <c r="V272" s="57">
        <f t="shared" si="24"/>
        <v>150</v>
      </c>
      <c r="W272" s="57">
        <f t="shared" si="25"/>
        <v>20</v>
      </c>
      <c r="X272" s="57">
        <f t="shared" si="26"/>
        <v>4</v>
      </c>
      <c r="Y272" s="57">
        <f>IF(H272&gt;0, 200+18*(6-H272)^1.8+EXP((3.6+0.4*H272)*((3.8-X272)^2)^0.16),"NA")</f>
        <v>246.38713270900507</v>
      </c>
    </row>
    <row r="273" spans="1:25" ht="15" thickTop="1" x14ac:dyDescent="0.3">
      <c r="A273" s="64"/>
      <c r="B273" s="64"/>
      <c r="C273" s="65"/>
      <c r="D273" s="66"/>
      <c r="E273" s="64"/>
      <c r="F273" s="64"/>
      <c r="G273" s="67" t="s">
        <v>66</v>
      </c>
      <c r="H273" s="68">
        <v>12</v>
      </c>
      <c r="I273" s="69">
        <v>1</v>
      </c>
      <c r="J273" s="69">
        <v>16</v>
      </c>
      <c r="K273" s="69">
        <v>14</v>
      </c>
      <c r="L273" s="70">
        <v>31</v>
      </c>
      <c r="M273" s="70">
        <v>32</v>
      </c>
      <c r="N273" s="70">
        <v>35.5</v>
      </c>
      <c r="O273" s="70">
        <v>56</v>
      </c>
      <c r="P273" s="70">
        <v>0</v>
      </c>
      <c r="Q273" s="70">
        <v>0</v>
      </c>
      <c r="R273" s="70">
        <v>0</v>
      </c>
      <c r="S273" s="70">
        <v>0</v>
      </c>
      <c r="T273" s="70">
        <v>0</v>
      </c>
      <c r="U273" s="71">
        <v>0</v>
      </c>
      <c r="V273" s="64"/>
      <c r="W273" s="64"/>
      <c r="X273" s="72"/>
      <c r="Y273" s="64"/>
    </row>
    <row r="274" spans="1:25" ht="15" thickBot="1" x14ac:dyDescent="0.35">
      <c r="A274" s="64"/>
      <c r="B274" s="64"/>
      <c r="C274" s="65"/>
      <c r="D274" s="66"/>
      <c r="E274" s="64"/>
      <c r="F274" s="64"/>
      <c r="G274" s="73" t="s">
        <v>67</v>
      </c>
      <c r="H274" s="74">
        <v>4</v>
      </c>
      <c r="I274" s="75">
        <v>1</v>
      </c>
      <c r="J274" s="75">
        <v>-2</v>
      </c>
      <c r="K274" s="75">
        <v>-3</v>
      </c>
      <c r="L274" s="76">
        <v>5</v>
      </c>
      <c r="M274" s="76">
        <v>6</v>
      </c>
      <c r="N274" s="76">
        <v>-1</v>
      </c>
      <c r="O274" s="76">
        <v>3</v>
      </c>
      <c r="P274" s="76">
        <v>0</v>
      </c>
      <c r="Q274" s="76">
        <v>0</v>
      </c>
      <c r="R274" s="76">
        <v>-2</v>
      </c>
      <c r="S274" s="76">
        <v>0</v>
      </c>
      <c r="T274" s="76">
        <v>0</v>
      </c>
      <c r="U274" s="77">
        <v>-1</v>
      </c>
      <c r="V274" s="64"/>
      <c r="W274" s="64"/>
      <c r="X274" s="64"/>
      <c r="Y274" s="64"/>
    </row>
    <row r="275" spans="1:25" ht="15" thickTop="1" x14ac:dyDescent="0.3">
      <c r="A275" s="78"/>
      <c r="B275" s="64"/>
      <c r="C275" s="64"/>
      <c r="D275" s="79"/>
      <c r="E275" s="80"/>
      <c r="F275" s="80"/>
      <c r="G275" s="81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8"/>
      <c r="Y275" s="81"/>
    </row>
    <row r="276" spans="1:25" x14ac:dyDescent="0.3">
      <c r="A276" s="78"/>
      <c r="B276" s="82"/>
      <c r="C276" s="64"/>
      <c r="D276" s="83"/>
      <c r="E276" s="84"/>
      <c r="F276" s="80"/>
      <c r="G276" s="65"/>
      <c r="H276" s="64"/>
      <c r="I276" s="64"/>
      <c r="J276" s="8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8"/>
      <c r="Y276" s="65"/>
    </row>
    <row r="277" spans="1:25" x14ac:dyDescent="0.3">
      <c r="A277" s="78" t="s">
        <v>667</v>
      </c>
      <c r="B277" s="85">
        <v>-123.45</v>
      </c>
      <c r="C277" s="64"/>
      <c r="D277" s="66" t="s">
        <v>668</v>
      </c>
      <c r="E277" s="65">
        <v>8.3140000000000002E-3</v>
      </c>
      <c r="F277" s="64" t="s">
        <v>669</v>
      </c>
      <c r="G277" s="65"/>
      <c r="H277" s="64"/>
      <c r="I277" s="64"/>
      <c r="J277" s="8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8"/>
      <c r="Y277" s="65"/>
    </row>
    <row r="278" spans="1:25" x14ac:dyDescent="0.3">
      <c r="A278" s="78" t="s">
        <v>670</v>
      </c>
      <c r="B278" s="86">
        <v>-123.45</v>
      </c>
      <c r="C278" s="64"/>
      <c r="D278" s="66" t="s">
        <v>671</v>
      </c>
      <c r="E278" s="65">
        <v>298</v>
      </c>
      <c r="F278" s="64" t="s">
        <v>672</v>
      </c>
      <c r="G278" s="65"/>
      <c r="H278" s="64"/>
      <c r="I278" s="64"/>
      <c r="J278" s="8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8"/>
      <c r="Y278" s="65"/>
    </row>
    <row r="279" spans="1:25" x14ac:dyDescent="0.3">
      <c r="A279" s="78" t="s">
        <v>673</v>
      </c>
      <c r="B279" s="87">
        <v>-123.45</v>
      </c>
      <c r="C279" s="64"/>
      <c r="D279" s="66"/>
      <c r="E279" s="65"/>
      <c r="F279" s="64"/>
      <c r="G279" s="65"/>
      <c r="H279" s="64"/>
      <c r="I279" s="64"/>
      <c r="J279" s="8"/>
      <c r="K279" s="88"/>
      <c r="L279" s="64"/>
      <c r="M279" s="64"/>
      <c r="N279" s="89"/>
      <c r="O279" s="89"/>
      <c r="P279" s="89"/>
      <c r="Q279" s="89"/>
      <c r="R279" s="89"/>
      <c r="S279" s="89"/>
      <c r="T279" s="89"/>
      <c r="U279" s="64"/>
      <c r="V279" s="64"/>
      <c r="W279" s="64"/>
      <c r="X279" s="8"/>
      <c r="Y279" s="65"/>
    </row>
    <row r="280" spans="1:25" x14ac:dyDescent="0.3">
      <c r="A280" s="78" t="s">
        <v>674</v>
      </c>
      <c r="B280" s="90">
        <v>-123.45</v>
      </c>
      <c r="C280" s="64"/>
      <c r="D280" s="66"/>
      <c r="E280" s="65"/>
      <c r="F280" s="64"/>
      <c r="G280" s="6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8"/>
      <c r="Y280" s="65"/>
    </row>
    <row r="281" spans="1:25" x14ac:dyDescent="0.3">
      <c r="A281" s="91" t="s">
        <v>675</v>
      </c>
      <c r="B281" s="92">
        <v>-123.45</v>
      </c>
      <c r="C281" s="64"/>
      <c r="D281" s="66"/>
      <c r="E281" s="65"/>
      <c r="F281" s="64"/>
      <c r="G281" s="65"/>
      <c r="H281" s="64"/>
      <c r="I281" s="64"/>
      <c r="J281" s="8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8"/>
      <c r="Y281" s="65"/>
    </row>
    <row r="282" spans="1:25" x14ac:dyDescent="0.3">
      <c r="A282" s="8" t="s">
        <v>676</v>
      </c>
      <c r="B282" s="93">
        <v>-123.45</v>
      </c>
      <c r="C282" s="64"/>
      <c r="D282" s="66"/>
      <c r="E282" s="65"/>
      <c r="F282" s="64"/>
      <c r="G282" s="6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8"/>
      <c r="Y282" s="65"/>
    </row>
    <row r="283" spans="1:25" x14ac:dyDescent="0.3">
      <c r="A283" s="94" t="s">
        <v>677</v>
      </c>
      <c r="B283" s="64">
        <v>-123.45</v>
      </c>
      <c r="C283" s="64"/>
      <c r="D283" s="66"/>
      <c r="E283" s="65"/>
      <c r="F283" s="64"/>
      <c r="G283" s="6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8"/>
      <c r="Y283" s="65"/>
    </row>
    <row r="284" spans="1:25" x14ac:dyDescent="0.3">
      <c r="A284" s="64" t="s">
        <v>678</v>
      </c>
      <c r="B284" s="88">
        <v>-123.45</v>
      </c>
      <c r="C284" s="64"/>
      <c r="D284" s="66"/>
      <c r="E284" s="65"/>
      <c r="F284" s="64"/>
      <c r="G284" s="6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8"/>
      <c r="Y284" s="65"/>
    </row>
    <row r="285" spans="1:25" x14ac:dyDescent="0.3">
      <c r="A285" s="64" t="s">
        <v>679</v>
      </c>
      <c r="B285" s="72"/>
      <c r="C285" s="64"/>
      <c r="D285" s="66"/>
      <c r="E285" s="65"/>
      <c r="F285" s="64"/>
      <c r="G285" s="65"/>
      <c r="H285" s="64"/>
      <c r="I285" s="64"/>
      <c r="J285" s="64"/>
      <c r="K285" s="8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8"/>
      <c r="Y285" s="65"/>
    </row>
    <row r="286" spans="1:25" x14ac:dyDescent="0.3">
      <c r="A286" s="64" t="s">
        <v>847</v>
      </c>
      <c r="B286" s="95">
        <v>-123.45</v>
      </c>
      <c r="C286" s="64"/>
      <c r="D286" s="66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</row>
    <row r="289" spans="1:7" ht="16.8" x14ac:dyDescent="0.35">
      <c r="B289" t="s">
        <v>680</v>
      </c>
      <c r="C289" t="s">
        <v>681</v>
      </c>
      <c r="D289" t="s">
        <v>682</v>
      </c>
    </row>
    <row r="290" spans="1:7" x14ac:dyDescent="0.3">
      <c r="A290" t="s">
        <v>20</v>
      </c>
      <c r="B290">
        <v>-1</v>
      </c>
      <c r="C290">
        <v>0</v>
      </c>
      <c r="D290">
        <v>0</v>
      </c>
    </row>
    <row r="291" spans="1:7" ht="16.2" x14ac:dyDescent="0.3">
      <c r="A291" t="s">
        <v>303</v>
      </c>
      <c r="B291">
        <v>-2</v>
      </c>
      <c r="C291">
        <v>0</v>
      </c>
      <c r="D291">
        <f>+$E$277*$E$278*LN(10^-7)</f>
        <v>-39.933742478136104</v>
      </c>
    </row>
    <row r="292" spans="1:7" ht="15.6" x14ac:dyDescent="0.35">
      <c r="A292" t="s">
        <v>204</v>
      </c>
      <c r="B292">
        <v>1</v>
      </c>
      <c r="C292">
        <v>-37.4</v>
      </c>
      <c r="D292">
        <v>-37.4</v>
      </c>
    </row>
    <row r="293" spans="1:7" ht="15.6" x14ac:dyDescent="0.35">
      <c r="B293" t="s">
        <v>683</v>
      </c>
      <c r="C293">
        <f>+SUMPRODUCT(C290:C292,$B$290:$B$292)</f>
        <v>-37.4</v>
      </c>
      <c r="D293">
        <f>+SUMPRODUCT(D290:D292,$B$290:$B$292)</f>
        <v>42.467484956272209</v>
      </c>
    </row>
    <row r="294" spans="1:7" ht="16.2" x14ac:dyDescent="0.3">
      <c r="A294" t="s">
        <v>261</v>
      </c>
      <c r="B294">
        <v>-1</v>
      </c>
      <c r="C294">
        <v>0</v>
      </c>
      <c r="D294">
        <v>0</v>
      </c>
    </row>
    <row r="295" spans="1:7" ht="16.2" x14ac:dyDescent="0.3">
      <c r="A295" t="s">
        <v>303</v>
      </c>
      <c r="B295">
        <v>-1</v>
      </c>
      <c r="C295">
        <v>0</v>
      </c>
      <c r="D295">
        <f>+$E$277*$E$278*LN(10^-7)</f>
        <v>-39.933742478136104</v>
      </c>
    </row>
    <row r="296" spans="1:7" x14ac:dyDescent="0.3">
      <c r="A296" t="s">
        <v>17</v>
      </c>
      <c r="B296">
        <v>1</v>
      </c>
      <c r="C296">
        <v>22.7</v>
      </c>
      <c r="D296">
        <v>0</v>
      </c>
    </row>
    <row r="297" spans="1:7" ht="15.6" x14ac:dyDescent="0.35">
      <c r="B297" t="s">
        <v>683</v>
      </c>
      <c r="C297">
        <f>+SUMPRODUCT(C294:C296,$B$290:$B$292)</f>
        <v>22.7</v>
      </c>
      <c r="D297">
        <f>+SUMPRODUCT(D294:D296,$B$290:$B$292)</f>
        <v>79.867484956272207</v>
      </c>
    </row>
    <row r="300" spans="1:7" x14ac:dyDescent="0.3">
      <c r="B300" t="s">
        <v>676</v>
      </c>
      <c r="C300" t="s">
        <v>678</v>
      </c>
      <c r="D300" t="s">
        <v>746</v>
      </c>
      <c r="E300" s="4">
        <v>17.2</v>
      </c>
      <c r="F300" s="4">
        <v>-343.4</v>
      </c>
      <c r="G300" s="4">
        <v>-445.1</v>
      </c>
    </row>
    <row r="301" spans="1:7" x14ac:dyDescent="0.3">
      <c r="B301" t="s">
        <v>742</v>
      </c>
      <c r="C301" t="s">
        <v>744</v>
      </c>
      <c r="D301" t="s">
        <v>744</v>
      </c>
      <c r="E301" s="4">
        <v>82.8</v>
      </c>
    </row>
    <row r="302" spans="1:7" x14ac:dyDescent="0.3">
      <c r="A302" t="s">
        <v>741</v>
      </c>
      <c r="B302">
        <v>-74</v>
      </c>
      <c r="C302" t="s">
        <v>745</v>
      </c>
      <c r="D302">
        <f>+E300-E301</f>
        <v>-65.599999999999994</v>
      </c>
    </row>
    <row r="303" spans="1:7" x14ac:dyDescent="0.3">
      <c r="A303" t="s">
        <v>743</v>
      </c>
      <c r="B303">
        <v>113</v>
      </c>
      <c r="C303">
        <v>-89.92</v>
      </c>
      <c r="D303">
        <v>-101.70000000000005</v>
      </c>
    </row>
    <row r="305" spans="2:2" x14ac:dyDescent="0.3">
      <c r="B305">
        <f>+ProDegPaths!D68*SpcDB!B302*-2/1000</f>
        <v>14.279780000000001</v>
      </c>
    </row>
  </sheetData>
  <conditionalFormatting sqref="B265 Z152:AG176 A221:A231 A232:Y233 Z179:AG256 Z177:Z178 AB177:AG178">
    <cfRule type="cellIs" dxfId="24" priority="46" operator="equal">
      <formula>"NA"</formula>
    </cfRule>
  </conditionalFormatting>
  <conditionalFormatting sqref="C174">
    <cfRule type="cellIs" dxfId="23" priority="26" operator="equal">
      <formula>"NA"</formula>
    </cfRule>
  </conditionalFormatting>
  <conditionalFormatting sqref="C197">
    <cfRule type="cellIs" dxfId="22" priority="24" operator="equal">
      <formula>"NA"</formula>
    </cfRule>
  </conditionalFormatting>
  <conditionalFormatting sqref="C178">
    <cfRule type="cellIs" dxfId="21" priority="21" operator="equal">
      <formula>"NA"</formula>
    </cfRule>
  </conditionalFormatting>
  <conditionalFormatting sqref="C198">
    <cfRule type="cellIs" dxfId="20" priority="22" operator="equal">
      <formula>"NA"</formula>
    </cfRule>
  </conditionalFormatting>
  <conditionalFormatting sqref="B212:B213">
    <cfRule type="cellIs" dxfId="19" priority="20" operator="equal">
      <formula>"NA"</formula>
    </cfRule>
  </conditionalFormatting>
  <conditionalFormatting sqref="B214">
    <cfRule type="cellIs" dxfId="18" priority="19" operator="equal">
      <formula>"NA"</formula>
    </cfRule>
  </conditionalFormatting>
  <conditionalFormatting sqref="D91">
    <cfRule type="cellIs" dxfId="17" priority="18" operator="equal">
      <formula>"NA"</formula>
    </cfRule>
  </conditionalFormatting>
  <conditionalFormatting sqref="A205:Y206">
    <cfRule type="cellIs" dxfId="16" priority="17" operator="equal">
      <formula>"NA"</formula>
    </cfRule>
  </conditionalFormatting>
  <conditionalFormatting sqref="C272">
    <cfRule type="cellIs" dxfId="15" priority="13" operator="equal">
      <formula>"NA"</formula>
    </cfRule>
  </conditionalFormatting>
  <conditionalFormatting sqref="A272:B272 D272:Y272">
    <cfRule type="cellIs" dxfId="14" priority="14" operator="equal">
      <formula>"NA"</formula>
    </cfRule>
  </conditionalFormatting>
  <conditionalFormatting sqref="B174">
    <cfRule type="cellIs" dxfId="13" priority="27" operator="equal">
      <formula>"NA"</formula>
    </cfRule>
  </conditionalFormatting>
  <conditionalFormatting sqref="C220">
    <cfRule type="cellIs" dxfId="12" priority="23" operator="equal">
      <formula>"NA"</formula>
    </cfRule>
  </conditionalFormatting>
  <conditionalFormatting sqref="A91:C92 E91:Y92 A71:C71 E71:Y71 A94:Y105 B137:G138 D139:G146 B147:G151 B152:B173 B139:B146 A114:A204 H114:Y204 C152:G177 B190:B200 A220:B220 D197:G198 D220:Y220 D178:G178 A207:A219 C207:Y219 A106:C107 E106:Y107 C265:Y271 A265:A271 A93:D93 F93:Y93 C221:Y231 C179:G196 A72:Y90 A108:Y113 C199:G204 A3:Y70">
    <cfRule type="cellIs" dxfId="11" priority="30" operator="equal">
      <formula>"NA"</formula>
    </cfRule>
  </conditionalFormatting>
  <conditionalFormatting sqref="B130:G131 B175 B268 B114:B129 D114:G129 B132:B136 D132:G136 B177:B183 B185:B188 B202:B204 B215:B219 B224:B230 B270:B271 B221:B222">
    <cfRule type="cellIs" dxfId="10" priority="28" operator="equal">
      <formula>"NA"</formula>
    </cfRule>
  </conditionalFormatting>
  <conditionalFormatting sqref="A235:A244 D235:Y247 A246:A247">
    <cfRule type="cellIs" dxfId="9" priority="12" operator="equal">
      <formula>"NA"</formula>
    </cfRule>
  </conditionalFormatting>
  <conditionalFormatting sqref="B235:B247">
    <cfRule type="cellIs" dxfId="8" priority="11" operator="equal">
      <formula>"NA"</formula>
    </cfRule>
  </conditionalFormatting>
  <conditionalFormatting sqref="C235:C247">
    <cfRule type="cellIs" dxfId="7" priority="10" operator="equal">
      <formula>"NA"</formula>
    </cfRule>
  </conditionalFormatting>
  <conditionalFormatting sqref="A245">
    <cfRule type="cellIs" dxfId="6" priority="9" operator="equal">
      <formula>"NA"</formula>
    </cfRule>
  </conditionalFormatting>
  <conditionalFormatting sqref="A234:Y234">
    <cfRule type="cellIs" dxfId="5" priority="8" operator="equal">
      <formula>"NA"</formula>
    </cfRule>
  </conditionalFormatting>
  <conditionalFormatting sqref="A248:Y264">
    <cfRule type="cellIs" dxfId="4" priority="6" operator="equal">
      <formula>"NA"</formula>
    </cfRule>
  </conditionalFormatting>
  <conditionalFormatting sqref="C114">
    <cfRule type="cellIs" dxfId="3" priority="2" operator="equal">
      <formula>"NA"</formula>
    </cfRule>
  </conditionalFormatting>
  <conditionalFormatting sqref="E93">
    <cfRule type="cellIs" dxfId="2" priority="4" operator="equal">
      <formula>"NA"</formula>
    </cfRule>
  </conditionalFormatting>
  <conditionalFormatting sqref="B286">
    <cfRule type="cellIs" dxfId="1" priority="3" operator="equal">
      <formula>"NA"</formula>
    </cfRule>
  </conditionalFormatting>
  <conditionalFormatting sqref="B223">
    <cfRule type="cellIs" dxfId="0" priority="1" operator="equal">
      <formula>"NA"</formula>
    </cfRule>
  </conditionalFormatting>
  <pageMargins left="0.75" right="0.75" top="1" bottom="1" header="0" footer="0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22E7-5101-40E0-A3F2-33575CBC496B}">
  <sheetPr codeName="Sheet1">
    <tabColor theme="0" tint="-0.249977111117893"/>
  </sheetPr>
  <dimension ref="A1:AF41"/>
  <sheetViews>
    <sheetView zoomScaleNormal="100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ColWidth="9.109375" defaultRowHeight="14.4" x14ac:dyDescent="0.3"/>
  <cols>
    <col min="1" max="1" width="22.88671875" style="103" bestFit="1" customWidth="1"/>
    <col min="2" max="2" width="13.33203125" style="103" bestFit="1" customWidth="1"/>
    <col min="3" max="3" width="14" style="103" bestFit="1" customWidth="1"/>
    <col min="4" max="4" width="15.44140625" style="103" customWidth="1"/>
    <col min="5" max="5" width="11.33203125" style="103" customWidth="1"/>
    <col min="6" max="6" width="15.33203125" style="103" customWidth="1"/>
    <col min="7" max="7" width="16.5546875" style="103" customWidth="1"/>
    <col min="8" max="8" width="9.109375" style="103"/>
    <col min="9" max="9" width="22.5546875" style="103" customWidth="1"/>
    <col min="10" max="10" width="18.6640625" style="103" customWidth="1"/>
    <col min="11" max="11" width="16.88671875" style="103" customWidth="1"/>
    <col min="12" max="12" width="7.6640625" style="103" bestFit="1" customWidth="1"/>
    <col min="13" max="13" width="9.109375" style="103"/>
    <col min="14" max="14" width="5.109375" style="103" bestFit="1" customWidth="1"/>
    <col min="15" max="15" width="5.6640625" style="103" bestFit="1" customWidth="1"/>
    <col min="16" max="16" width="4.109375" style="103" bestFit="1" customWidth="1"/>
    <col min="17" max="17" width="5.109375" style="103" bestFit="1" customWidth="1"/>
    <col min="18" max="18" width="4.109375" style="104" bestFit="1" customWidth="1"/>
    <col min="19" max="19" width="4.109375" style="103" bestFit="1" customWidth="1"/>
    <col min="20" max="20" width="5.44140625" style="103" bestFit="1" customWidth="1"/>
    <col min="21" max="23" width="5.6640625" style="103" customWidth="1"/>
    <col min="24" max="24" width="4.44140625" style="103" bestFit="1" customWidth="1"/>
    <col min="25" max="25" width="7" style="103" bestFit="1" customWidth="1"/>
    <col min="26" max="26" width="13.44140625" style="103" customWidth="1"/>
    <col min="27" max="27" width="13.33203125" style="103" customWidth="1"/>
    <col min="28" max="28" width="9.44140625" style="103" bestFit="1" customWidth="1"/>
    <col min="29" max="30" width="7" style="103" bestFit="1" customWidth="1"/>
    <col min="31" max="31" width="5.6640625" style="103" customWidth="1"/>
    <col min="32" max="33" width="7.44140625" style="103" bestFit="1" customWidth="1"/>
    <col min="34" max="16384" width="9.109375" style="103"/>
  </cols>
  <sheetData>
    <row r="1" spans="1:32" ht="42.75" customHeight="1" thickBot="1" x14ac:dyDescent="0.35">
      <c r="A1" s="176"/>
      <c r="B1" s="660" t="s">
        <v>816</v>
      </c>
      <c r="C1" s="662"/>
      <c r="D1" s="660" t="s">
        <v>817</v>
      </c>
      <c r="E1" s="661"/>
      <c r="F1" s="661"/>
      <c r="G1" s="661"/>
      <c r="H1" s="661"/>
      <c r="I1" s="661"/>
      <c r="J1" s="661"/>
      <c r="K1" s="662"/>
      <c r="L1" s="663" t="s">
        <v>874</v>
      </c>
      <c r="M1" s="664"/>
      <c r="N1" s="664"/>
      <c r="O1" s="664"/>
      <c r="P1" s="664"/>
      <c r="Q1" s="664"/>
      <c r="R1" s="664"/>
      <c r="S1" s="664"/>
      <c r="T1" s="664"/>
      <c r="U1" s="664"/>
      <c r="V1" s="664"/>
      <c r="W1" s="664"/>
      <c r="X1" s="664"/>
      <c r="Y1" s="665"/>
    </row>
    <row r="2" spans="1:32" ht="101.4" thickBot="1" x14ac:dyDescent="0.35">
      <c r="A2" s="176"/>
      <c r="B2" s="125" t="s">
        <v>864</v>
      </c>
      <c r="C2" s="126" t="s">
        <v>865</v>
      </c>
      <c r="D2" s="127" t="s">
        <v>866</v>
      </c>
      <c r="E2" s="127" t="s">
        <v>867</v>
      </c>
      <c r="F2" s="128" t="s">
        <v>818</v>
      </c>
      <c r="G2" s="129" t="s">
        <v>868</v>
      </c>
      <c r="H2" s="128" t="s">
        <v>869</v>
      </c>
      <c r="I2" s="129" t="s">
        <v>868</v>
      </c>
      <c r="J2" s="130" t="s">
        <v>863</v>
      </c>
      <c r="K2" s="130" t="s">
        <v>862</v>
      </c>
      <c r="L2" s="131" t="s">
        <v>870</v>
      </c>
      <c r="M2" s="132" t="s">
        <v>871</v>
      </c>
      <c r="N2" s="132" t="s">
        <v>819</v>
      </c>
      <c r="O2" s="133" t="s">
        <v>820</v>
      </c>
      <c r="P2" s="132" t="s">
        <v>821</v>
      </c>
      <c r="Q2" s="132" t="s">
        <v>822</v>
      </c>
      <c r="R2" s="132" t="s">
        <v>823</v>
      </c>
      <c r="S2" s="132" t="s">
        <v>824</v>
      </c>
      <c r="T2" s="132" t="s">
        <v>825</v>
      </c>
      <c r="U2" s="132" t="s">
        <v>826</v>
      </c>
      <c r="V2" s="134" t="s">
        <v>827</v>
      </c>
      <c r="W2" s="133" t="s">
        <v>828</v>
      </c>
      <c r="X2" s="133" t="s">
        <v>829</v>
      </c>
      <c r="Y2" s="135" t="s">
        <v>830</v>
      </c>
      <c r="Z2" s="172" t="s">
        <v>872</v>
      </c>
      <c r="AA2" s="173" t="s">
        <v>873</v>
      </c>
      <c r="AB2" s="265" t="s">
        <v>924</v>
      </c>
      <c r="AC2" s="265" t="s">
        <v>923</v>
      </c>
    </row>
    <row r="3" spans="1:32" x14ac:dyDescent="0.3">
      <c r="A3" s="162" t="s">
        <v>300</v>
      </c>
      <c r="B3" s="136">
        <f>+[1]Reactions!AR4</f>
        <v>-510.4</v>
      </c>
      <c r="C3" s="137"/>
      <c r="D3" s="165">
        <v>-455.52</v>
      </c>
      <c r="E3" s="166">
        <v>43.41</v>
      </c>
      <c r="F3" s="167">
        <f>+D3-B3</f>
        <v>54.879999999999995</v>
      </c>
      <c r="G3" s="138">
        <f>IF(D3="","",+D3-$D$3)</f>
        <v>0</v>
      </c>
      <c r="H3" s="139">
        <f>+D3-E3</f>
        <v>-498.92999999999995</v>
      </c>
      <c r="I3" s="138">
        <f>IF(H3="","",+H3-$H$3)</f>
        <v>0</v>
      </c>
      <c r="J3" s="140">
        <f t="shared" ref="J3:J13" si="0">+IF(B3="",$B$3+(H3-$H$3),B3)</f>
        <v>-510.4</v>
      </c>
      <c r="K3" s="141">
        <f t="shared" ref="K3:K13" si="1">+IF(B3="",$B$3+(D3-$D$3),B3)</f>
        <v>-510.4</v>
      </c>
      <c r="L3" s="142">
        <v>1</v>
      </c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4">
        <v>1</v>
      </c>
      <c r="Z3" s="2" t="str">
        <f>+IF(C3="","",G3-C3)</f>
        <v/>
      </c>
      <c r="AA3" s="3" t="str">
        <f>+IF(C3="","",I3-C3)</f>
        <v/>
      </c>
    </row>
    <row r="4" spans="1:32" x14ac:dyDescent="0.3">
      <c r="A4" s="163" t="s">
        <v>831</v>
      </c>
      <c r="B4" s="145"/>
      <c r="C4" s="146"/>
      <c r="D4" s="156">
        <v>-831.71</v>
      </c>
      <c r="E4" s="168">
        <v>76.650000000000006</v>
      </c>
      <c r="F4" s="169"/>
      <c r="G4" s="147">
        <f t="shared" ref="G4:G13" si="2">IF(D4="","",+D4-$D$3)</f>
        <v>-376.19000000000005</v>
      </c>
      <c r="H4" s="148">
        <f t="shared" ref="H4:H13" si="3">+D4-E4</f>
        <v>-908.36</v>
      </c>
      <c r="I4" s="147">
        <f t="shared" ref="I4:I13" si="4">IF(H4="","",+H4-$H$3)</f>
        <v>-409.43000000000006</v>
      </c>
      <c r="J4" s="149">
        <f t="shared" si="0"/>
        <v>-919.83</v>
      </c>
      <c r="K4" s="150">
        <f t="shared" si="1"/>
        <v>-886.59</v>
      </c>
      <c r="L4" s="142">
        <v>1</v>
      </c>
      <c r="M4" s="143"/>
      <c r="N4" s="143">
        <v>1</v>
      </c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4">
        <v>2</v>
      </c>
      <c r="Z4" s="4" t="str">
        <f t="shared" ref="Z4:Z13" si="5">+IF(C4="","",G4-C4)</f>
        <v/>
      </c>
      <c r="AA4" s="5" t="str">
        <f t="shared" ref="AA4:AA13" si="6">+IF(C4="","",I4-C4)</f>
        <v/>
      </c>
      <c r="AB4">
        <v>5.75</v>
      </c>
      <c r="AC4" s="103">
        <v>679000</v>
      </c>
    </row>
    <row r="5" spans="1:32" x14ac:dyDescent="0.3">
      <c r="A5" s="163" t="s">
        <v>832</v>
      </c>
      <c r="B5" s="145"/>
      <c r="C5" s="146"/>
      <c r="D5" s="156">
        <v>-330.09</v>
      </c>
      <c r="E5" s="168">
        <v>42.83</v>
      </c>
      <c r="F5" s="169"/>
      <c r="G5" s="147">
        <f t="shared" si="2"/>
        <v>125.43</v>
      </c>
      <c r="H5" s="148">
        <f t="shared" si="3"/>
        <v>-372.91999999999996</v>
      </c>
      <c r="I5" s="147">
        <f t="shared" si="4"/>
        <v>126.00999999999999</v>
      </c>
      <c r="J5" s="149">
        <f t="shared" si="0"/>
        <v>-384.39</v>
      </c>
      <c r="K5" s="150">
        <f t="shared" si="1"/>
        <v>-384.96999999999997</v>
      </c>
      <c r="L5" s="142"/>
      <c r="M5" s="143"/>
      <c r="N5" s="143"/>
      <c r="O5" s="143">
        <v>1</v>
      </c>
      <c r="P5" s="143"/>
      <c r="Q5" s="143">
        <v>1</v>
      </c>
      <c r="R5" s="143"/>
      <c r="S5" s="143"/>
      <c r="T5" s="143"/>
      <c r="U5" s="143"/>
      <c r="V5" s="143"/>
      <c r="W5" s="143"/>
      <c r="X5" s="143"/>
      <c r="Y5" s="144">
        <v>1</v>
      </c>
      <c r="Z5" s="4" t="str">
        <f t="shared" si="5"/>
        <v/>
      </c>
      <c r="AA5" s="5" t="str">
        <f t="shared" si="6"/>
        <v/>
      </c>
      <c r="AB5">
        <v>13.88</v>
      </c>
    </row>
    <row r="6" spans="1:32" x14ac:dyDescent="0.3">
      <c r="A6" s="163" t="s">
        <v>833</v>
      </c>
      <c r="B6" s="145"/>
      <c r="C6" s="146"/>
      <c r="D6" s="156">
        <v>-607.75</v>
      </c>
      <c r="E6" s="168">
        <v>70.19</v>
      </c>
      <c r="F6" s="169"/>
      <c r="G6" s="147">
        <f t="shared" si="2"/>
        <v>-152.23000000000002</v>
      </c>
      <c r="H6" s="148">
        <f t="shared" si="3"/>
        <v>-677.94</v>
      </c>
      <c r="I6" s="147">
        <f t="shared" si="4"/>
        <v>-179.0100000000001</v>
      </c>
      <c r="J6" s="149">
        <f t="shared" si="0"/>
        <v>-689.41000000000008</v>
      </c>
      <c r="K6" s="150">
        <f t="shared" si="1"/>
        <v>-662.63</v>
      </c>
      <c r="L6" s="142"/>
      <c r="M6" s="143">
        <v>2</v>
      </c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>
        <v>1</v>
      </c>
      <c r="Y6" s="144">
        <v>1</v>
      </c>
      <c r="Z6" s="4" t="str">
        <f t="shared" si="5"/>
        <v/>
      </c>
      <c r="AA6" s="5" t="str">
        <f t="shared" si="6"/>
        <v/>
      </c>
    </row>
    <row r="7" spans="1:32" x14ac:dyDescent="0.3">
      <c r="A7" s="163" t="s">
        <v>834</v>
      </c>
      <c r="B7" s="145"/>
      <c r="C7" s="146"/>
      <c r="D7" s="156">
        <v>-749.14</v>
      </c>
      <c r="E7" s="168">
        <v>54</v>
      </c>
      <c r="F7" s="169"/>
      <c r="G7" s="147">
        <f t="shared" si="2"/>
        <v>-293.62</v>
      </c>
      <c r="H7" s="148">
        <f t="shared" si="3"/>
        <v>-803.14</v>
      </c>
      <c r="I7" s="147">
        <f t="shared" si="4"/>
        <v>-304.21000000000004</v>
      </c>
      <c r="J7" s="149">
        <f t="shared" si="0"/>
        <v>-814.61</v>
      </c>
      <c r="K7" s="150">
        <f t="shared" si="1"/>
        <v>-804.02</v>
      </c>
      <c r="L7" s="142"/>
      <c r="M7" s="143">
        <v>1</v>
      </c>
      <c r="N7" s="143"/>
      <c r="O7" s="143"/>
      <c r="P7" s="143"/>
      <c r="Q7" s="143"/>
      <c r="R7" s="143"/>
      <c r="S7" s="143"/>
      <c r="T7" s="143"/>
      <c r="U7" s="143"/>
      <c r="V7" s="143">
        <v>1</v>
      </c>
      <c r="W7" s="143"/>
      <c r="X7" s="143"/>
      <c r="Y7" s="144">
        <v>1</v>
      </c>
      <c r="Z7" s="4" t="str">
        <f t="shared" si="5"/>
        <v/>
      </c>
      <c r="AA7" s="5" t="str">
        <f t="shared" si="6"/>
        <v/>
      </c>
    </row>
    <row r="8" spans="1:32" x14ac:dyDescent="0.3">
      <c r="A8" s="163" t="s">
        <v>246</v>
      </c>
      <c r="B8" s="151">
        <f>+[1]Reactions!AR8</f>
        <v>-687</v>
      </c>
      <c r="C8" s="146">
        <f>+B8-$B$3</f>
        <v>-176.60000000000002</v>
      </c>
      <c r="D8" s="156">
        <v>-613.03</v>
      </c>
      <c r="E8" s="168">
        <v>68.91</v>
      </c>
      <c r="F8" s="170">
        <f>+D8-B8</f>
        <v>73.970000000000027</v>
      </c>
      <c r="G8" s="147">
        <f t="shared" si="2"/>
        <v>-157.51</v>
      </c>
      <c r="H8" s="148">
        <f t="shared" si="3"/>
        <v>-681.93999999999994</v>
      </c>
      <c r="I8" s="147">
        <f t="shared" si="4"/>
        <v>-183.01</v>
      </c>
      <c r="J8" s="152">
        <f t="shared" si="0"/>
        <v>-687</v>
      </c>
      <c r="K8" s="153">
        <f t="shared" si="1"/>
        <v>-687</v>
      </c>
      <c r="L8" s="142">
        <v>1</v>
      </c>
      <c r="M8" s="143"/>
      <c r="N8" s="143">
        <v>1</v>
      </c>
      <c r="O8" s="143"/>
      <c r="P8" s="143"/>
      <c r="Q8" s="143"/>
      <c r="R8" s="143"/>
      <c r="S8" s="143"/>
      <c r="T8" s="143"/>
      <c r="U8" s="143"/>
      <c r="V8" s="143"/>
      <c r="W8" s="143"/>
      <c r="X8" s="143">
        <v>1</v>
      </c>
      <c r="Y8" s="144">
        <v>1</v>
      </c>
      <c r="Z8" s="4">
        <f t="shared" si="5"/>
        <v>19.090000000000032</v>
      </c>
      <c r="AA8" s="5">
        <f t="shared" si="6"/>
        <v>-6.4099999999999682</v>
      </c>
    </row>
    <row r="9" spans="1:32" x14ac:dyDescent="0.3">
      <c r="A9" s="163" t="s">
        <v>835</v>
      </c>
      <c r="B9" s="151">
        <f>+[1]Reactions!AR15</f>
        <v>-596.22</v>
      </c>
      <c r="C9" s="146">
        <f>+B9-$B$3</f>
        <v>-85.82000000000005</v>
      </c>
      <c r="D9" s="156">
        <v>-568.1</v>
      </c>
      <c r="E9" s="168">
        <v>53.56</v>
      </c>
      <c r="F9" s="170">
        <f>+D9-B9</f>
        <v>28.120000000000005</v>
      </c>
      <c r="G9" s="147">
        <f t="shared" si="2"/>
        <v>-112.58000000000004</v>
      </c>
      <c r="H9" s="148">
        <f t="shared" si="3"/>
        <v>-621.66000000000008</v>
      </c>
      <c r="I9" s="147">
        <f t="shared" si="4"/>
        <v>-122.73000000000013</v>
      </c>
      <c r="J9" s="154">
        <f t="shared" si="0"/>
        <v>-596.22</v>
      </c>
      <c r="K9" s="141">
        <f t="shared" si="1"/>
        <v>-596.22</v>
      </c>
      <c r="L9" s="142">
        <v>1</v>
      </c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>
        <v>1</v>
      </c>
      <c r="X9" s="143"/>
      <c r="Y9" s="144">
        <v>1</v>
      </c>
      <c r="Z9" s="4">
        <f t="shared" si="5"/>
        <v>-26.759999999999991</v>
      </c>
      <c r="AA9" s="5">
        <f t="shared" si="6"/>
        <v>-36.910000000000082</v>
      </c>
    </row>
    <row r="10" spans="1:32" x14ac:dyDescent="0.3">
      <c r="A10" s="163" t="s">
        <v>124</v>
      </c>
      <c r="B10" s="151">
        <f>+[1]Reactions!AR22</f>
        <v>-486</v>
      </c>
      <c r="C10" s="146">
        <f>+B10-$B$3</f>
        <v>24.399999999999977</v>
      </c>
      <c r="D10" s="156">
        <v>-434.88</v>
      </c>
      <c r="E10" s="168">
        <v>40.67</v>
      </c>
      <c r="F10" s="170">
        <f>+D10-B10</f>
        <v>51.120000000000005</v>
      </c>
      <c r="G10" s="155">
        <f t="shared" si="2"/>
        <v>20.639999999999986</v>
      </c>
      <c r="H10" s="148">
        <f t="shared" si="3"/>
        <v>-475.55</v>
      </c>
      <c r="I10" s="155">
        <f t="shared" si="4"/>
        <v>23.379999999999939</v>
      </c>
      <c r="J10" s="154">
        <f t="shared" si="0"/>
        <v>-486</v>
      </c>
      <c r="K10" s="141">
        <f t="shared" si="1"/>
        <v>-486</v>
      </c>
      <c r="L10" s="142">
        <v>1</v>
      </c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4">
        <v>1</v>
      </c>
      <c r="Z10" s="4">
        <f t="shared" si="5"/>
        <v>-3.7599999999999909</v>
      </c>
      <c r="AA10" s="5">
        <f t="shared" si="6"/>
        <v>-1.0200000000000387</v>
      </c>
    </row>
    <row r="11" spans="1:32" x14ac:dyDescent="0.3">
      <c r="A11" s="163" t="s">
        <v>314</v>
      </c>
      <c r="B11" s="151">
        <f>+[1]SpcDB!E93</f>
        <v>-909.29</v>
      </c>
      <c r="C11" s="146">
        <f>+B11-$B$3</f>
        <v>-398.89</v>
      </c>
      <c r="D11" s="156">
        <v>-826.43</v>
      </c>
      <c r="E11" s="168">
        <v>78.069999999999993</v>
      </c>
      <c r="F11" s="170">
        <f>+D11-B11</f>
        <v>82.860000000000014</v>
      </c>
      <c r="G11" s="147">
        <f t="shared" si="2"/>
        <v>-370.90999999999997</v>
      </c>
      <c r="H11" s="148">
        <f t="shared" si="3"/>
        <v>-904.5</v>
      </c>
      <c r="I11" s="147">
        <f t="shared" si="4"/>
        <v>-405.57000000000005</v>
      </c>
      <c r="J11" s="154">
        <f t="shared" si="0"/>
        <v>-909.29</v>
      </c>
      <c r="K11" s="141">
        <f t="shared" si="1"/>
        <v>-909.29</v>
      </c>
      <c r="L11" s="142"/>
      <c r="M11" s="143">
        <v>2</v>
      </c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4">
        <v>2</v>
      </c>
      <c r="Z11" s="4">
        <f t="shared" si="5"/>
        <v>27.980000000000018</v>
      </c>
      <c r="AA11" s="5">
        <f t="shared" si="6"/>
        <v>-6.6800000000000637</v>
      </c>
    </row>
    <row r="12" spans="1:32" x14ac:dyDescent="0.3">
      <c r="A12" s="163" t="s">
        <v>836</v>
      </c>
      <c r="B12" s="156">
        <f>+[1]SpcDB!E78</f>
        <v>-959.9</v>
      </c>
      <c r="C12" s="146">
        <f>+B12-$B$3</f>
        <v>-449.5</v>
      </c>
      <c r="D12" s="156">
        <v>-939.01</v>
      </c>
      <c r="E12" s="168">
        <v>93.01</v>
      </c>
      <c r="F12" s="170">
        <f>+D12-B12</f>
        <v>20.889999999999986</v>
      </c>
      <c r="G12" s="147">
        <f t="shared" si="2"/>
        <v>-483.49</v>
      </c>
      <c r="H12" s="148">
        <f t="shared" si="3"/>
        <v>-1032.02</v>
      </c>
      <c r="I12" s="147">
        <f t="shared" si="4"/>
        <v>-533.09</v>
      </c>
      <c r="J12" s="154">
        <f t="shared" si="0"/>
        <v>-959.9</v>
      </c>
      <c r="K12" s="141">
        <f t="shared" si="1"/>
        <v>-959.9</v>
      </c>
      <c r="L12" s="142"/>
      <c r="M12" s="143">
        <v>1</v>
      </c>
      <c r="N12" s="143"/>
      <c r="O12" s="143"/>
      <c r="P12" s="143"/>
      <c r="Q12" s="143"/>
      <c r="R12" s="143"/>
      <c r="S12" s="143"/>
      <c r="T12" s="143"/>
      <c r="U12" s="143"/>
      <c r="V12" s="143"/>
      <c r="W12" s="143">
        <v>1</v>
      </c>
      <c r="X12" s="143"/>
      <c r="Y12" s="144">
        <v>2</v>
      </c>
      <c r="Z12" s="4">
        <f t="shared" si="5"/>
        <v>-33.990000000000009</v>
      </c>
      <c r="AA12" s="5">
        <f t="shared" si="6"/>
        <v>-83.590000000000032</v>
      </c>
    </row>
    <row r="13" spans="1:32" ht="15" thickBot="1" x14ac:dyDescent="0.35">
      <c r="A13" s="164" t="s">
        <v>848</v>
      </c>
      <c r="B13" s="157"/>
      <c r="C13" s="158"/>
      <c r="D13" s="157">
        <v>-713.44</v>
      </c>
      <c r="E13" s="171">
        <v>74.37</v>
      </c>
      <c r="F13" s="159"/>
      <c r="G13" s="160">
        <f t="shared" si="2"/>
        <v>-257.92000000000007</v>
      </c>
      <c r="H13" s="159">
        <f t="shared" si="3"/>
        <v>-787.81000000000006</v>
      </c>
      <c r="I13" s="160">
        <f t="shared" si="4"/>
        <v>-288.88000000000011</v>
      </c>
      <c r="J13" s="160">
        <f t="shared" si="0"/>
        <v>-799.28000000000009</v>
      </c>
      <c r="K13" s="159">
        <f t="shared" si="1"/>
        <v>-768.32</v>
      </c>
      <c r="L13" s="161"/>
      <c r="M13" s="159">
        <v>1</v>
      </c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60">
        <v>2</v>
      </c>
      <c r="Z13" s="174" t="str">
        <f t="shared" si="5"/>
        <v/>
      </c>
      <c r="AA13" s="175" t="str">
        <f t="shared" si="6"/>
        <v/>
      </c>
    </row>
    <row r="14" spans="1:32" ht="16.2" thickBot="1" x14ac:dyDescent="0.35">
      <c r="A14" s="123"/>
      <c r="B14" s="107"/>
      <c r="C14" s="107"/>
      <c r="D14" s="107"/>
      <c r="E14" s="107"/>
      <c r="F14" s="107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" thickBot="1" x14ac:dyDescent="0.35">
      <c r="A15" s="660" t="s">
        <v>837</v>
      </c>
      <c r="B15" s="661"/>
      <c r="C15" s="662"/>
      <c r="E15" s="657" t="s">
        <v>853</v>
      </c>
      <c r="F15" s="658"/>
      <c r="G15" s="658"/>
      <c r="H15" s="658"/>
      <c r="I15" s="658"/>
      <c r="J15" s="658"/>
      <c r="K15" s="658"/>
      <c r="L15" s="658"/>
      <c r="M15" s="658"/>
      <c r="N15" s="658"/>
      <c r="O15" s="659"/>
    </row>
    <row r="16" spans="1:32" ht="16.2" x14ac:dyDescent="0.3">
      <c r="A16" s="178" t="s">
        <v>875</v>
      </c>
      <c r="B16" s="179" t="s">
        <v>876</v>
      </c>
      <c r="C16" s="180" t="s">
        <v>877</v>
      </c>
      <c r="E16" s="185"/>
      <c r="F16" s="186"/>
      <c r="G16" s="186"/>
      <c r="H16" s="186"/>
      <c r="I16" s="186"/>
      <c r="J16" s="186"/>
      <c r="K16" s="186"/>
      <c r="L16" s="186"/>
      <c r="M16" s="186"/>
      <c r="N16" s="186"/>
      <c r="O16" s="180" t="s">
        <v>878</v>
      </c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</row>
    <row r="17" spans="1:15" ht="16.2" x14ac:dyDescent="0.3">
      <c r="A17" s="181" t="s">
        <v>838</v>
      </c>
      <c r="B17" s="148">
        <f t="shared" ref="B17:C22" si="7">+J3-$K$25</f>
        <v>-234.99999999999989</v>
      </c>
      <c r="C17" s="155">
        <f t="shared" si="7"/>
        <v>-234.99999999999989</v>
      </c>
      <c r="E17" s="121" t="s">
        <v>850</v>
      </c>
      <c r="F17" s="187" t="s">
        <v>859</v>
      </c>
      <c r="G17" s="187" t="s">
        <v>854</v>
      </c>
      <c r="H17" s="187" t="s">
        <v>27</v>
      </c>
      <c r="I17" s="187" t="s">
        <v>861</v>
      </c>
      <c r="J17" s="124" t="s">
        <v>849</v>
      </c>
      <c r="K17" s="187" t="s">
        <v>857</v>
      </c>
      <c r="L17" s="187" t="s">
        <v>856</v>
      </c>
      <c r="M17" s="187" t="s">
        <v>6</v>
      </c>
      <c r="N17" s="188"/>
      <c r="O17" s="189">
        <v>-30.9</v>
      </c>
    </row>
    <row r="18" spans="1:15" ht="16.2" x14ac:dyDescent="0.3">
      <c r="A18" s="181" t="s">
        <v>839</v>
      </c>
      <c r="B18" s="148">
        <f t="shared" si="7"/>
        <v>-644.42999999999995</v>
      </c>
      <c r="C18" s="155">
        <f t="shared" si="7"/>
        <v>-611.18999999999994</v>
      </c>
      <c r="E18" s="190" t="s">
        <v>879</v>
      </c>
      <c r="F18" s="187"/>
      <c r="G18" s="187"/>
      <c r="H18" s="187"/>
      <c r="I18" s="187"/>
      <c r="J18" s="187"/>
      <c r="K18" s="187"/>
      <c r="L18" s="187">
        <v>-1292.0999999999999</v>
      </c>
      <c r="M18" s="187"/>
      <c r="N18" s="188"/>
      <c r="O18" s="189"/>
    </row>
    <row r="19" spans="1:15" ht="16.2" x14ac:dyDescent="0.3">
      <c r="A19" s="181" t="s">
        <v>840</v>
      </c>
      <c r="B19" s="148">
        <f t="shared" si="7"/>
        <v>-108.9899999999999</v>
      </c>
      <c r="C19" s="155">
        <f t="shared" si="7"/>
        <v>-109.56999999999988</v>
      </c>
      <c r="E19" s="121" t="s">
        <v>851</v>
      </c>
      <c r="F19" s="187" t="s">
        <v>860</v>
      </c>
      <c r="G19" s="187" t="s">
        <v>880</v>
      </c>
      <c r="H19" s="187"/>
      <c r="I19" s="187"/>
      <c r="J19" s="124" t="s">
        <v>849</v>
      </c>
      <c r="K19" s="187" t="s">
        <v>858</v>
      </c>
      <c r="L19" s="187" t="s">
        <v>856</v>
      </c>
      <c r="M19" s="187" t="s">
        <v>861</v>
      </c>
      <c r="N19" s="188"/>
      <c r="O19" s="189">
        <v>-20.5</v>
      </c>
    </row>
    <row r="20" spans="1:15" ht="16.2" x14ac:dyDescent="0.3">
      <c r="A20" s="181" t="s">
        <v>841</v>
      </c>
      <c r="B20" s="148">
        <f t="shared" si="7"/>
        <v>-414.01</v>
      </c>
      <c r="C20" s="155">
        <f t="shared" si="7"/>
        <v>-387.2299999999999</v>
      </c>
      <c r="E20" s="190" t="s">
        <v>879</v>
      </c>
      <c r="F20" s="187"/>
      <c r="G20" s="187">
        <v>-285.8</v>
      </c>
      <c r="H20" s="187"/>
      <c r="I20" s="187"/>
      <c r="J20" s="187"/>
      <c r="K20" s="187"/>
      <c r="L20" s="187">
        <v>-1292.0999999999999</v>
      </c>
      <c r="M20" s="187"/>
      <c r="N20" s="188"/>
      <c r="O20" s="189"/>
    </row>
    <row r="21" spans="1:15" x14ac:dyDescent="0.3">
      <c r="A21" s="181" t="s">
        <v>842</v>
      </c>
      <c r="B21" s="148">
        <f t="shared" si="7"/>
        <v>-539.20999999999992</v>
      </c>
      <c r="C21" s="155">
        <f t="shared" si="7"/>
        <v>-528.61999999999989</v>
      </c>
      <c r="E21" s="191"/>
      <c r="F21" s="192"/>
      <c r="G21" s="192"/>
      <c r="H21" s="192"/>
      <c r="I21" s="192"/>
      <c r="J21" s="192"/>
      <c r="K21" s="192"/>
      <c r="L21" s="192"/>
      <c r="M21" s="192"/>
      <c r="N21" s="193"/>
      <c r="O21" s="194"/>
    </row>
    <row r="22" spans="1:15" ht="16.2" x14ac:dyDescent="0.3">
      <c r="A22" s="181" t="s">
        <v>843</v>
      </c>
      <c r="B22" s="148">
        <f t="shared" si="7"/>
        <v>-411.59999999999991</v>
      </c>
      <c r="C22" s="155">
        <f t="shared" si="7"/>
        <v>-411.59999999999991</v>
      </c>
      <c r="E22" s="122" t="s">
        <v>852</v>
      </c>
      <c r="F22" s="187" t="s">
        <v>854</v>
      </c>
      <c r="G22" s="187" t="s">
        <v>27</v>
      </c>
      <c r="H22" s="187" t="s">
        <v>855</v>
      </c>
      <c r="I22" s="187"/>
      <c r="J22" s="124" t="s">
        <v>849</v>
      </c>
      <c r="K22" s="187" t="s">
        <v>6</v>
      </c>
      <c r="L22" s="187" t="s">
        <v>880</v>
      </c>
      <c r="M22" s="187"/>
      <c r="N22" s="188"/>
      <c r="O22" s="189">
        <f>+O17-O19</f>
        <v>-10.399999999999999</v>
      </c>
    </row>
    <row r="23" spans="1:15" ht="16.2" x14ac:dyDescent="0.3">
      <c r="A23" s="181" t="s">
        <v>844</v>
      </c>
      <c r="B23" s="148">
        <f>+J10-$K$25</f>
        <v>-210.59999999999991</v>
      </c>
      <c r="C23" s="155">
        <f>+K10-$K$25</f>
        <v>-210.59999999999991</v>
      </c>
      <c r="E23" s="190" t="s">
        <v>879</v>
      </c>
      <c r="F23" s="187">
        <v>-909.29</v>
      </c>
      <c r="G23" s="187"/>
      <c r="H23" s="187"/>
      <c r="I23" s="187"/>
      <c r="J23" s="187"/>
      <c r="K23" s="120">
        <f>+O22-L23+F23</f>
        <v>-633.88999999999987</v>
      </c>
      <c r="L23" s="187">
        <v>-285.8</v>
      </c>
      <c r="M23" s="187"/>
      <c r="N23" s="188"/>
      <c r="O23" s="189"/>
    </row>
    <row r="24" spans="1:15" x14ac:dyDescent="0.3">
      <c r="A24" s="181" t="s">
        <v>845</v>
      </c>
      <c r="B24" s="148">
        <f>+J11-$K$25</f>
        <v>-633.88999999999987</v>
      </c>
      <c r="C24" s="155">
        <f>+K11-$K$25</f>
        <v>-633.88999999999987</v>
      </c>
      <c r="E24" s="191"/>
      <c r="F24" s="192"/>
      <c r="G24" s="192"/>
      <c r="H24" s="192"/>
      <c r="I24" s="192"/>
      <c r="J24" s="192"/>
      <c r="K24" s="192"/>
      <c r="L24" s="192"/>
      <c r="M24" s="192"/>
      <c r="N24" s="193"/>
      <c r="O24" s="194"/>
    </row>
    <row r="25" spans="1:15" ht="16.8" thickBot="1" x14ac:dyDescent="0.35">
      <c r="A25" s="182" t="s">
        <v>560</v>
      </c>
      <c r="B25" s="183">
        <f>+J13-$K$25</f>
        <v>-523.88</v>
      </c>
      <c r="C25" s="184">
        <f>+K13-$K$25</f>
        <v>-492.91999999999996</v>
      </c>
      <c r="E25" s="195"/>
      <c r="F25" s="196"/>
      <c r="G25" s="196"/>
      <c r="H25" s="196"/>
      <c r="I25" s="196"/>
      <c r="J25" s="127" t="s">
        <v>881</v>
      </c>
      <c r="K25" s="199">
        <f>+F23-K23</f>
        <v>-275.40000000000009</v>
      </c>
      <c r="L25" s="196"/>
      <c r="M25" s="196"/>
      <c r="N25" s="197"/>
      <c r="O25" s="198"/>
    </row>
    <row r="26" spans="1:15" x14ac:dyDescent="0.3"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3">
      <c r="A27" s="103" t="s">
        <v>846</v>
      </c>
    </row>
    <row r="34" spans="1:1" ht="15.6" x14ac:dyDescent="0.3">
      <c r="A34" s="106" t="s">
        <v>831</v>
      </c>
    </row>
    <row r="41" spans="1:1" x14ac:dyDescent="0.3">
      <c r="A41" s="103" t="s">
        <v>246</v>
      </c>
    </row>
  </sheetData>
  <mergeCells count="5">
    <mergeCell ref="E15:O15"/>
    <mergeCell ref="D1:K1"/>
    <mergeCell ref="L1:Y1"/>
    <mergeCell ref="B1:C1"/>
    <mergeCell ref="A15:C15"/>
  </mergeCells>
  <conditionalFormatting sqref="Z3:AA1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{F94D9214-546E-4EDD-A695-E2A3B8A322B9}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4D9214-546E-4EDD-A695-E2A3B8A322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Z3:AA13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1DCE-9A69-4361-B463-C1E988A576C4}">
  <dimension ref="A1:R13"/>
  <sheetViews>
    <sheetView workbookViewId="0">
      <selection activeCell="V11" sqref="V11"/>
    </sheetView>
  </sheetViews>
  <sheetFormatPr defaultRowHeight="14.4" x14ac:dyDescent="0.3"/>
  <cols>
    <col min="17" max="17" width="32.33203125" bestFit="1" customWidth="1"/>
  </cols>
  <sheetData>
    <row r="1" spans="1:18" x14ac:dyDescent="0.3">
      <c r="A1" t="s">
        <v>882</v>
      </c>
    </row>
    <row r="2" spans="1:18" ht="15" thickBot="1" x14ac:dyDescent="0.35"/>
    <row r="3" spans="1:18" ht="28.2" thickBot="1" x14ac:dyDescent="0.35">
      <c r="A3" s="200"/>
      <c r="B3" s="201" t="s">
        <v>883</v>
      </c>
      <c r="C3" s="201" t="s">
        <v>884</v>
      </c>
      <c r="D3" s="666" t="s">
        <v>885</v>
      </c>
      <c r="E3" s="666"/>
      <c r="F3" s="666"/>
      <c r="G3" s="666"/>
      <c r="H3" s="666"/>
      <c r="I3" s="666"/>
      <c r="J3" s="666"/>
      <c r="L3" t="s">
        <v>900</v>
      </c>
      <c r="N3" t="s">
        <v>901</v>
      </c>
    </row>
    <row r="4" spans="1:18" ht="15" x14ac:dyDescent="0.3">
      <c r="A4" s="667" t="s">
        <v>886</v>
      </c>
      <c r="B4" s="204" t="s">
        <v>887</v>
      </c>
      <c r="C4" s="205" t="s">
        <v>72</v>
      </c>
      <c r="D4" s="223"/>
      <c r="E4" s="223">
        <v>-45</v>
      </c>
      <c r="F4" s="224">
        <v>-50</v>
      </c>
      <c r="G4" s="225">
        <v>-55</v>
      </c>
      <c r="H4" s="223">
        <v>-60</v>
      </c>
      <c r="I4" s="223">
        <v>-65</v>
      </c>
      <c r="J4" s="223"/>
      <c r="L4">
        <f>+COUNT(D4:J4)</f>
        <v>5</v>
      </c>
      <c r="N4">
        <f>+PRODUCT(L4:L13)</f>
        <v>168000</v>
      </c>
      <c r="Q4" t="s">
        <v>902</v>
      </c>
      <c r="R4" s="226">
        <v>10</v>
      </c>
    </row>
    <row r="5" spans="1:18" ht="15" x14ac:dyDescent="0.3">
      <c r="A5" s="668"/>
      <c r="B5" s="202" t="s">
        <v>888</v>
      </c>
      <c r="C5" s="205" t="s">
        <v>889</v>
      </c>
      <c r="D5" s="213">
        <v>3</v>
      </c>
      <c r="E5" s="213">
        <v>3.3333333333333335</v>
      </c>
      <c r="F5" s="213">
        <v>3.6666666666666665</v>
      </c>
      <c r="G5" s="213">
        <v>4</v>
      </c>
      <c r="H5" s="213">
        <f>+G5+0.333333333333333</f>
        <v>4.333333333333333</v>
      </c>
      <c r="I5" s="213">
        <f>+H5+0.333333333333333</f>
        <v>4.6666666666666661</v>
      </c>
      <c r="J5" s="213">
        <f>+I5+0.333333333333333</f>
        <v>4.9999999999999991</v>
      </c>
      <c r="L5" s="119">
        <f t="shared" ref="L5:L13" si="0">+COUNT(D5:J5)</f>
        <v>7</v>
      </c>
      <c r="Q5" t="s">
        <v>903</v>
      </c>
      <c r="R5">
        <f>+R4*$N$4</f>
        <v>1680000</v>
      </c>
    </row>
    <row r="6" spans="1:18" x14ac:dyDescent="0.3">
      <c r="A6" s="668"/>
      <c r="B6" s="202" t="s">
        <v>27</v>
      </c>
      <c r="C6" s="205" t="s">
        <v>890</v>
      </c>
      <c r="D6" s="218">
        <v>1E-3</v>
      </c>
      <c r="E6" s="214">
        <v>0.01</v>
      </c>
      <c r="F6" s="214">
        <v>0.1</v>
      </c>
      <c r="G6" s="215">
        <v>1</v>
      </c>
      <c r="H6" s="205">
        <v>10</v>
      </c>
      <c r="L6" s="119">
        <f t="shared" si="0"/>
        <v>5</v>
      </c>
      <c r="Q6" s="119" t="s">
        <v>904</v>
      </c>
      <c r="R6">
        <f>+R5/3600</f>
        <v>466.66666666666669</v>
      </c>
    </row>
    <row r="7" spans="1:18" x14ac:dyDescent="0.3">
      <c r="A7" s="668"/>
      <c r="B7" s="202"/>
      <c r="C7" s="205"/>
      <c r="D7" s="218"/>
      <c r="E7" s="214"/>
      <c r="F7" s="214"/>
      <c r="G7" s="215"/>
      <c r="H7" s="205"/>
      <c r="I7" s="207"/>
      <c r="J7" s="207"/>
      <c r="L7" s="119"/>
      <c r="Q7" s="119" t="s">
        <v>905</v>
      </c>
      <c r="R7" s="227">
        <f>+R6/24</f>
        <v>19.444444444444446</v>
      </c>
    </row>
    <row r="8" spans="1:18" x14ac:dyDescent="0.3">
      <c r="A8" s="668"/>
      <c r="B8" s="202"/>
      <c r="C8" s="205"/>
      <c r="D8" s="218"/>
      <c r="E8" s="214"/>
      <c r="F8" s="214"/>
      <c r="G8" s="215"/>
      <c r="H8" s="205"/>
      <c r="I8" s="207"/>
      <c r="J8" s="207"/>
      <c r="L8" s="119"/>
    </row>
    <row r="9" spans="1:18" ht="15.6" thickBot="1" x14ac:dyDescent="0.35">
      <c r="A9" s="669"/>
      <c r="B9" s="208" t="s">
        <v>891</v>
      </c>
      <c r="C9" s="209" t="s">
        <v>889</v>
      </c>
      <c r="D9" s="219"/>
      <c r="E9" s="219">
        <v>6.5</v>
      </c>
      <c r="F9" s="220">
        <v>7</v>
      </c>
      <c r="G9" s="219">
        <v>7.5</v>
      </c>
      <c r="H9" s="221">
        <v>8</v>
      </c>
      <c r="I9" s="7"/>
      <c r="J9" s="7"/>
      <c r="L9" s="119">
        <f t="shared" si="0"/>
        <v>4</v>
      </c>
      <c r="Q9" t="s">
        <v>906</v>
      </c>
      <c r="R9">
        <v>24</v>
      </c>
    </row>
    <row r="10" spans="1:18" ht="27.6" x14ac:dyDescent="0.3">
      <c r="A10" s="203" t="s">
        <v>892</v>
      </c>
      <c r="B10" s="202" t="s">
        <v>894</v>
      </c>
      <c r="C10" s="205" t="s">
        <v>895</v>
      </c>
      <c r="D10" s="214">
        <v>0.01</v>
      </c>
      <c r="E10" s="215">
        <v>0.13</v>
      </c>
      <c r="F10" s="214">
        <v>1.62</v>
      </c>
      <c r="G10" s="215">
        <v>31.63</v>
      </c>
      <c r="H10" s="207">
        <v>316.3</v>
      </c>
      <c r="L10" s="119">
        <f t="shared" si="0"/>
        <v>5</v>
      </c>
      <c r="Q10" t="s">
        <v>907</v>
      </c>
      <c r="R10">
        <f>+R7/24</f>
        <v>0.81018518518518523</v>
      </c>
    </row>
    <row r="11" spans="1:18" ht="27.6" x14ac:dyDescent="0.3">
      <c r="A11" s="203" t="s">
        <v>893</v>
      </c>
      <c r="B11" s="202" t="s">
        <v>896</v>
      </c>
      <c r="C11" s="205" t="s">
        <v>890</v>
      </c>
      <c r="D11" s="218"/>
      <c r="E11" s="214">
        <v>0.01</v>
      </c>
      <c r="F11" s="214">
        <v>0.1</v>
      </c>
      <c r="G11" s="214">
        <v>1</v>
      </c>
      <c r="H11" s="206">
        <v>10</v>
      </c>
      <c r="L11" s="119">
        <f t="shared" si="0"/>
        <v>4</v>
      </c>
    </row>
    <row r="12" spans="1:18" ht="15" x14ac:dyDescent="0.3">
      <c r="A12" s="210"/>
      <c r="B12" s="202" t="s">
        <v>897</v>
      </c>
      <c r="C12" s="212" t="s">
        <v>898</v>
      </c>
      <c r="D12" s="222">
        <v>25</v>
      </c>
      <c r="E12" s="222">
        <v>35</v>
      </c>
      <c r="F12" s="217">
        <v>45</v>
      </c>
      <c r="G12" s="217">
        <v>55</v>
      </c>
      <c r="L12" s="119">
        <f t="shared" si="0"/>
        <v>4</v>
      </c>
    </row>
    <row r="13" spans="1:18" ht="15.6" thickBot="1" x14ac:dyDescent="0.35">
      <c r="A13" s="211"/>
      <c r="B13" s="208" t="s">
        <v>899</v>
      </c>
      <c r="C13" s="209" t="s">
        <v>889</v>
      </c>
      <c r="D13" s="219">
        <v>6</v>
      </c>
      <c r="E13" s="220">
        <v>7</v>
      </c>
      <c r="F13" s="219">
        <v>8</v>
      </c>
      <c r="G13" s="216"/>
      <c r="H13" s="7"/>
      <c r="I13" s="7"/>
      <c r="J13" s="7"/>
      <c r="L13" s="119">
        <f t="shared" si="0"/>
        <v>3</v>
      </c>
    </row>
  </sheetData>
  <mergeCells count="2">
    <mergeCell ref="D3:J3"/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ProDegPaths</vt:lpstr>
      <vt:lpstr>SensAnalysis</vt:lpstr>
      <vt:lpstr>SpcDB</vt:lpstr>
      <vt:lpstr>calcEnthJoback</vt:lpstr>
      <vt:lpstr>EstimationSimulationTimes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2020-02-25T13:19:51Z</dcterms:modified>
</cp:coreProperties>
</file>