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/>
  <xr:revisionPtr revIDLastSave="0" documentId="13_ncr:1_{1D5A6022-AFB3-4B03-8494-0F5B542C211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abelle1" sheetId="1" r:id="rId1"/>
    <sheet name="fuel_costs_historical" sheetId="3" r:id="rId2"/>
    <sheet name="BAFA_Erdgas" sheetId="6" r:id="rId3"/>
  </sheets>
  <externalReferences>
    <externalReference r:id="rId4"/>
  </externalReferences>
  <definedNames>
    <definedName name="Diagramm5">[1]EB97_Zahlen_für_Grafiken!$A$11:$S$24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D9" i="3"/>
  <c r="C9" i="3"/>
  <c r="B9" i="3"/>
  <c r="E3" i="3" l="1"/>
  <c r="D3" i="3"/>
  <c r="C3" i="3"/>
  <c r="B3" i="3"/>
  <c r="E2" i="3"/>
  <c r="D2" i="3"/>
  <c r="C2" i="3"/>
  <c r="B2" i="3"/>
  <c r="I18" i="6"/>
  <c r="G18" i="6"/>
  <c r="E18" i="6"/>
  <c r="C18" i="6"/>
  <c r="E8" i="3" l="1"/>
  <c r="D8" i="3"/>
  <c r="C8" i="3"/>
  <c r="B8" i="3"/>
  <c r="E4" i="3"/>
  <c r="D4" i="3"/>
  <c r="C4" i="3"/>
  <c r="B4" i="3"/>
  <c r="E5" i="3"/>
  <c r="D5" i="3"/>
  <c r="C5" i="3"/>
  <c r="B5" i="3"/>
  <c r="B6" i="3" l="1"/>
  <c r="B7" i="3"/>
  <c r="E7" i="3"/>
  <c r="D7" i="3"/>
  <c r="C7" i="3"/>
  <c r="D6" i="3" l="1"/>
  <c r="C6" i="3"/>
  <c r="E6" i="3"/>
</calcChain>
</file>

<file path=xl/sharedStrings.xml><?xml version="1.0" encoding="utf-8"?>
<sst xmlns="http://schemas.openxmlformats.org/spreadsheetml/2006/main" count="142" uniqueCount="84">
  <si>
    <t>Commodity</t>
  </si>
  <si>
    <t>Unit</t>
  </si>
  <si>
    <t>Value</t>
  </si>
  <si>
    <t>Source</t>
  </si>
  <si>
    <t>Uranium</t>
  </si>
  <si>
    <t>€/MWh</t>
  </si>
  <si>
    <t>3,4</t>
  </si>
  <si>
    <t>Dummy data</t>
  </si>
  <si>
    <t>Lignite</t>
  </si>
  <si>
    <t>6,12</t>
  </si>
  <si>
    <t>(Ziesing et al. 2015), S. 98.</t>
  </si>
  <si>
    <t>Hard coal</t>
  </si>
  <si>
    <t>Linear regression over:</t>
  </si>
  <si>
    <t>(Prognos AG 2013), S.39, (Nitsch et al. 2012), S. 51, (Teske et al. 2015), S. 66, (Ziesing et al. 2014), S. 64, (Ziesing et al. 2015), S. 98.</t>
  </si>
  <si>
    <t>Gas</t>
  </si>
  <si>
    <t>(Prognos AG 2013), S.34., (Nitsch et al. 2012), S. 51., (Teske et al. 2015), S. 66., (Ziesing et al. 2014), S. 64, (Ziesing et al. 2015)S. 98.</t>
  </si>
  <si>
    <t>Oil</t>
  </si>
  <si>
    <t xml:space="preserve">(Nitsch et al. 2012), S. 51., </t>
  </si>
  <si>
    <t>(Ziesing et al. 2014), S. 64., (Ziesing et al. 2015), S. 98.</t>
  </si>
  <si>
    <t>Mixed fuels</t>
  </si>
  <si>
    <t>Mean value of lignite, hard coal and gas</t>
  </si>
  <si>
    <t>Biomass</t>
  </si>
  <si>
    <t>(Prognos AG 2013), S.31, (Teske et al. 2015), S. 66, (Bang et al. 2013), S. 63, (Koch et al. 2018), S. 26 ff.</t>
  </si>
  <si>
    <t>Water</t>
  </si>
  <si>
    <t>Otherfossil</t>
  </si>
  <si>
    <t>Waste</t>
  </si>
  <si>
    <t>Pathway</t>
  </si>
  <si>
    <t>Lower</t>
  </si>
  <si>
    <t>Middle</t>
  </si>
  <si>
    <t>(Prognos AG 2013), S.39.</t>
  </si>
  <si>
    <t>Upper</t>
  </si>
  <si>
    <t>(Prognos AG 2013), S.41.</t>
  </si>
  <si>
    <t>(Ziesing et al. 2014), S. 64.</t>
  </si>
  <si>
    <t>(Teske et al. 2015), S. 66.</t>
  </si>
  <si>
    <t>(Prognos AG 2013), S.31.</t>
  </si>
  <si>
    <t>(Koch et al. 2018), S. 26 ff.</t>
  </si>
  <si>
    <t>Biomethan</t>
  </si>
  <si>
    <t>(Jahn et al. 2015), S. 48. 26 ff.</t>
  </si>
  <si>
    <t>Natural gas</t>
  </si>
  <si>
    <t>(Nitsch et al. 2012), S. 51.</t>
  </si>
  <si>
    <t>(Prognos AG 2013), S.34.</t>
  </si>
  <si>
    <t>Crude oil</t>
  </si>
  <si>
    <t>Menge (TJ)</t>
  </si>
  <si>
    <t>Preis *) (Euro/TJ)</t>
  </si>
  <si>
    <t>Januar</t>
  </si>
  <si>
    <t>Februar</t>
  </si>
  <si>
    <t>März</t>
  </si>
  <si>
    <t>April</t>
  </si>
  <si>
    <t>Mai</t>
  </si>
  <si>
    <t>Juni</t>
  </si>
  <si>
    <t>Juli</t>
  </si>
  <si>
    <t>September</t>
  </si>
  <si>
    <t xml:space="preserve">Oktober </t>
  </si>
  <si>
    <t>November</t>
  </si>
  <si>
    <t>Dezember</t>
  </si>
  <si>
    <t>fuel</t>
  </si>
  <si>
    <t>natgas</t>
  </si>
  <si>
    <t>source</t>
  </si>
  <si>
    <t>comment</t>
  </si>
  <si>
    <t>BAFA (2019). Aufkommen und Export von Erdgas sowie die Entwicklung der Grenzübergangspreise ab 1991</t>
  </si>
  <si>
    <t>natgas (BMWi)</t>
  </si>
  <si>
    <t>rawoil</t>
  </si>
  <si>
    <t>heavy fuel oil</t>
  </si>
  <si>
    <t>Whole year weighted averages Eur/MWh. These prices exclude taxes. Exceptions are given in §3 EnergieStG. I would guess, that somehow all plants have an exception. If not, taxes should be 5,50€/MWh according to §2 (3) No. 4 EnergieStG</t>
  </si>
  <si>
    <t>Prices for industry, excluding VAT. Converted using (lower) heating value in Table 0.3 of the same excel file. 40343 kJ/kg. Value for 2016 is given, the values for 2017 and 2018 are extrapolated using the price relation of 2016 heavy fuel oil and rawoil</t>
  </si>
  <si>
    <t>Prices for industry, excluding VAT. Converted using (lower) heating value in Table 0.3 of the same excel file. 42816 kJ/kg. And density of 0.855 g/cm^3 from GESTIS database.</t>
  </si>
  <si>
    <t>hardcoal</t>
  </si>
  <si>
    <t>Converted using 1 tSKE = 8.14 MWh in Table 0.2 of the same excel file.</t>
  </si>
  <si>
    <t>hardcoal (BMWi)</t>
  </si>
  <si>
    <t>Whole year weighted averages. The amount in t was used as weights. All import regions where used ("insgesamt"). Converted using 1 tSKE = 8.14 MWh.</t>
  </si>
  <si>
    <t>Statistisches Bundesamt (Destatis), 2019 | Stand: 25.11.2019 / 09:23:55. Einfuhr von Steinkohle: Deutschland, Monate, Ursprungsland. Code: 43511-0001</t>
  </si>
  <si>
    <t>oil</t>
  </si>
  <si>
    <t>BMWi (2020). Zahlen und Fakten Energiedaten. Nationale und Internationale Entiwicklung. Tabelle 26</t>
  </si>
  <si>
    <t>Einfuhrpreis. Converted using 1 GWh = 3.6 TJ in Table 0.2 of the same excel file.</t>
  </si>
  <si>
    <t>Einfuhrpreis. Converted using (lower) heating value in BMWi(2020). Table 0.3. 42505 kJ/kg and 1 kJ = 1 / (3.6*10^6) MWh</t>
  </si>
  <si>
    <t xml:space="preserve">Jahr </t>
  </si>
  <si>
    <t xml:space="preserve"> Monat</t>
  </si>
  <si>
    <t>August</t>
  </si>
  <si>
    <t>Gesamt:</t>
  </si>
  <si>
    <t>2018 1)</t>
  </si>
  <si>
    <t>2017 1)</t>
  </si>
  <si>
    <t>Gewichtetes arith. Mittel</t>
  </si>
  <si>
    <t>natgas (BMWi, industry)</t>
  </si>
  <si>
    <t>Prices for industry, excluding VAT. Value for 2019 is interpolated based on the change of prices for natgas at country border (Einfuhrpreis).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</si>
</sst>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41" formatCode="_-* #,##0_-;\-* #,##0_-;_-* &quot;-&quot;_-;_-@_-"/>
    <numFmt numFmtId="164" formatCode="_-* #,##0\ _€_-;\-* #,##0\ _€_-;_-* &quot;-&quot;\ _€_-;_-@_-"/>
    <numFmt numFmtId="165" formatCode="_-* #,##0.00\ _€_-;\-* #,##0.00\ _€_-;_-* &quot;-&quot;??\ _€_-;_-@_-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0.00\ \ 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etica"/>
      <family val="2"/>
    </font>
    <font>
      <b/>
      <sz val="12"/>
      <name val="NewCenturySchlbk"/>
    </font>
    <font>
      <sz val="10"/>
      <name val="Helv"/>
    </font>
    <font>
      <b/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2"/>
      <name val="NewCenturySchlbk"/>
      <family val="1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sz val="10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6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" fillId="0" borderId="0"/>
    <xf numFmtId="0" fontId="1" fillId="0" borderId="0"/>
    <xf numFmtId="0" fontId="6" fillId="4" borderId="0" applyNumberFormat="0" applyBorder="0" applyAlignment="0" applyProtection="0"/>
    <xf numFmtId="0" fontId="3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2" applyNumberFormat="0" applyAlignment="0" applyProtection="0"/>
    <xf numFmtId="0" fontId="9" fillId="20" borderId="3" applyNumberFormat="0" applyAlignment="0" applyProtection="0"/>
    <xf numFmtId="4" fontId="5" fillId="0" borderId="1" applyFill="0" applyBorder="0" applyProtection="0">
      <alignment horizontal="right"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" fontId="4" fillId="0" borderId="0" applyFont="0" applyFill="0" applyBorder="0" applyAlignment="0" applyProtection="0"/>
    <xf numFmtId="0" fontId="10" fillId="7" borderId="3" applyNumberFormat="0" applyAlignment="0" applyProtection="0"/>
    <xf numFmtId="0" fontId="11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4" fontId="4" fillId="0" borderId="0" applyFont="0" applyFill="0" applyBorder="0" applyAlignment="0" applyProtection="0"/>
    <xf numFmtId="0" fontId="14" fillId="21" borderId="0" applyNumberFormat="0" applyBorder="0" applyAlignment="0" applyProtection="0"/>
    <xf numFmtId="0" fontId="15" fillId="22" borderId="5" applyNumberFormat="0" applyFont="0" applyAlignment="0" applyProtection="0"/>
    <xf numFmtId="0" fontId="16" fillId="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23" borderId="10" applyNumberFormat="0" applyAlignment="0" applyProtection="0"/>
    <xf numFmtId="0" fontId="25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5" fillId="0" borderId="0"/>
  </cellStyleXfs>
  <cellXfs count="10">
    <xf numFmtId="0" fontId="0" fillId="0" borderId="0" xfId="0"/>
    <xf numFmtId="6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vertical="top" wrapText="1"/>
    </xf>
    <xf numFmtId="168" fontId="24" fillId="0" borderId="11" xfId="9" applyNumberFormat="1" applyFont="1" applyBorder="1" applyAlignment="1">
      <alignment horizontal="right"/>
    </xf>
    <xf numFmtId="168" fontId="24" fillId="24" borderId="11" xfId="9" applyNumberFormat="1" applyFont="1" applyFill="1" applyBorder="1" applyAlignment="1">
      <alignment horizontal="right"/>
    </xf>
  </cellXfs>
  <cellStyles count="67">
    <cellStyle name="20% - Akzent1" xfId="10" xr:uid="{3DE18632-CB0B-40AD-B746-D5865D00F8BE}"/>
    <cellStyle name="20% - Akzent2" xfId="11" xr:uid="{D686A99E-34C7-464C-89AB-3B56125B9784}"/>
    <cellStyle name="20% - Akzent3" xfId="8" xr:uid="{7364C2B8-2B20-443A-85BC-F363A5545D6E}"/>
    <cellStyle name="20% - Akzent4" xfId="12" xr:uid="{EAB4AE36-9531-4565-BD01-0062187B0242}"/>
    <cellStyle name="20% - Akzent5" xfId="13" xr:uid="{B5E43572-B697-4FD7-8841-568B83AAD33F}"/>
    <cellStyle name="20% - Akzent6" xfId="14" xr:uid="{E6E7CE72-3245-47BA-A9FA-DA5CFC405CAC}"/>
    <cellStyle name="40% - Akzent1" xfId="15" xr:uid="{AB54F705-D41F-406E-BF1D-5836329B0ADA}"/>
    <cellStyle name="40% - Akzent2" xfId="16" xr:uid="{6301C81E-A1DF-4976-929E-A60AA7D3B27F}"/>
    <cellStyle name="40% - Akzent3" xfId="17" xr:uid="{1A4E81F6-8D1D-4B66-8C57-4CC132CEF0B9}"/>
    <cellStyle name="40% - Akzent4" xfId="18" xr:uid="{D83B6455-B634-447D-B57B-E9C5F429404A}"/>
    <cellStyle name="40% - Akzent5" xfId="19" xr:uid="{2B078064-24F5-4D2E-BED5-F840659F01EB}"/>
    <cellStyle name="40% - Akzent6" xfId="20" xr:uid="{7D6570AE-CB49-48BD-9D02-1FF1DC06EA85}"/>
    <cellStyle name="60% - Akzent1" xfId="21" xr:uid="{B0AADA10-7DDB-4BFE-8A89-D1423898F4E1}"/>
    <cellStyle name="60% - Akzent2" xfId="22" xr:uid="{23E3E1D9-ADD0-4B5E-8A22-FA831AD4C81B}"/>
    <cellStyle name="60% - Akzent3" xfId="23" xr:uid="{F13EA3AD-2080-4E3A-AC83-F34D5D1AAE74}"/>
    <cellStyle name="60% - Akzent4" xfId="24" xr:uid="{DD82C397-04A7-4826-8210-6282982A033B}"/>
    <cellStyle name="60% - Akzent5" xfId="25" xr:uid="{9B77D088-6FED-4F48-8019-E47F5D41FF5E}"/>
    <cellStyle name="60% - Akzent6" xfId="26" xr:uid="{41705D4D-FB5F-4B28-B411-4842C43560D1}"/>
    <cellStyle name="Akzent1 2" xfId="27" xr:uid="{FC9D05F7-303F-4C78-BE9B-011844C6D157}"/>
    <cellStyle name="Akzent2 2" xfId="28" xr:uid="{F73F4E40-0826-422F-80B0-B9D2327A1D57}"/>
    <cellStyle name="Akzent3 2" xfId="29" xr:uid="{7ADE7542-6942-46F3-810D-84C886304C68}"/>
    <cellStyle name="Akzent4 2" xfId="30" xr:uid="{4A6136F9-7F42-4F2E-BDD3-7A0EF058F0A4}"/>
    <cellStyle name="Akzent5 2" xfId="31" xr:uid="{52EAD689-F454-4ECB-94FD-7DA325C0DE33}"/>
    <cellStyle name="Akzent6 2" xfId="32" xr:uid="{ACD43D8D-46FF-4B90-A810-3CC1D37BC9AD}"/>
    <cellStyle name="Ausgabe 2" xfId="33" xr:uid="{B93D5DAC-6BB5-4162-AD74-2DE16A41B1A3}"/>
    <cellStyle name="Berechnung 2" xfId="34" xr:uid="{EB0CA0E0-A6A7-418E-821A-4C38EDA9E485}"/>
    <cellStyle name="Bold GHG Numbers (0.00)" xfId="35" xr:uid="{8E2601AE-3C04-44D8-BF78-045237AB77CC}"/>
    <cellStyle name="Comma [0]" xfId="36" xr:uid="{6F4127AF-367E-4606-B484-D733A4AD9A68}"/>
    <cellStyle name="Comma [0] 2" xfId="37" xr:uid="{29501076-05A7-418B-B453-513F95741B77}"/>
    <cellStyle name="Comma [0] 2 2" xfId="65" xr:uid="{1A6CD0E6-152A-472A-A2D9-6F64E2F4B757}"/>
    <cellStyle name="Comma [0] 3" xfId="64" xr:uid="{60961B2A-ABC3-4736-ADA6-5084710BA6E5}"/>
    <cellStyle name="Comma [0]_Headers" xfId="2" xr:uid="{74FBD39B-3AC6-48F2-AFB1-68AA325FF150}"/>
    <cellStyle name="Comma_Headers" xfId="3" xr:uid="{3CC8CDFE-F57F-4CDF-993C-25CD822E6414}"/>
    <cellStyle name="Currency [0]" xfId="38" xr:uid="{8937A5D7-A4EB-4AA2-9467-EAE33AD232CB}"/>
    <cellStyle name="Currency [0] 2" xfId="39" xr:uid="{E8CF150A-11CF-462A-B883-9EE0DC687472}"/>
    <cellStyle name="Currency [0]_Headers" xfId="4" xr:uid="{3762335D-A98B-4F07-87C0-EC51644CCFDB}"/>
    <cellStyle name="Currency_Headers" xfId="5" xr:uid="{8A4AB58B-5C58-45F6-A177-BAB92D57723A}"/>
    <cellStyle name="Dezimal 2" xfId="40" xr:uid="{E851A0F8-2834-49CA-8EDF-DAEDD215A6A8}"/>
    <cellStyle name="Eingabe 2" xfId="41" xr:uid="{4E3504E9-07C0-4BD6-864C-1FA1D377783D}"/>
    <cellStyle name="Ergebnis 2" xfId="42" xr:uid="{A9665C9D-7D36-49E9-A051-4895CBD5F76B}"/>
    <cellStyle name="Erklärender Text 2" xfId="43" xr:uid="{5D6C4212-DC45-45B0-B7A8-9F85275A0E00}"/>
    <cellStyle name="Gut 2" xfId="44" xr:uid="{CB167C14-9B0D-4022-9DC3-0F3FDBC30B3F}"/>
    <cellStyle name="Hyperlink 2" xfId="46" xr:uid="{DB4379BF-4095-4943-BCD7-B7966772AB44}"/>
    <cellStyle name="Hyperlink_Tabelle1" xfId="47" xr:uid="{AE02B64B-4475-4E16-9CFA-30F556FD396F}"/>
    <cellStyle name="Komma 2" xfId="48" xr:uid="{3D8ECC85-B563-498F-848B-F308F067FC20}"/>
    <cellStyle name="Link 2" xfId="45" xr:uid="{E8F87B91-8817-469E-86F7-55E5FAF4A9E3}"/>
    <cellStyle name="Neutral 2" xfId="49" xr:uid="{4FC3B208-59F3-4935-9650-FBA932F68A31}"/>
    <cellStyle name="Normal_Headers" xfId="6" xr:uid="{AC9074FD-4F97-403B-A462-8340046BB844}"/>
    <cellStyle name="Notiz 2" xfId="50" xr:uid="{BC8763B4-2AFD-4B85-B11A-72058563820C}"/>
    <cellStyle name="Schlecht 2" xfId="51" xr:uid="{16A840AA-1E5E-4F78-8EA9-F6C00859B46B}"/>
    <cellStyle name="Standard" xfId="0" builtinId="0"/>
    <cellStyle name="Standard 2" xfId="7" xr:uid="{9A96C7AF-137F-4AE7-B25B-23C0B18B613B}"/>
    <cellStyle name="Standard 2 2" xfId="52" xr:uid="{8B9A48CE-33DA-4BF0-A1A1-BED311CCB854}"/>
    <cellStyle name="Standard 3" xfId="1" xr:uid="{E0C627D0-33F8-4218-A2CA-A8D9BD4D65E3}"/>
    <cellStyle name="Standard 4" xfId="53" xr:uid="{7BDF7FF9-12FF-494F-AEEE-4A0597CF81AB}"/>
    <cellStyle name="Standard 4 2" xfId="54" xr:uid="{44CE98F9-316A-4FA4-B6D5-6F7504BA784A}"/>
    <cellStyle name="Standard 5" xfId="9" xr:uid="{B2BBD59D-2711-4F06-AE85-90A499B22940}"/>
    <cellStyle name="Standard 5 2" xfId="66" xr:uid="{85CB2D3C-EDC0-4D05-937F-8320ACA7744A}"/>
    <cellStyle name="Standard 6" xfId="63" xr:uid="{94B05E60-F13E-4E4D-BF25-75272E5FFE16}"/>
    <cellStyle name="Überschrift 1 2" xfId="56" xr:uid="{0419D7B2-D07F-4D7A-9867-4695ACBDE22B}"/>
    <cellStyle name="Überschrift 2 2" xfId="57" xr:uid="{6B67CCA1-C728-492E-B7E6-D5D511FF05CD}"/>
    <cellStyle name="Überschrift 3 2" xfId="58" xr:uid="{5ECBB9FE-58E4-4EFA-A9C5-12E1F41A1AD4}"/>
    <cellStyle name="Überschrift 4 2" xfId="59" xr:uid="{9FF425FC-84CD-4692-B738-4311738B497D}"/>
    <cellStyle name="Überschrift 5" xfId="55" xr:uid="{E0D1BA79-265C-4A62-8F07-0F54669DFD90}"/>
    <cellStyle name="Verknüpfte Zelle 2" xfId="60" xr:uid="{13CF6F1B-95AA-4B6A-AB30-528B5B9D8A96}"/>
    <cellStyle name="Warnender Text 2" xfId="61" xr:uid="{FD57C90A-8150-4443-AF50-1524B35285D6}"/>
    <cellStyle name="Zelle überprüfen 2" xfId="62" xr:uid="{ECFD1414-86D0-4C04-8790-AAB6488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rherige%20Ordner%20bis%202003/Energiebilanzen/EB0506_06_03_2007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m1"/>
      <sheetName val="PEV2006engl."/>
      <sheetName val="PEV2006"/>
      <sheetName val="Diagramm4"/>
      <sheetName val="EB0304"/>
      <sheetName val="CO2"/>
      <sheetName val="CO2Grafik"/>
      <sheetName val="Grafik 2001_2002"/>
      <sheetName val="CO2neu+"/>
      <sheetName val="CO2neu+Grafik"/>
      <sheetName val="CO2neu+engl."/>
      <sheetName val="Diagramm2"/>
      <sheetName val="Tabelle3"/>
      <sheetName val="Co2neu"/>
      <sheetName val="Diagramm3"/>
      <sheetName val="Tabelle1"/>
      <sheetName val="Gas-Verbrauch"/>
      <sheetName val="Gasaufkommen"/>
      <sheetName val="Stromerzeugung"/>
      <sheetName val="EB97_Zahlen_für_Grafiken"/>
      <sheetName val="PEV-Anteile-Grafik"/>
      <sheetName val="PEV-Entwicklung"/>
      <sheetName val="PEV je Kopf"/>
      <sheetName val="Preise"/>
      <sheetName val="PEV pro BIP"/>
      <sheetName val="CO2-Emissionen"/>
      <sheetName val="PEV bereinigt"/>
      <sheetName val="Regwind"/>
      <sheetName val="PEV8097"/>
      <sheetName val="Tabelle5"/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>
        <row r="11">
          <cell r="A11" t="str">
            <v>Entwicklung des PEV in Deutschland (in PJ) (EB97PEV1.DOC)</v>
          </cell>
        </row>
        <row r="12">
          <cell r="A12" t="str">
            <v>Wegen Berechnung nach Wirkungsgradmethode vgl. EBWMD.XLS</v>
          </cell>
        </row>
        <row r="13">
          <cell r="C13" t="str">
            <v>Görgen</v>
          </cell>
          <cell r="D13" t="str">
            <v>Diff</v>
          </cell>
        </row>
        <row r="14">
          <cell r="A14">
            <v>1989</v>
          </cell>
          <cell r="B14">
            <v>15.082000000000001</v>
          </cell>
          <cell r="H14">
            <v>15082</v>
          </cell>
        </row>
        <row r="15">
          <cell r="A15">
            <v>1990</v>
          </cell>
          <cell r="B15">
            <v>14.9119104</v>
          </cell>
          <cell r="C15">
            <v>14880</v>
          </cell>
          <cell r="D15">
            <v>14865.0880896</v>
          </cell>
          <cell r="H15">
            <v>14911.910400000001</v>
          </cell>
        </row>
        <row r="16">
          <cell r="A16">
            <v>1991</v>
          </cell>
          <cell r="B16">
            <v>14.610038000000001</v>
          </cell>
          <cell r="C16">
            <v>14572</v>
          </cell>
          <cell r="D16">
            <v>14557.389961999999</v>
          </cell>
          <cell r="H16">
            <v>14610.038</v>
          </cell>
        </row>
        <row r="17">
          <cell r="A17">
            <v>1992</v>
          </cell>
          <cell r="B17">
            <v>14.314027199999998</v>
          </cell>
          <cell r="C17">
            <v>14282</v>
          </cell>
          <cell r="D17">
            <v>14267.6859728</v>
          </cell>
          <cell r="H17">
            <v>14314.027199999999</v>
          </cell>
        </row>
        <row r="18">
          <cell r="A18">
            <v>1993</v>
          </cell>
          <cell r="B18">
            <v>14.305234800000001</v>
          </cell>
          <cell r="C18">
            <v>14273</v>
          </cell>
          <cell r="D18">
            <v>14258.6947652</v>
          </cell>
          <cell r="H18">
            <v>14305.2348</v>
          </cell>
        </row>
        <row r="19">
          <cell r="A19">
            <v>1994</v>
          </cell>
          <cell r="B19">
            <v>14.1528332</v>
          </cell>
          <cell r="C19">
            <v>14141</v>
          </cell>
          <cell r="D19">
            <v>14126.8471668</v>
          </cell>
          <cell r="H19">
            <v>14152.833199999999</v>
          </cell>
        </row>
        <row r="20">
          <cell r="A20" t="str">
            <v>1995*)</v>
          </cell>
          <cell r="B20">
            <v>14.2964424</v>
          </cell>
          <cell r="C20">
            <v>14228</v>
          </cell>
          <cell r="D20">
            <v>14213.7035576</v>
          </cell>
          <cell r="H20">
            <v>14296.4424</v>
          </cell>
        </row>
        <row r="21">
          <cell r="A21" t="str">
            <v>1996*)</v>
          </cell>
          <cell r="B21">
            <v>14.7683012</v>
          </cell>
          <cell r="C21">
            <v>14638</v>
          </cell>
          <cell r="D21">
            <v>14623.2316988</v>
          </cell>
          <cell r="H21">
            <v>14768.3012</v>
          </cell>
        </row>
        <row r="22">
          <cell r="A22" t="str">
            <v>1997*)</v>
          </cell>
          <cell r="B22">
            <v>14.489875199999998</v>
          </cell>
          <cell r="H22">
            <v>14489.875199999999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F7" sqref="F7"/>
    </sheetView>
  </sheetViews>
  <sheetFormatPr baseColWidth="10" defaultColWidth="8.88671875" defaultRowHeight="14.4"/>
  <cols>
    <col min="1" max="1" width="11.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5</v>
      </c>
      <c r="C3" t="s">
        <v>9</v>
      </c>
      <c r="D3" t="s">
        <v>10</v>
      </c>
    </row>
    <row r="4" spans="1:4">
      <c r="A4" t="s">
        <v>11</v>
      </c>
      <c r="B4" t="s">
        <v>5</v>
      </c>
      <c r="C4" s="1">
        <v>12699</v>
      </c>
      <c r="D4" t="s">
        <v>12</v>
      </c>
    </row>
    <row r="5" spans="1:4">
      <c r="D5" t="s">
        <v>13</v>
      </c>
    </row>
    <row r="6" spans="1:4">
      <c r="A6" t="s">
        <v>14</v>
      </c>
      <c r="B6" t="s">
        <v>5</v>
      </c>
      <c r="C6" s="2">
        <v>27116</v>
      </c>
      <c r="D6" t="s">
        <v>12</v>
      </c>
    </row>
    <row r="7" spans="1:4">
      <c r="D7" t="s">
        <v>15</v>
      </c>
    </row>
    <row r="8" spans="1:4">
      <c r="A8" t="s">
        <v>16</v>
      </c>
      <c r="B8" t="s">
        <v>5</v>
      </c>
      <c r="C8" s="2">
        <v>482739</v>
      </c>
      <c r="D8" t="s">
        <v>12</v>
      </c>
    </row>
    <row r="9" spans="1:4">
      <c r="D9" t="s">
        <v>17</v>
      </c>
    </row>
    <row r="10" spans="1:4">
      <c r="D10" t="s">
        <v>18</v>
      </c>
    </row>
    <row r="11" spans="1:4">
      <c r="A11" t="s">
        <v>19</v>
      </c>
      <c r="B11" t="s">
        <v>5</v>
      </c>
      <c r="C11" s="2">
        <v>153117</v>
      </c>
      <c r="D11" t="s">
        <v>20</v>
      </c>
    </row>
    <row r="12" spans="1:4">
      <c r="A12" t="s">
        <v>21</v>
      </c>
      <c r="B12" t="s">
        <v>5</v>
      </c>
      <c r="C12" s="2">
        <v>28206</v>
      </c>
      <c r="D12" t="s">
        <v>12</v>
      </c>
    </row>
    <row r="13" spans="1:4">
      <c r="D13" t="s">
        <v>22</v>
      </c>
    </row>
    <row r="14" spans="1:4">
      <c r="A14" t="s">
        <v>23</v>
      </c>
      <c r="B14" t="s">
        <v>5</v>
      </c>
      <c r="C14">
        <v>0</v>
      </c>
    </row>
    <row r="15" spans="1:4">
      <c r="A15" t="s">
        <v>24</v>
      </c>
      <c r="B15" t="s">
        <v>5</v>
      </c>
      <c r="D15" t="s">
        <v>20</v>
      </c>
    </row>
    <row r="16" spans="1:4">
      <c r="A16" t="s">
        <v>25</v>
      </c>
      <c r="B16" t="s">
        <v>5</v>
      </c>
      <c r="C16" s="2">
        <v>154568</v>
      </c>
    </row>
    <row r="21" spans="1:4">
      <c r="A21" t="s">
        <v>0</v>
      </c>
      <c r="B21" t="s">
        <v>1</v>
      </c>
      <c r="C21" t="s">
        <v>26</v>
      </c>
      <c r="D21" t="s">
        <v>3</v>
      </c>
    </row>
    <row r="22" spans="1:4">
      <c r="A22" t="s">
        <v>11</v>
      </c>
      <c r="B22" t="s">
        <v>5</v>
      </c>
      <c r="C22" t="s">
        <v>27</v>
      </c>
      <c r="D22" t="s">
        <v>10</v>
      </c>
    </row>
    <row r="23" spans="1:4">
      <c r="C23" t="s">
        <v>28</v>
      </c>
      <c r="D23" t="s">
        <v>29</v>
      </c>
    </row>
    <row r="24" spans="1:4">
      <c r="C24" t="s">
        <v>30</v>
      </c>
      <c r="D24" t="s">
        <v>29</v>
      </c>
    </row>
    <row r="25" spans="1:4">
      <c r="A25" t="s">
        <v>8</v>
      </c>
      <c r="B25" t="s">
        <v>5</v>
      </c>
      <c r="C25" t="s">
        <v>27</v>
      </c>
      <c r="D25" t="s">
        <v>31</v>
      </c>
    </row>
    <row r="26" spans="1:4">
      <c r="C26" t="s">
        <v>28</v>
      </c>
      <c r="D26" t="s">
        <v>10</v>
      </c>
    </row>
    <row r="27" spans="1:4">
      <c r="C27" t="s">
        <v>30</v>
      </c>
      <c r="D27" t="s">
        <v>32</v>
      </c>
    </row>
    <row r="28" spans="1:4">
      <c r="A28" t="s">
        <v>21</v>
      </c>
      <c r="B28" t="s">
        <v>5</v>
      </c>
      <c r="C28" t="s">
        <v>27</v>
      </c>
      <c r="D28" t="s">
        <v>33</v>
      </c>
    </row>
    <row r="29" spans="1:4">
      <c r="C29" t="s">
        <v>28</v>
      </c>
      <c r="D29" t="s">
        <v>34</v>
      </c>
    </row>
    <row r="30" spans="1:4">
      <c r="C30" t="s">
        <v>30</v>
      </c>
      <c r="D30" t="s">
        <v>35</v>
      </c>
    </row>
    <row r="31" spans="1:4">
      <c r="A31" t="s">
        <v>36</v>
      </c>
      <c r="B31" t="s">
        <v>5</v>
      </c>
      <c r="C31" t="s">
        <v>27</v>
      </c>
      <c r="D31" t="s">
        <v>37</v>
      </c>
    </row>
    <row r="32" spans="1:4">
      <c r="C32" t="s">
        <v>30</v>
      </c>
      <c r="D32" t="s">
        <v>35</v>
      </c>
    </row>
    <row r="33" spans="1:4">
      <c r="A33" t="s">
        <v>38</v>
      </c>
      <c r="B33" t="s">
        <v>5</v>
      </c>
      <c r="C33" t="s">
        <v>27</v>
      </c>
      <c r="D33" t="s">
        <v>39</v>
      </c>
    </row>
    <row r="34" spans="1:4">
      <c r="C34" t="s">
        <v>28</v>
      </c>
      <c r="D34" t="s">
        <v>40</v>
      </c>
    </row>
    <row r="35" spans="1:4">
      <c r="C35" t="s">
        <v>30</v>
      </c>
      <c r="D35" t="s">
        <v>33</v>
      </c>
    </row>
    <row r="36" spans="1:4">
      <c r="A36" t="s">
        <v>41</v>
      </c>
      <c r="B36" t="s">
        <v>5</v>
      </c>
      <c r="C36" t="s">
        <v>27</v>
      </c>
      <c r="D36" t="s">
        <v>39</v>
      </c>
    </row>
    <row r="37" spans="1:4">
      <c r="C37" t="s">
        <v>28</v>
      </c>
      <c r="D37" t="s">
        <v>10</v>
      </c>
    </row>
    <row r="38" spans="1:4">
      <c r="C38" t="s">
        <v>30</v>
      </c>
      <c r="D3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1373-F78A-4ED9-A59B-559DC2BA8A70}">
  <dimension ref="A1:G11"/>
  <sheetViews>
    <sheetView tabSelected="1" workbookViewId="0">
      <selection activeCell="G2" sqref="G2"/>
    </sheetView>
  </sheetViews>
  <sheetFormatPr baseColWidth="10" defaultRowHeight="14.4"/>
  <cols>
    <col min="1" max="3" width="11.5546875" style="4"/>
    <col min="4" max="4" width="16.5546875" style="4" bestFit="1" customWidth="1"/>
    <col min="5" max="5" width="16.5546875" style="4" customWidth="1"/>
    <col min="6" max="6" width="43.33203125" style="3" customWidth="1"/>
    <col min="7" max="7" width="57.6640625" style="3" customWidth="1"/>
  </cols>
  <sheetData>
    <row r="1" spans="1:7">
      <c r="A1" s="4" t="s">
        <v>55</v>
      </c>
      <c r="B1" s="4">
        <v>2016</v>
      </c>
      <c r="C1" s="4">
        <v>2017</v>
      </c>
      <c r="D1" s="4">
        <v>2018</v>
      </c>
      <c r="E1" s="4">
        <v>2019</v>
      </c>
      <c r="F1" s="3" t="s">
        <v>57</v>
      </c>
      <c r="G1" s="3" t="s">
        <v>58</v>
      </c>
    </row>
    <row r="2" spans="1:7" ht="57.6">
      <c r="A2" s="5" t="s">
        <v>56</v>
      </c>
      <c r="B2" s="6">
        <f>4274.85239064031*3.6/1000</f>
        <v>15.389468606305115</v>
      </c>
      <c r="C2" s="6">
        <f>4730.20210146688*3.6/1000</f>
        <v>17.028727565280768</v>
      </c>
      <c r="D2" s="6">
        <f>5357.32969357128*3.6/1000</f>
        <v>19.286386896856605</v>
      </c>
      <c r="E2" s="6">
        <f>4492.99625547165*3.6/1000</f>
        <v>16.174786519697943</v>
      </c>
      <c r="F2" s="3" t="s">
        <v>59</v>
      </c>
      <c r="G2" s="3" t="s">
        <v>63</v>
      </c>
    </row>
    <row r="3" spans="1:7" ht="57.6">
      <c r="A3" s="4" t="s">
        <v>66</v>
      </c>
      <c r="B3" s="6">
        <f>75.3426723531938/8.14</f>
        <v>9.255856554446412</v>
      </c>
      <c r="C3" s="6">
        <f>119.315725243711/8.14</f>
        <v>14.657951504141399</v>
      </c>
      <c r="D3" s="6">
        <f>122.617521657586/8.14</f>
        <v>15.063577599212039</v>
      </c>
      <c r="E3" s="6">
        <f>114.225815176713/8.14</f>
        <v>14.032655427114618</v>
      </c>
      <c r="F3" s="3" t="s">
        <v>70</v>
      </c>
      <c r="G3" s="3" t="s">
        <v>69</v>
      </c>
    </row>
    <row r="4" spans="1:7" ht="43.2">
      <c r="A4" s="4" t="s">
        <v>71</v>
      </c>
      <c r="B4" s="4">
        <f>38.3991666666667/100/0.855/42816*(3.6*10^6)</f>
        <v>37.761748354443689</v>
      </c>
      <c r="C4" s="4">
        <f>45.0491666666667/100/0.855/42816*(3.6*10^6)</f>
        <v>44.301359714682853</v>
      </c>
      <c r="D4" s="4">
        <f>55.2741666666667/100/0.855/42816*(3.6*10^6)</f>
        <v>54.356626806178411</v>
      </c>
      <c r="E4" s="4">
        <f>53.6858333333333/100/0.855/42816*(3.6*10^6)</f>
        <v>52.794659481289145</v>
      </c>
      <c r="F4" s="3" t="s">
        <v>72</v>
      </c>
      <c r="G4" s="3" t="s">
        <v>65</v>
      </c>
    </row>
    <row r="5" spans="1:7" ht="43.2">
      <c r="A5" s="4" t="s">
        <v>60</v>
      </c>
      <c r="B5" s="4">
        <f>4274.81392443802/1000*3.6</f>
        <v>15.389330127976873</v>
      </c>
      <c r="C5" s="4">
        <f>4729.41917099053/1000*3.6</f>
        <v>17.025909015565908</v>
      </c>
      <c r="D5" s="4">
        <f>5330.68724811261/1000*3.6</f>
        <v>19.190474093205395</v>
      </c>
      <c r="E5" s="4">
        <f>4502.94568864666/1000*3.6</f>
        <v>16.210604479127973</v>
      </c>
      <c r="F5" s="3" t="s">
        <v>72</v>
      </c>
      <c r="G5" s="3" t="s">
        <v>73</v>
      </c>
    </row>
    <row r="6" spans="1:7" ht="57.6">
      <c r="A6" s="4" t="s">
        <v>62</v>
      </c>
      <c r="B6" s="4">
        <f>231.425/1000/40343*(3.6*10^6)</f>
        <v>20.6511662494113</v>
      </c>
      <c r="C6" s="4">
        <f>C7/$B$7*$B$6</f>
        <v>25.794523621106531</v>
      </c>
      <c r="D6" s="4">
        <f t="shared" ref="D6:E6" si="0">D7/$B$7*$B$6</f>
        <v>32.577246305013809</v>
      </c>
      <c r="E6" s="4">
        <f t="shared" si="0"/>
        <v>30.855272786590863</v>
      </c>
      <c r="F6" s="3" t="s">
        <v>72</v>
      </c>
      <c r="G6" s="3" t="s">
        <v>64</v>
      </c>
    </row>
    <row r="7" spans="1:7" ht="43.2">
      <c r="A7" s="4" t="s">
        <v>61</v>
      </c>
      <c r="B7" s="4">
        <f>286.367593534765/1000/42505*(3.6*10^6)</f>
        <v>24.254166256326407</v>
      </c>
      <c r="C7" s="4">
        <f>357.69/1000/42505*(3.6*10^6)</f>
        <v>30.29488295494648</v>
      </c>
      <c r="D7" s="4">
        <f>451.745316254091/1000/42505*(3.6*10^6)</f>
        <v>38.260984319838315</v>
      </c>
      <c r="E7" s="4">
        <f>427.866886985457/1000/42505*(3.6*10^6)</f>
        <v>36.23857882949406</v>
      </c>
      <c r="F7" s="3" t="s">
        <v>72</v>
      </c>
      <c r="G7" s="3" t="s">
        <v>74</v>
      </c>
    </row>
    <row r="8" spans="1:7" ht="43.2">
      <c r="A8" s="4" t="s">
        <v>68</v>
      </c>
      <c r="B8" s="4">
        <f>67.07/8.14</f>
        <v>8.2395577395577373</v>
      </c>
      <c r="C8" s="4">
        <f>91.82/8.14</f>
        <v>11.280098280098278</v>
      </c>
      <c r="D8" s="4">
        <f>95.49/8.14</f>
        <v>11.73095823095823</v>
      </c>
      <c r="E8" s="4">
        <f>79.2152336186843/8.14</f>
        <v>9.7316011816565471</v>
      </c>
      <c r="F8" s="3" t="s">
        <v>72</v>
      </c>
      <c r="G8" s="3" t="s">
        <v>67</v>
      </c>
    </row>
    <row r="9" spans="1:7" ht="43.2">
      <c r="A9" s="4" t="s">
        <v>82</v>
      </c>
      <c r="B9" s="7">
        <f>2.44/100*1000</f>
        <v>24.4</v>
      </c>
      <c r="C9" s="7">
        <f>2.45/100*1000</f>
        <v>24.5</v>
      </c>
      <c r="D9" s="7">
        <f>2.63/100*1000</f>
        <v>26.3</v>
      </c>
      <c r="E9" s="7">
        <f>E5/D5*D9</f>
        <v>22.216173281097618</v>
      </c>
      <c r="F9" s="3" t="s">
        <v>72</v>
      </c>
      <c r="G9" s="3" t="s">
        <v>83</v>
      </c>
    </row>
    <row r="11" spans="1:7">
      <c r="B11" s="9"/>
      <c r="C11" s="8"/>
      <c r="D11" s="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376D-17B8-4C14-BCA4-F535E211A6EA}">
  <dimension ref="A1:I18"/>
  <sheetViews>
    <sheetView workbookViewId="0">
      <selection activeCell="I18" sqref="C18:I18"/>
    </sheetView>
  </sheetViews>
  <sheetFormatPr baseColWidth="10" defaultRowHeight="14.4"/>
  <cols>
    <col min="1" max="1" width="21.44140625" bestFit="1" customWidth="1"/>
    <col min="3" max="3" width="14.6640625" bestFit="1" customWidth="1"/>
  </cols>
  <sheetData>
    <row r="1" spans="1:9">
      <c r="A1" t="s">
        <v>75</v>
      </c>
      <c r="B1">
        <v>2019</v>
      </c>
      <c r="D1" t="s">
        <v>79</v>
      </c>
      <c r="F1" t="s">
        <v>80</v>
      </c>
      <c r="H1">
        <v>2016</v>
      </c>
    </row>
    <row r="2" spans="1:9">
      <c r="A2" t="s">
        <v>76</v>
      </c>
      <c r="B2" t="s">
        <v>42</v>
      </c>
      <c r="C2" t="s">
        <v>43</v>
      </c>
      <c r="D2" t="s">
        <v>42</v>
      </c>
      <c r="E2" t="s">
        <v>43</v>
      </c>
      <c r="F2" t="s">
        <v>42</v>
      </c>
      <c r="G2" t="s">
        <v>43</v>
      </c>
      <c r="H2" t="s">
        <v>42</v>
      </c>
      <c r="I2" t="s">
        <v>43</v>
      </c>
    </row>
    <row r="3" spans="1:9">
      <c r="A3" t="s">
        <v>44</v>
      </c>
      <c r="B3">
        <v>583057</v>
      </c>
      <c r="C3">
        <v>6023</v>
      </c>
      <c r="D3">
        <v>384742</v>
      </c>
      <c r="E3">
        <v>5065</v>
      </c>
      <c r="F3">
        <v>347930</v>
      </c>
      <c r="G3">
        <v>4833</v>
      </c>
      <c r="H3">
        <v>367248</v>
      </c>
      <c r="I3">
        <v>4471</v>
      </c>
    </row>
    <row r="4" spans="1:9">
      <c r="A4" t="s">
        <v>45</v>
      </c>
      <c r="B4">
        <v>469489</v>
      </c>
      <c r="C4">
        <v>5605</v>
      </c>
      <c r="D4">
        <v>398777</v>
      </c>
      <c r="E4">
        <v>5247</v>
      </c>
      <c r="F4">
        <v>337493</v>
      </c>
      <c r="G4">
        <v>4989</v>
      </c>
      <c r="H4">
        <v>340088</v>
      </c>
      <c r="I4">
        <v>4357</v>
      </c>
    </row>
    <row r="5" spans="1:9">
      <c r="A5" t="s">
        <v>46</v>
      </c>
      <c r="B5">
        <v>471312</v>
      </c>
      <c r="C5">
        <v>5156</v>
      </c>
      <c r="D5">
        <v>464617</v>
      </c>
      <c r="E5">
        <v>5379</v>
      </c>
      <c r="F5">
        <v>391900</v>
      </c>
      <c r="G5">
        <v>4794</v>
      </c>
      <c r="H5">
        <v>349802</v>
      </c>
      <c r="I5">
        <v>4231</v>
      </c>
    </row>
    <row r="6" spans="1:9">
      <c r="A6" t="s">
        <v>47</v>
      </c>
      <c r="B6">
        <v>395386</v>
      </c>
      <c r="C6">
        <v>4569</v>
      </c>
      <c r="D6">
        <v>326954</v>
      </c>
      <c r="E6">
        <v>4913</v>
      </c>
      <c r="F6">
        <v>323553</v>
      </c>
      <c r="G6">
        <v>4621</v>
      </c>
      <c r="H6">
        <v>309522</v>
      </c>
      <c r="I6">
        <v>4008</v>
      </c>
    </row>
    <row r="7" spans="1:9">
      <c r="A7" t="s">
        <v>48</v>
      </c>
      <c r="B7">
        <v>425151</v>
      </c>
      <c r="C7">
        <v>4262</v>
      </c>
      <c r="D7">
        <v>329139</v>
      </c>
      <c r="E7">
        <v>5104</v>
      </c>
      <c r="F7">
        <v>303680</v>
      </c>
      <c r="G7">
        <v>4604</v>
      </c>
      <c r="H7">
        <v>293754</v>
      </c>
      <c r="I7">
        <v>3615</v>
      </c>
    </row>
    <row r="8" spans="1:9">
      <c r="A8" t="s">
        <v>49</v>
      </c>
      <c r="B8">
        <v>405781</v>
      </c>
      <c r="C8">
        <v>3912</v>
      </c>
      <c r="D8">
        <v>312258</v>
      </c>
      <c r="E8">
        <v>5255</v>
      </c>
      <c r="F8">
        <v>276080</v>
      </c>
      <c r="G8">
        <v>4521</v>
      </c>
      <c r="H8">
        <v>258576</v>
      </c>
      <c r="I8">
        <v>4010</v>
      </c>
    </row>
    <row r="9" spans="1:9">
      <c r="A9" t="s">
        <v>50</v>
      </c>
      <c r="B9">
        <v>464264</v>
      </c>
      <c r="C9">
        <v>3632</v>
      </c>
      <c r="D9">
        <v>342932</v>
      </c>
      <c r="E9">
        <v>5177</v>
      </c>
      <c r="F9">
        <v>303164</v>
      </c>
      <c r="G9">
        <v>4446</v>
      </c>
      <c r="H9">
        <v>315037</v>
      </c>
      <c r="I9">
        <v>3990</v>
      </c>
    </row>
    <row r="10" spans="1:9">
      <c r="A10" t="s">
        <v>77</v>
      </c>
      <c r="B10">
        <v>436979</v>
      </c>
      <c r="C10">
        <v>3389</v>
      </c>
      <c r="D10">
        <v>367276</v>
      </c>
      <c r="E10">
        <v>5300</v>
      </c>
      <c r="F10">
        <v>309580</v>
      </c>
      <c r="G10">
        <v>4575</v>
      </c>
      <c r="H10">
        <v>326135</v>
      </c>
      <c r="I10">
        <v>3932</v>
      </c>
    </row>
    <row r="11" spans="1:9">
      <c r="A11" t="s">
        <v>51</v>
      </c>
      <c r="B11">
        <v>460387</v>
      </c>
      <c r="C11">
        <v>3571</v>
      </c>
      <c r="D11">
        <v>346618</v>
      </c>
      <c r="E11">
        <v>5547</v>
      </c>
      <c r="F11">
        <v>330699</v>
      </c>
      <c r="G11">
        <v>4607</v>
      </c>
      <c r="H11">
        <v>344297</v>
      </c>
      <c r="I11">
        <v>3972</v>
      </c>
    </row>
    <row r="12" spans="1:9">
      <c r="A12" t="s">
        <v>52</v>
      </c>
      <c r="B12">
        <v>414425</v>
      </c>
      <c r="C12">
        <v>4112</v>
      </c>
      <c r="D12">
        <v>398029</v>
      </c>
      <c r="E12">
        <v>5842</v>
      </c>
      <c r="F12">
        <v>376393</v>
      </c>
      <c r="G12">
        <v>4682</v>
      </c>
      <c r="H12">
        <v>411421</v>
      </c>
      <c r="I12">
        <v>4571</v>
      </c>
    </row>
    <row r="13" spans="1:9">
      <c r="A13" t="s">
        <v>53</v>
      </c>
      <c r="B13">
        <v>470054</v>
      </c>
      <c r="C13">
        <v>4688</v>
      </c>
      <c r="D13">
        <v>398947</v>
      </c>
      <c r="E13">
        <v>5584</v>
      </c>
      <c r="F13">
        <v>364572</v>
      </c>
      <c r="G13">
        <v>4889</v>
      </c>
      <c r="H13">
        <v>430663</v>
      </c>
      <c r="I13">
        <v>4722</v>
      </c>
    </row>
    <row r="14" spans="1:9">
      <c r="A14" t="s">
        <v>54</v>
      </c>
      <c r="B14">
        <v>422555</v>
      </c>
      <c r="C14">
        <v>4375</v>
      </c>
      <c r="D14">
        <v>369928</v>
      </c>
      <c r="E14">
        <v>5738</v>
      </c>
      <c r="F14">
        <v>388791</v>
      </c>
      <c r="G14">
        <v>5035</v>
      </c>
      <c r="H14">
        <v>409833</v>
      </c>
      <c r="I14">
        <v>4889</v>
      </c>
    </row>
    <row r="16" spans="1:9">
      <c r="A16" t="s">
        <v>78</v>
      </c>
      <c r="B16">
        <v>5418840</v>
      </c>
      <c r="C16">
        <v>4493</v>
      </c>
      <c r="D16">
        <v>4440217</v>
      </c>
      <c r="E16">
        <v>5357</v>
      </c>
      <c r="F16">
        <v>4053835</v>
      </c>
      <c r="G16">
        <v>4730</v>
      </c>
      <c r="H16">
        <v>4156376</v>
      </c>
      <c r="I16">
        <v>4275</v>
      </c>
    </row>
    <row r="18" spans="1:9">
      <c r="A18" t="s">
        <v>81</v>
      </c>
      <c r="C18">
        <f>SUMPRODUCT(B3:B14,C3:C14)/B16</f>
        <v>4492.9962554716503</v>
      </c>
      <c r="E18">
        <f>SUMPRODUCT(D3:D14,E3:E14)/D16</f>
        <v>5357.3296935712824</v>
      </c>
      <c r="G18">
        <f>SUMPRODUCT(F3:F14,G3:G14)/F16</f>
        <v>4730.2021014668826</v>
      </c>
      <c r="I18">
        <f>SUMPRODUCT(H3:H14,I3:I14)/H16</f>
        <v>4274.8523906403079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fuel_costs_historical</vt:lpstr>
      <vt:lpstr>BAFA_Erdgas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2020-08-06T14:19:10Z</dcterms:modified>
</cp:coreProperties>
</file>